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7.xml" ContentType="application/vnd.openxmlformats-officedocument.drawing+xml"/>
  <Override PartName="/xl/worksheets/sheet13.xml" ContentType="application/vnd.openxmlformats-officedocument.spreadsheetml.worksheet+xml"/>
  <Override PartName="/xl/comments13.xml" ContentType="application/vnd.openxmlformats-officedocument.spreadsheetml.comments+xml"/>
  <Override PartName="/xl/drawings/drawing8.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drawings/drawing9.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drawings/drawing10.xml" ContentType="application/vnd.openxmlformats-officedocument.drawing+xml"/>
  <Override PartName="/xl/worksheets/sheet17.xml" ContentType="application/vnd.openxmlformats-officedocument.spreadsheetml.worksheet+xml"/>
  <Override PartName="/xl/drawings/drawing11.xml" ContentType="application/vnd.openxmlformats-officedocument.drawing+xml"/>
  <Override PartName="/xl/worksheets/sheet18.xml" ContentType="application/vnd.openxmlformats-officedocument.spreadsheetml.worksheet+xml"/>
  <Override PartName="/xl/comments18.xml" ContentType="application/vnd.openxmlformats-officedocument.spreadsheetml.comments+xml"/>
  <Override PartName="/xl/drawings/drawing12.xml" ContentType="application/vnd.openxmlformats-officedocument.drawing+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drawings/drawing13.xml" ContentType="application/vnd.openxmlformats-officedocument.drawing+xml"/>
  <Override PartName="/xl/worksheets/sheet22.xml" ContentType="application/vnd.openxmlformats-officedocument.spreadsheetml.worksheet+xml"/>
  <Override PartName="/xl/drawings/drawing14.xml" ContentType="application/vnd.openxmlformats-officedocument.drawing+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170" windowHeight="7455" tabRatio="745" firstSheet="1" activeTab="4"/>
  </bookViews>
  <sheets>
    <sheet name="Phuluc1" sheetId="1" state="hidden" r:id="rId1"/>
    <sheet name="Bìa" sheetId="2" r:id="rId2"/>
    <sheet name="60-H" sheetId="3" r:id="rId3"/>
    <sheet name="61-H" sheetId="4" r:id="rId4"/>
    <sheet name="62-H-N" sheetId="5" r:id="rId5"/>
    <sheet name="tách nguồn cho STC" sheetId="6" state="hidden" r:id="rId6"/>
    <sheet name="Tách nguồn STC 2" sheetId="7" state="hidden" r:id="rId7"/>
    <sheet name="63-PMQLNS" sheetId="8" state="hidden" r:id="rId8"/>
    <sheet name="64-PMQLNS" sheetId="9" state="hidden" r:id="rId9"/>
    <sheet name="bIỂU 63-NĐ 31-T" sheetId="10" state="hidden" r:id="rId10"/>
    <sheet name="BIỂU 64-NĐ 31-Gd" sheetId="11" state="hidden" r:id="rId11"/>
    <sheet name="65-N" sheetId="12" state="hidden" r:id="rId12"/>
    <sheet name="66-H" sheetId="13" state="hidden" r:id="rId13"/>
    <sheet name="67-A-T" sheetId="14" state="hidden" r:id="rId14"/>
    <sheet name="Sheet2" sheetId="15" state="hidden" r:id="rId15"/>
    <sheet name="68-H-T-N" sheetId="16" state="hidden" r:id="rId16"/>
    <sheet name="69-H-TTra" sheetId="17" state="hidden" r:id="rId17"/>
    <sheet name="70-H-T" sheetId="18" state="hidden" r:id="rId18"/>
    <sheet name="H-Nga-Thùy" sheetId="19" state="hidden" r:id="rId19"/>
    <sheet name="CN-H-Nga-Thuy" sheetId="20" state="hidden" r:id="rId20"/>
    <sheet name="59" sheetId="21" state="hidden" r:id="rId21"/>
    <sheet name="58" sheetId="22" state="hidden" r:id="rId22"/>
    <sheet name="Sheet1" sheetId="23" state="hidden" r:id="rId23"/>
  </sheets>
  <definedNames>
    <definedName name="_xlnm.Print_Titles" localSheetId="3">'61-H'!$9:$10</definedName>
    <definedName name="_xlnm.Print_Titles" localSheetId="4">'62-H-N'!$9:$10</definedName>
    <definedName name="_xlnm.Print_Titles" localSheetId="11">'65-N'!$6:$6</definedName>
    <definedName name="_xlnm.Print_Titles" localSheetId="15">'68-H-T-N'!$7:$9</definedName>
    <definedName name="_xlnm.Print_Titles" localSheetId="16">'69-H-TTra'!$6:$7</definedName>
    <definedName name="_xlnm.Print_Titles" localSheetId="9">'bIỂU 63-NĐ 31-T'!$7:$11</definedName>
    <definedName name="_xlnm.Print_Titles" localSheetId="10">'BIỂU 64-NĐ 31-Gd'!$5:$6</definedName>
  </definedNames>
  <calcPr fullCalcOnLoad="1"/>
</workbook>
</file>

<file path=xl/comments13.xml><?xml version="1.0" encoding="utf-8"?>
<comments xmlns="http://schemas.openxmlformats.org/spreadsheetml/2006/main">
  <authors>
    <author>AutoBVT</author>
    <author>Windows User</author>
  </authors>
  <commentList>
    <comment ref="E18" authorId="0">
      <text>
        <r>
          <rPr>
            <b/>
            <sz val="9"/>
            <rFont val="Tahoma"/>
            <family val="2"/>
          </rPr>
          <t>AutoBVT:</t>
        </r>
        <r>
          <rPr>
            <sz val="9"/>
            <rFont val="Tahoma"/>
            <family val="2"/>
          </rPr>
          <t xml:space="preserve">
QĐ 573 và QĐ 600
</t>
        </r>
      </text>
    </comment>
    <comment ref="E25" authorId="1">
      <text>
        <r>
          <rPr>
            <b/>
            <sz val="9"/>
            <rFont val="Tahoma"/>
            <family val="2"/>
          </rPr>
          <t>Windows User:</t>
        </r>
        <r>
          <rPr>
            <sz val="9"/>
            <rFont val="Tahoma"/>
            <family val="2"/>
          </rPr>
          <t xml:space="preserve">
Mua sắm máy VT+ nâng cấp phần mềm mi sa</t>
        </r>
      </text>
    </comment>
  </commentList>
</comments>
</file>

<file path=xl/comments14.xml><?xml version="1.0" encoding="utf-8"?>
<comments xmlns="http://schemas.openxmlformats.org/spreadsheetml/2006/main">
  <authors>
    <author>AutoBVT</author>
  </authors>
  <commentList>
    <comment ref="F11" authorId="0">
      <text>
        <r>
          <rPr>
            <b/>
            <sz val="9"/>
            <rFont val="Tahoma"/>
            <family val="2"/>
          </rPr>
          <t>AutoBVT:</t>
        </r>
        <r>
          <rPr>
            <sz val="9"/>
            <rFont val="Tahoma"/>
            <family val="2"/>
          </rPr>
          <t xml:space="preserve">
KP khôi phục SX sau hạn hán (KP hoàn ứng): 1197,5tr+ KP Khôi phục SX do thiên tai: 224
</t>
        </r>
      </text>
    </comment>
    <comment ref="E12" authorId="0">
      <text>
        <r>
          <rPr>
            <b/>
            <sz val="9"/>
            <rFont val="Tahoma"/>
            <family val="2"/>
          </rPr>
          <t>AutoBVT:</t>
        </r>
        <r>
          <rPr>
            <sz val="9"/>
            <rFont val="Tahoma"/>
            <family val="2"/>
          </rPr>
          <t xml:space="preserve">
KP khắc phục hậu quả thiên tai (vốn ĐT)</t>
        </r>
      </text>
    </comment>
  </commentList>
</comments>
</file>

<file path=xl/comments16.xml><?xml version="1.0" encoding="utf-8"?>
<comments xmlns="http://schemas.openxmlformats.org/spreadsheetml/2006/main">
  <authors>
    <author>AutoBVT</author>
    <author>HANHTC</author>
    <author>Windows User</author>
  </authors>
  <commentList>
    <comment ref="J10" authorId="0">
      <text>
        <r>
          <rPr>
            <b/>
            <sz val="9"/>
            <rFont val="Tahoma"/>
            <family val="2"/>
          </rPr>
          <t>AutoBVT:</t>
        </r>
        <r>
          <rPr>
            <sz val="9"/>
            <rFont val="Tahoma"/>
            <family val="2"/>
          </rPr>
          <t xml:space="preserve">
chuyển năm trước sang </t>
        </r>
      </text>
    </comment>
    <comment ref="P8" authorId="1">
      <text>
        <r>
          <rPr>
            <b/>
            <sz val="9"/>
            <rFont val="Tahoma"/>
            <family val="2"/>
          </rPr>
          <t>HANHTC:</t>
        </r>
        <r>
          <rPr>
            <sz val="9"/>
            <rFont val="Tahoma"/>
            <family val="2"/>
          </rPr>
          <t xml:space="preserve">
hụt thu huyện xã bù trừ bằng số hụt thu STC đã thẩm định. Ko xác định số tăng đơn phương theo từng xã vào biểu này</t>
        </r>
      </text>
    </comment>
    <comment ref="D7" authorId="2">
      <text>
        <r>
          <rPr>
            <b/>
            <sz val="9"/>
            <rFont val="Tahoma"/>
            <family val="2"/>
          </rPr>
          <t>Windows User:</t>
        </r>
        <r>
          <rPr>
            <sz val="9"/>
            <rFont val="Tahoma"/>
            <family val="2"/>
          </rPr>
          <t xml:space="preserve">
tăng thu nếu chưa chi trước tăng thu trong năm chuyển nguồn sang năm sau thì để trống nd chi nguồn ghi đúng số liệu tăng thu STC thông báo</t>
        </r>
      </text>
    </comment>
    <comment ref="B18" authorId="2">
      <text>
        <r>
          <rPr>
            <b/>
            <sz val="9"/>
            <rFont val="Tahoma"/>
            <family val="2"/>
          </rPr>
          <t>Windows User:</t>
        </r>
        <r>
          <rPr>
            <sz val="9"/>
            <rFont val="Tahoma"/>
            <family val="2"/>
          </rPr>
          <t xml:space="preserve">
chi trước tăng thu của năm</t>
        </r>
      </text>
    </comment>
    <comment ref="R15" authorId="2">
      <text>
        <r>
          <rPr>
            <b/>
            <sz val="9"/>
            <rFont val="Tahoma"/>
            <family val="2"/>
          </rPr>
          <t>Windows User:</t>
        </r>
        <r>
          <rPr>
            <sz val="9"/>
            <rFont val="Tahoma"/>
            <family val="2"/>
          </rPr>
          <t xml:space="preserve">
đối chiếu lại số thùy</t>
        </r>
      </text>
    </comment>
    <comment ref="R14" authorId="2">
      <text>
        <r>
          <rPr>
            <b/>
            <sz val="9"/>
            <rFont val="Tahoma"/>
            <family val="2"/>
          </rPr>
          <t>Windows User:</t>
        </r>
        <r>
          <rPr>
            <sz val="9"/>
            <rFont val="Tahoma"/>
            <family val="2"/>
          </rPr>
          <t xml:space="preserve">
năm 2022 xã hụt thu cột này bằng 0</t>
        </r>
      </text>
    </comment>
  </commentList>
</comments>
</file>

<file path=xl/comments18.xml><?xml version="1.0" encoding="utf-8"?>
<comments xmlns="http://schemas.openxmlformats.org/spreadsheetml/2006/main">
  <authors>
    <author>Windows User</author>
  </authors>
  <commentList>
    <comment ref="B10" authorId="0">
      <text>
        <r>
          <rPr>
            <b/>
            <sz val="9"/>
            <rFont val="Tahoma"/>
            <family val="2"/>
          </rPr>
          <t>TM thu 0911; TM chi 0961</t>
        </r>
      </text>
    </comment>
    <comment ref="B11" authorId="0">
      <text>
        <r>
          <rPr>
            <b/>
            <sz val="9"/>
            <rFont val="Tahoma"/>
            <family val="2"/>
          </rPr>
          <t>Windows User:</t>
        </r>
        <r>
          <rPr>
            <sz val="9"/>
            <rFont val="Tahoma"/>
            <family val="2"/>
          </rPr>
          <t xml:space="preserve">
TM thu: 0912; TM chi 0962</t>
        </r>
      </text>
    </comment>
    <comment ref="B12" authorId="0">
      <text>
        <r>
          <rPr>
            <b/>
            <sz val="9"/>
            <rFont val="Tahoma"/>
            <family val="2"/>
          </rPr>
          <t>Windows User:</t>
        </r>
        <r>
          <rPr>
            <sz val="9"/>
            <rFont val="Tahoma"/>
            <family val="2"/>
          </rPr>
          <t xml:space="preserve">
TM thu: 0913; TM chi 0963</t>
        </r>
      </text>
    </comment>
    <comment ref="B13" authorId="0">
      <text>
        <r>
          <rPr>
            <b/>
            <sz val="9"/>
            <rFont val="Tahoma"/>
            <family val="2"/>
          </rPr>
          <t>Windows User:</t>
        </r>
        <r>
          <rPr>
            <sz val="9"/>
            <rFont val="Tahoma"/>
            <family val="2"/>
          </rPr>
          <t xml:space="preserve">
TM thu 0914; TM chi 0964</t>
        </r>
      </text>
    </comment>
    <comment ref="B14" authorId="0">
      <text>
        <r>
          <rPr>
            <b/>
            <sz val="9"/>
            <rFont val="Tahoma"/>
            <family val="2"/>
          </rPr>
          <t>Windows User:</t>
        </r>
        <r>
          <rPr>
            <sz val="9"/>
            <rFont val="Tahoma"/>
            <family val="2"/>
          </rPr>
          <t xml:space="preserve">
TM thu 0915; TM chi 0965</t>
        </r>
      </text>
    </comment>
    <comment ref="B16" authorId="0">
      <text>
        <r>
          <rPr>
            <b/>
            <sz val="9"/>
            <rFont val="Tahoma"/>
            <family val="2"/>
          </rPr>
          <t>Windows User:</t>
        </r>
        <r>
          <rPr>
            <sz val="9"/>
            <rFont val="Tahoma"/>
            <family val="2"/>
          </rPr>
          <t xml:space="preserve">
TM thu 0917; TM chi 0967</t>
        </r>
      </text>
    </comment>
    <comment ref="B17" authorId="0">
      <text>
        <r>
          <rPr>
            <b/>
            <sz val="9"/>
            <rFont val="Tahoma"/>
            <family val="2"/>
          </rPr>
          <t>Windows User:</t>
        </r>
        <r>
          <rPr>
            <sz val="9"/>
            <rFont val="Tahoma"/>
            <family val="2"/>
          </rPr>
          <t xml:space="preserve">
TM thu 0918; Tm chi 0968</t>
        </r>
      </text>
    </comment>
  </commentList>
</comments>
</file>

<file path=xl/comments4.xml><?xml version="1.0" encoding="utf-8"?>
<comments xmlns="http://schemas.openxmlformats.org/spreadsheetml/2006/main">
  <authors>
    <author>AutoBVT</author>
    <author>Windows User</author>
  </authors>
  <commentList>
    <comment ref="B79" authorId="0">
      <text>
        <r>
          <rPr>
            <b/>
            <sz val="9"/>
            <rFont val="Tahoma"/>
            <family val="2"/>
          </rPr>
          <t>AutoBVT:</t>
        </r>
        <r>
          <rPr>
            <sz val="9"/>
            <rFont val="Tahoma"/>
            <family val="2"/>
          </rPr>
          <t xml:space="preserve">
thu phạt ATGT</t>
        </r>
      </text>
    </comment>
    <comment ref="H61" authorId="0">
      <text>
        <r>
          <rPr>
            <b/>
            <sz val="9"/>
            <rFont val="Tahoma"/>
            <family val="2"/>
          </rPr>
          <t>AutoBVT:</t>
        </r>
        <r>
          <rPr>
            <sz val="9"/>
            <rFont val="Tahoma"/>
            <family val="2"/>
          </rPr>
          <t xml:space="preserve">
địa phương hưởng 100%</t>
        </r>
      </text>
    </comment>
    <comment ref="H80" authorId="0">
      <text>
        <r>
          <rPr>
            <b/>
            <sz val="9"/>
            <rFont val="Tahoma"/>
            <family val="2"/>
          </rPr>
          <t>AutoBVT:</t>
        </r>
        <r>
          <rPr>
            <sz val="9"/>
            <rFont val="Tahoma"/>
            <family val="2"/>
          </rPr>
          <t xml:space="preserve">
địa phương hưởng 100%</t>
        </r>
      </text>
    </comment>
    <comment ref="H83" authorId="0">
      <text>
        <r>
          <rPr>
            <b/>
            <sz val="9"/>
            <rFont val="Tahoma"/>
            <family val="2"/>
          </rPr>
          <t>AutoBVT:</t>
        </r>
        <r>
          <rPr>
            <sz val="9"/>
            <rFont val="Tahoma"/>
            <family val="2"/>
          </rPr>
          <t xml:space="preserve">
địa phương hưởng 100</t>
        </r>
      </text>
    </comment>
    <comment ref="I108" authorId="1">
      <text>
        <r>
          <rPr>
            <b/>
            <sz val="9"/>
            <rFont val="Tahoma"/>
            <family val="2"/>
          </rPr>
          <t>Windows User:</t>
        </r>
        <r>
          <rPr>
            <sz val="9"/>
            <rFont val="Tahoma"/>
            <family val="2"/>
          </rPr>
          <t xml:space="preserve">
thu nộp quỹ anh ninh quốc phòng còn tồn các năm trước vào NS</t>
        </r>
      </text>
    </comment>
  </commentList>
</comments>
</file>

<file path=xl/comments5.xml><?xml version="1.0" encoding="utf-8"?>
<comments xmlns="http://schemas.openxmlformats.org/spreadsheetml/2006/main">
  <authors>
    <author>AutoBVT</author>
    <author>Windows User</author>
  </authors>
  <commentList>
    <comment ref="C33" authorId="0">
      <text>
        <r>
          <rPr>
            <b/>
            <sz val="9"/>
            <rFont val="Tahoma"/>
            <family val="2"/>
          </rPr>
          <t>AutoBVT:</t>
        </r>
        <r>
          <rPr>
            <sz val="9"/>
            <rFont val="Tahoma"/>
            <family val="2"/>
          </rPr>
          <t xml:space="preserve">
lệch so với quyển dự toán do bao gồm dự phòng</t>
        </r>
      </text>
    </comment>
    <comment ref="C13" authorId="0">
      <text>
        <r>
          <rPr>
            <b/>
            <sz val="9"/>
            <rFont val="Tahoma"/>
            <family val="2"/>
          </rPr>
          <t>Cột này bằng cộng tổng các cột giấu bên trong</t>
        </r>
      </text>
    </comment>
    <comment ref="H13" authorId="0">
      <text>
        <r>
          <rPr>
            <b/>
            <sz val="9"/>
            <rFont val="Tahoma"/>
            <family val="2"/>
          </rPr>
          <t>AutoBVT:</t>
        </r>
        <r>
          <rPr>
            <sz val="9"/>
            <rFont val="Tahoma"/>
            <family val="2"/>
          </rPr>
          <t xml:space="preserve">
Cột này bằng cộng tổng các cột giấu bên trong</t>
        </r>
      </text>
    </comment>
    <comment ref="H33" authorId="1">
      <text>
        <r>
          <rPr>
            <b/>
            <sz val="9"/>
            <rFont val="Tahoma"/>
            <family val="2"/>
          </rPr>
          <t>Windows User:</t>
        </r>
        <r>
          <rPr>
            <sz val="9"/>
            <rFont val="Tahoma"/>
            <family val="2"/>
          </rPr>
          <t xml:space="preserve">
lệch so với quyển dự toán do cộng cả số dự phòng</t>
        </r>
      </text>
    </comment>
    <comment ref="E33" authorId="1">
      <text>
        <r>
          <rPr>
            <b/>
            <sz val="9"/>
            <rFont val="Tahoma"/>
            <family val="2"/>
          </rPr>
          <t>Windows User:</t>
        </r>
        <r>
          <rPr>
            <sz val="9"/>
            <rFont val="Tahoma"/>
            <family val="2"/>
          </rPr>
          <t xml:space="preserve">
bao gồm 10% trích tiền đất nguồn đầu tư QT vốn SN </t>
        </r>
      </text>
    </comment>
    <comment ref="F33" authorId="1">
      <text>
        <r>
          <rPr>
            <b/>
            <sz val="9"/>
            <rFont val="Tahoma"/>
            <family val="2"/>
          </rPr>
          <t>Windows User:</t>
        </r>
        <r>
          <rPr>
            <sz val="9"/>
            <rFont val="Tahoma"/>
            <family val="2"/>
          </rPr>
          <t xml:space="preserve">
Bao gồm KP hỗ trợ nhà ở người có công nguồn đầu tư quyết toán vốn sự nghiệp</t>
        </r>
      </text>
    </comment>
    <comment ref="Q61" authorId="1">
      <text>
        <r>
          <rPr>
            <b/>
            <sz val="9"/>
            <rFont val="Tahoma"/>
            <family val="2"/>
          </rPr>
          <t>Windows User:</t>
        </r>
        <r>
          <rPr>
            <sz val="9"/>
            <rFont val="Tahoma"/>
            <family val="2"/>
          </rPr>
          <t xml:space="preserve">
chưa chuyển nguồn KP tạm ứng BQL</t>
        </r>
      </text>
    </comment>
    <comment ref="J33" authorId="1">
      <text>
        <r>
          <rPr>
            <b/>
            <sz val="9"/>
            <rFont val="Tahoma"/>
            <family val="2"/>
          </rPr>
          <t>Windows User:</t>
        </r>
        <r>
          <rPr>
            <sz val="9"/>
            <rFont val="Tahoma"/>
            <family val="2"/>
          </rPr>
          <t xml:space="preserve">
bao gồm 10% trích tiền đất nguồn đầu tư QT vốn SN </t>
        </r>
      </text>
    </comment>
    <comment ref="K33" authorId="1">
      <text>
        <r>
          <rPr>
            <b/>
            <sz val="9"/>
            <rFont val="Tahoma"/>
            <family val="2"/>
          </rPr>
          <t>Windows User:</t>
        </r>
        <r>
          <rPr>
            <sz val="9"/>
            <rFont val="Tahoma"/>
            <family val="2"/>
          </rPr>
          <t xml:space="preserve">
Bao gồm KP hỗ trợ nhà ở người có công nguồn đầu tư quyết toán vốn sự nghiệp</t>
        </r>
      </text>
    </comment>
    <comment ref="D43" authorId="1">
      <text>
        <r>
          <rPr>
            <b/>
            <sz val="9"/>
            <rFont val="Tahoma"/>
            <family val="2"/>
          </rPr>
          <t>Windows User:</t>
        </r>
        <r>
          <rPr>
            <sz val="9"/>
            <rFont val="Tahoma"/>
            <family val="2"/>
          </rPr>
          <t xml:space="preserve">
SNKT + 10% tiền SD đất giao đầu tư QT chi TX</t>
        </r>
      </text>
    </comment>
    <comment ref="I43" authorId="1">
      <text>
        <r>
          <rPr>
            <b/>
            <sz val="9"/>
            <rFont val="Tahoma"/>
            <family val="2"/>
          </rPr>
          <t>Windows User:</t>
        </r>
        <r>
          <rPr>
            <sz val="9"/>
            <rFont val="Tahoma"/>
            <family val="2"/>
          </rPr>
          <t xml:space="preserve">
SNKT + 10% tiền SD đất giao đầu tư QT chi TX</t>
        </r>
      </text>
    </comment>
    <comment ref="J43" authorId="1">
      <text>
        <r>
          <rPr>
            <b/>
            <sz val="9"/>
            <rFont val="Tahoma"/>
            <family val="2"/>
          </rPr>
          <t>Windows User:</t>
        </r>
        <r>
          <rPr>
            <sz val="9"/>
            <rFont val="Tahoma"/>
            <family val="2"/>
          </rPr>
          <t xml:space="preserve">
SNKT + 10% tiền SD đất giao đầu tư QT chi TX</t>
        </r>
      </text>
    </comment>
    <comment ref="E43" authorId="1">
      <text>
        <r>
          <rPr>
            <b/>
            <sz val="9"/>
            <rFont val="Tahoma"/>
            <family val="2"/>
          </rPr>
          <t>Windows User:</t>
        </r>
        <r>
          <rPr>
            <sz val="9"/>
            <rFont val="Tahoma"/>
            <family val="2"/>
          </rPr>
          <t xml:space="preserve">
SNKT + 10% tiền SD đất giao đầu tư QT chi TX</t>
        </r>
      </text>
    </comment>
  </commentList>
</comments>
</file>

<file path=xl/sharedStrings.xml><?xml version="1.0" encoding="utf-8"?>
<sst xmlns="http://schemas.openxmlformats.org/spreadsheetml/2006/main" count="2980" uniqueCount="1488">
  <si>
    <t>PHỤ LỤC 1</t>
  </si>
  <si>
    <t xml:space="preserve">DANH MỤC MẪU BIỂU LẬP DỰ TOÁN, CHẤP HÀNH, QUYẾT TOÁN NSNN </t>
  </si>
  <si>
    <t>(Ban hành kèm theo Thông tư số 342/2016/TT-BTC ngày 30 tháng 12 năm 2016 của Bộ Tài chính)</t>
  </si>
  <si>
    <t>STT</t>
  </si>
  <si>
    <t xml:space="preserve"> MẪU BIỂU</t>
  </si>
  <si>
    <t>NỘI DUNG MẪU BIỂU</t>
  </si>
  <si>
    <t>CƠ QUAN BÁO CÁO VÀ CƠ QUAN NHẬN BÁO CÁO</t>
  </si>
  <si>
    <t>Phần thứ nhất</t>
  </si>
  <si>
    <t>Mẫu biểu lập dự toán thu ngân sách nhà nước (Thuế)</t>
  </si>
  <si>
    <t>Mẫu biểu số 01:</t>
  </si>
  <si>
    <t>Tổng hợp dự toán thu ngân sách nhà nước năm....</t>
  </si>
  <si>
    <t>Dùng cho cơ quan thuế các cấp báo cáo: Cơ quan thuế cấp trên, UBND, cơ quan tài chính, cơ quan kế hoạch và đầu tư cùng cấp</t>
  </si>
  <si>
    <t>Mẫu biểu số 02:</t>
  </si>
  <si>
    <t>Tổng hợp dự toán thu ngân sách nhà nước theo sắc thuế năm...</t>
  </si>
  <si>
    <t>Mẫu biểu số 03:</t>
  </si>
  <si>
    <t>Dự kiến số thuế giá trị gia tăng phải hoàn năm....</t>
  </si>
  <si>
    <t>Mẫu biểu số 04:</t>
  </si>
  <si>
    <t>Tổng hợp dự toán thu từ hoạt động xuất nhập khẩu năm...</t>
  </si>
  <si>
    <t>Dùng cho cơ quan hải quan các cấp báo cáo: Cơ quan hải quan cấp trên, UBND, cơ quan tài chính, cơ quan kế hoạch và đầu tư cùng cấp</t>
  </si>
  <si>
    <t>Phần thứ hai</t>
  </si>
  <si>
    <t>Mẫu biểu lập dự toán thu, chi ngân sách nhà nước (HCSN)</t>
  </si>
  <si>
    <t>Từ Mẫu biểu số 05 đến 35 và 48 - 49</t>
  </si>
  <si>
    <t>Mẫu biểu số 05:</t>
  </si>
  <si>
    <t>Dự toán thu, chi ngân sách nhà nước năm...</t>
  </si>
  <si>
    <t>Dùng cho:tất cả đơn vị dự toán</t>
  </si>
  <si>
    <t>- Đơn vị dự toán cấp trên tổng hợp dự toán của các đơn vị sử dụng ngân sách</t>
  </si>
  <si>
    <t>Mẫu biểu số 06:</t>
  </si>
  <si>
    <t>Dự toán thu, chi ngân sách nhà nước năm... chi tiết theo đơn vị trực thuộc</t>
  </si>
  <si>
    <t>- Đơn vị dự toán cấp I báo cáo cơ quan tài chính, cơ quan kế hoạch và đầu tư cùng cấp</t>
  </si>
  <si>
    <t>Mẫu biểu số 07:</t>
  </si>
  <si>
    <t>Dự toán thu, chi, nộp ngân sách nhà nước từ các khoản phí và lệ phí năm...</t>
  </si>
  <si>
    <t>Dùng cho: đơn vị thu phí, lệ phí</t>
  </si>
  <si>
    <t>- Đơn vị sử dụng ngân sách báo cáo đơn vị dự toán cấp trên</t>
  </si>
  <si>
    <t>- Đơn vị dự toán cấp I báo cáo cơ quan tài chính cùng cấp</t>
  </si>
  <si>
    <t>Mẫu biểu số 08:</t>
  </si>
  <si>
    <t>Tổng hợp dự toán thu, chi từ nguồn vay nợ nước ngoài và vốn đối ứng năm...</t>
  </si>
  <si>
    <t>Dùng cho: có sử dụng vốn vay ODA, vay ưu đãi</t>
  </si>
  <si>
    <t>- UBND cấp tỉnh báo cáo Bộ Tài chính, Bộ Kế hoạch và Đầu tư</t>
  </si>
  <si>
    <t>Mẫu biểu số 09:</t>
  </si>
  <si>
    <t>Tổng hợp dự toán thu, chi từ nguồn viện trợ và vốn đối ứng năm...</t>
  </si>
  <si>
    <t>Dùng cho: đơn vị sử dụng vốn viện trợ không hoàn lại</t>
  </si>
  <si>
    <t>Mẫu biểu số 10:</t>
  </si>
  <si>
    <t>Dự toán chi bằng ngoại tệ năm...</t>
  </si>
  <si>
    <t>Dùng cho:</t>
  </si>
  <si>
    <t>- Đơn vị sử dụng ngân sách trung ương báo cáo đơn vị dự toán cấp trên</t>
  </si>
  <si>
    <t>- Đơn vị dự toán cấp I thuộc ngân sách trung ương báo cáo Bộ Tài chính</t>
  </si>
  <si>
    <t>Mẫu biểu số 11.1:</t>
  </si>
  <si>
    <t>Dự toán chi các chương trình mục tiêu quốc gia, chương trình mục tiêu năm...</t>
  </si>
  <si>
    <t>Dùng cho: đơn vị sử dụng vốn CT MTQG</t>
  </si>
  <si>
    <t>- Đơn vị dự toán cấp I ở địa phương báo cáo cơ quan tài chính, cơ quan kế hoạch và đầu tư cùng cấp</t>
  </si>
  <si>
    <t>Mẫu biểu số 11.2:</t>
  </si>
  <si>
    <t>- Các bộ, cơ quan trung ương và UBND các địa phương báo cáo cơ quan quản lý chương trình mục tiêu quốc gia, chương trình mục tiêu</t>
  </si>
  <si>
    <t>- Cơ quan quản lý chương trình mục tiêu quốc gia, chương trình mục tiêu báo cáo Bộ Tài chính, Bộ Kế hoạch và Đầu tư</t>
  </si>
  <si>
    <t>Mẫu biểu số 12.1:</t>
  </si>
  <si>
    <t>Dự toán thu, chi theo lĩnh vực sự nghiệp năm...</t>
  </si>
  <si>
    <t>Dùng cho: đơn vị sự nghiệp công lập</t>
  </si>
  <si>
    <t>- Đơn vị sử dụng ngân sách báo cáo cơ quan quản lý cấp trên</t>
  </si>
  <si>
    <t>Mẫu biểu số 12.2</t>
  </si>
  <si>
    <t>Dự toán thu, chi đơn vị sự nghiệp lĩnh vực năm...</t>
  </si>
  <si>
    <t>- Đơn vị sự nghiệp công tự bảo đảm chi thường xuyên và chi đầu tư báo cáo cơ quan quản lý cấp trên</t>
  </si>
  <si>
    <t>Mẫu biểu số 12.3:</t>
  </si>
  <si>
    <t>- Đơn vị sự nghiệp công tự bảo đảm chi thường xuyên báo cáo cơ quan quản lý cấp trên</t>
  </si>
  <si>
    <t>Mẫu biểu số 12.4:</t>
  </si>
  <si>
    <t>- Đơn vị sự nghiệp công tự bảo đảm một phần chi thường xuyên báo cáo cơ quan quản lý cấp trên</t>
  </si>
  <si>
    <t>Mẫu biểu số 12.5:</t>
  </si>
  <si>
    <t>- Đơn vị sự nghiệp công do Nhà nước bảo đảm chi thường xuyên báo cáo cơ quan quản lý cấp trên</t>
  </si>
  <si>
    <t>Mẫu biểu số 13.1:</t>
  </si>
  <si>
    <t>Cơ sở tính chi sự nghiệp giáo dục - đào tạo và dạy nghề năm...</t>
  </si>
  <si>
    <t>Mẫu biểu số 13.2:</t>
  </si>
  <si>
    <t>Cơ sở tính chi sự nghiệp y tế, dân số và gia đình năm...</t>
  </si>
  <si>
    <t>Mẫu biểu số 13.3:</t>
  </si>
  <si>
    <t>Cơ sở tính chi sự nghiệp khoa học và công nghệ năm...</t>
  </si>
  <si>
    <t>Mẫu biểu số 13.4:</t>
  </si>
  <si>
    <t>Cơ sở tính chi sự nghiệp văn hóa thông tin năm...</t>
  </si>
  <si>
    <t>Mẫu biểu số 13.5:</t>
  </si>
  <si>
    <t>Cơ sở tính chi sự nghiệp phát thanh, truyền hình, thông tấn năm...</t>
  </si>
  <si>
    <t>Mẫu biểu số 13.6:</t>
  </si>
  <si>
    <t>Cơ sở tính chi sự nghiệp thể dục thể thao năm...</t>
  </si>
  <si>
    <t>Mẫu biểu số 13.7:</t>
  </si>
  <si>
    <t>Cơ sở tính chi sự nghiệp bảo vệ môi trường năm...</t>
  </si>
  <si>
    <t>Mẫu biểu số 13.8:</t>
  </si>
  <si>
    <t>Cơ sở tính chi các hoạt động kinh tế năm...</t>
  </si>
  <si>
    <t>Mẫu biểu số 13.9:</t>
  </si>
  <si>
    <t>Chi tiết chi các hoạt động kinh tế theo chương trình/dự án năm...</t>
  </si>
  <si>
    <t>Mẫu biểu số 13.10:</t>
  </si>
  <si>
    <t>Cơ sở tính chi thực hiện chính sách đối với các đối tượng thuộc lĩnh vực bảo đảm xã hội năm...</t>
  </si>
  <si>
    <t>đơn vị thực hiện chính sách (Ban Dân tộc, lao động TBXH,……….)</t>
  </si>
  <si>
    <t>Mẫu biểu số 13.11:</t>
  </si>
  <si>
    <t>Cơ sở tính chi thực hiện chính sách ưu đãi người có công với cách mạng năm...</t>
  </si>
  <si>
    <t>- Cơ quan lao động - thương binh và xã hội các cấp để báo cáo cơ quan lao động- thương binh và xã hội cấp trên</t>
  </si>
  <si>
    <t>- Bộ Lao động-Thương binh và Xã hội báo cáo Bộ Tài chính</t>
  </si>
  <si>
    <t>Mẫu biểu số 13.12:</t>
  </si>
  <si>
    <t>Cơ sở tính chi thực hiện chính sách trợ giúp xã hội năm...</t>
  </si>
  <si>
    <t>Dùng cho cơ quan lao động - thương binh và xã hội báo cáo cơ quan tài chính cùng cấp</t>
  </si>
  <si>
    <t>Mẫu biểu số 14:</t>
  </si>
  <si>
    <t>Cơ sở tính chi hoạt động của các cơ quan quản lý nhà nước, đảng, đoàn thể năm...</t>
  </si>
  <si>
    <t>Mẫu biểu số 15.1:</t>
  </si>
  <si>
    <t>Báo cáo biên chế - tiền lương của các cơ quan quản lý nhà nước, đảng, đoàn thể năm...</t>
  </si>
  <si>
    <t>Mẫu biểu số 15.2:</t>
  </si>
  <si>
    <t>Báo cáo lao động - tiền lương - nguồn kinh phí đảm bảo của các đơn vị sự nghiệp năm...</t>
  </si>
  <si>
    <t>Mẫu biểu số 16:</t>
  </si>
  <si>
    <t>Cơ sở tính chi mua bổ sung hàng dự trữ quốc gia năm...</t>
  </si>
  <si>
    <t>- Đơn vị sử dụng ngân sách ở trung ương báo cáo đơn vị dự toán cấp trên</t>
  </si>
  <si>
    <t>- Đơn vị dự toán cấp I thuộc ngân sách trung ương báo cáo Bộ Tài chính, Bộ Kế hoạch và Đầu tư</t>
  </si>
  <si>
    <t>Mẫu biểu số 17:</t>
  </si>
  <si>
    <t>Dự toán chi cấp bù chênh lệch lãi suất và phí quản lý năm...</t>
  </si>
  <si>
    <t>Dùng cho đơn vị được giao nhiệm vụ huy động vốn để cho vay ưu đãi theo quy định của Chính phủ, quyết định của Thủ tướng Chính phủ để báo cáo Bộ Tài chính, Bộ Kế hoạch và Đầu tư</t>
  </si>
  <si>
    <t>Mẫu biểu số 18:</t>
  </si>
  <si>
    <t>Kế hoạch tài chính của các quỹ tài chính nhà nước ngoài ngân sách năm...</t>
  </si>
  <si>
    <t>Dùng cho các bộ, cơ quan trung ương và các cơ quan, đơn vị ở địa phương báo cáo cơ quan tài chính cùng cấp</t>
  </si>
  <si>
    <t>Phần thứ ba</t>
  </si>
  <si>
    <t>Mẫu biểu lập dự toán thu, chi của hệ thống bảo hiểm xã hội Việt Nam (BHXH)</t>
  </si>
  <si>
    <t>Mẫu biểu số 19:</t>
  </si>
  <si>
    <t>Tổng hợp dự toán thu, chi các quỹ bảo hiểm năm...</t>
  </si>
  <si>
    <t>Mẫu biểu số 20:</t>
  </si>
  <si>
    <t>Dự toán chi tiết thu, chi Quỹ bảo hiểm xã hội năm...</t>
  </si>
  <si>
    <t>- Cơ quan bảo hiểm xã hội các cấp báo cáo cơ quan bảo hiểm xã hội cấp trên</t>
  </si>
  <si>
    <t>Mẫu biểu số 21:</t>
  </si>
  <si>
    <t>Dự toán chi tiết thu, chi Quỹ bảo hiểm y tế năm...</t>
  </si>
  <si>
    <t>- Bảo hiểm xã hội Việt Nam báo cáo Bộ Tài chính</t>
  </si>
  <si>
    <t>Mẫu biểu số 22:</t>
  </si>
  <si>
    <t>Dự toán chi tiết thu, chi Quỹ bảo hiểm thất nghiệp năm...</t>
  </si>
  <si>
    <t>Phần thứ tư</t>
  </si>
  <si>
    <t>Mẫu biểu lập dự toán chi đầu tư phát triển (Đầu tư)</t>
  </si>
  <si>
    <t>Mẫu biểu số 23:</t>
  </si>
  <si>
    <t>Dự toán chi đầu tư nguồn NSNN (vốn trong nước) năm...</t>
  </si>
  <si>
    <t>Mẫu biểu số 24:</t>
  </si>
  <si>
    <t>Dự toán chi đầu tư từ nguồn vốn ODA và vốn vay ưu đãi theo phương thức cấp phát từ NSTW (không bao gồm vốn nước ngoài giải ngân theo cơ chế tài chính trong nước) năm...</t>
  </si>
  <si>
    <t>- Đơn vị dự toán cấp I báo cáo cơ quan tài chính và cơ quan kế hoạch và đầu tư cùng cấp</t>
  </si>
  <si>
    <t>Mẫu biểu số 25:</t>
  </si>
  <si>
    <t>Dự toán chi đầu tư từ nguồn vốn ODA và vốn vay ưu đãi theo phương thức cấp phát (giải ngân theo cơ chế tài chính trong nước) năm....</t>
  </si>
  <si>
    <t>Mẫu biểu số 26:</t>
  </si>
  <si>
    <t>Dự toán chi đầu tư từ nguồn vốn NSTW bổ sung có mục tiêu cho NSĐP (vốn trong nước) năm....</t>
  </si>
  <si>
    <t>Mẫu biểu số 27:</t>
  </si>
  <si>
    <t>Tổng hợp dự toán chi đầu tư phát triển năm ...</t>
  </si>
  <si>
    <t>Dùng cho đơn vị dự toán cấp I báo cáo cơ quan tài chính và cơ quan kế hoạch và đầu tư cùng cấp</t>
  </si>
  <si>
    <t>Phần thứ năm</t>
  </si>
  <si>
    <t>Mẫu biểu lập dự toán ngân sách địa phương (Ngân sách)</t>
  </si>
  <si>
    <t>Mẫu biểu số 28:</t>
  </si>
  <si>
    <t>Một số chỉ tiêu kinh tế - xã hội cơ bản năm...</t>
  </si>
  <si>
    <t>Dùng cho Ủy ban nhân dân tỉnh, thành phố trực thuộc Trung ương báo cáo Bộ Tài chính</t>
  </si>
  <si>
    <t>Mẫu biểu số 29.1:</t>
  </si>
  <si>
    <t>Cân đối NSĐP năm... (dùng cho năm đầu thời kỳ ổn định ngân sách)</t>
  </si>
  <si>
    <t>Mẫu biểu số 29.2:</t>
  </si>
  <si>
    <t>Cân đối NSĐP năm... (dùng cho các năm trong thời kỳ ổn định ngân sách)</t>
  </si>
  <si>
    <t>Mẫu biểu số 30:</t>
  </si>
  <si>
    <t>Kế hoạch vay và trả nợ ngân sách tỉnh, thành phố trực thuộc trung ương năm...</t>
  </si>
  <si>
    <t>Mẫu biểu số 31:</t>
  </si>
  <si>
    <t>Biểu tổng hợp dự toán thu NSNN năm...</t>
  </si>
  <si>
    <t>Mẫu biểu số 32:</t>
  </si>
  <si>
    <t>Biểu tổng hợp dự toán chi NSĐP năm....</t>
  </si>
  <si>
    <t>Mẫu biểu số 33:</t>
  </si>
  <si>
    <t>Tình hình thực hiện các dự án đầu tư sử dụng vốn NSTW bổ sung có mục tiêu cho NSĐP (vốn trong nước) năm... và dự kiến kế hoạch năm...</t>
  </si>
  <si>
    <t>Mẫu biểu số 34:</t>
  </si>
  <si>
    <t>Tình hình thực hiện các dự án đầu tư từ vốn ODA và vốn vay ưu đãi kế hoạch năm... và dự kiến kế hoạch năm....</t>
  </si>
  <si>
    <t>Mẫu biểu số 35:</t>
  </si>
  <si>
    <t>Dự toán thu từ hoạt động cung cấp dịch vụ của đơn vị sự nghiệp công lập năm...</t>
  </si>
  <si>
    <t>Phần thứ sáu</t>
  </si>
  <si>
    <t>Mẫu biểu phân bổ, thuyết minh phân bổ và chấp hành ngân sách nhà nước</t>
  </si>
  <si>
    <t>Mẫu biểu phân bổ, thuyết minh phân bổ Trung ưởng</t>
  </si>
  <si>
    <t>Mẫu biểu số 36:</t>
  </si>
  <si>
    <t>Dùng cho các bộ, cơ quan trung ương báo cáo Bộ Tài chính (kèm theo mẫu A phụ lục 2)</t>
  </si>
  <si>
    <t>Mẫu biểu số 37:</t>
  </si>
  <si>
    <t>Phân bổ dự toán thu, chi ngân sách nhà nước năm...</t>
  </si>
  <si>
    <t>Mẫu biểu số 38:</t>
  </si>
  <si>
    <t>Thuyết minh phân bổ chi sự nghiệp giáo dục - đào tạo và dạy nghề</t>
  </si>
  <si>
    <r>
      <t xml:space="preserve">Mẫu biểu số 39 </t>
    </r>
    <r>
      <rPr>
        <i/>
        <sz val="9"/>
        <color indexed="8"/>
        <rFont val="Times New Roman"/>
        <family val="1"/>
      </rPr>
      <t>(gồm mẫu biểu số 39.1 và 39.2):</t>
    </r>
  </si>
  <si>
    <t>Thuyết minh phân bổ chi sự nghiệp khoa học và công nghệ</t>
  </si>
  <si>
    <r>
      <t xml:space="preserve">Mẫu biểu số 40 </t>
    </r>
    <r>
      <rPr>
        <i/>
        <sz val="9"/>
        <color indexed="8"/>
        <rFont val="Times New Roman"/>
        <family val="1"/>
      </rPr>
      <t>(gồm mẫu biểu số 40.1 và 40.2):</t>
    </r>
  </si>
  <si>
    <t>Thuyết minh phân bổ chi sự nghiệp y tế</t>
  </si>
  <si>
    <t>Mẫu biểu số 41:</t>
  </si>
  <si>
    <t>Thuyết minh phân bổ chi sự nghiệp văn hóa thông tin</t>
  </si>
  <si>
    <t>Mẫu biểu số 42:</t>
  </si>
  <si>
    <t>Thuyết minh phân bổ chi sự nghiệp phát thanh, truyền hình, thông tấn</t>
  </si>
  <si>
    <t>Mẫu biểu số 43:</t>
  </si>
  <si>
    <t>Thuyết minh phân bổ chi sự nghiệp thể dục thể thao</t>
  </si>
  <si>
    <r>
      <t xml:space="preserve">Mẫu biểu số 44 </t>
    </r>
    <r>
      <rPr>
        <i/>
        <sz val="9"/>
        <color indexed="8"/>
        <rFont val="Times New Roman"/>
        <family val="1"/>
      </rPr>
      <t>(gồm mẫu biểu số 44.1 và 44.2):</t>
    </r>
  </si>
  <si>
    <t>Thuyết minh phân bổ chi sự nghiệp bảo vệ môi trường</t>
  </si>
  <si>
    <r>
      <t xml:space="preserve">Mẫu biểu số 45 </t>
    </r>
    <r>
      <rPr>
        <i/>
        <sz val="9"/>
        <color indexed="8"/>
        <rFont val="Times New Roman"/>
        <family val="1"/>
      </rPr>
      <t>(gồm mẫu biểu số 45.1; 45.2 và 45.3):</t>
    </r>
  </si>
  <si>
    <t>Thuyết minh phân bổ chi hoạt động kinh tế</t>
  </si>
  <si>
    <r>
      <t xml:space="preserve">Mẫu biểu số 46 </t>
    </r>
    <r>
      <rPr>
        <i/>
        <sz val="9"/>
        <color indexed="8"/>
        <rFont val="Times New Roman"/>
        <family val="1"/>
      </rPr>
      <t>(gồm mẫu biểu số 46.1; 46.2 và 46.3):</t>
    </r>
  </si>
  <si>
    <t>Thuyết minh phân bổ chi quản lý hành chính</t>
  </si>
  <si>
    <r>
      <t xml:space="preserve">Mẫu biểu số 47 </t>
    </r>
    <r>
      <rPr>
        <i/>
        <sz val="9"/>
        <color indexed="8"/>
        <rFont val="Times New Roman"/>
        <family val="1"/>
      </rPr>
      <t>(gồm mẫu biểu số 47.1; 47.2 và 47.3)</t>
    </r>
  </si>
  <si>
    <t>Thuyết minh phân bổ chi đảm bảo xã hội</t>
  </si>
  <si>
    <t>Mẫu dự toán, phân bổ dự toán dành cho đơn vị dự toán cấp tỉnh, cấp huyện</t>
  </si>
  <si>
    <t>Mẫu biểu số 48:</t>
  </si>
  <si>
    <t>Dùng cho các Sở và cơ quan cấp tỉnh; Phòng và các cơ quan cấp huyện, báo cáo cơ quan tài chính cùng cấp, kho bạc nhà nước (kèm theo mẫu B, C phụ lục 2)</t>
  </si>
  <si>
    <t>Mẫu biểu số 49:</t>
  </si>
  <si>
    <t>Mẫu biểu cáo cáo chấp hành ngân sách nhà nước</t>
  </si>
  <si>
    <t>Mẫu biểu số 50:</t>
  </si>
  <si>
    <t>Tình hình cân đối NSNN tháng... năm....</t>
  </si>
  <si>
    <t>Dùng cho Bộ Tài chính báo cáo Chính phủ, các cơ quan liên quan</t>
  </si>
  <si>
    <t>Mẫu biểu số 51:</t>
  </si>
  <si>
    <t>Ước thực hiện thu NSNN tháng... năm....</t>
  </si>
  <si>
    <t>Mẫu biểu số 52:</t>
  </si>
  <si>
    <t>Ước thực hiện chi NSNN tháng... năm....</t>
  </si>
  <si>
    <t>Mẫu biểu số 53:</t>
  </si>
  <si>
    <t>Dùng cho cơ quan thuế, hải quan báo cáo cơ quan tài chính cùng cấp và cơ quan liên quan</t>
  </si>
  <si>
    <t>Mẫu biểu số 54:</t>
  </si>
  <si>
    <t>Thực hiện dự toán thu, chi NSNN quý... năm....</t>
  </si>
  <si>
    <t>Dùng cho đơn vị dự toán cấp I thuộc ngân sách trung ương báo cáo Bộ Tài chính</t>
  </si>
  <si>
    <t>Mẫu biểu số 55:</t>
  </si>
  <si>
    <t>Tình hình cân đối NSĐP tháng... năm....</t>
  </si>
  <si>
    <t>Dùng cho Ủy ban nhân dân tỉnh, thành phố trực thuộc trung ương báo cáo Bộ Tài chính</t>
  </si>
  <si>
    <t>Mẫu biểu số 56:</t>
  </si>
  <si>
    <t>Mẫu biểu số 57:</t>
  </si>
  <si>
    <t>Ước thực hiện chi NSĐP tháng... năm....</t>
  </si>
  <si>
    <t>Phần thứ bảy</t>
  </si>
  <si>
    <t>Mẫu biểu báo cáo quyết toán ngân sách nhà nước</t>
  </si>
  <si>
    <t>Mẫu biểu số 58:</t>
  </si>
  <si>
    <t>Số dư tài khoản tiền gửi kinh phí ngân sách cấp của đơn vị dự toán được chuyển nguồn sang năm sau của các đơn vị thuộc ngân sách các cấp năm...chuyển sang năm....</t>
  </si>
  <si>
    <t>Dùng cho các đơn vị dự toán ngân sách thuộc ngân sách các cấp báo cáo cơ quan kho bạc nhà nước</t>
  </si>
  <si>
    <t>Mẫu biểu số 59:</t>
  </si>
  <si>
    <t>Tình hình thực hiện dự toán của các nhiệm vụ được chuyển nguồn sang năm sau của các đơn vị thuộc ngân sách các cấp năm... chuyển sang năm...</t>
  </si>
  <si>
    <t>Mẫu biểu số 60:</t>
  </si>
  <si>
    <t>Cân đối quyết toán ngân sách địa phương năm....</t>
  </si>
  <si>
    <t>Dùng cho Ủy ban nhân dân cấp dưới báo cáo cơ quan tài chính cấp trên trực tiếp</t>
  </si>
  <si>
    <t>Mẫu biểu số 61:</t>
  </si>
  <si>
    <t>Quyết toán thu NSNN, vay NSĐP năm...</t>
  </si>
  <si>
    <t>Mẫu biểu số 62:</t>
  </si>
  <si>
    <t>Quyết toán chi ngân sách địa phương năm....</t>
  </si>
  <si>
    <t>Mẫu biểu số 63:</t>
  </si>
  <si>
    <t>Quyết toán thu NSNN, vay NSĐP theo mục lục ngân sách nhà nước năm...</t>
  </si>
  <si>
    <t>Dùng cho cơ quan tài chính cấp dưới báo cáo cơ quan tài chính cấp trên trực tiếp</t>
  </si>
  <si>
    <t>Mẫu biểu số 64:</t>
  </si>
  <si>
    <t>Quyết toán chi, trả nợ NSĐP theo mục lục ngân sách nhà nước năm...</t>
  </si>
  <si>
    <t>Mẫu biểu số 65:</t>
  </si>
  <si>
    <t>Quyết toán chi chương trình mục tiêu theo mục lục ngân sách nhà nước năm....</t>
  </si>
  <si>
    <t>Mẫu biểu số 66:</t>
  </si>
  <si>
    <t>Thuyết minh tăng, giảm chi quản lý hành chính, Đảng, đoàn thể năm....</t>
  </si>
  <si>
    <t>Mẫu biểu số 67:</t>
  </si>
  <si>
    <t>Thuyết minh chi khắc phục hậu quả thiên tai năm....</t>
  </si>
  <si>
    <t>Mẫu biểu số 68:</t>
  </si>
  <si>
    <t>Thuyết minh tình hình sử dụng nguồn dự phòng, tăng thu và thưởng vượt dự toán thu ngân sách năm....</t>
  </si>
  <si>
    <t>Mẫu biểu số 69:</t>
  </si>
  <si>
    <t>Báo cáo tình hình kiểm toán, thanh tra năm....</t>
  </si>
  <si>
    <t>- Đơn vị dự toán cấp I các cấp báo cáo cơ quan tài chính cùng cấp.</t>
  </si>
  <si>
    <t>- Dùng cho Ủy ban nhân dân báo cáo cơ quan tài chính cấp trên trực tiếp</t>
  </si>
  <si>
    <t>Mẫu biểu số 70:</t>
  </si>
  <si>
    <t>Báo cáo chi chuyển nguồn sang năm sau năm....</t>
  </si>
  <si>
    <t>Dùng cho cơ quan tài chính báo cáo cơ quan tài chính cấp trên trực tiếp</t>
  </si>
  <si>
    <t>CỘNG HÒA XÃ HỘI CHỦ NGHĨA VIỆT NAM</t>
  </si>
  <si>
    <t>Độc lâp - Tự do - hạnh phúc</t>
  </si>
  <si>
    <t>BÁO CÁO TỔNG HỢP</t>
  </si>
  <si>
    <t>QUYẾT TOÁN THU - CHI NGÂN SÁCH HUYỆN ĐĂK TÔ</t>
  </si>
  <si>
    <t>Mẫu biểu số 60</t>
  </si>
  <si>
    <t>(Dùng cho Ủy ban nhân dân cấp dưới báo cáo cơ quan tài chính cấp trên trực tiếp)</t>
  </si>
  <si>
    <t>Đơn vị: đồng</t>
  </si>
  <si>
    <t>Phần thu</t>
  </si>
  <si>
    <t>Tổng số</t>
  </si>
  <si>
    <t>Thu NS cấp tỉnh</t>
  </si>
  <si>
    <t>Thu NS cấp huyện</t>
  </si>
  <si>
    <t>Thu NS xã</t>
  </si>
  <si>
    <t>Phần chi</t>
  </si>
  <si>
    <t>Chi NS cấp tỉnh</t>
  </si>
  <si>
    <t>Chi NS cấp huyện</t>
  </si>
  <si>
    <t>Chi NS xã</t>
  </si>
  <si>
    <t>Tổng số thu</t>
  </si>
  <si>
    <t>Tổng số chi</t>
  </si>
  <si>
    <t>A Tổng số thu cân đối ngân sách</t>
  </si>
  <si>
    <t>A Tổng số chi cân đối ngân sách</t>
  </si>
  <si>
    <t>1 Các khoản thu NSĐP hưởng 100%</t>
  </si>
  <si>
    <t>1 Chi đầu tư phát triển</t>
  </si>
  <si>
    <t>2 Các khoản thu phân chia theo tỷ lệ %</t>
  </si>
  <si>
    <t>2 Chi trả nợ lãi, phí tiền vay</t>
  </si>
  <si>
    <t>3 Thu từ quỹ dự trữ tài chính</t>
  </si>
  <si>
    <t>3 Chi thường xuyên</t>
  </si>
  <si>
    <t>4 Thu kết dư năm trước</t>
  </si>
  <si>
    <t>4 Chi bổ sung quỹ dự trữ tài chính</t>
  </si>
  <si>
    <t>5 Thu chuyển nguồn từ năm trước sang</t>
  </si>
  <si>
    <t>5 Chi bổ sung cho ngân sách cấp dưới</t>
  </si>
  <si>
    <t>6 Thu từ ngân sách cấp dưới nộp lên</t>
  </si>
  <si>
    <t>6 Chi chuyển nguồn sang năm sau</t>
  </si>
  <si>
    <t>7 Thu bổ sung từ ngân sách cấp trên</t>
  </si>
  <si>
    <t>7. Chi nộp ngân sách cấp trên</t>
  </si>
  <si>
    <t>Tr.đó: - Bổ sung cân đối ngân sách</t>
  </si>
  <si>
    <t xml:space="preserve">             - Bổ sung có mục tiêu</t>
  </si>
  <si>
    <t>- Kết dư ngân sách năm quyết toán = (Thu - chi)</t>
  </si>
  <si>
    <r>
      <t>B Vay của ngân sách cấp tỉnh</t>
    </r>
    <r>
      <rPr>
        <b/>
        <vertAlign val="superscript"/>
        <sz val="10"/>
        <color indexed="8"/>
        <rFont val="Arial"/>
        <family val="2"/>
      </rPr>
      <t>1</t>
    </r>
    <r>
      <rPr>
        <b/>
        <sz val="10"/>
        <color indexed="8"/>
        <rFont val="Arial"/>
        <family val="2"/>
      </rPr>
      <t xml:space="preserve"> (chi tiết theo mục đích vay và nguồn vay)</t>
    </r>
  </si>
  <si>
    <r>
      <t>B Chi trả nợ gốc (chi tiết từng nguồn trả nợ gốc)</t>
    </r>
    <r>
      <rPr>
        <b/>
        <vertAlign val="superscript"/>
        <sz val="10"/>
        <color indexed="8"/>
        <rFont val="Arial"/>
        <family val="2"/>
      </rPr>
      <t>1</t>
    </r>
  </si>
  <si>
    <t xml:space="preserve">Thử lại </t>
  </si>
  <si>
    <t>KHO BẠC NHÀ NƯỚC HUYỆN ĐĂK TÔ</t>
  </si>
  <si>
    <t>PHÒNG TÀI CHÍNH - KẾ HOẠCH HUYỆN ĐĂK TÔ</t>
  </si>
  <si>
    <t>TM. UBND HUYỆN ĐĂK TÔ</t>
  </si>
  <si>
    <t>GIÁM ĐỐC</t>
  </si>
  <si>
    <t>TRƯỞNG PHÒNG</t>
  </si>
  <si>
    <t>CHỦ TỊCH</t>
  </si>
  <si>
    <t>Mẫu biểu số 61</t>
  </si>
  <si>
    <t>Đơn vị:  đồng</t>
  </si>
  <si>
    <t>Nội dung</t>
  </si>
  <si>
    <t>Quyết toán năm</t>
  </si>
  <si>
    <t>Phân chia theo từng cấp ngân sách</t>
  </si>
  <si>
    <t>So sánh QT/DT (%)</t>
  </si>
  <si>
    <t>Cấp trên giao</t>
  </si>
  <si>
    <t>HĐND quyết định</t>
  </si>
  <si>
    <t>Thu NS TW</t>
  </si>
  <si>
    <t>A</t>
  </si>
  <si>
    <t>B</t>
  </si>
  <si>
    <t>(3)=(4)+(5)+(6)+(7)</t>
  </si>
  <si>
    <t>4</t>
  </si>
  <si>
    <t>5</t>
  </si>
  <si>
    <t>6</t>
  </si>
  <si>
    <t>7</t>
  </si>
  <si>
    <t>8=3/1</t>
  </si>
  <si>
    <t>9=3/2</t>
  </si>
  <si>
    <t>TỔNG SỐ (A+B+C+D+E+F+G)</t>
  </si>
  <si>
    <t>THU NGÂN SÁCH NHÀ NƯỚC</t>
  </si>
  <si>
    <t>I</t>
  </si>
  <si>
    <t>Thu nội địa thường xuyên</t>
  </si>
  <si>
    <t>Thu từ khu vực doanh nghiệp nhà nước do Trung ương quản lý</t>
  </si>
  <si>
    <t>- Thuế giá trị gia tăng</t>
  </si>
  <si>
    <t>Trong đó: Thu từ hoạt động thăm dò, khai thác, dầu khí</t>
  </si>
  <si>
    <t>- Thuế thu nhập doanh nghiệp</t>
  </si>
  <si>
    <t>- Thuế tiêu thụ đặc biệt</t>
  </si>
  <si>
    <t>Trong đó: Thu từ cơ sở kinh doanh nhập khẩu tiếp tục bán ra trong nước</t>
  </si>
  <si>
    <t>- Thuế Tài nguyên</t>
  </si>
  <si>
    <t>- Thu khác</t>
  </si>
  <si>
    <t>Trong đó: Thuế tài nguyên dầu, khí</t>
  </si>
  <si>
    <t>Thu từ khu vực doanh nghiệp nhà nước do địa phương quản lý</t>
  </si>
  <si>
    <t>- Thuế tài nguyên</t>
  </si>
  <si>
    <t>Thu từ khu vực doanh nghiệp có vốn đầu tư nước ngoài</t>
  </si>
  <si>
    <t>Trong đó: Thu từ hoạt động thăm dò và khai thác dầu, khí</t>
  </si>
  <si>
    <t xml:space="preserve">Trong đó: Thu từ hoạt động thăm dò và khai thác dầu, khí </t>
  </si>
  <si>
    <t xml:space="preserve">- Thu từ khí thiên nhiên </t>
  </si>
  <si>
    <t>Trong đó: - Thu từ cơ sở kinh doanh nhập khẩu tiếp tục bán ra trong nước</t>
  </si>
  <si>
    <t>- Tiền thuê mặt đất, mặt nước</t>
  </si>
  <si>
    <t>Thu từ khu vực kinh tế ngoài quốc doanh</t>
  </si>
  <si>
    <t xml:space="preserve">Trong đó: Thu từ cơ sở kinh doanh nhập khẩu tiếp tục bán ra trong nước </t>
  </si>
  <si>
    <t>- Thuế môn bài</t>
  </si>
  <si>
    <t>Lệ phí trước bạ</t>
  </si>
  <si>
    <t>Thuế sử dụng đất nông nghiệp</t>
  </si>
  <si>
    <t>Thuế sử dụng đất phi nông nghiệp</t>
  </si>
  <si>
    <t>Thuế thu nhập cá nhân</t>
  </si>
  <si>
    <t>Thuế bảo vệ môi trường</t>
  </si>
  <si>
    <t>Trong đó: - Thu từ hàng hóa nhập khẩu</t>
  </si>
  <si>
    <t>- Thu từ hàng hóa sản xuất trong nước</t>
  </si>
  <si>
    <t>Phí, lệ phí</t>
  </si>
  <si>
    <t>Bao gồm: - Phí, lệ phí do cơ quan nhà nước trung ương thu</t>
  </si>
  <si>
    <t>- Phí, lệ phí do cơ quan nhà nước địa phương thu</t>
  </si>
  <si>
    <t>Trong đó: phí bảo vệ môi trường đối với khai thác khoáng sản</t>
  </si>
  <si>
    <t>Tiền sử dụng đất</t>
  </si>
  <si>
    <t>Trong đó: - Thu do cơ quan, tổ chức, đơn vị thuộc Trung ương quản lý</t>
  </si>
  <si>
    <t>- Thu do cơ quan, tổ chức, đơn vị thuộc địa phương quản lý</t>
  </si>
  <si>
    <t>12</t>
  </si>
  <si>
    <t>Thu tiền thuê đất, mặt nước</t>
  </si>
  <si>
    <t>Thu tiền sử dụng khu vực biển</t>
  </si>
  <si>
    <t>Trong đó: - Thuộc thẩm quyền giao của trung ương</t>
  </si>
  <si>
    <t>- Thuộc thẩm quyền giao của địa phương</t>
  </si>
  <si>
    <t>Thu từ bán tài sản nhà nước</t>
  </si>
  <si>
    <t>Trong đó: - Do trung ương</t>
  </si>
  <si>
    <t xml:space="preserve">                - Do địa phương</t>
  </si>
  <si>
    <t>Thu từ tài sản được xác lập quyền sở hữu của nhà nước</t>
  </si>
  <si>
    <t>Trong đó: - Do trung ương xử lý</t>
  </si>
  <si>
    <t xml:space="preserve">                - Do địa phương xử lý</t>
  </si>
  <si>
    <t>Thu tiền cho thuê và bán nhà ở thuộc sở hữu nhà nước</t>
  </si>
  <si>
    <t>Thu khác ngân sách</t>
  </si>
  <si>
    <t>Trong đó: - Thu khác ngân sách trung ương</t>
  </si>
  <si>
    <t>Thu tiền cấp quyền khai thác khoáng sản</t>
  </si>
  <si>
    <t>Trong đó: - Giấy phép do Trung ương cấp</t>
  </si>
  <si>
    <t>- Giấy phép do Ủy ban nhân dân cấp tỉnh cấp</t>
  </si>
  <si>
    <t>Thu từ quỹ đất công ích và thu hoa lợi công sản khác</t>
  </si>
  <si>
    <t>Thu cổ tức và lợi nhuận sau thuế</t>
  </si>
  <si>
    <t>Thu từ hoạt động xổ số kiến thiết (kể cả xổ số điện toán)</t>
  </si>
  <si>
    <t>II</t>
  </si>
  <si>
    <t>Thu về dầu thô</t>
  </si>
  <si>
    <t xml:space="preserve">Thu về dầu thô theo hiệp định, hợp đồng </t>
  </si>
  <si>
    <t>1.1</t>
  </si>
  <si>
    <t>Thuế tài nguyên</t>
  </si>
  <si>
    <t>1.2</t>
  </si>
  <si>
    <t>Thuế thu nhập doanh nghiệp</t>
  </si>
  <si>
    <t>1.3</t>
  </si>
  <si>
    <t>Lợi nhuận sau thuế được chia của Chính phủ Việt Nam</t>
  </si>
  <si>
    <t>1.4</t>
  </si>
  <si>
    <t>Dầu lãi được chia của Chính phủ Việt Nam</t>
  </si>
  <si>
    <t>1.5</t>
  </si>
  <si>
    <t xml:space="preserve">Thuế đặc biệt </t>
  </si>
  <si>
    <t>1.6</t>
  </si>
  <si>
    <t>Thu khác</t>
  </si>
  <si>
    <t xml:space="preserve">Thu về Condensate theo hiệp định, hợp đồng. </t>
  </si>
  <si>
    <t>Phụ thu về dầu, khí</t>
  </si>
  <si>
    <t>Thu về khí thiên nhiên (không bao gồm doanh nghiệp có vốn đầu tư nước ngoài)</t>
  </si>
  <si>
    <t>III</t>
  </si>
  <si>
    <t>Thu Hải quan</t>
  </si>
  <si>
    <t>Thuế xuất khẩu</t>
  </si>
  <si>
    <t>Thuế nhập khẩu</t>
  </si>
  <si>
    <t>Thuế tiêu thụ đặc biệt hàng nhập khẩu</t>
  </si>
  <si>
    <t>Thuế giá trị gia tăng hàng nhập khẩu</t>
  </si>
  <si>
    <t>Thuế bổ sung đối với hàng hóa nhập khẩu vào Việt Nam</t>
  </si>
  <si>
    <t>Thu chênh lệch giá hàng xuất nhập khẩu</t>
  </si>
  <si>
    <t>Thuế bảo vệ môi trường do cơ quan hải quan thực hiện</t>
  </si>
  <si>
    <t>Phí, lệ phí hải quan</t>
  </si>
  <si>
    <t>IV</t>
  </si>
  <si>
    <t>Thu Viện trợ</t>
  </si>
  <si>
    <t>V</t>
  </si>
  <si>
    <t>Các khoản huy động, đóng góp</t>
  </si>
  <si>
    <t>Các khoản huy động đóng góp xây dựng cơ sở hạ tầng</t>
  </si>
  <si>
    <t>Các khoản huy động đóng góp khác</t>
  </si>
  <si>
    <t>VI</t>
  </si>
  <si>
    <t>Thu hồi vốn của Nhà nước và thu từ quỹ dự trữ tài chính</t>
  </si>
  <si>
    <t>Thu từ bán cổ phần, vốn góp của Nhà nước nộp ngân sách</t>
  </si>
  <si>
    <t>Thu từ các khoản cho vay của ngân sách</t>
  </si>
  <si>
    <t>2.1</t>
  </si>
  <si>
    <t>Thu nợ gốc cho vay</t>
  </si>
  <si>
    <t>2.2</t>
  </si>
  <si>
    <t>Thu lãi cho vay</t>
  </si>
  <si>
    <t>Thu từ quỹ dự trữ tài chính</t>
  </si>
  <si>
    <t>VAY CỦA NGÂN SÁCH ĐỊA PHƯƠNG</t>
  </si>
  <si>
    <t>Vay bù đắp bội chi NSĐP</t>
  </si>
  <si>
    <t>Vay trong nước</t>
  </si>
  <si>
    <t>Vay lại từ nguồn Chính phủ vay ngoài nước</t>
  </si>
  <si>
    <t>Vay để trả nợ gốc vay</t>
  </si>
  <si>
    <t>C</t>
  </si>
  <si>
    <t>THU CHUYỂN GIAO NGÂN SÁCH</t>
  </si>
  <si>
    <t>Thu bổ sung từ ngân sách cấp trên</t>
  </si>
  <si>
    <t>1.</t>
  </si>
  <si>
    <t xml:space="preserve">Bổ sung cân đối </t>
  </si>
  <si>
    <t>2.</t>
  </si>
  <si>
    <t>Bổ sung có mục tiêu</t>
  </si>
  <si>
    <t xml:space="preserve">Bổ sung có mục tiêu bằng nguồn vốn trong nước </t>
  </si>
  <si>
    <t>Bổ sung có mục tiêu bằng nguồn vốn ngoài nước</t>
  </si>
  <si>
    <t>Thu từ ngân sách cấp dưới nộp lên</t>
  </si>
  <si>
    <t>D</t>
  </si>
  <si>
    <t>THU CHUYỂN NGUỒN</t>
  </si>
  <si>
    <t>E</t>
  </si>
  <si>
    <t>THU KẾT DƯ NGÂN SÁCH</t>
  </si>
  <si>
    <t>F</t>
  </si>
  <si>
    <t xml:space="preserve"> Các khoản thu quản lý qua ngân sách</t>
  </si>
  <si>
    <t xml:space="preserve"> Nguồn thu viện trợ</t>
  </si>
  <si>
    <t>Ghi chú: Đây là mẫu chung cho cấp tỉnh, huyện, xã, khi báo cáo, dùng và in các chỉ tiêu thuộc phạm vi được giao quản lý của cấp tương ứng</t>
  </si>
  <si>
    <t>Mẫu biểu số 62</t>
  </si>
  <si>
    <t>(Dùng cho Ủy ban nhân dân cấp dưới báo cáo cơ quan tài chính cấp trên trên trực tiếp)</t>
  </si>
  <si>
    <t>Nội dung chi</t>
  </si>
  <si>
    <t>So sánh QT/DT(%)</t>
  </si>
  <si>
    <t>NGUỒN 
CÂN ĐỐI</t>
  </si>
  <si>
    <t xml:space="preserve">TỈNH </t>
  </si>
  <si>
    <t>TRUNG ƯƠNG</t>
  </si>
  <si>
    <t>CTMT</t>
  </si>
  <si>
    <t>Tổng số Chi NSĐP</t>
  </si>
  <si>
    <t>(3)=(4)+(5)+(6)</t>
  </si>
  <si>
    <t>(7)=(3):(1)</t>
  </si>
  <si>
    <t>(8)= (3):(2)</t>
  </si>
  <si>
    <t>CHI CÂN ĐỐI NGÂN SÁCH</t>
  </si>
  <si>
    <t>Chi đầu tư phát triển</t>
  </si>
  <si>
    <t>Chi quốc phòng</t>
  </si>
  <si>
    <t>Chi an ninh và trật tự an toàn xã hội</t>
  </si>
  <si>
    <t>Chi Giáo dục - đào tạo và dạy nghề</t>
  </si>
  <si>
    <t>Chi Khoa học và công nghệ</t>
  </si>
  <si>
    <t>Chi Y tế, dân số và gia đình</t>
  </si>
  <si>
    <t>Chi Văn hóa thông tin</t>
  </si>
  <si>
    <t>1.7</t>
  </si>
  <si>
    <t>Chi Phát thanh, truyền hình, thông tấn</t>
  </si>
  <si>
    <t>1.8</t>
  </si>
  <si>
    <t>Chi Thể dục thể thao</t>
  </si>
  <si>
    <t>1.9</t>
  </si>
  <si>
    <t>Chi Bảo vệ môi trường</t>
  </si>
  <si>
    <t>1.10</t>
  </si>
  <si>
    <t>1.11</t>
  </si>
  <si>
    <t>Chi hoạt động của các cơ quan quản lý nhà nước, đảng, đoàn thể</t>
  </si>
  <si>
    <t>1.12</t>
  </si>
  <si>
    <t>Chi Bảo đảm xã hội</t>
  </si>
  <si>
    <t>1.13</t>
  </si>
  <si>
    <t>Chi đầu tư và hỗ trợ vốn cho các doanh nghiệp hoạt động công</t>
  </si>
  <si>
    <t>Chi đầu tư phát triển khác</t>
  </si>
  <si>
    <t>Chi trả nợ lãi vay theo quy định</t>
  </si>
  <si>
    <t>Chi thường xuyên</t>
  </si>
  <si>
    <t>2.3</t>
  </si>
  <si>
    <t>2.4</t>
  </si>
  <si>
    <t>2.5</t>
  </si>
  <si>
    <t>2.6</t>
  </si>
  <si>
    <t>2.7</t>
  </si>
  <si>
    <t>2.8</t>
  </si>
  <si>
    <t>2.9</t>
  </si>
  <si>
    <t>2.10</t>
  </si>
  <si>
    <t>2.11</t>
  </si>
  <si>
    <t>2.12</t>
  </si>
  <si>
    <t>2.13</t>
  </si>
  <si>
    <t>Chi khác</t>
  </si>
  <si>
    <t>2.14</t>
  </si>
  <si>
    <t>Dự phòng</t>
  </si>
  <si>
    <t>Nguồn cải cách tiền lương</t>
  </si>
  <si>
    <t>Chi bổ sung quỹ dự trữ tài chính</t>
  </si>
  <si>
    <t>Chi chuyển nguồn</t>
  </si>
  <si>
    <t>CHI BỔ SUNG CHO NGÂN SÁCH CẤP DƯỚI</t>
  </si>
  <si>
    <t>Bổ sung cân đối</t>
  </si>
  <si>
    <t>Tr. đó: - Bằng nguồn vốn trong nước</t>
  </si>
  <si>
    <t xml:space="preserve">           - Bằng nguồn vốn ngoài nước</t>
  </si>
  <si>
    <t>CHI NỘP NGÂN SÁCH CẤP TRÊN</t>
  </si>
  <si>
    <t>C. Các khoản chi quản lý qua ngân sách</t>
  </si>
  <si>
    <t xml:space="preserve">Chi từ nguồn thu viện trợ </t>
  </si>
  <si>
    <t>TỔNG SỐ (A+B+C)</t>
  </si>
  <si>
    <t>Ghi chú:</t>
  </si>
  <si>
    <t>Đây là mẫu chung cho cấp tỉnh, huyện, xã, khi báo cáo, dùng và in các chỉ tiêu thuộc phạm vi được giao quản lý của cấp tương ứng</t>
  </si>
  <si>
    <t>- Cột (1) chỉ phản ánh những chỉ tiêu TW giao ở dòng tương ứng</t>
  </si>
  <si>
    <t>(1) - Phản ánh các khoản chi từ nguồn thu đơn vị được để lại chi theo chế độ quy định</t>
  </si>
  <si>
    <t>Mẫu biểu số 63</t>
  </si>
  <si>
    <t>QUYẾT TOÁN THU NSNN, VAY NSĐP THEO MỤC LỤC NSNN</t>
  </si>
  <si>
    <t>(Dùng cho cơ quan tài chính cấp dưới báo cáo cơ quan tài chính cấp trên trực tiếp)</t>
  </si>
  <si>
    <t>Cấp</t>
  </si>
  <si>
    <t>Chương</t>
  </si>
  <si>
    <t>Mục</t>
  </si>
  <si>
    <t>Tiểu mục</t>
  </si>
  <si>
    <t>NSNN</t>
  </si>
  <si>
    <t>NSTW</t>
  </si>
  <si>
    <t>NS cấp tỉnh</t>
  </si>
  <si>
    <t>NS cấp huyện</t>
  </si>
  <si>
    <t>NS xã</t>
  </si>
  <si>
    <t>Hợp nhóm, Tiểu nhóm, Mục và Tiểu mục (hợp nhóm toàn bộ các cấp và hợp nhóm theo từng cấp)</t>
  </si>
  <si>
    <t>Ngày   tháng    năm</t>
  </si>
  <si>
    <t>…., ngày    tháng     năm</t>
  </si>
  <si>
    <t>GIÁM ĐỐC KBNN……….</t>
  </si>
  <si>
    <t>THỦ TRƯỞNG CƠ QUAN TÀI CHÍNH</t>
  </si>
  <si>
    <t>(Ký tên, đóng dấu)</t>
  </si>
  <si>
    <t>Mẫu biểu số 64</t>
  </si>
  <si>
    <t>QUYẾT TOÁN CHI, TRẢ NỢ NSĐP THEO MỤC LỤC NSNN NĂM....</t>
  </si>
  <si>
    <t>Loại</t>
  </si>
  <si>
    <t>Khoản</t>
  </si>
  <si>
    <t>Số QT</t>
  </si>
  <si>
    <t>Mẫu biểu số 65</t>
  </si>
  <si>
    <t>MÃ CTMT</t>
  </si>
  <si>
    <t>Tên chương trình mục tiêu</t>
  </si>
  <si>
    <t>TỔNG CỘNG</t>
  </si>
  <si>
    <t>Chương trình MTQG xây dựng nông thôn  mới</t>
  </si>
  <si>
    <t>Vốn đầu tư phát triển</t>
  </si>
  <si>
    <t>3.1</t>
  </si>
  <si>
    <t>3.2</t>
  </si>
  <si>
    <t>4.1</t>
  </si>
  <si>
    <t>4.2</t>
  </si>
  <si>
    <t>5.1</t>
  </si>
  <si>
    <t>Vốn sự nghiệp</t>
  </si>
  <si>
    <t>UBND xã Ngọc Tụ</t>
  </si>
  <si>
    <t>UBND xã Đăk Rơ Nga</t>
  </si>
  <si>
    <t>UBND xã Đăk Trăm</t>
  </si>
  <si>
    <t>UBND xã Văn Lem</t>
  </si>
  <si>
    <t>UBND xã Diên Bình</t>
  </si>
  <si>
    <t>UBND xã Tân Cảnh</t>
  </si>
  <si>
    <t>UBND xã Kon Đào</t>
  </si>
  <si>
    <t>UBND xã Pô Kô</t>
  </si>
  <si>
    <t>3.3</t>
  </si>
  <si>
    <t>Trong đó</t>
  </si>
  <si>
    <t>Ghi chú</t>
  </si>
  <si>
    <t>1=2+3+4</t>
  </si>
  <si>
    <t xml:space="preserve">Huyện </t>
  </si>
  <si>
    <t xml:space="preserve">Xã </t>
  </si>
  <si>
    <t>Mẫu biểu số 67</t>
  </si>
  <si>
    <t>THUYẾT MINH</t>
  </si>
  <si>
    <t>Tổng nguồn</t>
  </si>
  <si>
    <t>Nguồn trong nước</t>
  </si>
  <si>
    <t>Tỉnh bổ sung</t>
  </si>
  <si>
    <t>Các tổ chức, cá nhân trong nước ủng hộ</t>
  </si>
  <si>
    <t>Nguồn của NSĐP</t>
  </si>
  <si>
    <t>Tr.đó: - Từ nguồn dự phòng</t>
  </si>
  <si>
    <t>- Từ quỹ dự trữ tài chính</t>
  </si>
  <si>
    <t>- Từ nguồn tăng thu</t>
  </si>
  <si>
    <t>- Từ nguồn thưởng vượt thu</t>
  </si>
  <si>
    <t>Các nguồn khác</t>
  </si>
  <si>
    <t>Nguồn viện trợ nước ngoài</t>
  </si>
  <si>
    <t>Tổng kinh phí sử dụng đã được quyết toán chi NSĐP</t>
  </si>
  <si>
    <t>Chi đầu tư XDCB</t>
  </si>
  <si>
    <t>Chi sự nghiệp kinh tế</t>
  </si>
  <si>
    <t xml:space="preserve">Chi sự nghiệp phát thanh truyền hình </t>
  </si>
  <si>
    <t>Chi quản lý hành chính</t>
  </si>
  <si>
    <t>Chi đảm bảo xã hội</t>
  </si>
  <si>
    <t>Chi nộp trả ngân sách cấp trên</t>
  </si>
  <si>
    <t>Mẫu biểu số 68</t>
  </si>
  <si>
    <t>THUYẾT MINH TÌNH HÌNH SỬ DỤNG</t>
  </si>
  <si>
    <t>TTR</t>
  </si>
  <si>
    <t>DB</t>
  </si>
  <si>
    <t>PK</t>
  </si>
  <si>
    <t>TC</t>
  </si>
  <si>
    <t>KĐ</t>
  </si>
  <si>
    <t>NT</t>
  </si>
  <si>
    <t>ĐRN</t>
  </si>
  <si>
    <t>ĐT</t>
  </si>
  <si>
    <t>VL</t>
  </si>
  <si>
    <t>Tăng thu</t>
  </si>
  <si>
    <t>Thưởng vượt dự toán thu</t>
  </si>
  <si>
    <t>Tổng</t>
  </si>
  <si>
    <t xml:space="preserve">Dự phòng </t>
  </si>
  <si>
    <t xml:space="preserve">Thị trấn </t>
  </si>
  <si>
    <t xml:space="preserve">Diên Bình </t>
  </si>
  <si>
    <t>pô Kô</t>
  </si>
  <si>
    <t xml:space="preserve">Tân Cảnh </t>
  </si>
  <si>
    <t xml:space="preserve">Kon Đào </t>
  </si>
  <si>
    <t xml:space="preserve">Ngọc Tụ </t>
  </si>
  <si>
    <t xml:space="preserve">Đăk rơ nga </t>
  </si>
  <si>
    <t xml:space="preserve">Đăk Trăm </t>
  </si>
  <si>
    <t xml:space="preserve">Văn Lem </t>
  </si>
  <si>
    <t xml:space="preserve">Tổng nguồn </t>
  </si>
  <si>
    <t>Chi đầu tư và hỗ trợ vốn doanh nghiệp (nếu có theo phân cấp)</t>
  </si>
  <si>
    <t xml:space="preserve">Chi quản lý hành chính </t>
  </si>
  <si>
    <t xml:space="preserve">Sự nghiệp Kinh tế </t>
  </si>
  <si>
    <t xml:space="preserve">Chi quốc phòng </t>
  </si>
  <si>
    <t xml:space="preserve">Sự nghiệp phát thanh truyền hình </t>
  </si>
  <si>
    <t xml:space="preserve">Chi khác </t>
  </si>
  <si>
    <t>…</t>
  </si>
  <si>
    <t>Ghi chú: Đây là mẫu chung cho cấp tỉnh, huyện, xã, khi báo cáo dùng các chỉ tiêu thuộc phạm vi được giao quản lý của cấp tương ứng</t>
  </si>
  <si>
    <t>Mẫu biểu số 69</t>
  </si>
  <si>
    <t>(Dùng đơn vị dự toán cấp I các cấp báo cáo cơ quan tài chính cùng cấp; UBND cấp dưới báo cáo cơ quan tài chính cấp trên trực tiếp)</t>
  </si>
  <si>
    <t>Số kiến nghị của</t>
  </si>
  <si>
    <t>Số tồn tại chưa xử lý</t>
  </si>
  <si>
    <t>Thanh tra</t>
  </si>
  <si>
    <t>Kiểm toán</t>
  </si>
  <si>
    <t xml:space="preserve">Kiến nghị của kiểm toán, thanh tra các năm trước còn tồn tại chưa xử lý </t>
  </si>
  <si>
    <t>Các khoản phải thu nộp ngân sách</t>
  </si>
  <si>
    <t xml:space="preserve"> - Kiến nghị thu hồi</t>
  </si>
  <si>
    <t>Các khoản ghi thu, ghi chi vào ngân sách</t>
  </si>
  <si>
    <t>Số chi sai chế độ phải xuất toán</t>
  </si>
  <si>
    <t>a. Nộp trả ngân sách</t>
  </si>
  <si>
    <t>b. Cơ quan tài chính giảm trừ cấp phát</t>
  </si>
  <si>
    <t>Các khoản thu phải nộp ngân sách</t>
  </si>
  <si>
    <t xml:space="preserve">             …</t>
  </si>
  <si>
    <t>Chi tiết:....</t>
  </si>
  <si>
    <t xml:space="preserve">           ….</t>
  </si>
  <si>
    <t xml:space="preserve">Số chi sai chế độ phải xuất toán </t>
  </si>
  <si>
    <t>a</t>
  </si>
  <si>
    <t>Nộp trả ngân sách:</t>
  </si>
  <si>
    <t>Trong đó: - Xây dựng cơ bản</t>
  </si>
  <si>
    <t xml:space="preserve">               - Chi thường xuyên</t>
  </si>
  <si>
    <t>b</t>
  </si>
  <si>
    <t xml:space="preserve">Cơ quan tài chính giảm trừ cấp phát </t>
  </si>
  <si>
    <t xml:space="preserve">                - Chi thường xuyên </t>
  </si>
  <si>
    <t>Bổ sung quyết toán ngân sách năm nay</t>
  </si>
  <si>
    <t xml:space="preserve">                - Chi thường xuyên</t>
  </si>
  <si>
    <t xml:space="preserve">Kiến nghị của kiểm toán, thanh tra năm nay </t>
  </si>
  <si>
    <t xml:space="preserve"> - Thu hồi nộp ngân sách</t>
  </si>
  <si>
    <t xml:space="preserve"> - Giảm trừ hồ sơ thanh toán</t>
  </si>
  <si>
    <t>Cơ quan tài chính giảm trừ cấp phát</t>
  </si>
  <si>
    <t>Chuyển quyết toán ngân sách năm sau</t>
  </si>
  <si>
    <t>Hết nhiệm vụ chi</t>
  </si>
  <si>
    <t>Các vấn đề khác liên quan cần giải trình</t>
  </si>
  <si>
    <t>……</t>
  </si>
  <si>
    <t>Mẫu biểu số 70</t>
  </si>
  <si>
    <t>Năm trước (năm liền kề)</t>
  </si>
  <si>
    <t>Năm báo cáo</t>
  </si>
  <si>
    <t>Năm báo cáo so với năm liền kề</t>
  </si>
  <si>
    <t>Giải trình</t>
  </si>
  <si>
    <t>Huyện</t>
  </si>
  <si>
    <t>Xã</t>
  </si>
  <si>
    <t>Số tuyệt đối</t>
  </si>
  <si>
    <t>Số tương đối</t>
  </si>
  <si>
    <t>3=2-1</t>
  </si>
  <si>
    <t>4=3/1</t>
  </si>
  <si>
    <t>Thu chương 760</t>
  </si>
  <si>
    <t>Chi đầu tư phát triển thực hiện chuyển sang năm sau theo quy định của Luật đầu tư công. Trường hợp đặc biệt, Thủ tướng Chính phủ quyết định về việc cho phép chuyển nguồn sang năm sau nữa, nhưng không quá thời hạn giải ngân của dự án nằm trong kế hoạch đầu tư công trung hạn</t>
  </si>
  <si>
    <t>Chi chuyển nguồn chương 760 khoản 434</t>
  </si>
  <si>
    <t>Chi mua sắm trang thiết bị đã đầy đủ hồ sơ, hợp đồng mua sắm trang thiết bị ký bước ngày 31 tháng 12 năm thực hiện dự toán</t>
  </si>
  <si>
    <t>Nguồn thực hiện chính sách tiền lương, phụ cấp, trợ cấp và các khoản tính theo tiền lương cơ sở, bảo trợ xã hội</t>
  </si>
  <si>
    <t>Kinh phí được giao tự chủ của các đơn vị sự nghiệp công lập và các cơ quan nhà nước; các khoản viện trợ không hoàn lại đã xác định cụ thể nhiệm vụ chi</t>
  </si>
  <si>
    <t>Các khoản dự toán được cấp có thẩm quyền bổ sung sau ngày 30 tháng 9 năm thực hiện dự toán, không bao gồm các khoản bổ sung do các đơn vị dự toán cấp trên điều chỉnh dự toán đã giao của các đơn vị dự toán trực thuộc</t>
  </si>
  <si>
    <t>Kinh phí nghiên cứu khoa học bố trí cho các đề tài, dự án nghiên cứu khoa học được cấp có thẩm quyền quyết định đang trong thời gian thực hiện</t>
  </si>
  <si>
    <t>Các khoản tăng thu, tiết kiệm chi được sử dụng theo quy định tại khoản 2 Điều 59 của Luật ngân sách nhà nước được cấp có thẩm quyền quyết định cho phép sử dụng vào năm sau</t>
  </si>
  <si>
    <t>Các khoản chuyển nguồn khác theo pháp
 luật quy định</t>
  </si>
  <si>
    <t>(Giải trình: Nêu lý do số liệu năm báo cáo tăng/giảm so với số liệu năm liền kề)</t>
  </si>
  <si>
    <t>Biểu mẫu số 63</t>
  </si>
  <si>
    <t>TỔNG HỢP CÁC QUỸ TÀI CHÍNH NHÀ NƯỚC</t>
  </si>
  <si>
    <t>(Dùng cho ngân sách các cấp chính quyền địa phương)</t>
  </si>
  <si>
    <t>Đơn vị: Triệu đồng</t>
  </si>
  <si>
    <t>Tên Quỹ</t>
  </si>
  <si>
    <t>Kế hoạch năm…</t>
  </si>
  <si>
    <t>Tổng nguồn vốn phát sinh trong năm</t>
  </si>
  <si>
    <t>Tổng sử dụng nguồn vốn trong năm</t>
  </si>
  <si>
    <t>Chênh lệch nguồn trong năm</t>
  </si>
  <si>
    <r>
      <t xml:space="preserve">Trong đó: Hỗ trợ từ NSĐP </t>
    </r>
    <r>
      <rPr>
        <sz val="14"/>
        <rFont val="Times New Roman"/>
        <family val="1"/>
      </rPr>
      <t>(nếu có)</t>
    </r>
  </si>
  <si>
    <t>5=2-4</t>
  </si>
  <si>
    <t>9=6-8</t>
  </si>
  <si>
    <t>10=1+6-8</t>
  </si>
  <si>
    <t>Cấp huyện</t>
  </si>
  <si>
    <t>r</t>
  </si>
  <si>
    <t>Quỹ Bảo trợ trẻ em</t>
  </si>
  <si>
    <t>Quỹ Vì người nghèo huyện ĐăkTô</t>
  </si>
  <si>
    <t>Quỹ Cứu Trợ huyện Đăktô</t>
  </si>
  <si>
    <t>Cấp xã</t>
  </si>
  <si>
    <t>UBND Thị trấn Đăk Tô</t>
  </si>
  <si>
    <t>Quỹ vì người nghèo</t>
  </si>
  <si>
    <t>Quỹ khuyến học</t>
  </si>
  <si>
    <t>Quỹ NCT</t>
  </si>
  <si>
    <t xml:space="preserve">UBND xã Diên Bình </t>
  </si>
  <si>
    <t>Quỹ Vì người nghèo</t>
  </si>
  <si>
    <t>Quỹ Đền ơn đáp nghĩa</t>
  </si>
  <si>
    <t>Quỹ Chăm sóc người cao tuổi</t>
  </si>
  <si>
    <t>Quỹ Khuyến học</t>
  </si>
  <si>
    <t xml:space="preserve">UBND xã Kon Đào </t>
  </si>
  <si>
    <t xml:space="preserve">UBND xã Đăk Trăm </t>
  </si>
  <si>
    <t>Quỹ người nghèo</t>
  </si>
  <si>
    <t xml:space="preserve">Tổng cộng </t>
  </si>
  <si>
    <t>Biểu mẫu số 64</t>
  </si>
  <si>
    <t>So sánh (%)</t>
  </si>
  <si>
    <t>3=2/1*100</t>
  </si>
  <si>
    <t>TỔNG SỐ</t>
  </si>
  <si>
    <t xml:space="preserve">Cấp huyện </t>
  </si>
  <si>
    <t xml:space="preserve"> Sự nghiệp môi trường</t>
  </si>
  <si>
    <t xml:space="preserve"> Sự nghiệp kinh tế và sự nghiệp khác</t>
  </si>
  <si>
    <t xml:space="preserve"> Sự nghiệp giáo dục</t>
  </si>
  <si>
    <t>Trường MN Bình Minh</t>
  </si>
  <si>
    <t>Thu học phí</t>
  </si>
  <si>
    <t>Trường MN Sao Mai</t>
  </si>
  <si>
    <t>Trường MN Vành Khuyên</t>
  </si>
  <si>
    <t>Trường MN Hoa Phượng</t>
  </si>
  <si>
    <t>07</t>
  </si>
  <si>
    <t>08</t>
  </si>
  <si>
    <t>09</t>
  </si>
  <si>
    <t>Thu từ hoạt động dạy thêm học thêm</t>
  </si>
  <si>
    <t>Trường THCS Nguyễn Du</t>
  </si>
  <si>
    <t>Trường THCS Nguyễn Trãi</t>
  </si>
  <si>
    <t>Trường THCS Đăk Trăm</t>
  </si>
  <si>
    <t>Trường THCS Văn Lem</t>
  </si>
  <si>
    <t>Trường THCS Ngọc Tụ</t>
  </si>
  <si>
    <t>-….</t>
  </si>
  <si>
    <t>Các đơn vị do cấp tỉnh quản lý</t>
  </si>
  <si>
    <t>Trong đó:</t>
  </si>
  <si>
    <t>- Sự nghiệp giáo dục - đào tạo và dạy nghề</t>
  </si>
  <si>
    <t>- Sự nghiệp y tế</t>
  </si>
  <si>
    <t>Các đơn vị do cấp huyện quản lý</t>
  </si>
  <si>
    <t>Các đơn vị do cấp xã quản lý</t>
  </si>
  <si>
    <t xml:space="preserve">                                                        TM. UBND HUYỆN ĐĂK TÔ</t>
  </si>
  <si>
    <t xml:space="preserve">                                                        CHỦ TỊCH</t>
  </si>
  <si>
    <t>ĐƠN VỊ………………………., MÃ SỐ:………..</t>
  </si>
  <si>
    <t>Mẫu biểu số 59</t>
  </si>
  <si>
    <t>MÃ CHƯƠNG:…….</t>
  </si>
  <si>
    <t>MÃ KBNN GIAO DỊCH:………..</t>
  </si>
  <si>
    <t>TÌNH HÌNH THỰC HIỆN DỰ TOÁN CỦA CÁC NHIỆM VỤ ĐƯỢC CHUYỂN NGUỒN SANG NĂM SAU</t>
  </si>
  <si>
    <t>CỦA CÁC ĐƠN VỊ THUỘC NGÂN SÁCH CÁC CẤP THEO HÌNH THỨC RÚT DỰ TOÁN</t>
  </si>
  <si>
    <t>(Dùng cho các đơn vị dự toán ngân sách, chủ đầu tư thuộc ngân sách các cấp báo cáo cơ quan kho bạc nhà nước)</t>
  </si>
  <si>
    <t>Đơn vị</t>
  </si>
  <si>
    <r>
      <t xml:space="preserve">Tính chất nguồn kinh phí </t>
    </r>
    <r>
      <rPr>
        <b/>
        <vertAlign val="superscript"/>
        <sz val="10"/>
        <color indexed="8"/>
        <rFont val="Arial"/>
        <family val="2"/>
      </rPr>
      <t>(1)</t>
    </r>
  </si>
  <si>
    <t>Loại, Khoản</t>
  </si>
  <si>
    <t>Dự toán năm được chi</t>
  </si>
  <si>
    <t>Dự toán đã sử dụng đến 31/01 năm sau</t>
  </si>
  <si>
    <t>Số dư tại thời điểm 31/01 được chuyển sang năm sau</t>
  </si>
  <si>
    <r>
      <t xml:space="preserve">Dự toán năm trước chuyển sang </t>
    </r>
    <r>
      <rPr>
        <b/>
        <vertAlign val="superscript"/>
        <sz val="10"/>
        <color indexed="8"/>
        <rFont val="Arial"/>
        <family val="2"/>
      </rPr>
      <t>(2)</t>
    </r>
  </si>
  <si>
    <t>Dự toán giao đầu năm</t>
  </si>
  <si>
    <r>
      <t xml:space="preserve">Dự toán điều chỉnh </t>
    </r>
    <r>
      <rPr>
        <b/>
        <vertAlign val="superscript"/>
        <sz val="10"/>
        <color indexed="8"/>
        <rFont val="Arial"/>
        <family val="2"/>
      </rPr>
      <t>(3)</t>
    </r>
  </si>
  <si>
    <t>Số dư dự toán</t>
  </si>
  <si>
    <t>Số dư tạm ứng</t>
  </si>
  <si>
    <t>5= 6+7+8</t>
  </si>
  <si>
    <t>10=5-9</t>
  </si>
  <si>
    <r>
      <t>CHI THƯỜNG XUYÊN</t>
    </r>
    <r>
      <rPr>
        <b/>
        <vertAlign val="superscript"/>
        <sz val="10"/>
        <color indexed="8"/>
        <rFont val="Arial"/>
        <family val="2"/>
      </rPr>
      <t>(4)</t>
    </r>
  </si>
  <si>
    <t>- Kinh phí được giao tự chủ</t>
  </si>
  <si>
    <t>- Kinh phí được bổ sung sau ngày 30 tháng 9 năm …….</t>
  </si>
  <si>
    <t>Kinh phí chương trình MTQG và Chương trình mục tiêu (chi tiết từng chương trình)</t>
  </si>
  <si>
    <t>CHI ĐẦU TƯ PHÁT TRIỂN (5)</t>
  </si>
  <si>
    <t>Dự án A</t>
  </si>
  <si>
    <t>….</t>
  </si>
  <si>
    <t>Ghi chú: Mẫu biểu sử dụng cho cả chi thường xuyên, chi đầu tư phát triển.</t>
  </si>
  <si>
    <t>(1) Do Kho bạc Nhà nước thực hiện.</t>
  </si>
  <si>
    <t>(2) Dự toán năm trước chuyển sang, gồm: số dư dự toán và số dư tạm ứng năm trước được chuyển sang năm sau.</t>
  </si>
  <si>
    <t>(3) Dự toán điều chỉnh là hiệu số giữa số bổ sung với số giảm dự toán trong năm; nếu dương thì ghi dấu cộng (+), nếu âm thì ghi dấu trừ (-).</t>
  </si>
  <si>
    <t xml:space="preserve">(4) Chi tiết theo từng nội dung được phép chuyển nguồn sang năm sau theo quy định của Luật NSNN </t>
  </si>
  <si>
    <t>và Nghị định số 163/2016/NĐ-CP ngày 21/12/2016 của Chính phủ.</t>
  </si>
  <si>
    <t>(5) Đối với chi đầu tư phát triển, số dư dự toán, số dư tạm ứng (chưa thanh toán) chi đầu tư phát triển</t>
  </si>
  <si>
    <t>được chuyển sang năm sau theo quy định của Luật ngân sách nhà nước.</t>
  </si>
  <si>
    <t>.... ngày... tháng... năm...</t>
  </si>
  <si>
    <t>Xác nhận của KBNN</t>
  </si>
  <si>
    <t>THỦ TRƯỞNG ĐƠN VỊ</t>
  </si>
  <si>
    <t>Mẫu biểu số 58</t>
  </si>
  <si>
    <t xml:space="preserve">SỐ DƯ TÀI KHOẢN TIỀN GỬI KINH PHÍ NGÂN SÁCH CẤP CỦA ĐƠN VỊ DỰ TOÁN </t>
  </si>
  <si>
    <t>ĐƯỢC CHUYỂN NGUỒN SANG NĂM SAU CỦA CÁC ĐƠN VỊ THUỘC NGÂN SÁCH CÁC CẤP</t>
  </si>
  <si>
    <t>NĂM …… CHUYỂN SANG NĂM ……..</t>
  </si>
  <si>
    <r>
      <t xml:space="preserve">Mã tính chất nguồn kinh phí </t>
    </r>
    <r>
      <rPr>
        <b/>
        <vertAlign val="superscript"/>
        <sz val="10"/>
        <color indexed="8"/>
        <rFont val="Times New Roman"/>
        <family val="1"/>
      </rPr>
      <t>(1)</t>
    </r>
  </si>
  <si>
    <t>Mục, Tiểu mục</t>
  </si>
  <si>
    <t>Số dư tài khoản tiền gửi</t>
  </si>
  <si>
    <r>
      <t>Kinh phí thường xuyên</t>
    </r>
    <r>
      <rPr>
        <b/>
        <vertAlign val="superscript"/>
        <sz val="10"/>
        <color indexed="8"/>
        <rFont val="Times New Roman"/>
        <family val="1"/>
      </rPr>
      <t>(2)</t>
    </r>
  </si>
  <si>
    <t>- Kinh phí được bổ sung sau ngày 30 tháng 9 năm…..</t>
  </si>
  <si>
    <t>....</t>
  </si>
  <si>
    <t>………..</t>
  </si>
  <si>
    <t>(1) Do Kho bạc Nhà nước thực hiện;</t>
  </si>
  <si>
    <t xml:space="preserve">(2) Chi tiết theo từng nội dung được phép chuyển nguồn sang năm </t>
  </si>
  <si>
    <t xml:space="preserve">sau theo quy định của Luật NSNN và Nghị định số 163/2016/NĐ-CP </t>
  </si>
  <si>
    <t>ngày 21/12/2016 của Chính phủ.</t>
  </si>
  <si>
    <t>070</t>
  </si>
  <si>
    <t>071</t>
  </si>
  <si>
    <r>
      <t xml:space="preserve">Chi các hoạt động kinh tế </t>
    </r>
    <r>
      <rPr>
        <sz val="10"/>
        <color indexed="10"/>
        <rFont val="Arial"/>
        <family val="2"/>
      </rPr>
      <t>(bao gồm 10% tiền SD đất vốn đầu tư chi mục TX)</t>
    </r>
  </si>
  <si>
    <t>Chi an ninh</t>
  </si>
  <si>
    <t xml:space="preserve">Quỹ khuyến học </t>
  </si>
  <si>
    <t xml:space="preserve">Quỹ đền ơn đáp nghĩa </t>
  </si>
  <si>
    <t>Thu hồi khoản chi năm trước đã nộp ngân sách cấp trên ko
 được loại trừ tăng thu 70%</t>
  </si>
  <si>
    <t>KD</t>
  </si>
  <si>
    <t>CN</t>
  </si>
  <si>
    <t>Kèm theo Báo cáo số:        /BC-UBND, ngày        /tháng        năm 2020 của UBND huyện Đăk Tô)</t>
  </si>
  <si>
    <r>
      <t>Chi tiết:</t>
    </r>
    <r>
      <rPr>
        <sz val="10"/>
        <color indexed="8"/>
        <rFont val="Times New Roman"/>
        <family val="1"/>
      </rPr>
      <t>....</t>
    </r>
  </si>
  <si>
    <t>1</t>
  </si>
  <si>
    <t>2</t>
  </si>
  <si>
    <t>3</t>
  </si>
  <si>
    <t xml:space="preserve">Lĩnh vực </t>
  </si>
  <si>
    <t>An ninh</t>
  </si>
  <si>
    <t xml:space="preserve">Quốc phòng </t>
  </si>
  <si>
    <t xml:space="preserve">Sự nghiệp Môi trường </t>
  </si>
  <si>
    <t xml:space="preserve">Sự nghiệp văn hóa thông tin </t>
  </si>
  <si>
    <t xml:space="preserve">Dự toán 
HĐND huyện giao đầu năm </t>
  </si>
  <si>
    <t>Bổ sung trong năm 
nguồn cân đối huyện</t>
  </si>
  <si>
    <t>Bổ sung trong năm 
nguồn BSCMT; MTNV</t>
  </si>
  <si>
    <t xml:space="preserve">Tổng dự
 toán được sử dụng </t>
  </si>
  <si>
    <t>Số
 quyết toán</t>
  </si>
  <si>
    <t>So sánh
 QT/DT</t>
  </si>
  <si>
    <t>Chuyển nguồn năm 
trước chuyển sang</t>
  </si>
  <si>
    <t xml:space="preserve">Nguồn kết dư </t>
  </si>
  <si>
    <t xml:space="preserve">Huyện giao </t>
  </si>
  <si>
    <t xml:space="preserve">Chênh lệch </t>
  </si>
  <si>
    <t xml:space="preserve">Điều chỉnh từ các nguồn </t>
  </si>
  <si>
    <t>- Sự nghiệp kinh tế</t>
  </si>
  <si>
    <t xml:space="preserve">- Sự nghiệp Văn hóa </t>
  </si>
  <si>
    <t xml:space="preserve">- Sự nghiệp đảm bảo xã hội </t>
  </si>
  <si>
    <t>Ghi chú đầu giai đoạn 2016-2020
 không phân bổ chi tiết trừ SN giáo dục, SN môi trường và SN KHCN</t>
  </si>
  <si>
    <t xml:space="preserve">Ghi chú </t>
  </si>
  <si>
    <t>*</t>
  </si>
  <si>
    <t xml:space="preserve">Bổ sung trong năm </t>
  </si>
  <si>
    <t xml:space="preserve">Nguồn chi khác </t>
  </si>
  <si>
    <t xml:space="preserve">Nguồn dự phòng </t>
  </si>
  <si>
    <t xml:space="preserve">Lĩnh vực Quốc phòng </t>
  </si>
  <si>
    <t xml:space="preserve">Tổng dự toán được sử dụng trong năm </t>
  </si>
  <si>
    <t>Tỉnh giao chi tiết giai đoạn trước
 huyện lấy cơ sở nhập biểu phân bổ các lĩnh vực cột tỉnh giao</t>
  </si>
  <si>
    <t xml:space="preserve">Dự toán </t>
  </si>
  <si>
    <t>Chi nguồn dự phòng</t>
  </si>
  <si>
    <t>Chi nguồn tăng thu</t>
  </si>
  <si>
    <t>III.1</t>
  </si>
  <si>
    <t>I.1</t>
  </si>
  <si>
    <t>I.2</t>
  </si>
  <si>
    <t>Chi sự nghiệp giáo dục - đào tạo</t>
  </si>
  <si>
    <t>Chi trợ cấp ngân sách xã</t>
  </si>
  <si>
    <t xml:space="preserve">Tiểu mục </t>
  </si>
  <si>
    <t>rồi</t>
  </si>
  <si>
    <t>Chi y tế</t>
  </si>
  <si>
    <t>III.2</t>
  </si>
  <si>
    <t>Chênh lệch so với BC KB Tạm ứng bằng LCT</t>
  </si>
  <si>
    <t>`</t>
  </si>
  <si>
    <t xml:space="preserve">Dự toán năm </t>
  </si>
  <si>
    <t>70% tăng thu thực hiện CCTL (loại trừ cấp xã)</t>
  </si>
  <si>
    <t>30% tăng thu chi đầu tư theo Luật (loại trừ cấp xã)</t>
  </si>
  <si>
    <t>Tăng thu tiền thu sử dụng đất (loại trừ cấp xã)</t>
  </si>
  <si>
    <t>Đơn vị:  triệu đồng</t>
  </si>
  <si>
    <t>Các xã</t>
  </si>
  <si>
    <t>Khoản thu dịch vụ vệ sinh môi trường</t>
  </si>
  <si>
    <t>Khoản thu dịch vụ tại chợ TTTT Đăk Tô</t>
  </si>
  <si>
    <t>Khoản thu dịch vụ giết mổ GSTT</t>
  </si>
  <si>
    <t>Khoản thu phí kiểm soát giết mổ động vật</t>
  </si>
  <si>
    <t>Khoản thu khai thác mủ cao su</t>
  </si>
  <si>
    <t>Khoản thu kinh doanh hàng hóa, dịch vụ</t>
  </si>
  <si>
    <t xml:space="preserve"> Sự nghiệp giáo dục - đào tạo và dạy nghề</t>
  </si>
  <si>
    <t xml:space="preserve"> Sự nghiệp đào tạo và dạy nghề</t>
  </si>
  <si>
    <t>Thu học phí BTVH</t>
  </si>
  <si>
    <t>-</t>
  </si>
  <si>
    <t>Khoản thu học phí</t>
  </si>
  <si>
    <t>Khoản thu cấp bù học phí</t>
  </si>
  <si>
    <t>Khoản thu dịch vụ hoạt động bán trú</t>
  </si>
  <si>
    <t>Trường MN xã Diên Bình</t>
  </si>
  <si>
    <t>Trường MN Họa Mi</t>
  </si>
  <si>
    <t>Trường MN xã Ngọc Tụ</t>
  </si>
  <si>
    <t>Trường MN xã Đăk Rơ Nga</t>
  </si>
  <si>
    <t>Trường MN xã Đăk Trăm</t>
  </si>
  <si>
    <t>Trường MN xã Văn Lem</t>
  </si>
  <si>
    <t>Trường MN xã Pô Kô</t>
  </si>
  <si>
    <t>Trường TH-THCS xã Pô Kô (Cấp THCS)</t>
  </si>
  <si>
    <t>Trường TH-THCS xã Văn Lem (Cấp THCS)</t>
  </si>
  <si>
    <t>Trường THCS Lương Thế Vinh</t>
  </si>
  <si>
    <t>Trường THCS 24-4</t>
  </si>
  <si>
    <t>Trường THCS xã Ngọc Tụ</t>
  </si>
  <si>
    <t>Trường PTDTBT-THCS Đăk Rơ Nga</t>
  </si>
  <si>
    <t>Trường THCS xã Đăk Trăm</t>
  </si>
  <si>
    <t>0961</t>
  </si>
  <si>
    <t>0962</t>
  </si>
  <si>
    <t>0963</t>
  </si>
  <si>
    <t>0964</t>
  </si>
  <si>
    <t>0965</t>
  </si>
  <si>
    <t>0966</t>
  </si>
  <si>
    <t>0967</t>
  </si>
  <si>
    <t>0968</t>
  </si>
  <si>
    <t xml:space="preserve">- Từ nguồn chuyển nguồn năm2020 chuyển sang 2021 tăng thu </t>
  </si>
  <si>
    <t>Trung ương bổ sung</t>
  </si>
  <si>
    <t>NS cấp tỉnh; Trung ương</t>
  </si>
  <si>
    <t>Dư nguồn đến ngày 31/12/2021</t>
  </si>
  <si>
    <r>
      <t>Chi tiết:</t>
    </r>
    <r>
      <rPr>
        <sz val="10"/>
        <color indexed="8"/>
        <rFont val="Arial"/>
        <family val="2"/>
      </rPr>
      <t xml:space="preserve"> ....</t>
    </r>
  </si>
  <si>
    <t>Mẫu biểu số 66</t>
  </si>
  <si>
    <t>Số chi QLHC tăng so với dự toán tỉnh giao đầu năm</t>
  </si>
  <si>
    <t xml:space="preserve">Tỉnh giao </t>
  </si>
  <si>
    <t xml:space="preserve">Quyết toán </t>
  </si>
  <si>
    <t xml:space="preserve">chênh lệch </t>
  </si>
  <si>
    <t>Số quyết toán chi tăng, giảm so với dự toán</t>
  </si>
  <si>
    <t xml:space="preserve">Do chính sách thay đổi </t>
  </si>
  <si>
    <t>Nhiệm vụ chi đột xuất được bổ sung</t>
  </si>
  <si>
    <t>Kinh phí tiếp xúc cử tri của HĐND tỉnh</t>
  </si>
  <si>
    <t>Tăng, giảm biên chế so với dự toán</t>
  </si>
  <si>
    <t>Hợp đồng lao động theo đề án của Huyện ủy</t>
  </si>
  <si>
    <t>- Số biên chế tăng, giảm</t>
  </si>
  <si>
    <t>- Số kinh phí tăng, giảm</t>
  </si>
  <si>
    <t>Mua sắm tài sản; trang thiết bị văn phòng</t>
  </si>
  <si>
    <t>Trong đó: - Số ô tô</t>
  </si>
  <si>
    <r>
      <t xml:space="preserve">               - Số kinh phí</t>
    </r>
    <r>
      <rPr>
        <sz val="10"/>
        <color indexed="8"/>
        <rFont val="Arial"/>
        <family val="2"/>
      </rPr>
      <t xml:space="preserve"> </t>
    </r>
  </si>
  <si>
    <t>Sửa chữa trụ sở làm việc</t>
  </si>
  <si>
    <t>Ghi chú: Trường hợp (giảm) thì ghi số âm (có dấu trừ ở trước)</t>
  </si>
  <si>
    <t>THUYẾT MINH TĂNG, GIẢM CHI QUẢN LÝ HÀNH CHÍNH, ĐẢNG, ĐOÀN THỂ NĂM 2022</t>
  </si>
  <si>
    <t>Trong đó: Ghi thu, ghi chi tiền thuê đất dự án</t>
  </si>
  <si>
    <t>Trong đó: ghi chi tiền thuê đất dự án</t>
  </si>
  <si>
    <t>Kèm theo Nghi quyết số:       /NQ-HĐND, ngày        /tháng        năm 2020 của HĐND huyện Đăk Tô)</t>
  </si>
  <si>
    <t>Kèm theo Tờ trình số:        /TTr-UBND, ngày        /tháng        năm 2020 của UBND huyện Đăk Tô)</t>
  </si>
  <si>
    <t xml:space="preserve">HUYỆN </t>
  </si>
  <si>
    <t>XÃ</t>
  </si>
  <si>
    <t>TRONG ĐÓ</t>
  </si>
  <si>
    <t>QUYẾT TOÁN THU NSNN, VAY NSĐP NĂM 2022</t>
  </si>
  <si>
    <t>QUYẾT TOÁN CHI NGÂN SÁCH ĐỊA PHƯƠNG NĂM 2022</t>
  </si>
  <si>
    <t>Đăk Tô, ngày       tháng       năm 2023</t>
  </si>
  <si>
    <t>Chi đầu tư phát triển cho chương trình, dự án theo lĩnh vực (Đã loại trừ 351 tr (NSH)+1,801 tỷ (NST) tiền SD đất trích cho công tác đo đạc QT chi TX)</t>
  </si>
  <si>
    <t xml:space="preserve">Chi các hoạt động kinh tế </t>
  </si>
  <si>
    <t>Chi ngành, lĩnh vực khác (huyện giao tăng thêm từ thu SDĐ)</t>
  </si>
  <si>
    <t>Đường giao thông nông thôn (đường ngang số 3), thôn 8, xã Diên Bình; Hạnh mục: Nền mặt đường</t>
  </si>
  <si>
    <t>00492</t>
  </si>
  <si>
    <t>Đường giao thông thôn 4 (đoạn từ đường bà Hai Ga đến đường đi đập Cầu Ri); hạng mục: Nền, mặt đường</t>
  </si>
  <si>
    <t>Đảm bảo an toàn giao thông; Hạng mục: Biển báo, biển chỉ dẫn và gờ giảm tốc</t>
  </si>
  <si>
    <t>Đường giao thông nông thôn (đường ngang số 1), thôn 8, xã Diên Bình; Hạnh mục: Nền mặt đường</t>
  </si>
  <si>
    <t>Đường giao thông thôn 5 (đoạn từ đường tránh lũ đến sân thể thao thôn); hạng mục: Nền, mặt đường</t>
  </si>
  <si>
    <t>Hội trường thôn 5 hạng muc: Xây dựng hội trường và nhà vệ sinh</t>
  </si>
  <si>
    <t>Sửa chữa Hội trường thôn 8; hạng mục: Sửa chữa cổng; hội trường thôn, mái che và làm mới nhà vệ sinh</t>
  </si>
  <si>
    <t>Sửa chữa Hội trường thôn 3; hạng mục: Sửa chữa hội trường; nhà vệ sinh và làm sân bê tông</t>
  </si>
  <si>
    <t xml:space="preserve">Sửa chữa Hội trường thôn Đăk Kang Pêng hạng mục: Sửa chữa hội trường; nhà vệ sinh </t>
  </si>
  <si>
    <t>Lắp đặt dụng cụ thể thao ngoài trời tại nhà văn hóa</t>
  </si>
  <si>
    <t>Đường đi khu SX Đăk Hlin thôn Kon Tu Dốp 1, xã Pô Kô  (Đoạn 5)</t>
  </si>
  <si>
    <t xml:space="preserve"> Đường đi khu SX trại bò thôn Kon Tu Peng, xã Pô Kô (đoạn 2)</t>
  </si>
  <si>
    <t>Sân thể thao, khu vui chơi giải trí trung tâm xã Pô Kô</t>
  </si>
  <si>
    <t xml:space="preserve">Sân bê tông trường trung học cơ sơ xã Pô Kô </t>
  </si>
  <si>
    <t>073</t>
  </si>
  <si>
    <t>Cổng, tường rào và sân bê tông trưởng tiểu học thôn Kon Tu Dốp II, xã Pô Kô (Cụm 2)</t>
  </si>
  <si>
    <t>072</t>
  </si>
  <si>
    <t>Sân bê tông Trường tiểu học thôn Đăk Rao Nhỏ, xã Pô Kô</t>
  </si>
  <si>
    <t>Giếng nước khoan trường tiêu học thôn Đăk Rao Nhỏ  xã Pô Kô</t>
  </si>
  <si>
    <t>Giếng nước khoan điểm trường tiêu học thôn Kon Tu Dốp 2,  xã Pô Kô (cụm 2)</t>
  </si>
  <si>
    <t>Đường nội thôn 2 (đoạn nhà ông Páo) xã Tân Cảnh</t>
  </si>
  <si>
    <t>Đường nội thôn 1 (nhà ông Võ Văn Bình đến thủy điện)</t>
  </si>
  <si>
    <t>Đường liên thôn Đăk Ri Peng 1, Đăk Ri Peng 2</t>
  </si>
  <si>
    <t>3.4</t>
  </si>
  <si>
    <t>Nhà văn hóa thôn 1 xã Tân Cảnh</t>
  </si>
  <si>
    <t>3.5</t>
  </si>
  <si>
    <t>Nhà rông thôn Đăk Ri Peng 2 xã Tân cảnh</t>
  </si>
  <si>
    <t>Đường đi nghĩa trang xã Kon Đào</t>
  </si>
  <si>
    <t>Đường đi sản xuất bòn hòn thôn 1</t>
  </si>
  <si>
    <t>4.3</t>
  </si>
  <si>
    <t>Đường đi sản xuất đăk Lung (đoạn tiếp theo)</t>
  </si>
  <si>
    <t>Đường đi khu sản xuất thôn Kon Pring (đoạn từ nhà ông A Hút đến rẫy ông A Khoa)</t>
  </si>
  <si>
    <t>5.2</t>
  </si>
  <si>
    <t xml:space="preserve"> Bê tông hóa đường đi khu sản xuất nghĩa địa thôn Đăk Tông, Đăk Tăng (đoạn từ đường DH 52 đến nghĩa địa thôn Đăk Tông, Đăk Tăng)</t>
  </si>
  <si>
    <t>5.3</t>
  </si>
  <si>
    <t>Đường đi khu sản xuất thôn Đăk Nu (đoạn từ rẫy ông A Nu đến rẫy ông A Pheh)</t>
  </si>
  <si>
    <t>5.4</t>
  </si>
  <si>
    <t xml:space="preserve">Trường THCS xã Ngọc Tụ; Hạng mục: Phòng bộ môn và hội trường đa năng </t>
  </si>
  <si>
    <t>6.1</t>
  </si>
  <si>
    <t>Đường GTNT thôn Đăk Dé ( sau trường tiểu học); Hạng mục: Nền đường và rãnh thoát nước hai bên</t>
  </si>
  <si>
    <t>6.2</t>
  </si>
  <si>
    <t>Đường đi sản xuất Đăk Rơ Ngát thôn Đăk Manh II; Hạng mục: Cống tràn và đường hai đầu cống</t>
  </si>
  <si>
    <t>6.3</t>
  </si>
  <si>
    <t>Mở rộng đường khu dân cư Tea peak thôn Đăk Manh II</t>
  </si>
  <si>
    <t>6.4</t>
  </si>
  <si>
    <t>Sữa chữa nhà Rông thôn Đăk Kon</t>
  </si>
  <si>
    <t>6.5</t>
  </si>
  <si>
    <t>Sửa chữa nhà rông thôn Đăk Pung</t>
  </si>
  <si>
    <t>6.6</t>
  </si>
  <si>
    <t>Khu thể thao thôn Đăk Dé</t>
  </si>
  <si>
    <t>6.7</t>
  </si>
  <si>
    <t>Khu thể thao thôn Đăk Manh I</t>
  </si>
  <si>
    <t>6.8</t>
  </si>
  <si>
    <t>Khu thể thao thôn Đăk Kon</t>
  </si>
  <si>
    <t>7.1</t>
  </si>
  <si>
    <t>Mương thoát nước 2 bên đường (Đoạn từ QL40B đến cuối thôn Tê Pen)</t>
  </si>
  <si>
    <t>7.2</t>
  </si>
  <si>
    <t>Mương thoát nước 2 bên đường từ nhà rông thôn Đăk Trăm đến Trường THCS</t>
  </si>
  <si>
    <t>7.3</t>
  </si>
  <si>
    <t>Mương thoát nước 2 bên đường từ nhà Ông cấp đi cầu treo Đăk Trăm</t>
  </si>
  <si>
    <t>7.4</t>
  </si>
  <si>
    <t>Mương thoát nước 2 bên đường từ QL 40 đến đường đi cầu treo Đăk Trăm</t>
  </si>
  <si>
    <t>7.5</t>
  </si>
  <si>
    <t xml:space="preserve">Đường đi khu sản xuất thôn Đăk Rô Gia (từ cầu treo đến chốt BVR Đăk Rô Gia,di qua chốt BVR Đăk DRing, quay về cầu treo Đăk Rô Gia) xã Đăk Trăm; HM: Nền, mặt đường và rãnh thoát nước. </t>
  </si>
  <si>
    <t>8.1</t>
  </si>
  <si>
    <r>
      <t xml:space="preserve">Đường đi khu sản xuất thôn Tê Rông </t>
    </r>
    <r>
      <rPr>
        <i/>
        <sz val="11"/>
        <rFont val="Times New Roman"/>
        <family val="1"/>
      </rPr>
      <t>(Từ nhà A Ran đi khu sản xuất thôn Tê Rông)</t>
    </r>
  </si>
  <si>
    <t>8.2</t>
  </si>
  <si>
    <t>Đường đi khu sản xuất thôn Tê Rông (Từ nhà Y Phang đến Suối Tea Kow Teu)</t>
  </si>
  <si>
    <t>8.3</t>
  </si>
  <si>
    <t>Đường đi khu sản xuất thôn Đăk xanh (đoạn DH 51 đến cây đa)</t>
  </si>
  <si>
    <t>8.4</t>
  </si>
  <si>
    <t>Thủy lợi Tea Pto</t>
  </si>
  <si>
    <t xml:space="preserve">Hỗ trợ phát triển sản xuất liên kết theo chuỗi giá trị </t>
  </si>
  <si>
    <t>00493</t>
  </si>
  <si>
    <t>Truyền thông về xây dựng nông thôn mới</t>
  </si>
  <si>
    <t>Phòng Nông nghiệp và Phát triển nông thôn</t>
  </si>
  <si>
    <t>00502</t>
  </si>
  <si>
    <t>Kinh phí hoạt động của cơ quan chỉ đạo Chương trình các cấp</t>
  </si>
  <si>
    <t>Chương trình MTQG phát triển kinh tế - xã hội vùng đồng bào DTTS và DTMN</t>
  </si>
  <si>
    <t>Phòng Dân tộc huyện</t>
  </si>
  <si>
    <t xml:space="preserve"> Cấp nước sinh hoạt tập trung tại thôn Đăk Mơ Ham, xã Pô Kô</t>
  </si>
  <si>
    <t>00511</t>
  </si>
  <si>
    <t>Ban QLDA ĐTXD huyện</t>
  </si>
  <si>
    <t>Dự án sắp xếp, ổn định dân cư tại chỗ xã Pô Kô</t>
  </si>
  <si>
    <t>00512</t>
  </si>
  <si>
    <t>Đường ĐH 55 (đường Đăk Mốt - Kon Tu Peng)</t>
  </si>
  <si>
    <t>00514</t>
  </si>
  <si>
    <t>Cải tạo, sửa chữa chợ Đăk Trăm</t>
  </si>
  <si>
    <t>Trường Phổ thông dân tộc bán trú Trung học cơ sở xã Đăk Rơ Nga</t>
  </si>
  <si>
    <t>00515</t>
  </si>
  <si>
    <t>Đường đi khu sản xuất trại bò thôn Kon Tu Pêng, xã Pô Kô</t>
  </si>
  <si>
    <t>Ngầm qua suối Đăk Na thôn Kon Tu Dốp I, xã Pô Kô</t>
  </si>
  <si>
    <t>Khu thể thao Thôn Đăk Mơ Ham, Xã Pô Kô</t>
  </si>
  <si>
    <t>00516</t>
  </si>
  <si>
    <t xml:space="preserve">Đường nội thôn Kon Đào (đoạn nhà A Phê đến nhà A Ving) </t>
  </si>
  <si>
    <t>Sửa chữa nhà rông thôn Kon Đào</t>
  </si>
  <si>
    <t xml:space="preserve">Trường Mầm non xã Ngọc Tụ (Điểm trường trung tâm) </t>
  </si>
  <si>
    <t>Ngầm Đăk Le, thôn Đăk Chờ (Cống thoát nước và hai đầu đường)</t>
  </si>
  <si>
    <t>Khu thể thao Thôn Kon Hring, xã Ngọc Tụ</t>
  </si>
  <si>
    <t>Đường ra khu sản xuất Đăk Kon (từ nghĩa địa thôn Đăk Pung đến đất ông A Gusk)</t>
  </si>
  <si>
    <t>Đường giao GTNT thôn Đăk Dé (từ đoạn nhà Y Khuya đến nhà ông A Tạo</t>
  </si>
  <si>
    <t>Đường đi khu sản xuất Te Peh, Đăk Manh II</t>
  </si>
  <si>
    <t>Khu thể thao Thôn Đăk Manh II, xã Đăk Rơ Nga</t>
  </si>
  <si>
    <t xml:space="preserve">Đường đi khu  dân cư thôn Đăk Rò (từ  nhà A Đẹp đến hết khu dân cư), xã Đăk Trăm; HM:  Nền, mặt đường và rãnh thoát nước </t>
  </si>
  <si>
    <t>Đường đi khu sản xuất các thôn Đăk Trăm, Tê Pên, Tê Pheo (từ ngầm Đăk PLó đến đập thủy lợi Tea Hao, đến cầu treo Đăk Rô Gia 2) xã Đăk Trăm; HM: Cống tràn và đường hai đầu cống tràn</t>
  </si>
  <si>
    <t>Đường đi khu sản xuất thôn Tê Rông ( Đoạn từ cà phê Y Tý đến rẫy ông Lâm)</t>
  </si>
  <si>
    <t>Đường đi khu sản xuất thôn Tê Pên ( Đoạn từ  ĐH 51 đến rẫy ông A Minh)</t>
  </si>
  <si>
    <t>Đường đi khu sản sản xuất thôn Đăk Xanh ( Đoạn từ ĐH 51 đến rẫy ông A Lu)</t>
  </si>
  <si>
    <t>Đường đi khu sản xuất thôn Tê rông (đoạn từ nhà Y Một đến khu quy hoạt trồng dược liệu.</t>
  </si>
  <si>
    <t>8.5</t>
  </si>
  <si>
    <t>Đường đi khu sản xuất thôn Măng Rương (đoạn từ ĐH 51 đến nhà ông A Binh)</t>
  </si>
  <si>
    <t>Dự án 1</t>
  </si>
  <si>
    <t>Dự án 3</t>
  </si>
  <si>
    <t>Tiểu dự án 1</t>
  </si>
  <si>
    <t>2.1.1</t>
  </si>
  <si>
    <t>00513</t>
  </si>
  <si>
    <t>2.1.2</t>
  </si>
  <si>
    <t>Tiểu dự án 2</t>
  </si>
  <si>
    <t>2.2.1</t>
  </si>
  <si>
    <t>2.2.2</t>
  </si>
  <si>
    <t>2.2.3</t>
  </si>
  <si>
    <t>2.2.4</t>
  </si>
  <si>
    <t>2.2.5</t>
  </si>
  <si>
    <t>Dự án 4</t>
  </si>
  <si>
    <t>Dự án 5</t>
  </si>
  <si>
    <t>Tiểu dự án 3</t>
  </si>
  <si>
    <t>Trung tâm Giáo dục nghề nghiệp - Giáo dục thường xuyên</t>
  </si>
  <si>
    <t>075</t>
  </si>
  <si>
    <t>Tiểu dự án 4</t>
  </si>
  <si>
    <t>083</t>
  </si>
  <si>
    <t>Dự án 6</t>
  </si>
  <si>
    <t>Phòng Văn hóa -Thông tin huyện</t>
  </si>
  <si>
    <t>Dự án 8</t>
  </si>
  <si>
    <t>Hội liên hiệp phụ nữ huyện</t>
  </si>
  <si>
    <t>00518</t>
  </si>
  <si>
    <t>Dự án 9 (Tiểu dự án 2)</t>
  </si>
  <si>
    <t>00519</t>
  </si>
  <si>
    <t>Dự án 10</t>
  </si>
  <si>
    <t>00521</t>
  </si>
  <si>
    <t>Chương trình MTQG Giảm nghèo bền vững</t>
  </si>
  <si>
    <t>00472</t>
  </si>
  <si>
    <t>00476</t>
  </si>
  <si>
    <t>2.1.3</t>
  </si>
  <si>
    <t>2.1.4</t>
  </si>
  <si>
    <t>UBND thị trấn Đăk Tô</t>
  </si>
  <si>
    <t>Dự án 7</t>
  </si>
  <si>
    <t>3.1.1</t>
  </si>
  <si>
    <t>00477</t>
  </si>
  <si>
    <t>3.1.2</t>
  </si>
  <si>
    <t>3.1.3</t>
  </si>
  <si>
    <t>3.2.1</t>
  </si>
  <si>
    <t>3.2.2</t>
  </si>
  <si>
    <t>3.2.3</t>
  </si>
  <si>
    <t>QUYẾT TOÁN CHI CHƯƠNG TRÌNH MỤC TIÊU THEO MỤC LỤC NSNN NĂM 2022</t>
  </si>
  <si>
    <t>Đăk Tô, ngày       tháng        năm 2023</t>
  </si>
  <si>
    <t>NGUỒN 
CÂN ĐỐI (lấy số liệu chưa trừ tiết kiệm)</t>
  </si>
  <si>
    <t>Chi hỗ trợ đối tượng gặp khó khăn do Covid</t>
  </si>
  <si>
    <t>Chi Hỗ trợ hộ cận nghèo đón tết Nguyên đán</t>
  </si>
  <si>
    <t>Chi hỗ trợ tổ cộng đồng phòng chống dịch Covid</t>
  </si>
  <si>
    <t>Mua sắm TTB phòng chống dịch Covid</t>
  </si>
  <si>
    <t>Mua sắm TTB phục vụ công tác đăng ký xe ô tô</t>
  </si>
  <si>
    <t>Giáo dục và Đào tạo</t>
  </si>
  <si>
    <t>Tiền ăn trưa theo Nghị định 105/2020/NĐ-CP</t>
  </si>
  <si>
    <t>Phòng chống dịch viêm da nổi cục trâu, bò</t>
  </si>
  <si>
    <t>Hội thao trung đội DQCĐ cấp tỉnh</t>
  </si>
  <si>
    <t>Tổ chức Hội thao trung đội DQCĐ</t>
  </si>
  <si>
    <t>Huấn luyện kiểm tra SS động viên 2022</t>
  </si>
  <si>
    <t xml:space="preserve">Kinh phí diễn tập </t>
  </si>
  <si>
    <t>Kinh phí thực hiện chính sách trẻ khuyết tật</t>
  </si>
  <si>
    <t>Kinh phí thực hiện chính sách hỗ trợ chi phí học tập NĐ 81</t>
  </si>
  <si>
    <t>Phòng chống dịch sốt xuất huyết</t>
  </si>
  <si>
    <t>KP thực hiện chính sách Nghị định 20/2021/NĐ-CP</t>
  </si>
  <si>
    <t>Tiền điện hộ nghèo</t>
  </si>
  <si>
    <t>Hỗ trợ gạo cứu đói dịp Tết Nguyên đán</t>
  </si>
  <si>
    <t>Lấy mẫu thực hiện xét nghiệm dịch Sar-Cov2 cho công dân nhập ngũ</t>
  </si>
  <si>
    <t>Đề án tiếp tục nâng cáo chất lượng giáo dục đối với học sinh DTTS Nghị quyết 02 của Tỉnh ủy</t>
  </si>
  <si>
    <t>NGUỒN DỰ PHÒNG, TĂNG THU VÀ THƯỞNG VƯỢT DỰ TOÁN THU NGÂN SÁCH NĂM 2022</t>
  </si>
  <si>
    <t>Đăk Tô, ngày    tháng    năm 2023</t>
  </si>
  <si>
    <t>BÁO CÁO CHI CHUYỂN NGUỒN SANG NĂM SAU NĂM 2022</t>
  </si>
  <si>
    <t>BÁO CÁO TÌNH HÌNH KIỂM TOÁN, THANH TRA NĂM 2022</t>
  </si>
  <si>
    <t>Số xử lý năm 2022</t>
  </si>
  <si>
    <t>Kinh phí chi phụ cấp chức danh đội trưởng, đội phó đội dân phòng</t>
  </si>
  <si>
    <t>NGOÀI NGÂN SÁCH DO ĐỊA PHƯƠNG QUẢN LÝ NĂM 2022</t>
  </si>
  <si>
    <t>Kế hoạch năm 2022</t>
  </si>
  <si>
    <t>Thực hiện năm 2022</t>
  </si>
  <si>
    <t>Dư nguồn đến ngày 31/12/2022</t>
  </si>
  <si>
    <t xml:space="preserve">TỔNG HỢP THU DỊCH VỤ CỦA ĐƠN VỊ SỰ NGHIỆP CÔNG NĂM 2022
(KHÔNG BAO GỒM NGUỒN NGÂN SÁCH NHÀ NƯỚC) </t>
  </si>
  <si>
    <t xml:space="preserve">                                                          Đăk Tô, ngày    tháng    năm 2023</t>
  </si>
  <si>
    <t>CHI KHẮC PHỤC HẬU QUẢ THIÊN TAI NĂM 2022</t>
  </si>
  <si>
    <t>Đập thủy lợi ông A Dem, xã Kon Đào</t>
  </si>
  <si>
    <t>Kè chống sạt lở hai bên đầu Cầu 42 và bên phía bờ đông sông Đăk Tờ Kan đoạn từ Cầu 42 đến suối Hồ Sen</t>
  </si>
  <si>
    <t>Sửa chữa sạt lỡ tại Km 9+300 tuyến đường ĐH51</t>
  </si>
  <si>
    <t>Chi sửa chữa đập thủy lợi đoạn A Ngheo thôn Đăk Ri Peng 2 (Tân Cảnh)</t>
  </si>
  <si>
    <t>Chi chống sạt lở bờ suối thôn Măng Rương ảnh hương do bão gây ra (Văn lem)</t>
  </si>
  <si>
    <t>III.1.1</t>
  </si>
  <si>
    <t>Chi nguồn dự phòng cấp huyện</t>
  </si>
  <si>
    <t>III.1.2</t>
  </si>
  <si>
    <t>Chi nguồn dự phòng cấp xã</t>
  </si>
  <si>
    <t>Chi in bảng tuyên truyền, bảng cách ly covid</t>
  </si>
  <si>
    <t>Chi bù hụt nguồn thu ngân sách</t>
  </si>
  <si>
    <t>Chi mua vật tư y tế phòng chống dịch covid</t>
  </si>
  <si>
    <t>Chi tiêu hủy dịch lợn châu phi ( đợt 1) năm 2022</t>
  </si>
  <si>
    <t>Chi tiêu hủy dịch lợn châu phi ( đợt 2)  năm 2022</t>
  </si>
  <si>
    <t>Tiêu hủy lợn bị nhiễm dịch tả lợn châu phi</t>
  </si>
  <si>
    <t>Chi mua vật tư phòng chống bão số 04</t>
  </si>
  <si>
    <t>Chi sửa chữa đập thủy lợi đoạn A Ngheo thôn Đăk Ri Peng 2</t>
  </si>
  <si>
    <t>Chi chống sạt lở bờ suối thôn Măng Rương ảnh hương do bão gây ra</t>
  </si>
  <si>
    <t xml:space="preserve">Chi mua kít test covid -19 </t>
  </si>
  <si>
    <t xml:space="preserve">Chi hỗ trợ tổ cộng đồng covid -19 </t>
  </si>
  <si>
    <t>Chi trực bão lũ</t>
  </si>
  <si>
    <t>Sự nghiệp Văn hóa thông tin</t>
  </si>
  <si>
    <t>Hỗ trợ gạo cứu đói, tết nguyên đán và giáp hạt</t>
  </si>
  <si>
    <t>Hỗ trợ mua chăn lông cứu lạnh</t>
  </si>
  <si>
    <t>Chi mua trang, thiết bị vật tư hỗ trợ covid</t>
  </si>
  <si>
    <t>Chi hỗ trợ công tác phòng chống dịch bệnh sốt xuất huyết</t>
  </si>
  <si>
    <t>Công phun thuốc phòng chống sốt xuất huyết</t>
  </si>
  <si>
    <t>Chi tổ công tác cộng đồng</t>
  </si>
  <si>
    <t xml:space="preserve">Chi mua vật tư y tế </t>
  </si>
  <si>
    <t>Nguồn dự phòng</t>
  </si>
  <si>
    <t xml:space="preserve">Tăng thu </t>
  </si>
  <si>
    <t>CÂN ĐỐI QUYẾT TOÁN NGÂN SÁCH ĐỊA PHƯƠNG NĂM  2022</t>
  </si>
  <si>
    <t>NĂM 2022</t>
  </si>
  <si>
    <t>Tháng 4/2023</t>
  </si>
  <si>
    <t>Phụ lục: 01</t>
  </si>
  <si>
    <t>BÁO CÁO THUYẾT MINH CHI CHUYỂN NGUỒN SANG NĂM 2023</t>
  </si>
  <si>
    <t>(Kèm theo Văn bản số          /STC-QLNS ngày     tháng        năm 2023 của Sở  Tài chinh)</t>
  </si>
  <si>
    <t>ĐVT: triệu đồng</t>
  </si>
  <si>
    <t>T. Mục</t>
  </si>
  <si>
    <t>Năm 2022</t>
  </si>
  <si>
    <t>NS cấp xã</t>
  </si>
  <si>
    <t>Giải trình nguyên nhân, cơ sở chuyển nguồn,….</t>
  </si>
  <si>
    <t>2=3+4</t>
  </si>
  <si>
    <t>Nguồn TƯ bổ sung mục tiêu, CT MTQG (vốn đầu tư)</t>
  </si>
  <si>
    <t>Chuyển nguồn theo khoản 5, Điều 2 Nghị quyết 69/2022/QH15</t>
  </si>
  <si>
    <t>I.1.1</t>
  </si>
  <si>
    <t>Chương trình MTQG NTM</t>
  </si>
  <si>
    <t>I.1.1.1</t>
  </si>
  <si>
    <t>Xã Đăk Rơ Nga</t>
  </si>
  <si>
    <t>Khu thể thao thôn Đăk Manh II</t>
  </si>
  <si>
    <t>I.1.1.2</t>
  </si>
  <si>
    <t>Xã Đăk Trăm</t>
  </si>
  <si>
    <t>Đường nội thôn Đăk Trăm, mương thoát nước 2 bên đường (đoạn từ nhà A Hiếu đến điểm trường MN Đăk Trăm)</t>
  </si>
  <si>
    <t>I.1.1.3</t>
  </si>
  <si>
    <t>Xã Văn Lem</t>
  </si>
  <si>
    <r>
      <t xml:space="preserve">Đường đi khu sản xuất thôn Tê Rông </t>
    </r>
    <r>
      <rPr>
        <i/>
        <sz val="11"/>
        <color indexed="10"/>
        <rFont val="Times New Roman"/>
        <family val="1"/>
      </rPr>
      <t>(Từ nhà A Ran đi khu sản xuất thôn Tê Rông)</t>
    </r>
  </si>
  <si>
    <t>Thủy lợi Teak Tea</t>
  </si>
  <si>
    <t>I.1.2</t>
  </si>
  <si>
    <t>Chương trình MTQG phát triển KT-XH vùng đồng bào dân tộc thiểu số và miền núi</t>
  </si>
  <si>
    <t>I.1.2.1</t>
  </si>
  <si>
    <t>Phòng Dân Tộc</t>
  </si>
  <si>
    <t>Cấp nước sinh hoạt tập trung tại thôn Măng Rương, xã Văn Lem</t>
  </si>
  <si>
    <t>Chưa phân khai chi tiết</t>
  </si>
  <si>
    <t>I.1.2.2</t>
  </si>
  <si>
    <t>I.1.2.3</t>
  </si>
  <si>
    <t xml:space="preserve">Xã Pô Kô </t>
  </si>
  <si>
    <t>Đường GTNT Đăk Rao Nhỏ, xã Pô Kô ( Đoạn từ nhà ông Chung đến nhà ông A Vong)</t>
  </si>
  <si>
    <t>Hỗ trợ đất ở, đất sản xuất và nhà ở</t>
  </si>
  <si>
    <t>I.1.2.4</t>
  </si>
  <si>
    <t>Xã Ngọc Tụ</t>
  </si>
  <si>
    <t>Bê tông hóa đường nội thôn Đăk No (đoạn từ nhà ông Lê Văn Eng đến nhà ông Lê Văn Giai)</t>
  </si>
  <si>
    <t>I.1.2.5</t>
  </si>
  <si>
    <t>I.1.2.6</t>
  </si>
  <si>
    <t>Đường đi khu dân cư Đăk Rô Gia (Đoạn từ nhà Ông  Fêng đến cầu treo rô gia 2);</t>
  </si>
  <si>
    <t xml:space="preserve"> Đường nội thôn Đăk Mông ( Đoạn từ nhà nguyện qua nghĩa địa thôn)</t>
  </si>
  <si>
    <t>I.2.7</t>
  </si>
  <si>
    <t>Nguồn cân đối ngân sách địa phương (vốn đầu tư)</t>
  </si>
  <si>
    <t>Dự án: Đường Phạm Hồng Thái (đoạn từ đường Nguyễn Văn Cừ đến nhà bà Y Phú) thị trấn Đăk Tô, huyện Đăk Tô; Hạng mục: Nền, mặt đường và công trình thoát nước. MQHNS: 7747146</t>
  </si>
  <si>
    <t>Chuyển nguồn sang năm thực hiện</t>
  </si>
  <si>
    <t>Dự án: Mương thoát nước đường Trần Phú (bên cạnh nhà ông Nguyễn Văn Thọ); Hạng mục: Công trình thoát nước. MQHNS: 7916547</t>
  </si>
  <si>
    <t>Dự án: Mương thoát nước đường Trần Phú (bên cạnh nhà ông Nông Văn Ngọ) và Mương thoát nước đường Phạm Văn Đồng (bên cạnh nhà ông Tô Ngọc Phấn); Hạng mục: Công trình thoát nước. MQHNS: 7916300</t>
  </si>
  <si>
    <t>CT: Mương thoát nước Đường huỳnh Đăng Thơ (Đoạn bên cạnh nhà ông hải  và đoạn bên cạnh nhà ông Nguyễn xuân tuyển), Đường bà Trưng (Đoạn cạnh trường học Nguyễn Bỉnh Khiêm); Hạng mục: Mặt đường Bê tông và công trình thoát nước; MQHNS: 7963770</t>
  </si>
  <si>
    <t>CT: Đường đi khu SX qua suối Đăk Sing ( Khu vực phía Đông khối 2) , Thị trấn Đăk Tô; MQHNS: 7976424</t>
  </si>
  <si>
    <t>Tiền thu sử dụng đất dự toán đầu năm 2022</t>
  </si>
  <si>
    <t>Tiền công trình ngầm Đăk Tô</t>
  </si>
  <si>
    <t>Tiền thu sử dụng đất năm 2019 chưa phân khai</t>
  </si>
  <si>
    <t>Tiền thu sử dụng đất năm 2020 chưa phân khai</t>
  </si>
  <si>
    <t>Tiền thu sử dụng đất năm 2021 chưa phân khai</t>
  </si>
  <si>
    <t>Công trình trường tiểu học Nguyễn Bá Ngọc, điểm trường thôn Đăk Ri Peng 1</t>
  </si>
  <si>
    <t>Công trình: Đường đi khu sản xuất thôn Đăk Lung, xã Kon Đào</t>
  </si>
  <si>
    <t>Công trình: Đường đi khu sản xuất thôn Kon Đào 1, Kon Đào 2 (đoạn ngầm đá), xã Kon Đào</t>
  </si>
  <si>
    <t>CT: Đường đi khu sản xuất Đăk Pung ( Đoạn từ ĐH 53 đến nhà Ông A Diêng)</t>
  </si>
  <si>
    <t>CT: Đường vào xóm mới (Đoạn từ ĐH 53 đến đất nhà Ông ABRin) ( huyện bổ sung)</t>
  </si>
  <si>
    <t>CT. Nhà văn hóa xã Đăk Trăm ; HM: Cổng, tường rào, sân nội bộ ( Mã QHNS: 7759869)</t>
  </si>
  <si>
    <t>CT: Trương Mần Non Đăk Rô Gia, Điểm trường Trung Tâm , xã Đăk Trăm; HM: Tường rào ( MQHNN 7843380)</t>
  </si>
  <si>
    <t>CT: Đường đi khu SX thôn Đăk Mông, xã Đăk Trăm; HM: nền, mặt đường và công trình thoát nước; ( MQHNS: 7844035)</t>
  </si>
  <si>
    <t>(1)</t>
  </si>
  <si>
    <t>Nguồn cân đối ngân sách địa phương</t>
  </si>
  <si>
    <t>(chi tiết lĩnh vực chi, nội dung chi)</t>
  </si>
  <si>
    <t>…...</t>
  </si>
  <si>
    <t xml:space="preserve">Nguồn TƯ bổ sung mục tiêu, CT MTQG </t>
  </si>
  <si>
    <t>II.2.1</t>
  </si>
  <si>
    <t>Sự nghiệp giáo dục và đào tạo</t>
  </si>
  <si>
    <t>II.2.1.1</t>
  </si>
  <si>
    <t>Sự nghiệp giáo dục</t>
  </si>
  <si>
    <t>II.2.1.1.1</t>
  </si>
  <si>
    <t>Phòng Giáo dục và Đào tạo huyện</t>
  </si>
  <si>
    <t xml:space="preserve">Các trường học </t>
  </si>
  <si>
    <t>Trường mầm non xã Ngọc Tụ</t>
  </si>
  <si>
    <t>Trường tiểu học xã Ngọc Tụ</t>
  </si>
  <si>
    <t>Trường tiểu học xã Đăk Rơ Nga</t>
  </si>
  <si>
    <t>Trường tiểu học xã Lê Quý Đôn</t>
  </si>
  <si>
    <t>Trường TH - THCS xã Pô Kô (Cấp tiểu học)</t>
  </si>
  <si>
    <t>Trường TH - THCS xã Văn Lem (Cấp tiểu học)</t>
  </si>
  <si>
    <t>Trường TH - THCS xã Văn Lem (Cấp THCS)</t>
  </si>
  <si>
    <t>II.2.1.1.2</t>
  </si>
  <si>
    <t>Trung tâm giáo dục nghề nghiệp - giáo dục thường xuyên</t>
  </si>
  <si>
    <t>Kinh phí tiền lương (nguồn 14)</t>
  </si>
  <si>
    <t>II.2.1.2</t>
  </si>
  <si>
    <t>Sự nghiệp đào tạo</t>
  </si>
  <si>
    <t>II.2.1.2.1</t>
  </si>
  <si>
    <t>Trung tâm bồi dưỡng chính trị huyện</t>
  </si>
  <si>
    <t>II.2.2</t>
  </si>
  <si>
    <t>Sự nghiệp Môi trường</t>
  </si>
  <si>
    <t>II.2.3</t>
  </si>
  <si>
    <t>Sự nghiệp kinh tế</t>
  </si>
  <si>
    <t>II.2.3.1</t>
  </si>
  <si>
    <t>Sự nghiệp nông nghiệp</t>
  </si>
  <si>
    <t>II.2.4</t>
  </si>
  <si>
    <t>II.2.5</t>
  </si>
  <si>
    <t xml:space="preserve">Sự nghiệp Thể dục Thể thao </t>
  </si>
  <si>
    <t>II.2.6</t>
  </si>
  <si>
    <t>Sự nghiệp Phát thanh Truyền hình</t>
  </si>
  <si>
    <t>II.2.7</t>
  </si>
  <si>
    <t>Chi cải tiến tiền lương</t>
  </si>
  <si>
    <t>VI.1</t>
  </si>
  <si>
    <t>VI.1.1</t>
  </si>
  <si>
    <t>VI.1.1.1</t>
  </si>
  <si>
    <t xml:space="preserve"> Đảm bảo QL theo BC:1001 (không bao gồm HĐ cấp dưỡng Nghị định 68) theo lương 1210 - Các trường</t>
  </si>
  <si>
    <t>VI.1.2</t>
  </si>
  <si>
    <t>Kinh phí chi khác (nguồn 13)</t>
  </si>
  <si>
    <t>VI.1.3</t>
  </si>
  <si>
    <t xml:space="preserve">Sinh hoạt phí các vị ĐB HĐND huyện </t>
  </si>
  <si>
    <t>Chuyển nguồn tiền lương gốc 1,210tr đồng</t>
  </si>
  <si>
    <t xml:space="preserve">Kinh phí UBND+HĐND </t>
  </si>
  <si>
    <t>Kinh phí Ban chỉ huy quân sự</t>
  </si>
  <si>
    <t>Kinh phí An ninh trật tự</t>
  </si>
  <si>
    <t>Kinh phí Đảng ủy</t>
  </si>
  <si>
    <t>Chuyển nguồn nộp trả</t>
  </si>
  <si>
    <t>Kinh phí Đoàn thể</t>
  </si>
  <si>
    <t>Kinh phí trợ cấp lần đầu nhận công tác ở vùng đặc biệt khó khăn</t>
  </si>
  <si>
    <t>V.1</t>
  </si>
  <si>
    <t>Hỗ trợ chi phí học tập Nghị định 81 - Các trường</t>
  </si>
  <si>
    <t>Trường mầm non xã Đăk Rơ Nga</t>
  </si>
  <si>
    <t>Trường tiểu học xã Đăk Trăm</t>
  </si>
  <si>
    <t>Trường Mầm non xã Ngọc Tụ</t>
  </si>
  <si>
    <t>V.2</t>
  </si>
  <si>
    <t>Nguồn Tỉnh bổ sung mục tiêu nhiệm vụ</t>
  </si>
  <si>
    <t>Bổ sung kinh phí mua sắm phần mềm thiết kế bài giảng điện tử E - Learning</t>
  </si>
  <si>
    <t>Kinh phí sự nghiệp môi trường (Thị trấn, Diên Bình)</t>
  </si>
  <si>
    <t>Kinh phí sự nghiệp môi trường (Ngọc Tụ, Đăk Trăm)</t>
  </si>
  <si>
    <t>IV.1</t>
  </si>
  <si>
    <t>IV.2</t>
  </si>
  <si>
    <t>IIV</t>
  </si>
  <si>
    <t>IIV.1</t>
  </si>
  <si>
    <t>IIV.1.1</t>
  </si>
  <si>
    <t>Dự phòng ngân sách huyện</t>
  </si>
  <si>
    <t>IIV.1.2</t>
  </si>
  <si>
    <t>Tăng thu Ngân sách huyện năm 2022 so với dự toán 2022</t>
  </si>
  <si>
    <t>IIV.1.3</t>
  </si>
  <si>
    <t>Nguồn CCTL còn tồn</t>
  </si>
  <si>
    <t>Kinh phí tăng thu năm 2020 (70% CCTL, 30% đầu tư)</t>
  </si>
  <si>
    <t>Kinh phí tăng thu năm 2021 (70% CCTL, 30% đầu tư)</t>
  </si>
  <si>
    <t>Kinh phí tăng thu năm 2022 (70% CCTL, 30% đầu tư)</t>
  </si>
  <si>
    <t>Nguồn CTTL tăng thu năm 2020 chưa phân khai</t>
  </si>
  <si>
    <t>Kinh phí 70% tăng thu tạo nguồn cải tiền tiền lương 2021</t>
  </si>
  <si>
    <t>Kinh phí 70% tăng thu tạo nguồn cải tiền tiền lương 2022</t>
  </si>
  <si>
    <t>Kinh phí 30%  tăng thu năm 2019</t>
  </si>
  <si>
    <t>Kinh phí 30% tăng thu năm 2020</t>
  </si>
  <si>
    <t>Kinh phí 30% tăng thu năm 2021</t>
  </si>
  <si>
    <t>Kinh phí 30% tăng thu năm 2022</t>
  </si>
  <si>
    <t>Nguồn dự phòng ngân sách xã năm 2022</t>
  </si>
  <si>
    <t>Nguồn dự phòng năm 2021 chuyển qua</t>
  </si>
  <si>
    <t>Nguồn chi tiết kiệm 10% lần 2 năm 2020</t>
  </si>
  <si>
    <t>Nguồn tiết kiệm chi 10% ( năm 2021)</t>
  </si>
  <si>
    <t>Nguồn tiết kiệm chi 10% (năm 2022)</t>
  </si>
  <si>
    <t>Tiền tăng thu sử dụng đất năm 2018</t>
  </si>
  <si>
    <t>Tiền tăng thu sử dụng đất năm 2019</t>
  </si>
  <si>
    <t>Tiền tăng thu sử dụng đất năm 2020</t>
  </si>
  <si>
    <t>Tiền tăng thu sử dụng đất năm 2021</t>
  </si>
  <si>
    <t>Tiền tăng thu sử dụng đất năm 2022</t>
  </si>
  <si>
    <t>IIIV</t>
  </si>
  <si>
    <t>Kinh phí khác theo quy định của pháp luật</t>
  </si>
  <si>
    <t>IIIV.1</t>
  </si>
  <si>
    <t>IIIV.1.1</t>
  </si>
  <si>
    <t>Các Chương trình mục tiêu quốc gia</t>
  </si>
  <si>
    <t>IIIV.1.1.1</t>
  </si>
  <si>
    <t>Vốn đầu tư</t>
  </si>
  <si>
    <t>(*)</t>
  </si>
  <si>
    <t>Chuyển nguồn tạm ứng</t>
  </si>
  <si>
    <t>IIIV.1.1.2</t>
  </si>
  <si>
    <t>Thực hiện Chương trình mỗi xã một sản phẩm</t>
  </si>
  <si>
    <t>Phòng Nông nghiệp và Phát triển nông thôn huyện</t>
  </si>
  <si>
    <t>Nâng cao hiệu quả hoạt động của các Hợp tác xã nông nghiệp gắn với liên kết theo chuỗi giá trị</t>
  </si>
  <si>
    <t xml:space="preserve">Nâng cao chất lượng môi trường, xây dựng cảnh quan nông thôn sáng, xanh, sạch, đẹp, an toàn </t>
  </si>
  <si>
    <t>Xã Diên Bình</t>
  </si>
  <si>
    <t>Xã Pô Kô</t>
  </si>
  <si>
    <t>Xã Tân Cảnh</t>
  </si>
  <si>
    <t>Xã Kon Đào</t>
  </si>
  <si>
    <t>Các hoạt động khác tại các địa phương</t>
  </si>
  <si>
    <t>Dự án 2: Đa dạng hóa sinh kế, phát triển mô hình giảm nghèo</t>
  </si>
  <si>
    <t>Thị trấn Đăk Tô</t>
  </si>
  <si>
    <t>Dự án 3: Hỗ trợ phát triển sản xuất, cải thiện dinh dưỡng (Tiểu dự án 1: Hỗ trợ phát triển sản xuất)</t>
  </si>
  <si>
    <t>Dự án 4: Phát triển giáo dục nghề nghiệp, việc làm bền vững</t>
  </si>
  <si>
    <t>Tiểu dự án 1: Phát triển giáo dục nghề nghiệp vùng nghèo, vùng khó khăn</t>
  </si>
  <si>
    <t>Phòng Lao động - Thương binh và Xã hội</t>
  </si>
  <si>
    <t>Tiểu dự án 2: Hỗ trợ người lao động đi làm việc ở nước ngoài theo hợp đồng</t>
  </si>
  <si>
    <t>Dự án 6: Truyền thông và giảm nghèo về thông tin</t>
  </si>
  <si>
    <t>Tiểu dự án 1: Giảm nghèo về thông tin</t>
  </si>
  <si>
    <t>Phòng Văn hóa - Thông tin</t>
  </si>
  <si>
    <t>Tiểu dự án 2: Truyền thông về giảm nghèo đa chiều</t>
  </si>
  <si>
    <t>Dự án 7: Nâng cao năng lực và giám sát, đánh giá Chương trình</t>
  </si>
  <si>
    <t>Tiểu dự án 1: Nâng cao năng lực thực hiện Chương trình</t>
  </si>
  <si>
    <t>Tiểu dự án 2: Giám sát, đánh giá</t>
  </si>
  <si>
    <t>Kinh phí năm 2021</t>
  </si>
  <si>
    <t>Kinh phí hỗ trợ phát triển sản xuất, đa dạng hóa sinh kế</t>
  </si>
  <si>
    <t>Kinh phí nhân rộng mô hình giảm nghèo</t>
  </si>
  <si>
    <t>Chương trình mục tiêu quốc gia phát triển kinh tế - xã hội vùng đồng bào dân tộc thiểu số và miền núi năm 2022</t>
  </si>
  <si>
    <t>Dự án 1: Giải quyết tình trạng thiếu đất ở, nhà ở, đất sản xuất, nước sinh hoạt</t>
  </si>
  <si>
    <t>Dự án 3: Phát triển sản xuất nông, lâm nghiệp bền vững, phát huy tiềm năng, thế mạnh của các vùng miền để sản xuất hàng hóa theo chuỗi giá trị</t>
  </si>
  <si>
    <t>Tiểu dự án 1: Phát triển kinh tế nông, lâm nghiệp bền vững gắn với bảo vệ rừng và nâng cao thu nhập cho người dân</t>
  </si>
  <si>
    <t>Tiểu dự án 2: Hỗ trợ phát triển sản xuất theo chuỗi giá trị, vùng trồng dược liệu quý, thúc đẩy khởi sự kinh doanh, khởi nghiệp và thu hút đầu tư vùng đồng bào dân tộc thiểu số và miền núi</t>
  </si>
  <si>
    <t>Dự án 4: Đầu tư cơ sở hạ tầng thiết yếu, phục vụ sản xuất, đời sống trong vùng đồng bào dân tộc thiểu số và miền núi và các đơn vị sự nghiệp công lập của lĩnh vực dân tộc</t>
  </si>
  <si>
    <t>Dự án 5: Phát triển giáo dục đào tạo nâng cao chất lượng nguồn nhân lực</t>
  </si>
  <si>
    <t>Tiểu dự án 1: Đổi mới hoạt động, củng cố phát triển các trường PTDTNT, trường PTDTBT, trường phổ thông có học sinh ở bán trú và xóa mù chữ cho người dân vùng ĐBDTTS</t>
  </si>
  <si>
    <t>Tiểu dự án 2: Bồi dưỡng kiến thức dân tộc; đào tạo dự bị đại học, đại học và sau đại học đáp ứng nhu cầu nhân lực cho vùng đồng bào dân tộc thiểu số và miền núi.</t>
  </si>
  <si>
    <t>Tiểu dự án 3: Dự án phát triển giáo dục nghề nghiệp và giải quyết việc làm cho người lao động vùng dân tộc thiểu số và miền núi.</t>
  </si>
  <si>
    <t>Tiểu dự án 4: Đào tạo nâng cao năng lực cho cộng đồng và cán bộ triển khai Chương trình ở các cấp.</t>
  </si>
  <si>
    <t>Phòng Dân Tộc huyện</t>
  </si>
  <si>
    <t>Dự án 8: Thực hiện bình đẳng giới và giải quyết những vấn đề cấp thiết đối với phụ nữ và trẻ em</t>
  </si>
  <si>
    <t>Hội liên hiệp phụ nữa huyện</t>
  </si>
  <si>
    <t xml:space="preserve">Dự án 9: Đầu tư phát triển nhóm dân tộc thiểu số rất ít người và nhóm dân tộc còn nhiều khó khăn </t>
  </si>
  <si>
    <t>Tiểu dự án 2: Giảm thiểu tình trạng tảo hôn và hôn nhân cận huyết thống trong vùng đồng bào dân tộc thiểu số và miền núi</t>
  </si>
  <si>
    <t>Dự án 10: Truyền thông, tuyên truyền, vận động trong vùng đồng bào dân tộc thiểu số và miền núi. Kiểm tra, giám sát đánh giá việc tổ chức thực hiện Chương trình</t>
  </si>
  <si>
    <t xml:space="preserve"> Tiểu dự án 1: Biểu dương, tôn vinh điển hình tiên tiến, phát huy vai trò của người có uy tín; phổ biến, giáo dục pháp luật, trợ giúp pháp lý và tuyên truyền, vận động đồng bào; truyền thông phục vụ tổ chức triển khai thực hiện Đề án tổng thể và Chương trình</t>
  </si>
  <si>
    <t>Tiểu dự án 2: Ứng dụng công nghệ thông tin hỗ trợ phát triển kinh tế - xã hội và đảm bảo an ninh trật tự vùng đồng bào dân tộc thiểu số và miền núi</t>
  </si>
  <si>
    <t>Tiểu dự án 3: Kiểm tra, giám sát, đánh giá, đào tạo, tập huấn tổ chức thực hiện Chương trình.</t>
  </si>
  <si>
    <t>IIIV.1.2</t>
  </si>
  <si>
    <t>Vốn TW bổ sung thực hiện mục tiêu nhiệm vụ</t>
  </si>
  <si>
    <t>IIIV.2</t>
  </si>
  <si>
    <t>Ngân sách tỉnh bổ sung</t>
  </si>
  <si>
    <t>IIIV.2.1</t>
  </si>
  <si>
    <t>Hỗ trợ có mục tiêu phát triển hạ tầng cụm công nghiệp</t>
  </si>
  <si>
    <t xml:space="preserve">Hạ tầng kỹ thuật Cụm công nghiệp phía tây thị trấn Đăk Tô </t>
  </si>
  <si>
    <t>Nguồn hỗ trợ đầu tư một số công trình cấp bách của huyện</t>
  </si>
  <si>
    <t>Đường Nguyễn Thị Minh Khai (đoạn từ đường Hùng Vương đến đường Phạm Văn Đồng) giai đoạn 1</t>
  </si>
  <si>
    <t>Hỗ trợ có mục tiêu để thực hiện Chương trình xây dựng nông thôn mới (ưu tiên đầu tư giáo dục)</t>
  </si>
  <si>
    <t>Trường mầm non Pô Kô, điểm trường trung tâm thôn Kon Tu Peng, xã Pô Kô</t>
  </si>
  <si>
    <t>Nguồn tăng thu, tiết kiệm chi</t>
  </si>
  <si>
    <t>Lập quy hoạch sử dụng đất huyện Đăk Tô thời kỳ 2021-2030 và lập Kế hoạch sử dụng đất cấp huyện năm 2022</t>
  </si>
  <si>
    <t>Nguồn thu tiền sử dụng đất tỉnh hỗ trợ (kiểm kê đất đai, lập bản đồ hiện trạng sử dụng đất cấp xã năm 2019)</t>
  </si>
  <si>
    <t>Chuyển nguồn nộp trả, hết nhiệm vụ chi (Xã Văn Lem: 8.799.000 đ, xã Tân Cảnh: 8.799.000 đ và xã Diên Bình: 8.800.000 đ)</t>
  </si>
  <si>
    <t>IIIV.2.1.2</t>
  </si>
  <si>
    <t>Hỗ trợ đào tạo bồi dưỡng cán bộ không chuyên trách xã, thôn theo TT 36/TT-BTC (năm 2020 chuyển sang 2021)</t>
  </si>
  <si>
    <t>Hết nhiệm vụ chi chuyển nguồn nộp trả</t>
  </si>
  <si>
    <t>Kinh phí tổ chức Đại biểu HĐND tỉnh TX cử tri và chuyên mục " Diễn đàn cử tri" - Đăk Trăm</t>
  </si>
  <si>
    <t xml:space="preserve">Kinh phí trang bị bộ cồng chiên </t>
  </si>
  <si>
    <t>Kinh phí tổ chức Lễ kỷ niệm 50 năm Chiến thắng Đăk Tô - Tân Cảnh (24/4/1972 -24/4/2022) và đón nhận Bằng xếp hạng di tích quốc gia đặc biệt di tích lịch sử Điểm cao 1015 và Điểm cao 1049.</t>
  </si>
  <si>
    <t xml:space="preserve">Kinh phí hỗ trợ người lao động, người sử dụng lao động gặp khó khăn do đại dịch Covid-19 trên địa bàn tỉnh năm 2021 đợt 2 </t>
  </si>
  <si>
    <t>kinh phí hỗ trợ thường xuyên hằng tháng cho chức danh Đội trưởng, Đội phó Đội dân phòng năm 2030</t>
  </si>
  <si>
    <t xml:space="preserve">Chuyển nguồn nộp trả hết nhiệm vụ chi </t>
  </si>
  <si>
    <t>IIIV.3</t>
  </si>
  <si>
    <t>IIIV.3.1</t>
  </si>
  <si>
    <t>Nguồn cân đối theo tiêu chí, định mức</t>
  </si>
  <si>
    <t>Chuyển nguồn tập trung tại ngân sách huyện</t>
  </si>
  <si>
    <t>Đường Âu Cơ (đoạn từ Nguyễn Văn Trỗi - Nguyễn Thị Minh Khai)</t>
  </si>
  <si>
    <t xml:space="preserve">Trong đó: chuyển tạm ứng: 200,191 trđ, </t>
  </si>
  <si>
    <t>Nguồn thu tiền sử dụng đất</t>
  </si>
  <si>
    <t>Nguồn thu sử dụng đất năm 2022 (Chưa phân khai)</t>
  </si>
  <si>
    <t>Chuyển nguồn phân bổ thực hiện trong năm 2023</t>
  </si>
  <si>
    <t>Chuyển nguồn tập trung tại ngân sách huyện (thu SDĐ 2019)</t>
  </si>
  <si>
    <t>Tăng thu sử dụng đất năm 2021</t>
  </si>
  <si>
    <t>Đường và hệ thống điện vào Cụm công nghiệp phía tây thị trấn Đăk Tô; Hạng mục: Nền, mặt đường, công trình thoát nước và đường dây trung áp 22KV</t>
  </si>
  <si>
    <t>Hết nhiệm vụ chi, chuyển ngân sách huyện</t>
  </si>
  <si>
    <t>Vốn giao cuối năm bố trí đối ứng CT NTM</t>
  </si>
  <si>
    <t xml:space="preserve">Tăng thu ngân sách huyện năm 2021 (30%) </t>
  </si>
  <si>
    <t>Trụ sở Đảng uỷ - HĐND-UBND-UBMTTQ Việt Nam xã Văn Lem; Hạng mục: Nhà làm việc và nhà vệ sinh</t>
  </si>
  <si>
    <t>Công trình hoàn thành trong năm, kéo dài chi trả chi phí quyết toán dự án hoàn thành</t>
  </si>
  <si>
    <t>Trụ sở Đảng uỷ -HĐND-UBND-UBMTTQ Việt Nam xã Đăk Trăm; Hạng mục: Nhà làm việc</t>
  </si>
  <si>
    <t>Trụ sở Trung tâm Giáo dục Nghề nghiệp - Giáo dục thường xuyên huyện Đăk Tô; Hạng mục: Sửa chữa Hội trường và tường rào</t>
  </si>
  <si>
    <t>Trụ sở Trung tâm Văn hóa –Thể thao –Du lịch và Truyền thông huyện Đăk Tô; Hạng mục: Xây dựng mới nhà để xe kết hợp nhà kho, kè chắn đất</t>
  </si>
  <si>
    <t>Trụ sở Đảng uỷ -HĐND-UBND-UBMTTQ Việt Nam xã Diên Bình; Hạng mục: Sửa chữa nhà làm việc Bộ phận Một cửa, sân bê tông và trang thiết bị</t>
  </si>
  <si>
    <t>Đầu tư cơ sở hạ tầng sắp xếp, bố trí dân cư trên diện tích 6,3ha của Công ty TNHH MTV cao su Kon Tum tại thôn Đăk Ri Peng 2, xã Tân Cảnh</t>
  </si>
  <si>
    <t>Đường đi khu sản xuất thôn Đăk Dé, xã Đăk Rơ Nga; Hạng mục: Cống tràn và đường hai đầu cống</t>
  </si>
  <si>
    <t>Vốn giao cuối năm bố trí đối ứng CT DTTS và MN</t>
  </si>
  <si>
    <t>Chuyển nguồn tập trung ngân sách huyện</t>
  </si>
  <si>
    <t>IIIV.3.1.2</t>
  </si>
  <si>
    <t>Hỗ trợ tiền ăn cho cán bộ không hưởng lương tham gia bồi dưỡng các lớp do Sở, ngành tuyến tỉnh tổ chức năm 2020</t>
  </si>
  <si>
    <t>Chuyển nguồn nộp trả hết nhiệm vụ chi</t>
  </si>
  <si>
    <t>Cấp bù miễn thu thủy lợi phí</t>
  </si>
  <si>
    <t>Chuyển nguồn thanh toán kinh phí còn nợ theo 
quyết toán thực tế</t>
  </si>
  <si>
    <t xml:space="preserve">Kinh phí phòng chống dịch </t>
  </si>
  <si>
    <t>c</t>
  </si>
  <si>
    <t>Sự nghiệp đảm bảo xã hội</t>
  </si>
  <si>
    <t>Kinh phí thực hiện chinh sách BTXH</t>
  </si>
  <si>
    <t>Chuyển nguồn thanh toán kinh phí còn nợ chế độ</t>
  </si>
  <si>
    <t xml:space="preserve">Kinh phí tặng quà người có uy tín </t>
  </si>
  <si>
    <t>d</t>
  </si>
  <si>
    <t>Sự nghiệp môi trường</t>
  </si>
  <si>
    <t xml:space="preserve">Trích lại từ phí bảo vệ môi trường chi cho các nd quy định tại khoản 1 Điều 8 Nghị định số 164/2016/NĐ-CP </t>
  </si>
  <si>
    <t>e</t>
  </si>
  <si>
    <t>Nguồn chi tiết kiệm 10% năm 2021</t>
  </si>
  <si>
    <t>Nguồn chi tiết kiệm 10% năm 2022</t>
  </si>
  <si>
    <t>Nguồn thu sử dụng đất còn lại năm 2021</t>
  </si>
  <si>
    <t>Tiền sử dụng đất năm 2019</t>
  </si>
  <si>
    <t>Tiền sử dụng đất năm 2020</t>
  </si>
  <si>
    <t>Tiền sử dụng đất năm 2021</t>
  </si>
  <si>
    <t>Tiền sử dụng đất năm 2022</t>
  </si>
  <si>
    <t>Kinh phí Trung tâm học tập cộng đồng</t>
  </si>
  <si>
    <t>Kinh phí mua thẻ BHYT bảo trợ xã hội</t>
  </si>
  <si>
    <t>Kinh phí Thể dục thể thao</t>
  </si>
  <si>
    <t>Kinh phí sự nghiệp môi trường</t>
  </si>
  <si>
    <t>Kinh phí đất trồng lúa</t>
  </si>
  <si>
    <t>Kinh phí thủy lợi</t>
  </si>
  <si>
    <t xml:space="preserve">Chuyển nguồn nộp trả </t>
  </si>
  <si>
    <t>Kinh phí phòng chống dịch</t>
  </si>
  <si>
    <t>Kinh phí UBND</t>
  </si>
  <si>
    <t>Kinh phí sự nghiệp xã hội</t>
  </si>
  <si>
    <t>Kinh phí tổ công tác cộng đồng phòng chống Covid-19</t>
  </si>
  <si>
    <t>Kinh phí hỗ trợ gạo cứu đói</t>
  </si>
  <si>
    <t>Kinh phí hỗ trợ trồng cây mắc ca</t>
  </si>
  <si>
    <t>Kinh phí khắc phục hậu quả thiên tai</t>
  </si>
  <si>
    <t xml:space="preserve">Kinh phí đào tạo, bồi dưỡng </t>
  </si>
  <si>
    <t>Kinh phí cuộc vận động toàn dân đoàn kết</t>
  </si>
  <si>
    <t>Kinh phí hoạt động Hội người cao tuổi</t>
  </si>
  <si>
    <t>Kinh phí tổ dân phòng</t>
  </si>
  <si>
    <t>Kinh phí sự nghiệp văn hóa</t>
  </si>
  <si>
    <t>Kinh phí ban thanh tra nhân dân</t>
  </si>
  <si>
    <t>Kon Tum, ngày ….......tháng ….. Năm 2023</t>
  </si>
  <si>
    <t>Sửa</t>
  </si>
  <si>
    <t>Biểu số 02</t>
  </si>
  <si>
    <t>BÁO CÁO CHUYỂN NGUỒN NĂM 2022 SANG NĂM 2023 THEO LĨNH VỰC CHI</t>
  </si>
  <si>
    <t>(Kèm theo Công văn số:         /STC-QLNS ngày    tháng     năm 2023 của Sở Tài chính)</t>
  </si>
  <si>
    <t>ĐVT: Triệu đồng</t>
  </si>
  <si>
    <t>Thực hiện chi 05 tháng năm 2021</t>
  </si>
  <si>
    <t>Bao gồm</t>
  </si>
  <si>
    <t>Chuyển nguồn năm 2022 sang năm 2023 (1)</t>
  </si>
  <si>
    <t>Khối huyện</t>
  </si>
  <si>
    <t xml:space="preserve">Khối xã </t>
  </si>
  <si>
    <t>1a</t>
  </si>
  <si>
    <t>1b</t>
  </si>
  <si>
    <t xml:space="preserve">Tổng chi ngân sách ĐP quản lý </t>
  </si>
  <si>
    <t>*Chi ĐTPT (không tính tạm ứng năm trước và vốn kéo dài)</t>
  </si>
  <si>
    <t>Chi đầu tư từ các nguồn vốn thuộc NSĐP</t>
  </si>
  <si>
    <t>Nguồn cân đối ngân sách địa phương ( bao gồm 30% tăng thu)</t>
  </si>
  <si>
    <t>Chi đầu tư từ các nguồn thu để lại</t>
  </si>
  <si>
    <t>Phí sử dụng các công trình kết cấu hạ tầng trong khu kinh tế của khẩu quốc tế Bờ Y</t>
  </si>
  <si>
    <t>Chi đầu tư từ các nguồn vốn thuộc NSTW</t>
  </si>
  <si>
    <t>Chi thường xuyên cân đối ngân sách</t>
  </si>
  <si>
    <t>Chi quốc phòng, an ninh và trật tự an toàn xã hội</t>
  </si>
  <si>
    <t>Chi giáo dục - đào tạo và dạy nghề</t>
  </si>
  <si>
    <t>Chi khoa học và công nghệ</t>
  </si>
  <si>
    <t>Chi y tế, dân số và gia đình</t>
  </si>
  <si>
    <t>Chi văn hóa thông tin</t>
  </si>
  <si>
    <t>Chi phát thanh truyền hình</t>
  </si>
  <si>
    <t>Chi thể dục thể thao</t>
  </si>
  <si>
    <t>Chi bảo vệ môi trường</t>
  </si>
  <si>
    <t>Chi các hoạt động kinh tế</t>
  </si>
  <si>
    <t>Chi quản lý nhà nước, đảng, đoàn thể</t>
  </si>
  <si>
    <t>Chi thường xuyên khác</t>
  </si>
  <si>
    <t xml:space="preserve">Chi từ nguồn bổ sung có mục tiêu từ NSTW cho NSĐP </t>
  </si>
  <si>
    <t>Chương trình mục tiêu quốc gia (Vốn SN)</t>
  </si>
  <si>
    <t>Chương tình MTQG xây dựng nông thôn mới</t>
  </si>
  <si>
    <t>Chương trình MTQG giảm nghèo bền vững</t>
  </si>
  <si>
    <t>Chương trình MTQG phát triển KT-XH vùng DTTS và miền núi</t>
  </si>
  <si>
    <t>Chi cho các nhiệm vụ, chính sách</t>
  </si>
  <si>
    <t>Dự phòng ngân sách</t>
  </si>
  <si>
    <t>Nguồn thực hiện cải cách tiền lương</t>
  </si>
  <si>
    <t xml:space="preserve">Chi từ nguồn tăng thu các dự án khai thác quỹ đất so với dự toán UBND tỉnh giao </t>
  </si>
  <si>
    <t>Trích 70% tạo nguồn CCTL từ nguồn thu thuê đất, bán tài sản trên đất</t>
  </si>
  <si>
    <t xml:space="preserve"> Trích 10% thu tiền sử dụng đất, tiền thuê đất để đầu tư cho công tác đo đạc, đăng ký đất đai, cấp Giấy chứng nhận, xây dựng cơ sở dữ liệu đất đai và đăng ký biến động, chỉnh lý hồ sơ địa chính thường xuyên</t>
  </si>
  <si>
    <t>Trích 2% Quỹ phát triển đất tỉnh từ nguồn thu tiền sử dụng đất giao tăng thu</t>
  </si>
  <si>
    <t>Số còn lại được phân bổ chi đầu tư cấp tỉnh quản lý</t>
  </si>
  <si>
    <t>Số còn lại được phân bổ chi đầu tư cấp huyện quản lý</t>
  </si>
  <si>
    <t>VII</t>
  </si>
  <si>
    <t>Chi từ nguồn thu viện trợ thuộc nguồn thu NSĐP</t>
  </si>
  <si>
    <t>VIII</t>
  </si>
  <si>
    <t>Chi trả nợ lãi</t>
  </si>
  <si>
    <t>IX</t>
  </si>
  <si>
    <t>Bội chi ngân sách địa phương</t>
  </si>
  <si>
    <t>X</t>
  </si>
  <si>
    <t>Chi cho vay từ nguồn vốn trong nước (ủy thác qua NHCSXH)</t>
  </si>
  <si>
    <t>XI</t>
  </si>
  <si>
    <t>Chi trả nợ gốc</t>
  </si>
  <si>
    <t>Ghi chú: (1) Để thuận lợi cho công tác tổng hợp chung toàn tỉnh, đề nghị Phòng Tài chính - Kế hoạch các huyện, thành phố cập nhật số liệu chuyển nguồn 2022 sang 2023 vào đúng biểu mẫu này (không thay đổi cột, dòng); đồng thời lưu ý số liệu tổng hợp báo cáo đảm bảo khớp đúng với số liệu đã hạch toán trên hệ thống TABMIS.</t>
  </si>
</sst>
</file>

<file path=xl/styles.xml><?xml version="1.0" encoding="utf-8"?>
<styleSheet xmlns="http://schemas.openxmlformats.org/spreadsheetml/2006/main">
  <numFmts count="4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_-;\-* #,##0_-;_-* &quot;-&quot;_-;_-@_-"/>
    <numFmt numFmtId="173" formatCode="_-* #,##0.00_-;\-* #,##0.00_-;_-* &quot;-&quot;??_-;_-@_-"/>
    <numFmt numFmtId="174" formatCode="\$#,##0_);\(\$#,##0\)"/>
    <numFmt numFmtId="175" formatCode="\$#,##0_);[Red]\(\$#,##0\)"/>
    <numFmt numFmtId="176" formatCode="\$#,##0.00_);\(\$#,##0.00\)"/>
    <numFmt numFmtId="177" formatCode="\$#,##0.00_);[Red]\(\$#,##0.00\)"/>
    <numFmt numFmtId="178" formatCode="&quot;£&quot;#,##0.00;[Red]\-&quot;£&quot;#,##0.00"/>
    <numFmt numFmtId="179" formatCode="###,###,###"/>
    <numFmt numFmtId="180" formatCode="_-* #,##0\ _₫_-;\-* #,##0\ _₫_-;_-* &quot;-&quot;??\ _₫_-;_-@_-"/>
    <numFmt numFmtId="181" formatCode="00"/>
    <numFmt numFmtId="182" formatCode="_(* #,##0_);_(* \(#,##0\);_(* &quot;-&quot;??_);_(@_)"/>
    <numFmt numFmtId="183" formatCode="#,##0.0"/>
    <numFmt numFmtId="184" formatCode="&quot;Yes&quot;;&quot;Yes&quot;;&quot;No&quot;"/>
    <numFmt numFmtId="185" formatCode="&quot;True&quot;;&quot;True&quot;;&quot;False&quot;"/>
    <numFmt numFmtId="186" formatCode="&quot;On&quot;;&quot;On&quot;;&quot;Off&quot;"/>
    <numFmt numFmtId="187" formatCode="[$€-2]\ #,##0.00_);[Red]\([$€-2]\ #,##0.00\)"/>
    <numFmt numFmtId="188" formatCode="_-* #,##0.0000\ _₫_-;\-* #,##0.0000\ _₫_-;_-* &quot;-&quot;??\ _₫_-;_-@_-"/>
    <numFmt numFmtId="189" formatCode="_-* #,##0.0\ _₫_-;\-* #,##0.0\ _₫_-;_-* &quot;-&quot;??\ _₫_-;_-@_-"/>
    <numFmt numFmtId="190" formatCode="_-* #,##0.00000\ _₫_-;\-* #,##0.00000\ _₫_-;_-* &quot;-&quot;??\ _₫_-;_-@_-"/>
    <numFmt numFmtId="191" formatCode="#,##0.000"/>
    <numFmt numFmtId="192" formatCode="_-* #,##0.000\ _₫_-;\-* #,##0.000\ _₫_-;_-* &quot;-&quot;??\ _₫_-;_-@_-"/>
    <numFmt numFmtId="193" formatCode="_-* #,##0.000000\ _₫_-;\-* #,##0.000000\ _₫_-;_-* &quot;-&quot;??\ _₫_-;_-@_-"/>
    <numFmt numFmtId="194" formatCode="_(* #,##0.000_);_(* \(#,##0.000\);_(* &quot;-&quot;??_);_(@_)"/>
    <numFmt numFmtId="195" formatCode="_-* #,##0.0000000\ _₫_-;\-* #,##0.0000000\ _₫_-;_-* &quot;-&quot;??\ _₫_-;_-@_-"/>
    <numFmt numFmtId="196" formatCode="#,##0.00000000"/>
    <numFmt numFmtId="197" formatCode="#,##0.00000"/>
    <numFmt numFmtId="198" formatCode="_(* #,##0.000000_);_(* \(#,##0.000000\);_(* &quot;-&quot;??_);_(@_)"/>
    <numFmt numFmtId="199" formatCode="#,##0.000000"/>
    <numFmt numFmtId="200" formatCode="_(* #,##0.000_);_(* \(#,##0.000\);_(* &quot;-&quot;???_);_(@_)"/>
    <numFmt numFmtId="201" formatCode="#,##0.0000"/>
  </numFmts>
  <fonts count="209">
    <font>
      <sz val="10"/>
      <color theme="1"/>
      <name val="Times New Roman"/>
      <family val="1"/>
    </font>
    <font>
      <sz val="11"/>
      <color indexed="8"/>
      <name val="Calibri"/>
      <family val="2"/>
    </font>
    <font>
      <sz val="10"/>
      <color indexed="8"/>
      <name val="Times New Roman"/>
      <family val="1"/>
    </font>
    <font>
      <b/>
      <sz val="10"/>
      <color indexed="8"/>
      <name val="Arial"/>
      <family val="2"/>
    </font>
    <font>
      <sz val="10"/>
      <color indexed="8"/>
      <name val="Arial"/>
      <family val="2"/>
    </font>
    <font>
      <b/>
      <sz val="12"/>
      <name val="Times New Roman"/>
      <family val="1"/>
    </font>
    <font>
      <i/>
      <sz val="9"/>
      <name val="Times New Roman"/>
      <family val="1"/>
    </font>
    <font>
      <i/>
      <sz val="12"/>
      <name val="Times New Roman"/>
      <family val="1"/>
    </font>
    <font>
      <sz val="13"/>
      <color indexed="8"/>
      <name val="Times New Roman"/>
      <family val="1"/>
    </font>
    <font>
      <sz val="12"/>
      <name val="Times New Roman"/>
      <family val="1"/>
    </font>
    <font>
      <b/>
      <sz val="11"/>
      <name val="Times New Roman"/>
      <family val="1"/>
    </font>
    <font>
      <sz val="10"/>
      <name val="Times New Roman"/>
      <family val="1"/>
    </font>
    <font>
      <b/>
      <i/>
      <sz val="11"/>
      <name val="Times New Roman"/>
      <family val="1"/>
    </font>
    <font>
      <b/>
      <sz val="13"/>
      <name val="Times New Roman"/>
      <family val="1"/>
    </font>
    <font>
      <b/>
      <sz val="14"/>
      <name val="Times New Roman"/>
      <family val="1"/>
    </font>
    <font>
      <i/>
      <sz val="10"/>
      <name val="Times New Roman"/>
      <family val="1"/>
    </font>
    <font>
      <i/>
      <sz val="11"/>
      <name val="Times New Roman"/>
      <family val="1"/>
    </font>
    <font>
      <sz val="12"/>
      <color indexed="8"/>
      <name val="Times New Roman"/>
      <family val="1"/>
    </font>
    <font>
      <i/>
      <sz val="12"/>
      <color indexed="8"/>
      <name val="Times New Roman"/>
      <family val="1"/>
    </font>
    <font>
      <i/>
      <sz val="14"/>
      <name val="Times New Roman"/>
      <family val="1"/>
    </font>
    <font>
      <b/>
      <sz val="10"/>
      <name val="Times New Roman"/>
      <family val="1"/>
    </font>
    <font>
      <sz val="14"/>
      <name val="Times New Roman"/>
      <family val="1"/>
    </font>
    <font>
      <sz val="11"/>
      <color indexed="8"/>
      <name val="Times New Roman"/>
      <family val="1"/>
    </font>
    <font>
      <sz val="11"/>
      <name val="Times New Roman"/>
      <family val="1"/>
    </font>
    <font>
      <b/>
      <i/>
      <sz val="10"/>
      <name val="Times New Roman"/>
      <family val="1"/>
    </font>
    <font>
      <sz val="9"/>
      <name val="Times New Roman"/>
      <family val="1"/>
    </font>
    <font>
      <b/>
      <sz val="26"/>
      <name val="Times New Roman"/>
      <family val="1"/>
    </font>
    <font>
      <b/>
      <sz val="20"/>
      <name val="Times New Roman"/>
      <family val="1"/>
    </font>
    <font>
      <sz val="12"/>
      <name val=".VnArial Narrow"/>
      <family val="2"/>
    </font>
    <font>
      <sz val="10"/>
      <name val="Arial"/>
      <family val="2"/>
    </font>
    <font>
      <b/>
      <vertAlign val="superscript"/>
      <sz val="10"/>
      <color indexed="8"/>
      <name val="Times New Roman"/>
      <family val="1"/>
    </font>
    <font>
      <b/>
      <vertAlign val="superscript"/>
      <sz val="10"/>
      <color indexed="8"/>
      <name val="Arial"/>
      <family val="2"/>
    </font>
    <font>
      <i/>
      <sz val="9"/>
      <color indexed="8"/>
      <name val="Times New Roman"/>
      <family val="1"/>
    </font>
    <font>
      <b/>
      <sz val="9"/>
      <name val="Tahoma"/>
      <family val="2"/>
    </font>
    <font>
      <sz val="9"/>
      <name val="Tahoma"/>
      <family val="2"/>
    </font>
    <font>
      <sz val="10"/>
      <color indexed="10"/>
      <name val="Arial"/>
      <family val="2"/>
    </font>
    <font>
      <b/>
      <sz val="9"/>
      <name val="Times New Roman"/>
      <family val="1"/>
    </font>
    <font>
      <b/>
      <i/>
      <sz val="12"/>
      <name val="Times New Roman"/>
      <family val="1"/>
    </font>
    <font>
      <i/>
      <sz val="10"/>
      <name val="Arial"/>
      <family val="2"/>
    </font>
    <font>
      <i/>
      <sz val="13"/>
      <color indexed="8"/>
      <name val="Times New Roman"/>
      <family val="1"/>
    </font>
    <font>
      <b/>
      <sz val="12"/>
      <color indexed="8"/>
      <name val="Times New Roman"/>
      <family val="1"/>
    </font>
    <font>
      <i/>
      <sz val="11"/>
      <color indexed="10"/>
      <name val="Times New Roman"/>
      <family val="1"/>
    </font>
    <font>
      <i/>
      <sz val="11"/>
      <color indexed="48"/>
      <name val="Arial Narrow"/>
      <family val="2"/>
    </font>
    <font>
      <i/>
      <sz val="11"/>
      <color indexed="10"/>
      <name val="Arial Narrow"/>
      <family val="2"/>
    </font>
    <font>
      <i/>
      <sz val="13"/>
      <name val="Times New Roman"/>
      <family val="1"/>
    </font>
    <font>
      <sz val="13"/>
      <name val="Times New Roman"/>
      <family val="1"/>
    </font>
    <font>
      <sz val="10"/>
      <color indexed="9"/>
      <name val="Times New Roman"/>
      <family val="1"/>
    </font>
    <font>
      <sz val="10"/>
      <color indexed="20"/>
      <name val="Times New Roman"/>
      <family val="1"/>
    </font>
    <font>
      <b/>
      <sz val="10"/>
      <color indexed="52"/>
      <name val="Times New Roman"/>
      <family val="1"/>
    </font>
    <font>
      <b/>
      <sz val="10"/>
      <color indexed="9"/>
      <name val="Times New Roman"/>
      <family val="1"/>
    </font>
    <font>
      <i/>
      <sz val="10"/>
      <color indexed="23"/>
      <name val="Times New Roman"/>
      <family val="1"/>
    </font>
    <font>
      <u val="single"/>
      <sz val="10"/>
      <color indexed="25"/>
      <name val="Times New Roman"/>
      <family val="1"/>
    </font>
    <font>
      <sz val="10"/>
      <color indexed="17"/>
      <name val="Times New Roman"/>
      <family val="1"/>
    </font>
    <font>
      <b/>
      <sz val="15"/>
      <color indexed="54"/>
      <name val="Times New Roman"/>
      <family val="1"/>
    </font>
    <font>
      <b/>
      <sz val="13"/>
      <color indexed="54"/>
      <name val="Times New Roman"/>
      <family val="1"/>
    </font>
    <font>
      <b/>
      <sz val="11"/>
      <color indexed="54"/>
      <name val="Times New Roman"/>
      <family val="1"/>
    </font>
    <font>
      <u val="single"/>
      <sz val="10"/>
      <color indexed="30"/>
      <name val="Times New Roman"/>
      <family val="1"/>
    </font>
    <font>
      <sz val="10"/>
      <color indexed="62"/>
      <name val="Times New Roman"/>
      <family val="1"/>
    </font>
    <font>
      <sz val="10"/>
      <color indexed="52"/>
      <name val="Times New Roman"/>
      <family val="1"/>
    </font>
    <font>
      <sz val="10"/>
      <color indexed="60"/>
      <name val="Times New Roman"/>
      <family val="1"/>
    </font>
    <font>
      <b/>
      <sz val="10"/>
      <color indexed="63"/>
      <name val="Times New Roman"/>
      <family val="1"/>
    </font>
    <font>
      <sz val="18"/>
      <color indexed="54"/>
      <name val="Calibri Light"/>
      <family val="2"/>
    </font>
    <font>
      <b/>
      <sz val="10"/>
      <color indexed="8"/>
      <name val="Times New Roman"/>
      <family val="1"/>
    </font>
    <font>
      <sz val="10"/>
      <color indexed="10"/>
      <name val="Times New Roman"/>
      <family val="1"/>
    </font>
    <font>
      <i/>
      <sz val="10"/>
      <color indexed="8"/>
      <name val="Times New Roman"/>
      <family val="1"/>
    </font>
    <font>
      <b/>
      <sz val="11"/>
      <color indexed="10"/>
      <name val="Calibri"/>
      <family val="2"/>
    </font>
    <font>
      <sz val="14"/>
      <color indexed="8"/>
      <name val="Times New Roman"/>
      <family val="1"/>
    </font>
    <font>
      <b/>
      <i/>
      <sz val="10"/>
      <color indexed="8"/>
      <name val="Times New Roman"/>
      <family val="1"/>
    </font>
    <font>
      <b/>
      <sz val="11"/>
      <color indexed="8"/>
      <name val="Times New Roman"/>
      <family val="1"/>
    </font>
    <font>
      <b/>
      <i/>
      <sz val="11"/>
      <color indexed="8"/>
      <name val="Times New Roman"/>
      <family val="1"/>
    </font>
    <font>
      <b/>
      <sz val="14"/>
      <color indexed="8"/>
      <name val="Times New Roman"/>
      <family val="1"/>
    </font>
    <font>
      <sz val="11"/>
      <color indexed="10"/>
      <name val="Times New Roman"/>
      <family val="1"/>
    </font>
    <font>
      <b/>
      <sz val="11"/>
      <color indexed="10"/>
      <name val="Times New Roman"/>
      <family val="1"/>
    </font>
    <font>
      <i/>
      <sz val="10"/>
      <color indexed="8"/>
      <name val="Arial"/>
      <family val="2"/>
    </font>
    <font>
      <b/>
      <sz val="10"/>
      <color indexed="36"/>
      <name val="Arial"/>
      <family val="2"/>
    </font>
    <font>
      <b/>
      <i/>
      <sz val="10"/>
      <color indexed="8"/>
      <name val="Arial"/>
      <family val="2"/>
    </font>
    <font>
      <b/>
      <sz val="10"/>
      <color indexed="10"/>
      <name val="Arial"/>
      <family val="2"/>
    </font>
    <font>
      <b/>
      <sz val="10"/>
      <color indexed="10"/>
      <name val="Times New Roman"/>
      <family val="1"/>
    </font>
    <font>
      <sz val="10"/>
      <color indexed="36"/>
      <name val="Times New Roman"/>
      <family val="1"/>
    </font>
    <font>
      <sz val="10"/>
      <color indexed="30"/>
      <name val="Times New Roman"/>
      <family val="1"/>
    </font>
    <font>
      <b/>
      <sz val="10"/>
      <color indexed="30"/>
      <name val="Arial"/>
      <family val="2"/>
    </font>
    <font>
      <sz val="10"/>
      <color indexed="36"/>
      <name val="Arial"/>
      <family val="2"/>
    </font>
    <font>
      <sz val="10"/>
      <color indexed="30"/>
      <name val="Arial"/>
      <family val="2"/>
    </font>
    <font>
      <i/>
      <sz val="10"/>
      <color indexed="10"/>
      <name val="Arial"/>
      <family val="2"/>
    </font>
    <font>
      <sz val="9"/>
      <color indexed="8"/>
      <name val="Times New Roman"/>
      <family val="1"/>
    </font>
    <font>
      <b/>
      <sz val="9"/>
      <color indexed="10"/>
      <name val="Times New Roman"/>
      <family val="1"/>
    </font>
    <font>
      <b/>
      <sz val="9"/>
      <color indexed="60"/>
      <name val="Times New Roman"/>
      <family val="1"/>
    </font>
    <font>
      <b/>
      <sz val="9"/>
      <color indexed="8"/>
      <name val="Times New Roman"/>
      <family val="1"/>
    </font>
    <font>
      <u val="single"/>
      <sz val="9"/>
      <color indexed="30"/>
      <name val="Times New Roman"/>
      <family val="1"/>
    </font>
    <font>
      <sz val="9"/>
      <color indexed="10"/>
      <name val="Times New Roman"/>
      <family val="1"/>
    </font>
    <font>
      <b/>
      <i/>
      <sz val="9"/>
      <color indexed="8"/>
      <name val="Times New Roman"/>
      <family val="1"/>
    </font>
    <font>
      <i/>
      <sz val="9"/>
      <color indexed="10"/>
      <name val="Times New Roman"/>
      <family val="1"/>
    </font>
    <font>
      <i/>
      <sz val="10"/>
      <color indexed="10"/>
      <name val="Times New Roman"/>
      <family val="1"/>
    </font>
    <font>
      <sz val="12"/>
      <color indexed="10"/>
      <name val="Times New Roman"/>
      <family val="1"/>
    </font>
    <font>
      <b/>
      <i/>
      <sz val="10"/>
      <color indexed="10"/>
      <name val="Times New Roman"/>
      <family val="1"/>
    </font>
    <font>
      <b/>
      <i/>
      <sz val="12"/>
      <color indexed="8"/>
      <name val="Times New Roman"/>
      <family val="1"/>
    </font>
    <font>
      <i/>
      <sz val="12"/>
      <color indexed="8"/>
      <name val="Arial"/>
      <family val="2"/>
    </font>
    <font>
      <sz val="12"/>
      <color indexed="57"/>
      <name val="Times New Roman"/>
      <family val="1"/>
    </font>
    <font>
      <b/>
      <sz val="12"/>
      <color indexed="8"/>
      <name val="Arial"/>
      <family val="2"/>
    </font>
    <font>
      <i/>
      <sz val="12"/>
      <color indexed="57"/>
      <name val="Arial"/>
      <family val="2"/>
    </font>
    <font>
      <sz val="12"/>
      <color indexed="36"/>
      <name val="Times New Roman"/>
      <family val="1"/>
    </font>
    <font>
      <i/>
      <sz val="10"/>
      <color indexed="36"/>
      <name val="Arial"/>
      <family val="2"/>
    </font>
    <font>
      <b/>
      <i/>
      <sz val="10"/>
      <color indexed="10"/>
      <name val="Arial"/>
      <family val="2"/>
    </font>
    <font>
      <b/>
      <sz val="12"/>
      <color indexed="10"/>
      <name val="Arial"/>
      <family val="2"/>
    </font>
    <font>
      <i/>
      <sz val="12"/>
      <color indexed="10"/>
      <name val="Arial"/>
      <family val="2"/>
    </font>
    <font>
      <b/>
      <i/>
      <sz val="9"/>
      <color indexed="10"/>
      <name val="Times New Roman"/>
      <family val="1"/>
    </font>
    <font>
      <i/>
      <sz val="14"/>
      <color indexed="8"/>
      <name val="Times New Roman"/>
      <family val="1"/>
    </font>
    <font>
      <b/>
      <sz val="12"/>
      <color indexed="10"/>
      <name val="Times New Roman"/>
      <family val="1"/>
    </font>
    <font>
      <b/>
      <sz val="12"/>
      <color indexed="36"/>
      <name val="Times New Roman"/>
      <family val="1"/>
    </font>
    <font>
      <b/>
      <i/>
      <sz val="12"/>
      <color indexed="10"/>
      <name val="Times New Roman"/>
      <family val="1"/>
    </font>
    <font>
      <i/>
      <sz val="12"/>
      <color indexed="10"/>
      <name val="Times New Roman"/>
      <family val="1"/>
    </font>
    <font>
      <sz val="11"/>
      <color indexed="36"/>
      <name val="Times New Roman"/>
      <family val="1"/>
    </font>
    <font>
      <b/>
      <i/>
      <sz val="11"/>
      <color indexed="36"/>
      <name val="Times New Roman"/>
      <family val="1"/>
    </font>
    <font>
      <b/>
      <u val="single"/>
      <sz val="9"/>
      <color indexed="30"/>
      <name val="Times New Roman"/>
      <family val="1"/>
    </font>
    <font>
      <b/>
      <sz val="9"/>
      <color indexed="53"/>
      <name val="Times New Roman"/>
      <family val="1"/>
    </font>
    <font>
      <b/>
      <i/>
      <sz val="12"/>
      <color indexed="8"/>
      <name val="Arial"/>
      <family val="2"/>
    </font>
    <font>
      <b/>
      <sz val="14"/>
      <color indexed="8"/>
      <name val="Arial"/>
      <family val="2"/>
    </font>
    <font>
      <sz val="11"/>
      <color theme="1"/>
      <name val="Calibri"/>
      <family val="2"/>
    </font>
    <font>
      <sz val="10"/>
      <color theme="0"/>
      <name val="Times New Roman"/>
      <family val="1"/>
    </font>
    <font>
      <sz val="10"/>
      <color rgb="FF9C0006"/>
      <name val="Times New Roman"/>
      <family val="1"/>
    </font>
    <font>
      <b/>
      <sz val="10"/>
      <color rgb="FFFA7D00"/>
      <name val="Times New Roman"/>
      <family val="1"/>
    </font>
    <font>
      <b/>
      <sz val="10"/>
      <color theme="0"/>
      <name val="Times New Roman"/>
      <family val="1"/>
    </font>
    <font>
      <i/>
      <sz val="10"/>
      <color rgb="FF7F7F7F"/>
      <name val="Times New Roman"/>
      <family val="1"/>
    </font>
    <font>
      <u val="single"/>
      <sz val="10"/>
      <color theme="11"/>
      <name val="Times New Roman"/>
      <family val="1"/>
    </font>
    <font>
      <sz val="10"/>
      <color rgb="FF006100"/>
      <name val="Times New Roman"/>
      <family val="1"/>
    </font>
    <font>
      <b/>
      <sz val="15"/>
      <color theme="3"/>
      <name val="Times New Roman"/>
      <family val="1"/>
    </font>
    <font>
      <b/>
      <sz val="13"/>
      <color theme="3"/>
      <name val="Times New Roman"/>
      <family val="1"/>
    </font>
    <font>
      <b/>
      <sz val="11"/>
      <color theme="3"/>
      <name val="Times New Roman"/>
      <family val="1"/>
    </font>
    <font>
      <u val="single"/>
      <sz val="10"/>
      <color theme="10"/>
      <name val="Times New Roman"/>
      <family val="1"/>
    </font>
    <font>
      <sz val="10"/>
      <color rgb="FF3F3F76"/>
      <name val="Times New Roman"/>
      <family val="1"/>
    </font>
    <font>
      <sz val="10"/>
      <color rgb="FFFA7D00"/>
      <name val="Times New Roman"/>
      <family val="1"/>
    </font>
    <font>
      <sz val="10"/>
      <color rgb="FF9C6500"/>
      <name val="Times New Roman"/>
      <family val="1"/>
    </font>
    <font>
      <b/>
      <sz val="10"/>
      <color rgb="FF3F3F3F"/>
      <name val="Times New Roman"/>
      <family val="1"/>
    </font>
    <font>
      <sz val="18"/>
      <color theme="3"/>
      <name val="Calibri Light"/>
      <family val="2"/>
    </font>
    <font>
      <b/>
      <sz val="10"/>
      <color theme="1"/>
      <name val="Times New Roman"/>
      <family val="1"/>
    </font>
    <font>
      <sz val="10"/>
      <color rgb="FFFF0000"/>
      <name val="Times New Roman"/>
      <family val="1"/>
    </font>
    <font>
      <b/>
      <sz val="10"/>
      <color rgb="FF000000"/>
      <name val="Times New Roman"/>
      <family val="1"/>
    </font>
    <font>
      <sz val="10"/>
      <color rgb="FF000000"/>
      <name val="Times New Roman"/>
      <family val="1"/>
    </font>
    <font>
      <i/>
      <sz val="10"/>
      <color rgb="FF000000"/>
      <name val="Times New Roman"/>
      <family val="1"/>
    </font>
    <font>
      <b/>
      <sz val="10"/>
      <color rgb="FF000000"/>
      <name val="Arial"/>
      <family val="2"/>
    </font>
    <font>
      <sz val="10"/>
      <color rgb="FF000000"/>
      <name val="Arial"/>
      <family val="2"/>
    </font>
    <font>
      <b/>
      <sz val="11"/>
      <color rgb="FFFF0000"/>
      <name val="Calibri"/>
      <family val="2"/>
    </font>
    <font>
      <i/>
      <sz val="12"/>
      <color theme="1"/>
      <name val="Times New Roman"/>
      <family val="1"/>
    </font>
    <font>
      <sz val="12"/>
      <color theme="1"/>
      <name val="Times New Roman"/>
      <family val="1"/>
    </font>
    <font>
      <i/>
      <sz val="13"/>
      <color theme="1"/>
      <name val="Times New Roman"/>
      <family val="1"/>
    </font>
    <font>
      <sz val="14"/>
      <color theme="1"/>
      <name val="Times New Roman"/>
      <family val="1"/>
    </font>
    <font>
      <b/>
      <i/>
      <sz val="10"/>
      <color theme="1"/>
      <name val="Times New Roman"/>
      <family val="1"/>
    </font>
    <font>
      <b/>
      <sz val="11"/>
      <color theme="1"/>
      <name val="Times New Roman"/>
      <family val="1"/>
    </font>
    <font>
      <sz val="11"/>
      <color theme="1"/>
      <name val="Times New Roman"/>
      <family val="1"/>
    </font>
    <font>
      <b/>
      <i/>
      <sz val="11"/>
      <color theme="1"/>
      <name val="Times New Roman"/>
      <family val="1"/>
    </font>
    <font>
      <b/>
      <sz val="14"/>
      <color theme="1"/>
      <name val="Times New Roman"/>
      <family val="1"/>
    </font>
    <font>
      <b/>
      <sz val="12"/>
      <color theme="1"/>
      <name val="Times New Roman"/>
      <family val="1"/>
    </font>
    <font>
      <sz val="11"/>
      <color rgb="FFFF0000"/>
      <name val="Times New Roman"/>
      <family val="1"/>
    </font>
    <font>
      <b/>
      <sz val="11"/>
      <color rgb="FFFF0000"/>
      <name val="Times New Roman"/>
      <family val="1"/>
    </font>
    <font>
      <i/>
      <sz val="10"/>
      <color rgb="FF000000"/>
      <name val="Arial"/>
      <family val="2"/>
    </font>
    <font>
      <sz val="10"/>
      <color rgb="FFFF0000"/>
      <name val="Arial"/>
      <family val="2"/>
    </font>
    <font>
      <b/>
      <sz val="12"/>
      <color rgb="FF000000"/>
      <name val="Times New Roman"/>
      <family val="1"/>
    </font>
    <font>
      <sz val="12"/>
      <color rgb="FF000000"/>
      <name val="Times New Roman"/>
      <family val="1"/>
    </font>
    <font>
      <i/>
      <sz val="12"/>
      <color rgb="FF000000"/>
      <name val="Times New Roman"/>
      <family val="1"/>
    </font>
    <font>
      <i/>
      <sz val="10"/>
      <color theme="1"/>
      <name val="Times New Roman"/>
      <family val="1"/>
    </font>
    <font>
      <b/>
      <sz val="10"/>
      <color rgb="FF7030A0"/>
      <name val="Arial"/>
      <family val="2"/>
    </font>
    <font>
      <b/>
      <i/>
      <sz val="10"/>
      <color rgb="FF000000"/>
      <name val="Arial"/>
      <family val="2"/>
    </font>
    <font>
      <b/>
      <sz val="10"/>
      <color rgb="FFFF0000"/>
      <name val="Arial"/>
      <family val="2"/>
    </font>
    <font>
      <b/>
      <sz val="10"/>
      <color rgb="FFFF0000"/>
      <name val="Times New Roman"/>
      <family val="1"/>
    </font>
    <font>
      <sz val="10"/>
      <color rgb="FF7030A0"/>
      <name val="Times New Roman"/>
      <family val="1"/>
    </font>
    <font>
      <sz val="10"/>
      <color rgb="FF0070C0"/>
      <name val="Times New Roman"/>
      <family val="1"/>
    </font>
    <font>
      <b/>
      <sz val="10"/>
      <color rgb="FF0070C0"/>
      <name val="Arial"/>
      <family val="2"/>
    </font>
    <font>
      <sz val="10"/>
      <color rgb="FF7030A0"/>
      <name val="Arial"/>
      <family val="2"/>
    </font>
    <font>
      <sz val="10"/>
      <color rgb="FF0070C0"/>
      <name val="Arial"/>
      <family val="2"/>
    </font>
    <font>
      <i/>
      <sz val="10"/>
      <color rgb="FFFF0000"/>
      <name val="Arial"/>
      <family val="2"/>
    </font>
    <font>
      <sz val="9"/>
      <color theme="1"/>
      <name val="Times New Roman"/>
      <family val="1"/>
    </font>
    <font>
      <b/>
      <sz val="9"/>
      <color rgb="FFFF0000"/>
      <name val="Times New Roman"/>
      <family val="1"/>
    </font>
    <font>
      <i/>
      <sz val="9"/>
      <color rgb="FF000000"/>
      <name val="Times New Roman"/>
      <family val="1"/>
    </font>
    <font>
      <b/>
      <sz val="9"/>
      <color rgb="FFC00000"/>
      <name val="Times New Roman"/>
      <family val="1"/>
    </font>
    <font>
      <b/>
      <sz val="9"/>
      <color rgb="FF000000"/>
      <name val="Times New Roman"/>
      <family val="1"/>
    </font>
    <font>
      <sz val="9"/>
      <color rgb="FF000000"/>
      <name val="Times New Roman"/>
      <family val="1"/>
    </font>
    <font>
      <u val="single"/>
      <sz val="9"/>
      <color theme="10"/>
      <name val="Times New Roman"/>
      <family val="1"/>
    </font>
    <font>
      <sz val="9"/>
      <color rgb="FFFF0000"/>
      <name val="Times New Roman"/>
      <family val="1"/>
    </font>
    <font>
      <b/>
      <i/>
      <sz val="9"/>
      <color rgb="FF000000"/>
      <name val="Times New Roman"/>
      <family val="1"/>
    </font>
    <font>
      <i/>
      <sz val="9"/>
      <color rgb="FFFF0000"/>
      <name val="Times New Roman"/>
      <family val="1"/>
    </font>
    <font>
      <i/>
      <sz val="10"/>
      <color rgb="FFFF0000"/>
      <name val="Times New Roman"/>
      <family val="1"/>
    </font>
    <font>
      <b/>
      <i/>
      <sz val="10"/>
      <color rgb="FF000000"/>
      <name val="Times New Roman"/>
      <family val="1"/>
    </font>
    <font>
      <sz val="12"/>
      <color rgb="FFFF0000"/>
      <name val="Times New Roman"/>
      <family val="1"/>
    </font>
    <font>
      <b/>
      <i/>
      <sz val="10"/>
      <color rgb="FFFF0000"/>
      <name val="Times New Roman"/>
      <family val="1"/>
    </font>
    <font>
      <b/>
      <i/>
      <sz val="12"/>
      <color theme="1"/>
      <name val="Times New Roman"/>
      <family val="1"/>
    </font>
    <font>
      <i/>
      <sz val="12"/>
      <color rgb="FF000000"/>
      <name val="Arial"/>
      <family val="2"/>
    </font>
    <font>
      <sz val="12"/>
      <color theme="9"/>
      <name val="Times New Roman"/>
      <family val="1"/>
    </font>
    <font>
      <b/>
      <sz val="12"/>
      <color rgb="FF000000"/>
      <name val="Arial"/>
      <family val="2"/>
    </font>
    <font>
      <i/>
      <sz val="12"/>
      <color theme="9"/>
      <name val="Arial"/>
      <family val="2"/>
    </font>
    <font>
      <sz val="12"/>
      <color rgb="FF7030A0"/>
      <name val="Times New Roman"/>
      <family val="1"/>
    </font>
    <font>
      <i/>
      <sz val="10"/>
      <color rgb="FF7030A0"/>
      <name val="Arial"/>
      <family val="2"/>
    </font>
    <font>
      <b/>
      <i/>
      <sz val="10"/>
      <color rgb="FFFF0000"/>
      <name val="Arial"/>
      <family val="2"/>
    </font>
    <font>
      <b/>
      <sz val="12"/>
      <color rgb="FFFF0000"/>
      <name val="Arial"/>
      <family val="2"/>
    </font>
    <font>
      <i/>
      <sz val="12"/>
      <color rgb="FFFF0000"/>
      <name val="Arial"/>
      <family val="2"/>
    </font>
    <font>
      <b/>
      <i/>
      <sz val="9"/>
      <color rgb="FFFF0000"/>
      <name val="Times New Roman"/>
      <family val="1"/>
    </font>
    <font>
      <i/>
      <sz val="14"/>
      <color rgb="FF000000"/>
      <name val="Times New Roman"/>
      <family val="1"/>
    </font>
    <font>
      <b/>
      <sz val="12"/>
      <color rgb="FFFF0000"/>
      <name val="Times New Roman"/>
      <family val="1"/>
    </font>
    <font>
      <b/>
      <sz val="12"/>
      <color rgb="FF7030A0"/>
      <name val="Times New Roman"/>
      <family val="1"/>
    </font>
    <font>
      <b/>
      <i/>
      <sz val="12"/>
      <color rgb="FFFF0000"/>
      <name val="Times New Roman"/>
      <family val="1"/>
    </font>
    <font>
      <i/>
      <sz val="12"/>
      <color rgb="FFFF0000"/>
      <name val="Times New Roman"/>
      <family val="1"/>
    </font>
    <font>
      <sz val="11"/>
      <color rgb="FF7030A0"/>
      <name val="Times New Roman"/>
      <family val="1"/>
    </font>
    <font>
      <b/>
      <i/>
      <sz val="11"/>
      <color rgb="FF7030A0"/>
      <name val="Times New Roman"/>
      <family val="1"/>
    </font>
    <font>
      <b/>
      <sz val="9"/>
      <color theme="5" tint="-0.24997000396251678"/>
      <name val="Times New Roman"/>
      <family val="1"/>
    </font>
    <font>
      <b/>
      <u val="single"/>
      <sz val="9"/>
      <color theme="10"/>
      <name val="Times New Roman"/>
      <family val="1"/>
    </font>
    <font>
      <b/>
      <sz val="14"/>
      <color rgb="FF000000"/>
      <name val="Arial"/>
      <family val="2"/>
    </font>
    <font>
      <b/>
      <i/>
      <sz val="12"/>
      <color rgb="FF000000"/>
      <name val="Arial"/>
      <family val="2"/>
    </font>
    <font>
      <b/>
      <sz val="14"/>
      <color rgb="FF000000"/>
      <name val="Times New Roman"/>
      <family val="1"/>
    </font>
    <font>
      <i/>
      <sz val="14"/>
      <color theme="1"/>
      <name val="Times New Roman"/>
      <family val="1"/>
    </font>
    <font>
      <b/>
      <sz val="8"/>
      <name val="Times New Roman"/>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gradientFill degree="90">
        <stop position="0">
          <color theme="0"/>
        </stop>
        <stop position="1">
          <color rgb="FF00B050"/>
        </stop>
      </gradientFill>
    </fill>
    <fill>
      <gradientFill degree="90">
        <stop position="0">
          <color theme="0"/>
        </stop>
        <stop position="1">
          <color rgb="FF00B050"/>
        </stop>
      </gradientFill>
    </fill>
    <fill>
      <gradientFill degree="90">
        <stop position="0">
          <color theme="0"/>
        </stop>
        <stop position="1">
          <color theme="4"/>
        </stop>
      </gradientFill>
    </fill>
    <fill>
      <gradientFill degree="90">
        <stop position="0">
          <color theme="0"/>
        </stop>
        <stop position="1">
          <color theme="4"/>
        </stop>
      </gradientFill>
    </fill>
    <fill>
      <gradientFill degree="90">
        <stop position="0">
          <color theme="0"/>
        </stop>
        <stop position="1">
          <color theme="4"/>
        </stop>
      </gradientFill>
    </fill>
    <fill>
      <patternFill patternType="solid">
        <fgColor theme="0"/>
        <bgColor indexed="64"/>
      </patternFill>
    </fill>
    <fill>
      <patternFill patternType="solid">
        <fgColor indexed="27"/>
        <bgColor indexed="64"/>
      </patternFill>
    </fill>
    <fill>
      <patternFill patternType="solid">
        <fgColor rgb="FFFFFFFF"/>
        <bgColor indexed="64"/>
      </patternFill>
    </fill>
    <fill>
      <patternFill patternType="solid">
        <fgColor rgb="FFFFFF00"/>
        <bgColor indexed="64"/>
      </patternFill>
    </fill>
    <fill>
      <gradientFill degree="90">
        <stop position="0">
          <color theme="0"/>
        </stop>
        <stop position="1">
          <color theme="4"/>
        </stop>
      </gradientFill>
    </fill>
    <fill>
      <gradientFill degree="90">
        <stop position="0">
          <color theme="0"/>
        </stop>
        <stop position="1">
          <color theme="4"/>
        </stop>
      </gradientFill>
    </fill>
  </fills>
  <borders count="6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hair"/>
    </border>
    <border>
      <left style="thin"/>
      <right style="thin"/>
      <top style="hair"/>
      <bottom style="hair"/>
    </border>
    <border>
      <left style="thin"/>
      <right style="thin"/>
      <top style="hair"/>
      <bottom style="thin"/>
    </border>
    <border>
      <left style="thin"/>
      <right style="thin"/>
      <top style="thin"/>
      <bottom>
        <color indexed="63"/>
      </bottom>
    </border>
    <border>
      <left style="thin"/>
      <right style="thin"/>
      <top style="thin"/>
      <bottom style="hair"/>
    </border>
    <border>
      <left style="medium"/>
      <right style="thin"/>
      <top style="hair"/>
      <bottom style="hair"/>
    </border>
    <border>
      <left style="thin"/>
      <right style="medium"/>
      <top style="hair"/>
      <bottom style="hair"/>
    </border>
    <border>
      <left style="medium"/>
      <right style="thin"/>
      <top style="hair"/>
      <bottom style="medium"/>
    </border>
    <border>
      <left style="thin"/>
      <right style="thin"/>
      <top style="hair"/>
      <bottom style="medium"/>
    </border>
    <border>
      <left style="thin"/>
      <right style="medium"/>
      <top style="hair"/>
      <bottom style="medium"/>
    </border>
    <border>
      <left style="thin"/>
      <right style="thin"/>
      <top style="hair"/>
      <bottom>
        <color indexed="63"/>
      </bottom>
    </border>
    <border>
      <left style="thin"/>
      <right style="thin"/>
      <top>
        <color indexed="63"/>
      </top>
      <bottom>
        <color indexed="63"/>
      </bottom>
    </border>
    <border>
      <left style="double"/>
      <right style="double"/>
      <top style="double"/>
      <bottom>
        <color indexed="63"/>
      </bottom>
    </border>
    <border>
      <left style="double"/>
      <right style="double"/>
      <top>
        <color indexed="63"/>
      </top>
      <bottom>
        <color indexed="63"/>
      </bottom>
    </border>
    <border>
      <left style="double"/>
      <right style="double"/>
      <top>
        <color indexed="63"/>
      </top>
      <bottom style="double"/>
    </border>
    <border>
      <left>
        <color indexed="63"/>
      </left>
      <right>
        <color indexed="63"/>
      </right>
      <top>
        <color indexed="63"/>
      </top>
      <bottom style="medium"/>
    </border>
    <border>
      <left>
        <color indexed="63"/>
      </left>
      <right style="medium"/>
      <top style="medium"/>
      <bottom style="medium"/>
    </border>
    <border>
      <left>
        <color indexed="63"/>
      </left>
      <right style="medium"/>
      <top>
        <color indexed="63"/>
      </top>
      <bottom style="medium"/>
    </border>
    <border>
      <left>
        <color indexed="63"/>
      </left>
      <right style="medium"/>
      <top>
        <color indexed="63"/>
      </top>
      <bottom>
        <color indexed="63"/>
      </bottom>
    </border>
    <border>
      <left style="medium"/>
      <right style="medium"/>
      <top>
        <color indexed="63"/>
      </top>
      <bottom>
        <color indexed="63"/>
      </bottom>
    </border>
    <border>
      <left style="thin">
        <color rgb="FF000000"/>
      </left>
      <right style="thin">
        <color rgb="FF000000"/>
      </right>
      <top style="dotted">
        <color rgb="FF000000"/>
      </top>
      <bottom style="dotted">
        <color rgb="FF000000"/>
      </bottom>
    </border>
    <border>
      <left style="thin">
        <color rgb="FF000000"/>
      </left>
      <right style="thin">
        <color rgb="FF000000"/>
      </right>
      <top style="thin">
        <color rgb="FF000000"/>
      </top>
      <bottom style="dotted">
        <color rgb="FF000000"/>
      </bottom>
    </border>
    <border>
      <left style="thin"/>
      <right style="thin"/>
      <top>
        <color indexed="63"/>
      </top>
      <bottom style="thin"/>
    </border>
    <border>
      <left style="thin">
        <color rgb="FF000000"/>
      </left>
      <right style="thin">
        <color rgb="FF000000"/>
      </right>
      <top>
        <color indexed="63"/>
      </top>
      <bottom>
        <color indexed="63"/>
      </bottom>
    </border>
    <border>
      <left style="thin">
        <color rgb="FF000000"/>
      </left>
      <right style="thin">
        <color rgb="FF000000"/>
      </right>
      <top style="dotted">
        <color rgb="FF000000"/>
      </top>
      <bottom>
        <color indexed="63"/>
      </bottom>
    </border>
    <border>
      <left style="thin">
        <color rgb="FF000000"/>
      </left>
      <right style="thin">
        <color rgb="FF000000"/>
      </right>
      <top style="dotted">
        <color rgb="FF000000"/>
      </top>
      <bottom style="thin">
        <color rgb="FF000000"/>
      </bottom>
    </border>
    <border>
      <left style="thin"/>
      <right style="thin"/>
      <top style="dotted"/>
      <bottom>
        <color indexed="63"/>
      </bottom>
    </border>
    <border>
      <left/>
      <right/>
      <top/>
      <bottom style="thin"/>
    </border>
    <border>
      <left style="thin"/>
      <right style="thin"/>
      <top style="dotted"/>
      <bottom style="dotted"/>
    </border>
    <border>
      <left style="thin"/>
      <right style="thin"/>
      <top style="thin"/>
      <bottom style="dotted"/>
    </border>
    <border>
      <left style="thin"/>
      <right style="thin"/>
      <top style="dotted"/>
      <bottom style="thin"/>
    </border>
    <border>
      <left style="medium"/>
      <right style="medium"/>
      <top style="medium"/>
      <bottom>
        <color indexed="63"/>
      </bottom>
    </border>
    <border>
      <left style="medium"/>
      <right style="medium"/>
      <top>
        <color indexed="63"/>
      </top>
      <bottom style="medium"/>
    </border>
    <border>
      <left>
        <color indexed="63"/>
      </left>
      <right style="medium"/>
      <top style="medium"/>
      <bottom>
        <color indexed="63"/>
      </bottom>
    </border>
    <border>
      <left>
        <color indexed="63"/>
      </left>
      <right style="thin"/>
      <top style="thin"/>
      <bottom style="thin"/>
    </border>
    <border>
      <left style="thin"/>
      <right style="medium"/>
      <top style="medium"/>
      <bottom>
        <color indexed="63"/>
      </bottom>
    </border>
    <border>
      <left style="thin"/>
      <right style="medium"/>
      <top>
        <color indexed="63"/>
      </top>
      <bottom>
        <color indexed="63"/>
      </bottom>
    </border>
    <border>
      <left style="thin"/>
      <right style="medium"/>
      <top>
        <color indexed="63"/>
      </top>
      <bottom style="medium"/>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style="hair"/>
    </border>
    <border>
      <left>
        <color indexed="63"/>
      </left>
      <right>
        <color indexed="63"/>
      </right>
      <top style="thin"/>
      <bottom style="hair"/>
    </border>
    <border>
      <left>
        <color indexed="63"/>
      </left>
      <right style="thin"/>
      <top style="thin"/>
      <bottom style="hair"/>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color rgb="FF000000"/>
      </left>
      <right>
        <color indexed="63"/>
      </right>
      <top style="thin">
        <color rgb="FF000000"/>
      </top>
      <bottom style="dotted">
        <color rgb="FF000000"/>
      </bottom>
    </border>
    <border>
      <left>
        <color indexed="63"/>
      </left>
      <right style="thin">
        <color rgb="FF000000"/>
      </right>
      <top style="thin">
        <color rgb="FF000000"/>
      </top>
      <bottom style="dotted">
        <color rgb="FF000000"/>
      </bottom>
    </border>
    <border>
      <left style="thin"/>
      <right>
        <color indexed="63"/>
      </right>
      <top>
        <color indexed="63"/>
      </top>
      <bottom>
        <color indexed="63"/>
      </bottom>
    </border>
    <border>
      <left/>
      <right/>
      <top style="thin"/>
      <bottom/>
    </border>
  </borders>
  <cellStyleXfs count="75">
    <xf numFmtId="0" fontId="0" fillId="0" borderId="0">
      <alignment/>
      <protection/>
    </xf>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18" fillId="14" borderId="0" applyNumberFormat="0" applyBorder="0" applyAlignment="0" applyProtection="0"/>
    <xf numFmtId="0" fontId="118" fillId="15" borderId="0" applyNumberFormat="0" applyBorder="0" applyAlignment="0" applyProtection="0"/>
    <xf numFmtId="0" fontId="118" fillId="16" borderId="0" applyNumberFormat="0" applyBorder="0" applyAlignment="0" applyProtection="0"/>
    <xf numFmtId="0" fontId="118" fillId="17" borderId="0" applyNumberFormat="0" applyBorder="0" applyAlignment="0" applyProtection="0"/>
    <xf numFmtId="0" fontId="118" fillId="18" borderId="0" applyNumberFormat="0" applyBorder="0" applyAlignment="0" applyProtection="0"/>
    <xf numFmtId="0" fontId="118" fillId="19" borderId="0" applyNumberFormat="0" applyBorder="0" applyAlignment="0" applyProtection="0"/>
    <xf numFmtId="0" fontId="118" fillId="20" borderId="0" applyNumberFormat="0" applyBorder="0" applyAlignment="0" applyProtection="0"/>
    <xf numFmtId="0" fontId="118" fillId="21" borderId="0" applyNumberFormat="0" applyBorder="0" applyAlignment="0" applyProtection="0"/>
    <xf numFmtId="0" fontId="118" fillId="22" borderId="0" applyNumberFormat="0" applyBorder="0" applyAlignment="0" applyProtection="0"/>
    <xf numFmtId="0" fontId="118" fillId="23" borderId="0" applyNumberFormat="0" applyBorder="0" applyAlignment="0" applyProtection="0"/>
    <xf numFmtId="0" fontId="118" fillId="24" borderId="0" applyNumberFormat="0" applyBorder="0" applyAlignment="0" applyProtection="0"/>
    <xf numFmtId="0" fontId="118" fillId="25" borderId="0" applyNumberFormat="0" applyBorder="0" applyAlignment="0" applyProtection="0"/>
    <xf numFmtId="0" fontId="29" fillId="0" borderId="0">
      <alignment/>
      <protection/>
    </xf>
    <xf numFmtId="0" fontId="119" fillId="26" borderId="0" applyNumberFormat="0" applyBorder="0" applyAlignment="0" applyProtection="0"/>
    <xf numFmtId="0" fontId="120" fillId="27" borderId="1" applyNumberFormat="0" applyAlignment="0" applyProtection="0"/>
    <xf numFmtId="0" fontId="121"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17" fillId="0" borderId="0" applyFont="0" applyFill="0" applyBorder="0" applyAlignment="0" applyProtection="0"/>
    <xf numFmtId="178"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22" fillId="0" borderId="0" applyNumberFormat="0" applyFill="0" applyBorder="0" applyAlignment="0" applyProtection="0"/>
    <xf numFmtId="0" fontId="123" fillId="0" borderId="0" applyNumberFormat="0" applyFill="0" applyBorder="0" applyAlignment="0" applyProtection="0"/>
    <xf numFmtId="0" fontId="124" fillId="29" borderId="0" applyNumberFormat="0" applyBorder="0" applyAlignment="0" applyProtection="0"/>
    <xf numFmtId="0" fontId="125" fillId="0" borderId="3" applyNumberFormat="0" applyFill="0" applyAlignment="0" applyProtection="0"/>
    <xf numFmtId="0" fontId="126" fillId="0" borderId="4" applyNumberFormat="0" applyFill="0" applyAlignment="0" applyProtection="0"/>
    <xf numFmtId="0" fontId="127" fillId="0" borderId="5" applyNumberFormat="0" applyFill="0" applyAlignment="0" applyProtection="0"/>
    <xf numFmtId="0" fontId="127" fillId="0" borderId="0" applyNumberFormat="0" applyFill="0" applyBorder="0" applyAlignment="0" applyProtection="0"/>
    <xf numFmtId="0" fontId="128" fillId="0" borderId="0" applyNumberFormat="0" applyFill="0" applyBorder="0" applyAlignment="0" applyProtection="0"/>
    <xf numFmtId="0" fontId="129" fillId="30" borderId="1" applyNumberFormat="0" applyAlignment="0" applyProtection="0"/>
    <xf numFmtId="0" fontId="130" fillId="0" borderId="6" applyNumberFormat="0" applyFill="0" applyAlignment="0" applyProtection="0"/>
    <xf numFmtId="0" fontId="131" fillId="31" borderId="0" applyNumberFormat="0" applyBorder="0" applyAlignment="0" applyProtection="0"/>
    <xf numFmtId="0" fontId="0" fillId="0" borderId="0">
      <alignment/>
      <protection/>
    </xf>
    <xf numFmtId="0" fontId="29" fillId="0" borderId="0">
      <alignment/>
      <protection/>
    </xf>
    <xf numFmtId="0" fontId="28" fillId="0" borderId="0">
      <alignment/>
      <protection/>
    </xf>
    <xf numFmtId="0" fontId="117" fillId="0" borderId="0">
      <alignment/>
      <protection/>
    </xf>
    <xf numFmtId="0" fontId="117" fillId="0" borderId="0">
      <alignment/>
      <protection/>
    </xf>
    <xf numFmtId="0" fontId="29" fillId="0" borderId="0">
      <alignment/>
      <protection/>
    </xf>
    <xf numFmtId="0" fontId="0" fillId="32" borderId="7" applyNumberFormat="0" applyFont="0" applyAlignment="0" applyProtection="0"/>
    <xf numFmtId="0" fontId="132" fillId="27" borderId="8" applyNumberFormat="0" applyAlignment="0" applyProtection="0"/>
    <xf numFmtId="9" fontId="0" fillId="0" borderId="0" applyFont="0" applyFill="0" applyBorder="0" applyAlignment="0" applyProtection="0"/>
    <xf numFmtId="0" fontId="133" fillId="0" borderId="0" applyNumberFormat="0" applyFill="0" applyBorder="0" applyAlignment="0" applyProtection="0"/>
    <xf numFmtId="0" fontId="134" fillId="0" borderId="9" applyNumberFormat="0" applyFill="0" applyAlignment="0" applyProtection="0"/>
    <xf numFmtId="0" fontId="135" fillId="0" borderId="0" applyNumberFormat="0" applyFill="0" applyBorder="0" applyAlignment="0" applyProtection="0"/>
  </cellStyleXfs>
  <cellXfs count="1086">
    <xf numFmtId="0" fontId="0" fillId="0" borderId="0" xfId="0" applyAlignment="1">
      <alignment/>
    </xf>
    <xf numFmtId="0" fontId="0" fillId="0" borderId="0" xfId="0" applyFont="1" applyAlignment="1">
      <alignment/>
    </xf>
    <xf numFmtId="0" fontId="136" fillId="0" borderId="0" xfId="0" applyFont="1" applyAlignment="1">
      <alignment vertical="center"/>
    </xf>
    <xf numFmtId="0" fontId="136" fillId="0" borderId="0" xfId="0" applyFont="1" applyAlignment="1">
      <alignment/>
    </xf>
    <xf numFmtId="0" fontId="136" fillId="5" borderId="10" xfId="0" applyFont="1" applyFill="1" applyBorder="1" applyAlignment="1">
      <alignment horizontal="center" vertical="center" wrapText="1"/>
    </xf>
    <xf numFmtId="0" fontId="137" fillId="2" borderId="10" xfId="0" applyFont="1" applyFill="1" applyBorder="1" applyAlignment="1">
      <alignment horizontal="center" vertical="center" wrapText="1"/>
    </xf>
    <xf numFmtId="0" fontId="136" fillId="0" borderId="11" xfId="0" applyFont="1" applyBorder="1" applyAlignment="1">
      <alignment horizontal="center" vertical="center" wrapText="1"/>
    </xf>
    <xf numFmtId="0" fontId="136" fillId="0" borderId="11" xfId="0" applyFont="1" applyBorder="1" applyAlignment="1">
      <alignment vertical="center" wrapText="1"/>
    </xf>
    <xf numFmtId="0" fontId="137" fillId="0" borderId="11" xfId="0" applyFont="1" applyBorder="1" applyAlignment="1">
      <alignment horizontal="center" vertical="center" wrapText="1"/>
    </xf>
    <xf numFmtId="0" fontId="137" fillId="0" borderId="12" xfId="0" applyFont="1" applyBorder="1" applyAlignment="1">
      <alignment horizontal="center" vertical="center" wrapText="1"/>
    </xf>
    <xf numFmtId="0" fontId="137" fillId="0" borderId="12" xfId="0" applyFont="1" applyBorder="1" applyAlignment="1">
      <alignment vertical="center" wrapText="1"/>
    </xf>
    <xf numFmtId="0" fontId="136" fillId="0" borderId="12" xfId="0" applyFont="1" applyBorder="1" applyAlignment="1">
      <alignment horizontal="center" vertical="center" wrapText="1"/>
    </xf>
    <xf numFmtId="0" fontId="136" fillId="0" borderId="12" xfId="0" applyFont="1" applyBorder="1" applyAlignment="1">
      <alignment vertical="center" wrapText="1"/>
    </xf>
    <xf numFmtId="0" fontId="137" fillId="0" borderId="13" xfId="0" applyFont="1" applyBorder="1" applyAlignment="1">
      <alignment horizontal="center" vertical="center" wrapText="1"/>
    </xf>
    <xf numFmtId="0" fontId="137" fillId="0" borderId="13" xfId="0" applyFont="1" applyBorder="1" applyAlignment="1">
      <alignment vertical="center" wrapText="1"/>
    </xf>
    <xf numFmtId="0" fontId="137" fillId="0" borderId="0" xfId="0" applyFont="1" applyAlignment="1">
      <alignment vertical="center"/>
    </xf>
    <xf numFmtId="0" fontId="137" fillId="0" borderId="0" xfId="0" applyFont="1" applyAlignment="1">
      <alignment/>
    </xf>
    <xf numFmtId="0" fontId="134" fillId="0" borderId="0" xfId="0" applyFont="1" applyAlignment="1">
      <alignment/>
    </xf>
    <xf numFmtId="0" fontId="138" fillId="0" borderId="0" xfId="0" applyFont="1" applyAlignment="1">
      <alignment/>
    </xf>
    <xf numFmtId="0" fontId="139" fillId="0" borderId="0" xfId="0" applyFont="1" applyAlignment="1">
      <alignment vertical="center"/>
    </xf>
    <xf numFmtId="0" fontId="139" fillId="0" borderId="0" xfId="0" applyFont="1" applyAlignment="1">
      <alignment/>
    </xf>
    <xf numFmtId="0" fontId="139" fillId="0" borderId="0" xfId="0" applyFont="1" applyAlignment="1">
      <alignment horizontal="center"/>
    </xf>
    <xf numFmtId="0" fontId="139" fillId="5" borderId="10" xfId="0" applyFont="1" applyFill="1" applyBorder="1" applyAlignment="1">
      <alignment horizontal="center" vertical="center" wrapText="1"/>
    </xf>
    <xf numFmtId="0" fontId="140" fillId="2" borderId="10" xfId="0" applyFont="1" applyFill="1" applyBorder="1" applyAlignment="1">
      <alignment horizontal="center" vertical="center" wrapText="1"/>
    </xf>
    <xf numFmtId="0" fontId="139" fillId="0" borderId="11" xfId="0" applyFont="1" applyBorder="1" applyAlignment="1">
      <alignment horizontal="center" vertical="center" wrapText="1"/>
    </xf>
    <xf numFmtId="0" fontId="139" fillId="0" borderId="11" xfId="0" applyFont="1" applyBorder="1" applyAlignment="1">
      <alignment vertical="center" wrapText="1"/>
    </xf>
    <xf numFmtId="0" fontId="140" fillId="0" borderId="11" xfId="0" applyFont="1" applyBorder="1" applyAlignment="1">
      <alignment horizontal="center" vertical="center" wrapText="1"/>
    </xf>
    <xf numFmtId="0" fontId="140" fillId="0" borderId="12" xfId="0" applyFont="1" applyBorder="1" applyAlignment="1">
      <alignment horizontal="center" vertical="center" wrapText="1"/>
    </xf>
    <xf numFmtId="0" fontId="140" fillId="0" borderId="12" xfId="0" applyFont="1" applyBorder="1" applyAlignment="1">
      <alignment vertical="center" wrapText="1"/>
    </xf>
    <xf numFmtId="0" fontId="139" fillId="0" borderId="12" xfId="0" applyFont="1" applyBorder="1" applyAlignment="1">
      <alignment horizontal="center" vertical="center" wrapText="1"/>
    </xf>
    <xf numFmtId="0" fontId="139" fillId="0" borderId="12" xfId="0" applyFont="1" applyBorder="1" applyAlignment="1">
      <alignment vertical="center" wrapText="1"/>
    </xf>
    <xf numFmtId="0" fontId="140" fillId="0" borderId="13" xfId="0" applyFont="1" applyBorder="1" applyAlignment="1">
      <alignment horizontal="center" vertical="center" wrapText="1"/>
    </xf>
    <xf numFmtId="0" fontId="140" fillId="0" borderId="13" xfId="0" applyFont="1" applyBorder="1" applyAlignment="1">
      <alignment vertical="center" wrapText="1"/>
    </xf>
    <xf numFmtId="0" fontId="140" fillId="0" borderId="0" xfId="0" applyFont="1" applyAlignment="1">
      <alignment vertical="center"/>
    </xf>
    <xf numFmtId="0" fontId="140" fillId="0" borderId="0" xfId="0" applyFont="1" applyAlignment="1">
      <alignment/>
    </xf>
    <xf numFmtId="0" fontId="141" fillId="0" borderId="0" xfId="0" applyFont="1" applyAlignment="1">
      <alignment horizontal="center" vertical="center"/>
    </xf>
    <xf numFmtId="0" fontId="5" fillId="0" borderId="0" xfId="65" applyFont="1" applyFill="1" applyAlignment="1">
      <alignment vertical="center"/>
      <protection/>
    </xf>
    <xf numFmtId="179" fontId="6" fillId="0" borderId="0" xfId="65" applyNumberFormat="1" applyFont="1" applyFill="1" applyAlignment="1">
      <alignment vertical="center" wrapText="1"/>
      <protection/>
    </xf>
    <xf numFmtId="0" fontId="7" fillId="0" borderId="0" xfId="65" applyFont="1" applyFill="1" applyAlignment="1">
      <alignment vertical="center"/>
      <protection/>
    </xf>
    <xf numFmtId="0" fontId="9" fillId="0" borderId="0" xfId="65" applyFont="1" applyFill="1" applyAlignment="1">
      <alignment vertical="center" wrapText="1"/>
      <protection/>
    </xf>
    <xf numFmtId="0" fontId="9" fillId="0" borderId="0" xfId="65" applyFont="1" applyFill="1" applyAlignment="1">
      <alignment vertical="center"/>
      <protection/>
    </xf>
    <xf numFmtId="0" fontId="10" fillId="0" borderId="0" xfId="65" applyFont="1" applyFill="1" applyAlignment="1">
      <alignment vertical="center"/>
      <protection/>
    </xf>
    <xf numFmtId="0" fontId="11" fillId="0" borderId="0" xfId="65" applyFont="1" applyFill="1" applyAlignment="1">
      <alignment vertical="center"/>
      <protection/>
    </xf>
    <xf numFmtId="0" fontId="14" fillId="0" borderId="0" xfId="0" applyFont="1" applyAlignment="1">
      <alignment horizontal="center" vertical="center"/>
    </xf>
    <xf numFmtId="0" fontId="14" fillId="0" borderId="0" xfId="0" applyFont="1" applyAlignment="1">
      <alignment vertical="center"/>
    </xf>
    <xf numFmtId="0" fontId="14" fillId="0" borderId="0" xfId="0" applyFont="1" applyBorder="1" applyAlignment="1">
      <alignment vertical="center"/>
    </xf>
    <xf numFmtId="179" fontId="15" fillId="0" borderId="0" xfId="65" applyNumberFormat="1" applyFont="1" applyFill="1" applyBorder="1" applyAlignment="1">
      <alignment horizontal="right" vertical="center"/>
      <protection/>
    </xf>
    <xf numFmtId="179" fontId="16" fillId="0" borderId="0" xfId="65" applyNumberFormat="1" applyFont="1" applyFill="1" applyBorder="1" applyAlignment="1">
      <alignment horizontal="right" vertical="center"/>
      <protection/>
    </xf>
    <xf numFmtId="0" fontId="9" fillId="0" borderId="0" xfId="65" applyFont="1" applyFill="1" applyBorder="1" applyAlignment="1">
      <alignment vertical="center"/>
      <protection/>
    </xf>
    <xf numFmtId="179" fontId="5" fillId="0" borderId="14" xfId="65" applyNumberFormat="1" applyFont="1" applyFill="1" applyBorder="1" applyAlignment="1" applyProtection="1">
      <alignment horizontal="center" vertical="center" wrapText="1"/>
      <protection/>
    </xf>
    <xf numFmtId="0" fontId="5" fillId="0" borderId="10" xfId="65" applyFont="1" applyFill="1" applyBorder="1" applyAlignment="1">
      <alignment horizontal="center" vertical="center" wrapText="1"/>
      <protection/>
    </xf>
    <xf numFmtId="179" fontId="5" fillId="0" borderId="10" xfId="65" applyNumberFormat="1" applyFont="1" applyFill="1" applyBorder="1" applyAlignment="1" applyProtection="1">
      <alignment horizontal="center" vertical="center" wrapText="1"/>
      <protection/>
    </xf>
    <xf numFmtId="0" fontId="5" fillId="0" borderId="14" xfId="65" applyFont="1" applyFill="1" applyBorder="1" applyAlignment="1">
      <alignment horizontal="center" vertical="center" wrapText="1"/>
      <protection/>
    </xf>
    <xf numFmtId="0" fontId="5" fillId="0" borderId="0" xfId="65" applyFont="1" applyFill="1" applyBorder="1" applyAlignment="1">
      <alignment horizontal="center" vertical="center" wrapText="1"/>
      <protection/>
    </xf>
    <xf numFmtId="179" fontId="6" fillId="0" borderId="10" xfId="65" applyNumberFormat="1" applyFont="1" applyFill="1" applyBorder="1" applyAlignment="1" applyProtection="1">
      <alignment horizontal="center" vertical="center" wrapText="1"/>
      <protection/>
    </xf>
    <xf numFmtId="179" fontId="6" fillId="0" borderId="10" xfId="65" applyNumberFormat="1" applyFont="1" applyFill="1" applyBorder="1" applyAlignment="1">
      <alignment horizontal="center" vertical="center" wrapText="1"/>
      <protection/>
    </xf>
    <xf numFmtId="179" fontId="6" fillId="0" borderId="0" xfId="65" applyNumberFormat="1" applyFont="1" applyFill="1" applyAlignment="1">
      <alignment horizontal="center" vertical="center" wrapText="1"/>
      <protection/>
    </xf>
    <xf numFmtId="179" fontId="6" fillId="0" borderId="0" xfId="65" applyNumberFormat="1" applyFont="1" applyFill="1" applyBorder="1" applyAlignment="1">
      <alignment vertical="center" wrapText="1"/>
      <protection/>
    </xf>
    <xf numFmtId="179" fontId="5" fillId="0" borderId="15" xfId="65" applyNumberFormat="1" applyFont="1" applyFill="1" applyBorder="1" applyAlignment="1" applyProtection="1">
      <alignment horizontal="center" vertical="center"/>
      <protection/>
    </xf>
    <xf numFmtId="179" fontId="5" fillId="0" borderId="15" xfId="65" applyNumberFormat="1" applyFont="1" applyFill="1" applyBorder="1" applyAlignment="1">
      <alignment horizontal="center" vertical="center"/>
      <protection/>
    </xf>
    <xf numFmtId="3" fontId="5" fillId="0" borderId="15" xfId="43" applyNumberFormat="1" applyFont="1" applyFill="1" applyBorder="1" applyAlignment="1">
      <alignment horizontal="center" vertical="center"/>
    </xf>
    <xf numFmtId="43" fontId="5" fillId="0" borderId="15" xfId="43" applyNumberFormat="1" applyFont="1" applyFill="1" applyBorder="1" applyAlignment="1">
      <alignment horizontal="center" vertical="center"/>
    </xf>
    <xf numFmtId="0" fontId="5" fillId="0" borderId="0" xfId="65" applyFont="1" applyFill="1" applyBorder="1" applyAlignment="1">
      <alignment vertical="center"/>
      <protection/>
    </xf>
    <xf numFmtId="179" fontId="5" fillId="0" borderId="12" xfId="65" applyNumberFormat="1" applyFont="1" applyFill="1" applyBorder="1" applyAlignment="1" applyProtection="1">
      <alignment horizontal="center" vertical="center"/>
      <protection/>
    </xf>
    <xf numFmtId="179" fontId="5" fillId="0" borderId="12" xfId="65" applyNumberFormat="1" applyFont="1" applyFill="1" applyBorder="1" applyAlignment="1">
      <alignment horizontal="center" vertical="center"/>
      <protection/>
    </xf>
    <xf numFmtId="3" fontId="5" fillId="0" borderId="12" xfId="43" applyNumberFormat="1" applyFont="1" applyFill="1" applyBorder="1" applyAlignment="1">
      <alignment horizontal="center" vertical="center"/>
    </xf>
    <xf numFmtId="179" fontId="5" fillId="0" borderId="12" xfId="65" applyNumberFormat="1" applyFont="1" applyFill="1" applyBorder="1" applyAlignment="1" applyProtection="1">
      <alignment horizontal="left" vertical="center"/>
      <protection/>
    </xf>
    <xf numFmtId="3" fontId="5" fillId="0" borderId="12" xfId="43" applyNumberFormat="1" applyFont="1" applyFill="1" applyBorder="1" applyAlignment="1">
      <alignment vertical="center"/>
    </xf>
    <xf numFmtId="179" fontId="7" fillId="0" borderId="12" xfId="65" applyNumberFormat="1" applyFont="1" applyFill="1" applyBorder="1" applyAlignment="1">
      <alignment horizontal="center" vertical="center"/>
      <protection/>
    </xf>
    <xf numFmtId="179" fontId="7" fillId="0" borderId="12" xfId="65" applyNumberFormat="1" applyFont="1" applyFill="1" applyBorder="1" applyAlignment="1" applyProtection="1">
      <alignment horizontal="left" vertical="center" wrapText="1"/>
      <protection/>
    </xf>
    <xf numFmtId="3" fontId="7" fillId="0" borderId="12" xfId="43" applyNumberFormat="1" applyFont="1" applyFill="1" applyBorder="1" applyAlignment="1">
      <alignment vertical="center"/>
    </xf>
    <xf numFmtId="43" fontId="7" fillId="0" borderId="12" xfId="43" applyNumberFormat="1" applyFont="1" applyFill="1" applyBorder="1" applyAlignment="1">
      <alignment vertical="center"/>
    </xf>
    <xf numFmtId="0" fontId="7" fillId="0" borderId="12" xfId="65" applyFont="1" applyFill="1" applyBorder="1" applyAlignment="1">
      <alignment horizontal="center" vertical="center"/>
      <protection/>
    </xf>
    <xf numFmtId="0" fontId="7" fillId="0" borderId="12" xfId="65" applyFont="1" applyFill="1" applyBorder="1" applyAlignment="1">
      <alignment vertical="center"/>
      <protection/>
    </xf>
    <xf numFmtId="3" fontId="7" fillId="0" borderId="12" xfId="65" applyNumberFormat="1" applyFont="1" applyFill="1" applyBorder="1" applyAlignment="1">
      <alignment vertical="center"/>
      <protection/>
    </xf>
    <xf numFmtId="0" fontId="142" fillId="0" borderId="12" xfId="0" applyFont="1" applyBorder="1" applyAlignment="1">
      <alignment/>
    </xf>
    <xf numFmtId="0" fontId="9" fillId="0" borderId="10" xfId="0" applyNumberFormat="1" applyFont="1" applyFill="1" applyBorder="1" applyAlignment="1">
      <alignment horizontal="left"/>
    </xf>
    <xf numFmtId="3" fontId="143" fillId="0" borderId="10" xfId="0" applyNumberFormat="1" applyFont="1" applyBorder="1" applyAlignment="1">
      <alignment/>
    </xf>
    <xf numFmtId="9" fontId="142" fillId="0" borderId="10" xfId="0" applyNumberFormat="1" applyFont="1" applyBorder="1" applyAlignment="1">
      <alignment/>
    </xf>
    <xf numFmtId="0" fontId="142" fillId="0" borderId="10" xfId="0" applyFont="1" applyBorder="1" applyAlignment="1">
      <alignment horizontal="center"/>
    </xf>
    <xf numFmtId="0" fontId="7" fillId="0" borderId="10" xfId="0" applyFont="1" applyFill="1" applyBorder="1" applyAlignment="1">
      <alignment horizontal="left"/>
    </xf>
    <xf numFmtId="3" fontId="142" fillId="0" borderId="10" xfId="0" applyNumberFormat="1" applyFont="1" applyBorder="1" applyAlignment="1">
      <alignment/>
    </xf>
    <xf numFmtId="0" fontId="9" fillId="0" borderId="10" xfId="0" applyFont="1" applyFill="1" applyBorder="1" applyAlignment="1">
      <alignment horizontal="left"/>
    </xf>
    <xf numFmtId="3" fontId="144" fillId="0" borderId="10" xfId="0" applyNumberFormat="1" applyFont="1" applyBorder="1" applyAlignment="1">
      <alignment/>
    </xf>
    <xf numFmtId="179" fontId="7" fillId="0" borderId="16" xfId="65" applyNumberFormat="1" applyFont="1" applyFill="1" applyBorder="1" applyAlignment="1">
      <alignment horizontal="center" vertical="center"/>
      <protection/>
    </xf>
    <xf numFmtId="179" fontId="19" fillId="0" borderId="12" xfId="65" applyNumberFormat="1" applyFont="1" applyFill="1" applyBorder="1" applyAlignment="1" applyProtection="1">
      <alignment horizontal="left" vertical="center"/>
      <protection/>
    </xf>
    <xf numFmtId="179" fontId="5" fillId="0" borderId="16" xfId="65" applyNumberFormat="1" applyFont="1" applyFill="1" applyBorder="1" applyAlignment="1">
      <alignment horizontal="center" vertical="center"/>
      <protection/>
    </xf>
    <xf numFmtId="179" fontId="14" fillId="0" borderId="12" xfId="65" applyNumberFormat="1" applyFont="1" applyFill="1" applyBorder="1" applyAlignment="1" applyProtection="1">
      <alignment horizontal="left" vertical="center"/>
      <protection/>
    </xf>
    <xf numFmtId="0" fontId="20" fillId="0" borderId="12" xfId="65" applyFont="1" applyFill="1" applyBorder="1" applyAlignment="1">
      <alignment vertical="center"/>
      <protection/>
    </xf>
    <xf numFmtId="0" fontId="20" fillId="0" borderId="17" xfId="65" applyFont="1" applyFill="1" applyBorder="1" applyAlignment="1">
      <alignment vertical="center"/>
      <protection/>
    </xf>
    <xf numFmtId="0" fontId="11" fillId="0" borderId="12" xfId="65" applyFont="1" applyFill="1" applyBorder="1" applyAlignment="1">
      <alignment vertical="center"/>
      <protection/>
    </xf>
    <xf numFmtId="0" fontId="11" fillId="0" borderId="17" xfId="65" applyFont="1" applyFill="1" applyBorder="1" applyAlignment="1">
      <alignment vertical="center"/>
      <protection/>
    </xf>
    <xf numFmtId="179" fontId="9" fillId="0" borderId="18" xfId="65" applyNumberFormat="1" applyFont="1" applyFill="1" applyBorder="1" applyAlignment="1" applyProtection="1">
      <alignment horizontal="justify" vertical="center"/>
      <protection/>
    </xf>
    <xf numFmtId="179" fontId="21" fillId="0" borderId="19" xfId="65" applyNumberFormat="1" applyFont="1" applyFill="1" applyBorder="1" applyAlignment="1" applyProtection="1">
      <alignment horizontal="justify" vertical="center"/>
      <protection/>
    </xf>
    <xf numFmtId="0" fontId="9" fillId="0" borderId="19" xfId="65" applyFont="1" applyFill="1" applyBorder="1" applyAlignment="1">
      <alignment vertical="center"/>
      <protection/>
    </xf>
    <xf numFmtId="0" fontId="9" fillId="0" borderId="20" xfId="65" applyFont="1" applyFill="1" applyBorder="1" applyAlignment="1">
      <alignment vertical="center"/>
      <protection/>
    </xf>
    <xf numFmtId="0" fontId="139" fillId="0" borderId="0" xfId="0" applyFont="1" applyAlignment="1">
      <alignment/>
    </xf>
    <xf numFmtId="0" fontId="145" fillId="0" borderId="0" xfId="66" applyFont="1" applyAlignment="1">
      <alignment vertical="center" wrapText="1"/>
      <protection/>
    </xf>
    <xf numFmtId="0" fontId="146" fillId="0" borderId="0" xfId="66" applyFont="1" applyAlignment="1">
      <alignment horizontal="center" vertical="center" wrapText="1"/>
      <protection/>
    </xf>
    <xf numFmtId="0" fontId="147" fillId="0" borderId="0" xfId="66" applyFont="1" applyAlignment="1">
      <alignment horizontal="center" vertical="center" wrapText="1"/>
      <protection/>
    </xf>
    <xf numFmtId="0" fontId="148" fillId="0" borderId="0" xfId="66" applyFont="1" applyAlignment="1">
      <alignment vertical="center"/>
      <protection/>
    </xf>
    <xf numFmtId="0" fontId="147" fillId="0" borderId="0" xfId="66" applyFont="1" applyAlignment="1">
      <alignment vertical="center"/>
      <protection/>
    </xf>
    <xf numFmtId="0" fontId="148" fillId="0" borderId="0" xfId="66" applyFont="1">
      <alignment/>
      <protection/>
    </xf>
    <xf numFmtId="0" fontId="147" fillId="0" borderId="0" xfId="66" applyFont="1">
      <alignment/>
      <protection/>
    </xf>
    <xf numFmtId="0" fontId="22" fillId="0" borderId="0" xfId="66" applyFont="1" applyAlignment="1">
      <alignment/>
      <protection/>
    </xf>
    <xf numFmtId="0" fontId="145" fillId="0" borderId="0" xfId="66" applyFont="1">
      <alignment/>
      <protection/>
    </xf>
    <xf numFmtId="0" fontId="145" fillId="0" borderId="0" xfId="66" applyFont="1" applyAlignment="1">
      <alignment horizontal="center" vertical="center" wrapText="1"/>
      <protection/>
    </xf>
    <xf numFmtId="0" fontId="149" fillId="0" borderId="10" xfId="66" applyFont="1" applyBorder="1" applyAlignment="1">
      <alignment horizontal="center" vertical="center" wrapText="1"/>
      <protection/>
    </xf>
    <xf numFmtId="0" fontId="12" fillId="0" borderId="10" xfId="66" applyFont="1" applyBorder="1" applyAlignment="1">
      <alignment horizontal="center" vertical="center" wrapText="1"/>
      <protection/>
    </xf>
    <xf numFmtId="0" fontId="147" fillId="0" borderId="15" xfId="66" applyFont="1" applyBorder="1" applyAlignment="1">
      <alignment horizontal="center" vertical="center" wrapText="1"/>
      <protection/>
    </xf>
    <xf numFmtId="0" fontId="148" fillId="0" borderId="12" xfId="66" applyFont="1" applyBorder="1" applyAlignment="1">
      <alignment horizontal="center" vertical="center"/>
      <protection/>
    </xf>
    <xf numFmtId="0" fontId="148" fillId="0" borderId="12" xfId="66" applyFont="1" applyBorder="1" applyAlignment="1">
      <alignment horizontal="left" vertical="center"/>
      <protection/>
    </xf>
    <xf numFmtId="4" fontId="23" fillId="0" borderId="12" xfId="66" applyNumberFormat="1" applyFont="1" applyBorder="1" applyAlignment="1">
      <alignment vertical="center" wrapText="1"/>
      <protection/>
    </xf>
    <xf numFmtId="0" fontId="147" fillId="0" borderId="12" xfId="66" applyFont="1" applyBorder="1" applyAlignment="1">
      <alignment horizontal="center" vertical="center"/>
      <protection/>
    </xf>
    <xf numFmtId="0" fontId="147" fillId="0" borderId="12" xfId="66" applyFont="1" applyBorder="1" applyAlignment="1">
      <alignment vertical="center"/>
      <protection/>
    </xf>
    <xf numFmtId="0" fontId="148" fillId="0" borderId="12" xfId="66" applyFont="1" applyBorder="1" applyAlignment="1">
      <alignment vertical="center"/>
      <protection/>
    </xf>
    <xf numFmtId="0" fontId="22" fillId="0" borderId="12" xfId="66" applyFont="1" applyBorder="1" applyAlignment="1">
      <alignment horizontal="center"/>
      <protection/>
    </xf>
    <xf numFmtId="0" fontId="22" fillId="0" borderId="12" xfId="66" applyFont="1" applyBorder="1" applyAlignment="1">
      <alignment/>
      <protection/>
    </xf>
    <xf numFmtId="0" fontId="147" fillId="0" borderId="13" xfId="66" applyFont="1" applyBorder="1" applyAlignment="1">
      <alignment horizontal="center" vertical="center"/>
      <protection/>
    </xf>
    <xf numFmtId="0" fontId="147" fillId="0" borderId="13" xfId="66" applyFont="1" applyBorder="1" applyAlignment="1">
      <alignment vertical="center"/>
      <protection/>
    </xf>
    <xf numFmtId="0" fontId="147" fillId="0" borderId="0" xfId="66" applyFont="1" applyBorder="1" applyAlignment="1">
      <alignment horizontal="center" vertical="center"/>
      <protection/>
    </xf>
    <xf numFmtId="0" fontId="147" fillId="0" borderId="0" xfId="66" applyFont="1" applyBorder="1" applyAlignment="1">
      <alignment vertical="center"/>
      <protection/>
    </xf>
    <xf numFmtId="4" fontId="147" fillId="0" borderId="0" xfId="66" applyNumberFormat="1" applyFont="1" applyBorder="1" applyAlignment="1">
      <alignment vertical="center"/>
      <protection/>
    </xf>
    <xf numFmtId="0" fontId="150" fillId="0" borderId="0" xfId="66" applyFont="1" applyAlignment="1">
      <alignment horizontal="center"/>
      <protection/>
    </xf>
    <xf numFmtId="0" fontId="151" fillId="0" borderId="0" xfId="66" applyFont="1" applyAlignment="1">
      <alignment horizontal="right" vertical="center"/>
      <protection/>
    </xf>
    <xf numFmtId="0" fontId="143" fillId="0" borderId="0" xfId="66" applyFont="1" applyAlignment="1">
      <alignment vertical="center"/>
      <protection/>
    </xf>
    <xf numFmtId="0" fontId="19" fillId="0" borderId="0" xfId="63" applyFont="1" applyBorder="1" applyAlignment="1">
      <alignment horizontal="right"/>
      <protection/>
    </xf>
    <xf numFmtId="0" fontId="19" fillId="0" borderId="0" xfId="63" applyFont="1" applyBorder="1" applyAlignment="1">
      <alignment/>
      <protection/>
    </xf>
    <xf numFmtId="0" fontId="146" fillId="0" borderId="10" xfId="66" applyFont="1" applyBorder="1" applyAlignment="1">
      <alignment horizontal="center" vertical="center" wrapText="1"/>
      <protection/>
    </xf>
    <xf numFmtId="0" fontId="152" fillId="0" borderId="0" xfId="66" applyFont="1" applyAlignment="1">
      <alignment vertical="center"/>
      <protection/>
    </xf>
    <xf numFmtId="0" fontId="153" fillId="0" borderId="0" xfId="66" applyFont="1">
      <alignment/>
      <protection/>
    </xf>
    <xf numFmtId="0" fontId="135" fillId="0" borderId="0" xfId="0" applyFont="1" applyAlignment="1">
      <alignment/>
    </xf>
    <xf numFmtId="180" fontId="0" fillId="0" borderId="0" xfId="43" applyNumberFormat="1" applyFont="1" applyAlignment="1">
      <alignment/>
    </xf>
    <xf numFmtId="0" fontId="154" fillId="0" borderId="0" xfId="0" applyFont="1" applyAlignment="1">
      <alignment horizontal="center"/>
    </xf>
    <xf numFmtId="180" fontId="140" fillId="2" borderId="10" xfId="43" applyNumberFormat="1" applyFont="1" applyFill="1" applyBorder="1" applyAlignment="1">
      <alignment horizontal="center" vertical="center" wrapText="1"/>
    </xf>
    <xf numFmtId="0" fontId="140" fillId="0" borderId="11" xfId="0" applyFont="1" applyBorder="1" applyAlignment="1">
      <alignment vertical="center" wrapText="1"/>
    </xf>
    <xf numFmtId="180" fontId="140" fillId="0" borderId="15" xfId="43" applyNumberFormat="1" applyFont="1" applyBorder="1" applyAlignment="1">
      <alignment horizontal="center" vertical="center" wrapText="1"/>
    </xf>
    <xf numFmtId="180" fontId="140" fillId="0" borderId="12" xfId="43" applyNumberFormat="1" applyFont="1" applyBorder="1" applyAlignment="1">
      <alignment horizontal="center" vertical="center" wrapText="1"/>
    </xf>
    <xf numFmtId="180" fontId="140" fillId="0" borderId="13" xfId="43" applyNumberFormat="1" applyFont="1" applyBorder="1" applyAlignment="1">
      <alignment horizontal="center" vertical="center" wrapText="1"/>
    </xf>
    <xf numFmtId="0" fontId="155" fillId="0" borderId="0" xfId="0" applyFont="1" applyBorder="1" applyAlignment="1">
      <alignment horizontal="center" vertical="center" wrapText="1"/>
    </xf>
    <xf numFmtId="0" fontId="155" fillId="0" borderId="0" xfId="0" applyFont="1" applyBorder="1" applyAlignment="1">
      <alignment vertical="center" wrapText="1"/>
    </xf>
    <xf numFmtId="180" fontId="155" fillId="0" borderId="0" xfId="43" applyNumberFormat="1" applyFont="1" applyBorder="1" applyAlignment="1">
      <alignment horizontal="center" vertical="center" wrapText="1"/>
    </xf>
    <xf numFmtId="0" fontId="154" fillId="0" borderId="0" xfId="0" applyFont="1" applyAlignment="1">
      <alignment vertical="center"/>
    </xf>
    <xf numFmtId="0" fontId="140" fillId="0" borderId="0" xfId="0" applyFont="1" applyAlignment="1">
      <alignment horizontal="right" vertical="center"/>
    </xf>
    <xf numFmtId="180" fontId="140" fillId="0" borderId="15" xfId="0" applyNumberFormat="1" applyFont="1" applyBorder="1" applyAlignment="1">
      <alignment horizontal="center" vertical="center" wrapText="1"/>
    </xf>
    <xf numFmtId="180" fontId="140" fillId="0" borderId="12" xfId="0" applyNumberFormat="1" applyFont="1" applyBorder="1" applyAlignment="1">
      <alignment horizontal="center" vertical="center" wrapText="1"/>
    </xf>
    <xf numFmtId="0" fontId="140" fillId="0" borderId="15" xfId="0" applyFont="1" applyBorder="1" applyAlignment="1">
      <alignment horizontal="center" vertical="center" wrapText="1"/>
    </xf>
    <xf numFmtId="171" fontId="140" fillId="0" borderId="12" xfId="0" applyNumberFormat="1" applyFont="1" applyBorder="1" applyAlignment="1">
      <alignment horizontal="center" vertical="center" wrapText="1"/>
    </xf>
    <xf numFmtId="180" fontId="0" fillId="0" borderId="0" xfId="0" applyNumberFormat="1" applyAlignment="1">
      <alignment/>
    </xf>
    <xf numFmtId="180" fontId="140" fillId="0" borderId="13" xfId="0" applyNumberFormat="1" applyFont="1" applyBorder="1" applyAlignment="1">
      <alignment horizontal="center" vertical="center" wrapText="1"/>
    </xf>
    <xf numFmtId="0" fontId="143" fillId="0" borderId="0" xfId="0" applyFont="1" applyAlignment="1">
      <alignment/>
    </xf>
    <xf numFmtId="180" fontId="139" fillId="5" borderId="10" xfId="43" applyNumberFormat="1" applyFont="1" applyFill="1" applyBorder="1" applyAlignment="1">
      <alignment horizontal="center" vertical="center" wrapText="1"/>
    </xf>
    <xf numFmtId="0" fontId="139" fillId="0" borderId="15" xfId="0" applyFont="1" applyBorder="1" applyAlignment="1">
      <alignment horizontal="center" vertical="center" wrapText="1"/>
    </xf>
    <xf numFmtId="0" fontId="139" fillId="0" borderId="15" xfId="0" applyFont="1" applyBorder="1" applyAlignment="1">
      <alignment vertical="center" wrapText="1"/>
    </xf>
    <xf numFmtId="180" fontId="139" fillId="0" borderId="15" xfId="43" applyNumberFormat="1" applyFont="1" applyBorder="1" applyAlignment="1">
      <alignment horizontal="center" vertical="center" wrapText="1"/>
    </xf>
    <xf numFmtId="180" fontId="139" fillId="0" borderId="12" xfId="43" applyNumberFormat="1" applyFont="1" applyBorder="1" applyAlignment="1">
      <alignment horizontal="center" vertical="center" wrapText="1"/>
    </xf>
    <xf numFmtId="0" fontId="143" fillId="0" borderId="12" xfId="0" applyFont="1" applyBorder="1" applyAlignment="1">
      <alignment horizontal="center" vertical="center"/>
    </xf>
    <xf numFmtId="0" fontId="143" fillId="0" borderId="12" xfId="0" applyFont="1" applyBorder="1" applyAlignment="1">
      <alignment/>
    </xf>
    <xf numFmtId="182" fontId="143" fillId="0" borderId="12" xfId="43" applyNumberFormat="1" applyFont="1" applyBorder="1" applyAlignment="1">
      <alignment horizontal="center" vertical="center"/>
    </xf>
    <xf numFmtId="182" fontId="143" fillId="0" borderId="12" xfId="0" applyNumberFormat="1" applyFont="1" applyBorder="1" applyAlignment="1">
      <alignment horizontal="center" vertical="center"/>
    </xf>
    <xf numFmtId="182" fontId="143" fillId="0" borderId="12" xfId="0" applyNumberFormat="1" applyFont="1" applyBorder="1" applyAlignment="1">
      <alignment/>
    </xf>
    <xf numFmtId="0" fontId="154" fillId="0" borderId="12" xfId="0" applyFont="1" applyBorder="1" applyAlignment="1">
      <alignment vertical="center" wrapText="1"/>
    </xf>
    <xf numFmtId="0" fontId="156" fillId="0" borderId="12" xfId="63" applyFont="1" applyBorder="1" applyAlignment="1">
      <alignment horizontal="center" vertical="center" wrapText="1"/>
      <protection/>
    </xf>
    <xf numFmtId="0" fontId="156" fillId="0" borderId="12" xfId="63" applyFont="1" applyBorder="1" applyAlignment="1">
      <alignment vertical="center" wrapText="1"/>
      <protection/>
    </xf>
    <xf numFmtId="180" fontId="156" fillId="0" borderId="12" xfId="49" applyNumberFormat="1" applyFont="1" applyBorder="1" applyAlignment="1">
      <alignment horizontal="center" vertical="center" wrapText="1"/>
    </xf>
    <xf numFmtId="0" fontId="157" fillId="0" borderId="12" xfId="63" applyFont="1" applyBorder="1" applyAlignment="1">
      <alignment horizontal="center" vertical="center" wrapText="1"/>
      <protection/>
    </xf>
    <xf numFmtId="180" fontId="157" fillId="0" borderId="12" xfId="49" applyNumberFormat="1" applyFont="1" applyBorder="1" applyAlignment="1">
      <alignment horizontal="center" vertical="center" wrapText="1"/>
    </xf>
    <xf numFmtId="0" fontId="158" fillId="0" borderId="12" xfId="63" applyFont="1" applyBorder="1" applyAlignment="1">
      <alignment vertical="center" wrapText="1"/>
      <protection/>
    </xf>
    <xf numFmtId="0" fontId="157" fillId="0" borderId="12" xfId="63" applyFont="1" applyBorder="1" applyAlignment="1">
      <alignment vertical="center" wrapText="1"/>
      <protection/>
    </xf>
    <xf numFmtId="0" fontId="134" fillId="0" borderId="0" xfId="0" applyFont="1" applyAlignment="1">
      <alignment vertical="center"/>
    </xf>
    <xf numFmtId="0" fontId="159" fillId="0" borderId="0" xfId="0" applyFont="1" applyAlignment="1">
      <alignment vertical="center"/>
    </xf>
    <xf numFmtId="0" fontId="146" fillId="0" borderId="0" xfId="0" applyFont="1" applyAlignment="1">
      <alignment vertical="center"/>
    </xf>
    <xf numFmtId="0" fontId="0" fillId="0" borderId="0" xfId="0" applyAlignment="1">
      <alignment vertical="center"/>
    </xf>
    <xf numFmtId="180" fontId="0" fillId="0" borderId="0" xfId="43" applyNumberFormat="1" applyFont="1" applyAlignment="1">
      <alignment vertical="center"/>
    </xf>
    <xf numFmtId="180" fontId="160" fillId="5" borderId="10" xfId="43" applyNumberFormat="1" applyFont="1" applyFill="1" applyBorder="1" applyAlignment="1">
      <alignment horizontal="center" vertical="center" wrapText="1"/>
    </xf>
    <xf numFmtId="180" fontId="140" fillId="2" borderId="10" xfId="43" applyNumberFormat="1" applyFont="1" applyFill="1" applyBorder="1" applyAlignment="1">
      <alignment vertical="center" wrapText="1"/>
    </xf>
    <xf numFmtId="180" fontId="139" fillId="0" borderId="11" xfId="43" applyNumberFormat="1" applyFont="1" applyBorder="1" applyAlignment="1">
      <alignment horizontal="center" vertical="center" wrapText="1"/>
    </xf>
    <xf numFmtId="0" fontId="161" fillId="0" borderId="12" xfId="0" applyFont="1" applyBorder="1" applyAlignment="1">
      <alignment horizontal="center" vertical="center" wrapText="1"/>
    </xf>
    <xf numFmtId="0" fontId="161" fillId="0" borderId="12" xfId="0" applyFont="1" applyBorder="1" applyAlignment="1">
      <alignment vertical="center" wrapText="1"/>
    </xf>
    <xf numFmtId="180" fontId="161" fillId="0" borderId="12" xfId="43" applyNumberFormat="1" applyFont="1" applyBorder="1" applyAlignment="1">
      <alignment horizontal="center" vertical="center" wrapText="1"/>
    </xf>
    <xf numFmtId="0" fontId="139" fillId="0" borderId="21" xfId="0" applyFont="1" applyBorder="1" applyAlignment="1">
      <alignment horizontal="center" vertical="center" wrapText="1"/>
    </xf>
    <xf numFmtId="0" fontId="139" fillId="0" borderId="21" xfId="0" applyFont="1" applyBorder="1" applyAlignment="1">
      <alignment vertical="center" wrapText="1"/>
    </xf>
    <xf numFmtId="0" fontId="140" fillId="0" borderId="21" xfId="0" applyFont="1" applyBorder="1" applyAlignment="1">
      <alignment horizontal="center" vertical="center" wrapText="1"/>
    </xf>
    <xf numFmtId="180" fontId="140" fillId="0" borderId="11" xfId="43" applyNumberFormat="1" applyFont="1" applyBorder="1" applyAlignment="1">
      <alignment horizontal="center" vertical="center" wrapText="1"/>
    </xf>
    <xf numFmtId="180" fontId="139" fillId="0" borderId="21" xfId="43" applyNumberFormat="1" applyFont="1" applyBorder="1" applyAlignment="1">
      <alignment horizontal="center" vertical="center" wrapText="1"/>
    </xf>
    <xf numFmtId="180" fontId="162" fillId="0" borderId="12" xfId="43" applyNumberFormat="1" applyFont="1" applyBorder="1" applyAlignment="1">
      <alignment horizontal="center" vertical="center" wrapText="1"/>
    </xf>
    <xf numFmtId="180" fontId="155" fillId="0" borderId="12" xfId="43" applyNumberFormat="1" applyFont="1" applyBorder="1" applyAlignment="1">
      <alignment horizontal="center" vertical="center" wrapText="1"/>
    </xf>
    <xf numFmtId="0" fontId="140" fillId="2" borderId="10" xfId="0" applyFont="1" applyFill="1" applyBorder="1" applyAlignment="1">
      <alignment vertical="center" wrapText="1"/>
    </xf>
    <xf numFmtId="180" fontId="0" fillId="0" borderId="0" xfId="43" applyNumberFormat="1" applyFont="1" applyAlignment="1">
      <alignment/>
    </xf>
    <xf numFmtId="0" fontId="138" fillId="0" borderId="0" xfId="0" applyFont="1" applyAlignment="1">
      <alignment horizontal="right" vertical="center"/>
    </xf>
    <xf numFmtId="180" fontId="136" fillId="5" borderId="10" xfId="43" applyNumberFormat="1" applyFont="1" applyFill="1" applyBorder="1" applyAlignment="1">
      <alignment horizontal="center" vertical="center" wrapText="1"/>
    </xf>
    <xf numFmtId="180" fontId="137" fillId="2" borderId="10" xfId="43" applyNumberFormat="1" applyFont="1" applyFill="1" applyBorder="1" applyAlignment="1">
      <alignment horizontal="center" vertical="center" wrapText="1"/>
    </xf>
    <xf numFmtId="180" fontId="137" fillId="0" borderId="11" xfId="43" applyNumberFormat="1" applyFont="1" applyBorder="1" applyAlignment="1">
      <alignment horizontal="center" vertical="center" wrapText="1"/>
    </xf>
    <xf numFmtId="180" fontId="136" fillId="0" borderId="12" xfId="43" applyNumberFormat="1" applyFont="1" applyBorder="1" applyAlignment="1">
      <alignment horizontal="right" vertical="center" wrapText="1"/>
    </xf>
    <xf numFmtId="180" fontId="137" fillId="0" borderId="12" xfId="43" applyNumberFormat="1" applyFont="1" applyBorder="1" applyAlignment="1">
      <alignment horizontal="right" vertical="center" wrapText="1"/>
    </xf>
    <xf numFmtId="0" fontId="137" fillId="0" borderId="12" xfId="0" applyFont="1" applyBorder="1" applyAlignment="1">
      <alignment horizontal="right" vertical="center" wrapText="1"/>
    </xf>
    <xf numFmtId="180" fontId="135" fillId="0" borderId="0" xfId="0" applyNumberFormat="1" applyFont="1" applyAlignment="1">
      <alignment/>
    </xf>
    <xf numFmtId="180" fontId="137" fillId="0" borderId="12" xfId="43" applyNumberFormat="1" applyFont="1" applyBorder="1" applyAlignment="1">
      <alignment horizontal="center" vertical="center" wrapText="1"/>
    </xf>
    <xf numFmtId="180" fontId="136" fillId="0" borderId="12" xfId="43" applyNumberFormat="1" applyFont="1" applyBorder="1" applyAlignment="1">
      <alignment horizontal="center" vertical="center" wrapText="1"/>
    </xf>
    <xf numFmtId="0" fontId="136" fillId="0" borderId="13" xfId="0" applyFont="1" applyBorder="1" applyAlignment="1">
      <alignment horizontal="center" vertical="center" wrapText="1"/>
    </xf>
    <xf numFmtId="0" fontId="136" fillId="0" borderId="13" xfId="0" applyFont="1" applyBorder="1" applyAlignment="1">
      <alignment vertical="center" wrapText="1"/>
    </xf>
    <xf numFmtId="180" fontId="136" fillId="0" borderId="13" xfId="43" applyNumberFormat="1" applyFont="1" applyBorder="1" applyAlignment="1">
      <alignment horizontal="right" vertical="center" wrapText="1"/>
    </xf>
    <xf numFmtId="0" fontId="134" fillId="0" borderId="0" xfId="0" applyFont="1" applyAlignment="1">
      <alignment/>
    </xf>
    <xf numFmtId="0" fontId="0" fillId="0" borderId="0" xfId="0" applyFont="1" applyAlignment="1">
      <alignment/>
    </xf>
    <xf numFmtId="3" fontId="135" fillId="0" borderId="0" xfId="0" applyNumberFormat="1" applyFont="1" applyAlignment="1">
      <alignment/>
    </xf>
    <xf numFmtId="3" fontId="0" fillId="0" borderId="0" xfId="0" applyNumberFormat="1" applyAlignment="1">
      <alignment/>
    </xf>
    <xf numFmtId="0" fontId="154" fillId="0" borderId="0" xfId="0" applyFont="1" applyAlignment="1">
      <alignment horizontal="right" vertical="center"/>
    </xf>
    <xf numFmtId="3" fontId="163" fillId="0" borderId="0" xfId="0" applyNumberFormat="1" applyFont="1" applyAlignment="1">
      <alignment/>
    </xf>
    <xf numFmtId="0" fontId="0" fillId="0" borderId="13" xfId="0" applyBorder="1" applyAlignment="1">
      <alignment/>
    </xf>
    <xf numFmtId="0" fontId="5" fillId="0" borderId="0" xfId="0" applyFont="1" applyFill="1" applyAlignment="1">
      <alignment horizontal="center"/>
    </xf>
    <xf numFmtId="180" fontId="11" fillId="0" borderId="0" xfId="43" applyNumberFormat="1" applyFont="1" applyFill="1" applyAlignment="1">
      <alignment/>
    </xf>
    <xf numFmtId="0" fontId="20" fillId="0" borderId="0" xfId="0" applyFont="1" applyFill="1" applyAlignment="1">
      <alignment horizontal="center"/>
    </xf>
    <xf numFmtId="180" fontId="11" fillId="0" borderId="0" xfId="43" applyNumberFormat="1" applyFont="1" applyFill="1" applyAlignment="1">
      <alignment horizontal="right" vertical="center"/>
    </xf>
    <xf numFmtId="0" fontId="155" fillId="0" borderId="12" xfId="0" applyFont="1" applyBorder="1" applyAlignment="1">
      <alignment vertical="center" wrapText="1"/>
    </xf>
    <xf numFmtId="0" fontId="0" fillId="0" borderId="12" xfId="0" applyBorder="1" applyAlignment="1">
      <alignment/>
    </xf>
    <xf numFmtId="0" fontId="154" fillId="0" borderId="0" xfId="0" applyFont="1" applyAlignment="1">
      <alignment/>
    </xf>
    <xf numFmtId="0" fontId="139" fillId="5" borderId="15" xfId="0" applyFont="1" applyFill="1" applyBorder="1" applyAlignment="1">
      <alignment horizontal="center" vertical="center" wrapText="1"/>
    </xf>
    <xf numFmtId="0" fontId="163" fillId="0" borderId="0" xfId="0" applyFont="1" applyAlignment="1">
      <alignment/>
    </xf>
    <xf numFmtId="180" fontId="164" fillId="0" borderId="0" xfId="43" applyNumberFormat="1" applyFont="1" applyAlignment="1">
      <alignment/>
    </xf>
    <xf numFmtId="180" fontId="165" fillId="0" borderId="0" xfId="43" applyNumberFormat="1" applyFont="1" applyAlignment="1">
      <alignment/>
    </xf>
    <xf numFmtId="180" fontId="166" fillId="5" borderId="10" xfId="43" applyNumberFormat="1" applyFont="1" applyFill="1" applyBorder="1" applyAlignment="1">
      <alignment horizontal="center" vertical="center" wrapText="1"/>
    </xf>
    <xf numFmtId="180" fontId="160" fillId="0" borderId="11" xfId="43" applyNumberFormat="1" applyFont="1" applyBorder="1" applyAlignment="1">
      <alignment horizontal="center" vertical="center" wrapText="1"/>
    </xf>
    <xf numFmtId="0" fontId="162" fillId="0" borderId="12" xfId="0" applyFont="1" applyBorder="1" applyAlignment="1">
      <alignment horizontal="center" vertical="center" wrapText="1"/>
    </xf>
    <xf numFmtId="0" fontId="162" fillId="0" borderId="12" xfId="0" applyFont="1" applyBorder="1" applyAlignment="1">
      <alignment vertical="center" wrapText="1"/>
    </xf>
    <xf numFmtId="180" fontId="160" fillId="0" borderId="12" xfId="43" applyNumberFormat="1" applyFont="1" applyBorder="1" applyAlignment="1">
      <alignment horizontal="center" vertical="center" wrapText="1"/>
    </xf>
    <xf numFmtId="0" fontId="155" fillId="0" borderId="12" xfId="0" applyFont="1" applyBorder="1" applyAlignment="1">
      <alignment horizontal="center" vertical="center" wrapText="1"/>
    </xf>
    <xf numFmtId="180" fontId="167" fillId="0" borderId="12" xfId="43" applyNumberFormat="1" applyFont="1" applyBorder="1" applyAlignment="1">
      <alignment horizontal="center" vertical="center" wrapText="1"/>
    </xf>
    <xf numFmtId="180" fontId="168" fillId="0" borderId="12" xfId="43" applyNumberFormat="1" applyFont="1" applyBorder="1" applyAlignment="1">
      <alignment horizontal="center" vertical="center" wrapText="1"/>
    </xf>
    <xf numFmtId="180" fontId="166" fillId="0" borderId="12" xfId="43" applyNumberFormat="1" applyFont="1" applyBorder="1" applyAlignment="1">
      <alignment horizontal="center" vertical="center" wrapText="1"/>
    </xf>
    <xf numFmtId="180" fontId="160" fillId="0" borderId="21" xfId="43" applyNumberFormat="1" applyFont="1" applyBorder="1" applyAlignment="1">
      <alignment horizontal="center" vertical="center" wrapText="1"/>
    </xf>
    <xf numFmtId="0" fontId="5" fillId="0" borderId="12" xfId="0" applyFont="1" applyFill="1" applyBorder="1" applyAlignment="1">
      <alignment/>
    </xf>
    <xf numFmtId="0" fontId="9" fillId="0" borderId="12" xfId="0" applyFont="1" applyFill="1" applyBorder="1" applyAlignment="1">
      <alignment/>
    </xf>
    <xf numFmtId="0" fontId="140" fillId="0" borderId="22" xfId="0" applyFont="1" applyBorder="1" applyAlignment="1">
      <alignment horizontal="center" vertical="center" wrapText="1"/>
    </xf>
    <xf numFmtId="0" fontId="9" fillId="0" borderId="22" xfId="0" applyFont="1" applyFill="1" applyBorder="1" applyAlignment="1">
      <alignment/>
    </xf>
    <xf numFmtId="180" fontId="167" fillId="0" borderId="22" xfId="43" applyNumberFormat="1" applyFont="1" applyBorder="1" applyAlignment="1">
      <alignment horizontal="center" vertical="center" wrapText="1"/>
    </xf>
    <xf numFmtId="180" fontId="160" fillId="0" borderId="22" xfId="43" applyNumberFormat="1" applyFont="1" applyBorder="1" applyAlignment="1">
      <alignment horizontal="center" vertical="center" wrapText="1"/>
    </xf>
    <xf numFmtId="180" fontId="168" fillId="0" borderId="22" xfId="43" applyNumberFormat="1" applyFont="1" applyBorder="1" applyAlignment="1">
      <alignment horizontal="center" vertical="center" wrapText="1"/>
    </xf>
    <xf numFmtId="0" fontId="162" fillId="0" borderId="0" xfId="0" applyFont="1" applyBorder="1" applyAlignment="1">
      <alignment horizontal="center" vertical="center" wrapText="1"/>
    </xf>
    <xf numFmtId="180" fontId="162" fillId="0" borderId="0" xfId="43" applyNumberFormat="1" applyFont="1" applyBorder="1" applyAlignment="1">
      <alignment horizontal="center" vertical="center" wrapText="1"/>
    </xf>
    <xf numFmtId="180" fontId="139" fillId="0" borderId="0" xfId="43" applyNumberFormat="1" applyFont="1" applyAlignment="1">
      <alignment/>
    </xf>
    <xf numFmtId="180" fontId="140" fillId="0" borderId="11" xfId="43" applyNumberFormat="1" applyFont="1" applyBorder="1" applyAlignment="1">
      <alignment vertical="center" wrapText="1"/>
    </xf>
    <xf numFmtId="180" fontId="139" fillId="0" borderId="11" xfId="43" applyNumberFormat="1" applyFont="1" applyBorder="1" applyAlignment="1">
      <alignment vertical="center" wrapText="1"/>
    </xf>
    <xf numFmtId="180" fontId="166" fillId="0" borderId="22" xfId="43" applyNumberFormat="1" applyFont="1" applyBorder="1" applyAlignment="1">
      <alignment horizontal="center" vertical="center" wrapText="1"/>
    </xf>
    <xf numFmtId="180" fontId="139" fillId="0" borderId="22" xfId="43" applyNumberFormat="1" applyFont="1" applyBorder="1" applyAlignment="1">
      <alignment horizontal="center" vertical="center" wrapText="1"/>
    </xf>
    <xf numFmtId="171" fontId="139" fillId="0" borderId="11" xfId="43" applyNumberFormat="1" applyFont="1" applyBorder="1" applyAlignment="1">
      <alignment horizontal="center" vertical="center" wrapText="1"/>
    </xf>
    <xf numFmtId="171" fontId="162" fillId="0" borderId="12" xfId="43" applyNumberFormat="1" applyFont="1" applyBorder="1" applyAlignment="1">
      <alignment horizontal="center" vertical="center" wrapText="1"/>
    </xf>
    <xf numFmtId="171" fontId="155" fillId="0" borderId="12" xfId="43" applyNumberFormat="1" applyFont="1" applyBorder="1" applyAlignment="1">
      <alignment horizontal="center" vertical="center" wrapText="1"/>
    </xf>
    <xf numFmtId="171" fontId="140" fillId="0" borderId="12" xfId="43" applyNumberFormat="1" applyFont="1" applyBorder="1" applyAlignment="1">
      <alignment horizontal="center" vertical="center" wrapText="1"/>
    </xf>
    <xf numFmtId="171" fontId="139" fillId="0" borderId="12" xfId="43" applyNumberFormat="1" applyFont="1" applyBorder="1" applyAlignment="1">
      <alignment horizontal="center" vertical="center" wrapText="1"/>
    </xf>
    <xf numFmtId="171" fontId="140" fillId="0" borderId="11" xfId="43" applyNumberFormat="1" applyFont="1" applyBorder="1" applyAlignment="1">
      <alignment vertical="center" wrapText="1"/>
    </xf>
    <xf numFmtId="171" fontId="139" fillId="0" borderId="11" xfId="43" applyNumberFormat="1" applyFont="1" applyBorder="1" applyAlignment="1">
      <alignment vertical="center" wrapText="1"/>
    </xf>
    <xf numFmtId="171" fontId="139" fillId="0" borderId="22" xfId="43" applyNumberFormat="1" applyFont="1" applyBorder="1" applyAlignment="1">
      <alignment horizontal="center" vertical="center" wrapText="1"/>
    </xf>
    <xf numFmtId="0" fontId="161" fillId="0" borderId="0" xfId="0" applyFont="1" applyAlignment="1">
      <alignment vertical="center"/>
    </xf>
    <xf numFmtId="0" fontId="146" fillId="0" borderId="0" xfId="0" applyFont="1" applyAlignment="1">
      <alignment/>
    </xf>
    <xf numFmtId="0" fontId="139" fillId="2" borderId="10" xfId="0" applyFont="1" applyFill="1" applyBorder="1" applyAlignment="1">
      <alignment horizontal="center" vertical="center" wrapText="1"/>
    </xf>
    <xf numFmtId="180" fontId="139" fillId="2" borderId="10" xfId="43" applyNumberFormat="1" applyFont="1" applyFill="1" applyBorder="1" applyAlignment="1">
      <alignment horizontal="center" vertical="center" wrapText="1"/>
    </xf>
    <xf numFmtId="0" fontId="3" fillId="0" borderId="12" xfId="0" applyFont="1" applyBorder="1" applyAlignment="1">
      <alignment horizontal="center" vertical="center" wrapText="1"/>
    </xf>
    <xf numFmtId="0" fontId="3" fillId="0" borderId="12" xfId="0" applyFont="1" applyBorder="1" applyAlignment="1">
      <alignment vertical="center" wrapText="1"/>
    </xf>
    <xf numFmtId="0" fontId="169" fillId="0" borderId="12" xfId="0" applyFont="1" applyBorder="1" applyAlignment="1">
      <alignment vertical="center" wrapText="1"/>
    </xf>
    <xf numFmtId="180" fontId="134" fillId="0" borderId="0" xfId="0" applyNumberFormat="1" applyFont="1" applyAlignment="1">
      <alignment/>
    </xf>
    <xf numFmtId="180" fontId="139" fillId="0" borderId="13" xfId="43" applyNumberFormat="1" applyFont="1" applyBorder="1" applyAlignment="1">
      <alignment horizontal="center" vertical="center" wrapText="1"/>
    </xf>
    <xf numFmtId="180" fontId="0" fillId="0" borderId="0" xfId="43" applyNumberFormat="1" applyFont="1" applyAlignment="1">
      <alignment horizontal="right"/>
    </xf>
    <xf numFmtId="171" fontId="139" fillId="0" borderId="13" xfId="43" applyNumberFormat="1" applyFont="1" applyBorder="1" applyAlignment="1">
      <alignment horizontal="center" vertical="center" wrapText="1"/>
    </xf>
    <xf numFmtId="0" fontId="0" fillId="0" borderId="0" xfId="0" applyAlignment="1">
      <alignment horizontal="center"/>
    </xf>
    <xf numFmtId="0" fontId="159" fillId="0" borderId="0" xfId="0" applyFont="1" applyAlignment="1">
      <alignment/>
    </xf>
    <xf numFmtId="0" fontId="154" fillId="2" borderId="10" xfId="0" applyFont="1" applyFill="1" applyBorder="1" applyAlignment="1">
      <alignment horizontal="center" vertical="center" wrapText="1"/>
    </xf>
    <xf numFmtId="180" fontId="139" fillId="0" borderId="11" xfId="43" applyNumberFormat="1" applyFont="1" applyBorder="1" applyAlignment="1">
      <alignment horizontal="right" vertical="center" wrapText="1"/>
    </xf>
    <xf numFmtId="180" fontId="139" fillId="0" borderId="12" xfId="43" applyNumberFormat="1" applyFont="1" applyBorder="1" applyAlignment="1">
      <alignment horizontal="right" vertical="center" wrapText="1"/>
    </xf>
    <xf numFmtId="180" fontId="139" fillId="0" borderId="12" xfId="43" applyNumberFormat="1" applyFont="1" applyBorder="1" applyAlignment="1">
      <alignment vertical="center" wrapText="1"/>
    </xf>
    <xf numFmtId="180" fontId="140" fillId="0" borderId="12" xfId="43" applyNumberFormat="1" applyFont="1" applyBorder="1" applyAlignment="1">
      <alignment horizontal="right" vertical="center" wrapText="1"/>
    </xf>
    <xf numFmtId="180" fontId="140" fillId="0" borderId="12" xfId="43" applyNumberFormat="1" applyFont="1" applyBorder="1" applyAlignment="1">
      <alignment vertical="center" wrapText="1"/>
    </xf>
    <xf numFmtId="180" fontId="139" fillId="0" borderId="13" xfId="43" applyNumberFormat="1" applyFont="1" applyBorder="1" applyAlignment="1">
      <alignment horizontal="right" vertical="center" wrapText="1"/>
    </xf>
    <xf numFmtId="180" fontId="139" fillId="0" borderId="13" xfId="43" applyNumberFormat="1" applyFont="1" applyBorder="1" applyAlignment="1">
      <alignment vertical="center" wrapText="1"/>
    </xf>
    <xf numFmtId="180" fontId="155" fillId="0" borderId="0" xfId="43" applyNumberFormat="1" applyFont="1" applyBorder="1" applyAlignment="1">
      <alignment horizontal="right" vertical="center" wrapText="1"/>
    </xf>
    <xf numFmtId="180" fontId="155" fillId="0" borderId="0" xfId="43" applyNumberFormat="1" applyFont="1" applyBorder="1" applyAlignment="1">
      <alignment vertical="center" wrapText="1"/>
    </xf>
    <xf numFmtId="0" fontId="140" fillId="0" borderId="0" xfId="0" applyFont="1" applyBorder="1" applyAlignment="1">
      <alignment vertical="center" wrapText="1"/>
    </xf>
    <xf numFmtId="180" fontId="140" fillId="0" borderId="0" xfId="43" applyNumberFormat="1" applyFont="1" applyBorder="1" applyAlignment="1">
      <alignment horizontal="right" vertical="center" wrapText="1"/>
    </xf>
    <xf numFmtId="180" fontId="140" fillId="0" borderId="0" xfId="43" applyNumberFormat="1" applyFont="1" applyBorder="1" applyAlignment="1">
      <alignment vertical="center" wrapText="1"/>
    </xf>
    <xf numFmtId="180" fontId="140" fillId="0" borderId="0" xfId="43" applyNumberFormat="1" applyFont="1" applyBorder="1" applyAlignment="1">
      <alignment horizontal="center" vertical="center" wrapText="1"/>
    </xf>
    <xf numFmtId="180" fontId="140" fillId="0" borderId="0" xfId="43" applyNumberFormat="1" applyFont="1" applyAlignment="1">
      <alignment horizontal="right" vertical="center"/>
    </xf>
    <xf numFmtId="0" fontId="161" fillId="0" borderId="0" xfId="0" applyFont="1" applyAlignment="1">
      <alignment/>
    </xf>
    <xf numFmtId="0" fontId="11" fillId="0" borderId="0" xfId="0" applyFont="1" applyAlignment="1">
      <alignment/>
    </xf>
    <xf numFmtId="0" fontId="14" fillId="0" borderId="23" xfId="0" applyFont="1" applyBorder="1" applyAlignment="1">
      <alignment horizontal="center"/>
    </xf>
    <xf numFmtId="0" fontId="14" fillId="0" borderId="24" xfId="0" applyFont="1" applyBorder="1" applyAlignment="1">
      <alignment horizontal="center"/>
    </xf>
    <xf numFmtId="0" fontId="19" fillId="0" borderId="0" xfId="0" applyFont="1" applyFill="1" applyAlignment="1">
      <alignment horizontal="center"/>
    </xf>
    <xf numFmtId="0" fontId="11" fillId="0" borderId="24" xfId="0" applyFont="1" applyBorder="1" applyAlignment="1">
      <alignment horizontal="center"/>
    </xf>
    <xf numFmtId="0" fontId="26" fillId="0" borderId="24" xfId="0" applyFont="1" applyBorder="1" applyAlignment="1">
      <alignment horizontal="center"/>
    </xf>
    <xf numFmtId="0" fontId="27" fillId="0" borderId="24" xfId="0" applyFont="1" applyBorder="1" applyAlignment="1">
      <alignment horizontal="center"/>
    </xf>
    <xf numFmtId="0" fontId="5" fillId="0" borderId="24" xfId="0" applyFont="1" applyBorder="1" applyAlignment="1">
      <alignment horizontal="center"/>
    </xf>
    <xf numFmtId="0" fontId="11" fillId="0" borderId="25" xfId="0" applyFont="1" applyBorder="1" applyAlignment="1">
      <alignment/>
    </xf>
    <xf numFmtId="0" fontId="170" fillId="33" borderId="0" xfId="0" applyFont="1" applyFill="1" applyAlignment="1">
      <alignment/>
    </xf>
    <xf numFmtId="0" fontId="170" fillId="0" borderId="0" xfId="0" applyFont="1" applyAlignment="1">
      <alignment horizontal="center" vertical="center"/>
    </xf>
    <xf numFmtId="0" fontId="170" fillId="0" borderId="0" xfId="0" applyFont="1" applyAlignment="1">
      <alignment/>
    </xf>
    <xf numFmtId="0" fontId="171" fillId="34" borderId="0" xfId="0" applyFont="1" applyFill="1" applyAlignment="1">
      <alignment horizontal="center" vertical="center"/>
    </xf>
    <xf numFmtId="0" fontId="171" fillId="0" borderId="0" xfId="0" applyFont="1" applyAlignment="1">
      <alignment vertical="center"/>
    </xf>
    <xf numFmtId="0" fontId="172" fillId="0" borderId="26" xfId="0" applyFont="1" applyBorder="1" applyAlignment="1">
      <alignment horizontal="center" vertical="center"/>
    </xf>
    <xf numFmtId="0" fontId="173" fillId="35" borderId="27" xfId="0" applyFont="1" applyFill="1" applyBorder="1" applyAlignment="1">
      <alignment horizontal="center" vertical="center" wrapText="1"/>
    </xf>
    <xf numFmtId="0" fontId="174" fillId="36" borderId="28" xfId="0" applyFont="1" applyFill="1" applyBorder="1" applyAlignment="1">
      <alignment horizontal="center" vertical="center" wrapText="1"/>
    </xf>
    <xf numFmtId="0" fontId="174" fillId="37" borderId="28" xfId="0" applyFont="1" applyFill="1" applyBorder="1" applyAlignment="1">
      <alignment vertical="center" wrapText="1"/>
    </xf>
    <xf numFmtId="0" fontId="175" fillId="38" borderId="28" xfId="0" applyFont="1" applyFill="1" applyBorder="1" applyAlignment="1">
      <alignment vertical="center" wrapText="1"/>
    </xf>
    <xf numFmtId="0" fontId="170" fillId="0" borderId="10" xfId="0" applyFont="1" applyBorder="1" applyAlignment="1">
      <alignment horizontal="center" vertical="center"/>
    </xf>
    <xf numFmtId="0" fontId="174" fillId="0" borderId="28" xfId="0" applyFont="1" applyBorder="1" applyAlignment="1">
      <alignment vertical="center" wrapText="1"/>
    </xf>
    <xf numFmtId="0" fontId="175" fillId="0" borderId="28" xfId="0" applyFont="1" applyBorder="1" applyAlignment="1">
      <alignment vertical="center" wrapText="1"/>
    </xf>
    <xf numFmtId="0" fontId="174" fillId="0" borderId="29" xfId="0" applyFont="1" applyBorder="1" applyAlignment="1">
      <alignment vertical="center" wrapText="1"/>
    </xf>
    <xf numFmtId="0" fontId="175" fillId="0" borderId="29" xfId="0" applyFont="1" applyBorder="1" applyAlignment="1">
      <alignment vertical="center" wrapText="1"/>
    </xf>
    <xf numFmtId="0" fontId="176" fillId="0" borderId="0" xfId="59" applyFont="1" applyAlignment="1">
      <alignment vertical="center"/>
    </xf>
    <xf numFmtId="0" fontId="176" fillId="0" borderId="29" xfId="59" applyFont="1" applyBorder="1" applyAlignment="1">
      <alignment vertical="center" wrapText="1"/>
    </xf>
    <xf numFmtId="0" fontId="176" fillId="0" borderId="28" xfId="59" applyFont="1" applyBorder="1" applyAlignment="1">
      <alignment vertical="center" wrapText="1"/>
    </xf>
    <xf numFmtId="0" fontId="175" fillId="3" borderId="29" xfId="0" applyFont="1" applyFill="1" applyBorder="1" applyAlignment="1">
      <alignment vertical="center" wrapText="1"/>
    </xf>
    <xf numFmtId="0" fontId="174" fillId="3" borderId="28" xfId="0" applyFont="1" applyFill="1" applyBorder="1" applyAlignment="1">
      <alignment horizontal="center" vertical="center" wrapText="1"/>
    </xf>
    <xf numFmtId="0" fontId="174" fillId="3" borderId="28" xfId="0" applyFont="1" applyFill="1" applyBorder="1" applyAlignment="1">
      <alignment vertical="center" wrapText="1"/>
    </xf>
    <xf numFmtId="0" fontId="175" fillId="3" borderId="28" xfId="0" applyFont="1" applyFill="1" applyBorder="1" applyAlignment="1">
      <alignment vertical="center" wrapText="1"/>
    </xf>
    <xf numFmtId="0" fontId="170" fillId="0" borderId="29" xfId="0" applyFont="1" applyBorder="1" applyAlignment="1">
      <alignment vertical="center" wrapText="1"/>
    </xf>
    <xf numFmtId="0" fontId="175" fillId="0" borderId="26" xfId="0" applyFont="1" applyBorder="1" applyAlignment="1">
      <alignment vertical="center" wrapText="1"/>
    </xf>
    <xf numFmtId="0" fontId="170" fillId="0" borderId="10" xfId="0" applyFont="1" applyBorder="1" applyAlignment="1">
      <alignment vertical="center" wrapText="1"/>
    </xf>
    <xf numFmtId="0" fontId="170" fillId="3" borderId="28" xfId="0" applyFont="1" applyFill="1" applyBorder="1" applyAlignment="1">
      <alignment vertical="center" wrapText="1"/>
    </xf>
    <xf numFmtId="0" fontId="171" fillId="39" borderId="28" xfId="0" applyFont="1" applyFill="1" applyBorder="1" applyAlignment="1">
      <alignment horizontal="center" vertical="center" wrapText="1"/>
    </xf>
    <xf numFmtId="0" fontId="171" fillId="39" borderId="28" xfId="0" applyFont="1" applyFill="1" applyBorder="1" applyAlignment="1">
      <alignment vertical="center" wrapText="1"/>
    </xf>
    <xf numFmtId="0" fontId="177" fillId="39" borderId="28" xfId="0" applyFont="1" applyFill="1" applyBorder="1" applyAlignment="1">
      <alignment vertical="center" wrapText="1"/>
    </xf>
    <xf numFmtId="0" fontId="178" fillId="25" borderId="28" xfId="0" applyFont="1" applyFill="1" applyBorder="1" applyAlignment="1">
      <alignment horizontal="center" vertical="center" wrapText="1"/>
    </xf>
    <xf numFmtId="0" fontId="178" fillId="25" borderId="28" xfId="0" applyFont="1" applyFill="1" applyBorder="1" applyAlignment="1">
      <alignment vertical="center" wrapText="1"/>
    </xf>
    <xf numFmtId="0" fontId="175" fillId="25" borderId="28" xfId="0" applyFont="1" applyFill="1" applyBorder="1" applyAlignment="1">
      <alignment vertical="center" wrapText="1"/>
    </xf>
    <xf numFmtId="0" fontId="174" fillId="25" borderId="28" xfId="0" applyFont="1" applyFill="1" applyBorder="1" applyAlignment="1">
      <alignment horizontal="center" vertical="center" wrapText="1"/>
    </xf>
    <xf numFmtId="0" fontId="174" fillId="25" borderId="28" xfId="0" applyFont="1" applyFill="1" applyBorder="1" applyAlignment="1">
      <alignment vertical="center" wrapText="1"/>
    </xf>
    <xf numFmtId="0" fontId="175" fillId="25" borderId="30" xfId="0" applyFont="1" applyFill="1" applyBorder="1" applyAlignment="1">
      <alignment vertical="center" wrapText="1"/>
    </xf>
    <xf numFmtId="0" fontId="176" fillId="0" borderId="10" xfId="59" applyFont="1" applyBorder="1" applyAlignment="1">
      <alignment vertical="center" wrapText="1"/>
    </xf>
    <xf numFmtId="180" fontId="3" fillId="40" borderId="10" xfId="43" applyNumberFormat="1" applyFont="1" applyFill="1" applyBorder="1" applyAlignment="1" quotePrefix="1">
      <alignment horizontal="center" vertical="center" wrapText="1"/>
    </xf>
    <xf numFmtId="0" fontId="4" fillId="0" borderId="12" xfId="0" applyFont="1" applyBorder="1" applyAlignment="1" quotePrefix="1">
      <alignment vertical="center" wrapText="1"/>
    </xf>
    <xf numFmtId="0" fontId="2" fillId="0" borderId="12" xfId="0" applyFont="1" applyBorder="1" applyAlignment="1" quotePrefix="1">
      <alignment vertical="center" wrapText="1"/>
    </xf>
    <xf numFmtId="0" fontId="17" fillId="0" borderId="10" xfId="0" applyFont="1" applyBorder="1" applyAlignment="1" quotePrefix="1">
      <alignment horizontal="center"/>
    </xf>
    <xf numFmtId="179" fontId="19" fillId="0" borderId="12" xfId="65" applyNumberFormat="1" applyFont="1" applyFill="1" applyBorder="1" applyAlignment="1" applyProtection="1" quotePrefix="1">
      <alignment horizontal="left" vertical="center"/>
      <protection/>
    </xf>
    <xf numFmtId="1" fontId="135" fillId="41" borderId="31" xfId="0" applyNumberFormat="1" applyFont="1" applyFill="1" applyBorder="1" applyAlignment="1">
      <alignment horizontal="justify" vertical="center" wrapText="1"/>
    </xf>
    <xf numFmtId="182" fontId="177" fillId="41" borderId="31" xfId="0" applyNumberFormat="1" applyFont="1" applyFill="1" applyBorder="1" applyAlignment="1">
      <alignment horizontal="right" vertical="center" wrapText="1" shrinkToFit="1"/>
    </xf>
    <xf numFmtId="182" fontId="179" fillId="41" borderId="31" xfId="0" applyNumberFormat="1" applyFont="1" applyFill="1" applyBorder="1" applyAlignment="1">
      <alignment horizontal="right" vertical="center" wrapText="1" shrinkToFit="1"/>
    </xf>
    <xf numFmtId="0" fontId="163" fillId="0" borderId="31" xfId="0" applyFont="1" applyBorder="1" applyAlignment="1">
      <alignment horizontal="left" vertical="center" wrapText="1"/>
    </xf>
    <xf numFmtId="0" fontId="135" fillId="41" borderId="31" xfId="0" applyFont="1" applyFill="1" applyBorder="1" applyAlignment="1">
      <alignment horizontal="left" vertical="center" wrapText="1"/>
    </xf>
    <xf numFmtId="0" fontId="29" fillId="0" borderId="12" xfId="0" applyFont="1" applyBorder="1" applyAlignment="1">
      <alignment vertical="center" wrapText="1"/>
    </xf>
    <xf numFmtId="180" fontId="135" fillId="0" borderId="0" xfId="43" applyNumberFormat="1" applyFont="1" applyAlignment="1">
      <alignment horizontal="right"/>
    </xf>
    <xf numFmtId="180" fontId="0" fillId="0" borderId="0" xfId="43" applyNumberFormat="1" applyFont="1" applyAlignment="1">
      <alignment horizontal="right"/>
    </xf>
    <xf numFmtId="180" fontId="20" fillId="0" borderId="0" xfId="43" applyNumberFormat="1" applyFont="1" applyFill="1" applyAlignment="1">
      <alignment/>
    </xf>
    <xf numFmtId="180" fontId="20" fillId="0" borderId="14" xfId="43" applyNumberFormat="1" applyFont="1" applyFill="1" applyBorder="1" applyAlignment="1">
      <alignment horizontal="center" vertical="center" wrapText="1"/>
    </xf>
    <xf numFmtId="0" fontId="20" fillId="0" borderId="32" xfId="0" applyFont="1" applyBorder="1" applyAlignment="1">
      <alignment horizontal="center" vertical="center" wrapText="1"/>
    </xf>
    <xf numFmtId="180" fontId="20" fillId="0" borderId="32" xfId="0" applyNumberFormat="1" applyFont="1" applyBorder="1" applyAlignment="1">
      <alignment horizontal="right" vertical="center" wrapText="1"/>
    </xf>
    <xf numFmtId="0" fontId="20" fillId="0" borderId="31" xfId="0" applyFont="1" applyBorder="1" applyAlignment="1">
      <alignment horizontal="center" wrapText="1"/>
    </xf>
    <xf numFmtId="0" fontId="20" fillId="0" borderId="31" xfId="0" applyFont="1" applyBorder="1" applyAlignment="1">
      <alignment horizontal="left" vertical="center" wrapText="1"/>
    </xf>
    <xf numFmtId="0" fontId="20" fillId="0" borderId="31" xfId="0" applyFont="1" applyBorder="1" applyAlignment="1">
      <alignment horizontal="center" vertical="center" wrapText="1"/>
    </xf>
    <xf numFmtId="180" fontId="20" fillId="0" borderId="31" xfId="0" applyNumberFormat="1" applyFont="1" applyBorder="1" applyAlignment="1">
      <alignment horizontal="right" vertical="center" wrapText="1"/>
    </xf>
    <xf numFmtId="0" fontId="163" fillId="0" borderId="31" xfId="0" applyFont="1" applyBorder="1" applyAlignment="1">
      <alignment horizontal="center" vertical="center" wrapText="1"/>
    </xf>
    <xf numFmtId="0" fontId="171" fillId="0" borderId="31" xfId="0" applyFont="1" applyBorder="1" applyAlignment="1">
      <alignment horizontal="left" vertical="center" wrapText="1"/>
    </xf>
    <xf numFmtId="180" fontId="171" fillId="0" borderId="31" xfId="0" applyNumberFormat="1" applyFont="1" applyBorder="1" applyAlignment="1">
      <alignment horizontal="right" vertical="center" wrapText="1"/>
    </xf>
    <xf numFmtId="0" fontId="135" fillId="0" borderId="31" xfId="0" applyFont="1" applyBorder="1" applyAlignment="1">
      <alignment horizontal="center" vertical="center" wrapText="1"/>
    </xf>
    <xf numFmtId="0" fontId="180" fillId="0" borderId="31" xfId="0" applyFont="1" applyBorder="1" applyAlignment="1">
      <alignment horizontal="center" vertical="center" wrapText="1"/>
    </xf>
    <xf numFmtId="180" fontId="179" fillId="0" borderId="31" xfId="0" applyNumberFormat="1" applyFont="1" applyBorder="1" applyAlignment="1">
      <alignment horizontal="right" vertical="center" wrapText="1"/>
    </xf>
    <xf numFmtId="0" fontId="180" fillId="0" borderId="31" xfId="0" applyFont="1" applyBorder="1" applyAlignment="1" quotePrefix="1">
      <alignment horizontal="center" vertical="center" wrapText="1"/>
    </xf>
    <xf numFmtId="180" fontId="177" fillId="0" borderId="31" xfId="0" applyNumberFormat="1" applyFont="1" applyBorder="1" applyAlignment="1">
      <alignment horizontal="right" vertical="center" wrapText="1"/>
    </xf>
    <xf numFmtId="0" fontId="177" fillId="0" borderId="31" xfId="0" applyFont="1" applyBorder="1" applyAlignment="1">
      <alignment horizontal="left" vertical="center" wrapText="1"/>
    </xf>
    <xf numFmtId="0" fontId="135" fillId="0" borderId="31" xfId="0" applyFont="1" applyBorder="1" applyAlignment="1" quotePrefix="1">
      <alignment horizontal="center" vertical="center" wrapText="1"/>
    </xf>
    <xf numFmtId="180" fontId="36" fillId="0" borderId="31" xfId="0" applyNumberFormat="1" applyFont="1" applyBorder="1" applyAlignment="1">
      <alignment horizontal="right" vertical="center" wrapText="1"/>
    </xf>
    <xf numFmtId="0" fontId="11" fillId="0" borderId="31" xfId="0" applyFont="1" applyBorder="1" applyAlignment="1">
      <alignment horizontal="center" vertical="center" wrapText="1"/>
    </xf>
    <xf numFmtId="180" fontId="25" fillId="0" borderId="31" xfId="0" applyNumberFormat="1" applyFont="1" applyBorder="1" applyAlignment="1">
      <alignment horizontal="right" vertical="center" wrapText="1"/>
    </xf>
    <xf numFmtId="0" fontId="15" fillId="0" borderId="31" xfId="0" applyFont="1" applyBorder="1" applyAlignment="1">
      <alignment horizontal="center" vertical="center" wrapText="1"/>
    </xf>
    <xf numFmtId="180" fontId="6" fillId="0" borderId="31" xfId="0" applyNumberFormat="1" applyFont="1" applyBorder="1" applyAlignment="1">
      <alignment horizontal="right" vertical="center" wrapText="1"/>
    </xf>
    <xf numFmtId="180" fontId="163" fillId="0" borderId="31" xfId="0" applyNumberFormat="1" applyFont="1" applyBorder="1" applyAlignment="1">
      <alignment horizontal="right" vertical="center" wrapText="1"/>
    </xf>
    <xf numFmtId="0" fontId="171" fillId="0" borderId="31" xfId="0" applyFont="1" applyBorder="1" applyAlignment="1">
      <alignment vertical="center" wrapText="1"/>
    </xf>
    <xf numFmtId="0" fontId="179" fillId="0" borderId="31" xfId="0" applyFont="1" applyBorder="1" applyAlignment="1">
      <alignment vertical="center" wrapText="1"/>
    </xf>
    <xf numFmtId="182" fontId="171" fillId="0" borderId="31" xfId="0" applyNumberFormat="1" applyFont="1" applyBorder="1" applyAlignment="1">
      <alignment horizontal="right" vertical="center" wrapText="1"/>
    </xf>
    <xf numFmtId="0" fontId="177" fillId="0" borderId="31" xfId="0" applyFont="1" applyBorder="1" applyAlignment="1">
      <alignment vertical="center" wrapText="1"/>
    </xf>
    <xf numFmtId="182" fontId="179" fillId="0" borderId="31" xfId="0" applyNumberFormat="1" applyFont="1" applyBorder="1" applyAlignment="1">
      <alignment horizontal="right" vertical="center" wrapText="1"/>
    </xf>
    <xf numFmtId="0" fontId="139" fillId="0" borderId="12" xfId="0" applyFont="1" applyBorder="1" applyAlignment="1">
      <alignment vertical="center" wrapText="1"/>
    </xf>
    <xf numFmtId="180" fontId="139" fillId="5" borderId="10" xfId="43" applyNumberFormat="1" applyFont="1" applyFill="1" applyBorder="1" applyAlignment="1">
      <alignment horizontal="center" vertical="center" wrapText="1"/>
    </xf>
    <xf numFmtId="0" fontId="139" fillId="5" borderId="10" xfId="0" applyFont="1" applyFill="1" applyBorder="1" applyAlignment="1">
      <alignment horizontal="center" vertical="center" wrapText="1"/>
    </xf>
    <xf numFmtId="0" fontId="154" fillId="0" borderId="12" xfId="0" applyFont="1" applyBorder="1" applyAlignment="1">
      <alignment horizontal="center" vertical="center" wrapText="1"/>
    </xf>
    <xf numFmtId="180" fontId="140" fillId="0" borderId="12" xfId="43" applyNumberFormat="1" applyFont="1" applyBorder="1" applyAlignment="1">
      <alignment horizontal="center" vertical="center" wrapText="1"/>
    </xf>
    <xf numFmtId="0" fontId="155" fillId="0" borderId="12" xfId="0" applyFont="1" applyBorder="1" applyAlignment="1">
      <alignment vertical="center" wrapText="1"/>
    </xf>
    <xf numFmtId="0" fontId="140" fillId="0" borderId="12" xfId="0" applyFont="1" applyBorder="1" applyAlignment="1">
      <alignment horizontal="center" vertical="center" wrapText="1"/>
    </xf>
    <xf numFmtId="0" fontId="136" fillId="0" borderId="12" xfId="63" applyFont="1" applyBorder="1" applyAlignment="1">
      <alignment horizontal="center" vertical="center" wrapText="1"/>
      <protection/>
    </xf>
    <xf numFmtId="0" fontId="136" fillId="0" borderId="12" xfId="63" applyFont="1" applyBorder="1" applyAlignment="1">
      <alignment vertical="center" wrapText="1"/>
      <protection/>
    </xf>
    <xf numFmtId="180" fontId="136" fillId="0" borderId="12" xfId="49" applyNumberFormat="1" applyFont="1" applyBorder="1" applyAlignment="1">
      <alignment horizontal="center" vertical="center" wrapText="1"/>
    </xf>
    <xf numFmtId="0" fontId="134" fillId="0" borderId="12" xfId="0" applyFont="1" applyBorder="1" applyAlignment="1">
      <alignment horizontal="center" vertical="center" wrapText="1"/>
    </xf>
    <xf numFmtId="0" fontId="134" fillId="0" borderId="12" xfId="0" applyFont="1" applyBorder="1" applyAlignment="1">
      <alignment horizontal="center" vertical="center"/>
    </xf>
    <xf numFmtId="0" fontId="134" fillId="0" borderId="12" xfId="0" applyFont="1" applyBorder="1" applyAlignment="1">
      <alignment/>
    </xf>
    <xf numFmtId="182" fontId="134" fillId="0" borderId="12" xfId="0" applyNumberFormat="1" applyFont="1" applyBorder="1" applyAlignment="1">
      <alignment/>
    </xf>
    <xf numFmtId="0" fontId="134" fillId="0" borderId="12" xfId="0" applyFont="1" applyBorder="1" applyAlignment="1">
      <alignment wrapText="1"/>
    </xf>
    <xf numFmtId="0" fontId="0" fillId="0" borderId="12" xfId="0" applyFont="1" applyBorder="1" applyAlignment="1">
      <alignment horizontal="center" vertical="center"/>
    </xf>
    <xf numFmtId="0" fontId="0" fillId="0" borderId="12" xfId="0" applyFont="1" applyBorder="1" applyAlignment="1">
      <alignment/>
    </xf>
    <xf numFmtId="182" fontId="0" fillId="0" borderId="12" xfId="43" applyNumberFormat="1" applyFont="1" applyBorder="1" applyAlignment="1">
      <alignment/>
    </xf>
    <xf numFmtId="0" fontId="134" fillId="0" borderId="12" xfId="0" applyFont="1" applyBorder="1" applyAlignment="1">
      <alignment/>
    </xf>
    <xf numFmtId="0" fontId="137" fillId="0" borderId="12" xfId="63" applyFont="1" applyBorder="1" applyAlignment="1">
      <alignment horizontal="center" vertical="center" wrapText="1"/>
      <protection/>
    </xf>
    <xf numFmtId="0" fontId="0" fillId="0" borderId="12" xfId="0" applyFont="1" applyBorder="1" applyAlignment="1">
      <alignment horizontal="left" vertical="top" wrapText="1"/>
    </xf>
    <xf numFmtId="180" fontId="137" fillId="0" borderId="12" xfId="49" applyNumberFormat="1" applyFont="1" applyBorder="1" applyAlignment="1">
      <alignment horizontal="center" vertical="center" wrapText="1"/>
    </xf>
    <xf numFmtId="0" fontId="138" fillId="0" borderId="12" xfId="63" applyFont="1" applyBorder="1" applyAlignment="1">
      <alignment vertical="center" wrapText="1"/>
      <protection/>
    </xf>
    <xf numFmtId="0" fontId="181" fillId="0" borderId="12" xfId="63" applyFont="1" applyBorder="1" applyAlignment="1">
      <alignment horizontal="center" vertical="center" wrapText="1"/>
      <protection/>
    </xf>
    <xf numFmtId="0" fontId="181" fillId="0" borderId="12" xfId="63" applyFont="1" applyBorder="1" applyAlignment="1">
      <alignment vertical="center" wrapText="1"/>
      <protection/>
    </xf>
    <xf numFmtId="180" fontId="181" fillId="0" borderId="12" xfId="49" applyNumberFormat="1" applyFont="1" applyBorder="1" applyAlignment="1">
      <alignment horizontal="center" vertical="center" wrapText="1"/>
    </xf>
    <xf numFmtId="180" fontId="137" fillId="0" borderId="12" xfId="63" applyNumberFormat="1" applyFont="1" applyBorder="1" applyAlignment="1">
      <alignment horizontal="center" vertical="center" wrapText="1"/>
      <protection/>
    </xf>
    <xf numFmtId="0" fontId="137" fillId="0" borderId="12" xfId="63" applyFont="1" applyBorder="1" applyAlignment="1">
      <alignment vertical="center" wrapText="1"/>
      <protection/>
    </xf>
    <xf numFmtId="180" fontId="135" fillId="0" borderId="0" xfId="0" applyNumberFormat="1" applyFont="1" applyFill="1" applyAlignment="1">
      <alignment/>
    </xf>
    <xf numFmtId="0" fontId="9" fillId="0" borderId="13" xfId="0" applyFont="1" applyFill="1" applyBorder="1" applyAlignment="1">
      <alignment/>
    </xf>
    <xf numFmtId="171" fontId="140" fillId="0" borderId="13" xfId="43" applyNumberFormat="1" applyFont="1" applyBorder="1" applyAlignment="1">
      <alignment horizontal="center" vertical="center" wrapText="1"/>
    </xf>
    <xf numFmtId="180" fontId="139" fillId="0" borderId="0" xfId="43" applyNumberFormat="1" applyFont="1" applyAlignment="1">
      <alignment vertical="center"/>
    </xf>
    <xf numFmtId="180" fontId="134" fillId="0" borderId="0" xfId="0" applyNumberFormat="1" applyFont="1" applyAlignment="1">
      <alignment vertical="center"/>
    </xf>
    <xf numFmtId="0" fontId="135" fillId="0" borderId="0" xfId="0" applyFont="1" applyAlignment="1">
      <alignment vertical="center"/>
    </xf>
    <xf numFmtId="0" fontId="163" fillId="0" borderId="0" xfId="0" applyFont="1" applyAlignment="1">
      <alignment vertical="center"/>
    </xf>
    <xf numFmtId="0" fontId="5" fillId="0" borderId="12" xfId="0" applyFont="1" applyFill="1" applyBorder="1" applyAlignment="1">
      <alignment vertical="center"/>
    </xf>
    <xf numFmtId="0" fontId="182" fillId="0" borderId="0" xfId="0" applyFont="1" applyFill="1" applyBorder="1" applyAlignment="1">
      <alignment vertical="center"/>
    </xf>
    <xf numFmtId="180" fontId="167" fillId="0" borderId="13" xfId="43" applyNumberFormat="1" applyFont="1" applyBorder="1" applyAlignment="1">
      <alignment horizontal="center" vertical="center" wrapText="1"/>
    </xf>
    <xf numFmtId="180" fontId="160" fillId="0" borderId="13" xfId="43" applyNumberFormat="1" applyFont="1" applyBorder="1" applyAlignment="1">
      <alignment horizontal="center" vertical="center" wrapText="1"/>
    </xf>
    <xf numFmtId="180" fontId="168" fillId="0" borderId="13" xfId="43" applyNumberFormat="1" applyFont="1" applyBorder="1" applyAlignment="1">
      <alignment horizontal="center" vertical="center" wrapText="1"/>
    </xf>
    <xf numFmtId="180" fontId="167" fillId="2" borderId="10" xfId="43" applyNumberFormat="1" applyFont="1" applyFill="1" applyBorder="1" applyAlignment="1">
      <alignment vertical="center" wrapText="1"/>
    </xf>
    <xf numFmtId="180" fontId="168" fillId="2" borderId="10" xfId="43" applyNumberFormat="1" applyFont="1" applyFill="1" applyBorder="1" applyAlignment="1">
      <alignment vertical="center" wrapText="1"/>
    </xf>
    <xf numFmtId="0" fontId="0" fillId="0" borderId="0" xfId="0" applyAlignment="1">
      <alignment/>
    </xf>
    <xf numFmtId="180" fontId="167" fillId="2" borderId="10" xfId="43" applyNumberFormat="1" applyFont="1" applyFill="1" applyBorder="1" applyAlignment="1" quotePrefix="1">
      <alignment horizontal="center" vertical="center" wrapText="1"/>
    </xf>
    <xf numFmtId="180" fontId="168" fillId="2" borderId="10" xfId="43" applyNumberFormat="1" applyFont="1" applyFill="1" applyBorder="1" applyAlignment="1" quotePrefix="1">
      <alignment horizontal="center" vertical="center" wrapText="1"/>
    </xf>
    <xf numFmtId="180" fontId="140" fillId="2" borderId="10" xfId="43" applyNumberFormat="1" applyFont="1" applyFill="1" applyBorder="1" applyAlignment="1" quotePrefix="1">
      <alignment horizontal="center" vertical="center" wrapText="1"/>
    </xf>
    <xf numFmtId="3" fontId="5" fillId="0" borderId="12" xfId="43" applyNumberFormat="1" applyFont="1" applyFill="1" applyBorder="1" applyAlignment="1">
      <alignment horizontal="right" vertical="center"/>
    </xf>
    <xf numFmtId="4" fontId="5" fillId="0" borderId="12" xfId="43" applyNumberFormat="1" applyFont="1" applyFill="1" applyBorder="1" applyAlignment="1">
      <alignment horizontal="right" vertical="center"/>
    </xf>
    <xf numFmtId="4" fontId="147" fillId="0" borderId="0" xfId="66" applyNumberFormat="1" applyFont="1" applyAlignment="1">
      <alignment horizontal="center" vertical="center" wrapText="1"/>
      <protection/>
    </xf>
    <xf numFmtId="0" fontId="147" fillId="42" borderId="12" xfId="66" applyFont="1" applyFill="1" applyBorder="1" applyAlignment="1">
      <alignment horizontal="center" vertical="center"/>
      <protection/>
    </xf>
    <xf numFmtId="0" fontId="147" fillId="42" borderId="12" xfId="66" applyFont="1" applyFill="1" applyBorder="1" applyAlignment="1">
      <alignment vertical="center"/>
      <protection/>
    </xf>
    <xf numFmtId="0" fontId="147" fillId="42" borderId="12" xfId="66" applyFont="1" applyFill="1" applyBorder="1" applyAlignment="1">
      <alignment horizontal="left" vertical="center"/>
      <protection/>
    </xf>
    <xf numFmtId="180" fontId="136" fillId="0" borderId="13" xfId="43" applyNumberFormat="1" applyFont="1" applyBorder="1" applyAlignment="1">
      <alignment horizontal="center" vertical="center" wrapText="1"/>
    </xf>
    <xf numFmtId="0" fontId="0" fillId="0" borderId="0" xfId="0" applyAlignment="1">
      <alignment horizontal="center" vertical="center"/>
    </xf>
    <xf numFmtId="0" fontId="0" fillId="0" borderId="0" xfId="0" applyAlignment="1">
      <alignment vertical="center" wrapText="1"/>
    </xf>
    <xf numFmtId="0" fontId="143" fillId="0" borderId="0" xfId="0" applyFont="1" applyAlignment="1">
      <alignment vertical="center"/>
    </xf>
    <xf numFmtId="0" fontId="143" fillId="0" borderId="12" xfId="0" applyFont="1" applyBorder="1" applyAlignment="1">
      <alignment vertical="center"/>
    </xf>
    <xf numFmtId="0" fontId="143" fillId="0" borderId="13" xfId="0" applyFont="1" applyBorder="1" applyAlignment="1">
      <alignment horizontal="center" vertical="center"/>
    </xf>
    <xf numFmtId="0" fontId="143" fillId="0" borderId="13" xfId="0" applyFont="1" applyBorder="1" applyAlignment="1">
      <alignment vertical="center"/>
    </xf>
    <xf numFmtId="0" fontId="143" fillId="0" borderId="0" xfId="0" applyFont="1" applyAlignment="1">
      <alignment horizontal="center" vertical="center"/>
    </xf>
    <xf numFmtId="0" fontId="151" fillId="0" borderId="11" xfId="0" applyFont="1" applyBorder="1" applyAlignment="1">
      <alignment horizontal="center" vertical="center" wrapText="1"/>
    </xf>
    <xf numFmtId="4" fontId="143" fillId="0" borderId="12" xfId="0" applyNumberFormat="1" applyFont="1" applyBorder="1" applyAlignment="1">
      <alignment vertical="center"/>
    </xf>
    <xf numFmtId="4" fontId="143" fillId="0" borderId="13" xfId="0" applyNumberFormat="1" applyFont="1" applyBorder="1" applyAlignment="1">
      <alignment vertical="center"/>
    </xf>
    <xf numFmtId="0" fontId="0" fillId="0" borderId="10" xfId="0" applyBorder="1" applyAlignment="1">
      <alignment horizontal="center" vertical="center"/>
    </xf>
    <xf numFmtId="0" fontId="0" fillId="0" borderId="10" xfId="0" applyBorder="1" applyAlignment="1">
      <alignment vertical="center"/>
    </xf>
    <xf numFmtId="0" fontId="0" fillId="0" borderId="10" xfId="0" applyBorder="1" applyAlignment="1">
      <alignment vertical="center" wrapText="1"/>
    </xf>
    <xf numFmtId="0" fontId="0" fillId="0" borderId="10" xfId="0" applyBorder="1" applyAlignment="1" quotePrefix="1">
      <alignment horizontal="center" vertical="center"/>
    </xf>
    <xf numFmtId="0" fontId="0" fillId="0" borderId="10" xfId="0" applyBorder="1" applyAlignment="1" quotePrefix="1">
      <alignment vertical="center"/>
    </xf>
    <xf numFmtId="0" fontId="134" fillId="0" borderId="10" xfId="0" applyFont="1" applyBorder="1" applyAlignment="1">
      <alignment horizontal="center" vertical="center"/>
    </xf>
    <xf numFmtId="0" fontId="134" fillId="0" borderId="10" xfId="0" applyFont="1" applyBorder="1" applyAlignment="1">
      <alignment vertical="center"/>
    </xf>
    <xf numFmtId="4" fontId="0" fillId="0" borderId="10" xfId="0" applyNumberFormat="1" applyBorder="1" applyAlignment="1">
      <alignment vertical="center"/>
    </xf>
    <xf numFmtId="4" fontId="134" fillId="0" borderId="10" xfId="0" applyNumberFormat="1" applyFont="1" applyBorder="1" applyAlignment="1">
      <alignment vertical="center"/>
    </xf>
    <xf numFmtId="180" fontId="140" fillId="0" borderId="12" xfId="43" applyNumberFormat="1" applyFont="1" applyBorder="1" applyAlignment="1">
      <alignment horizontal="center" vertical="center" wrapText="1"/>
    </xf>
    <xf numFmtId="0" fontId="139" fillId="2" borderId="15" xfId="0" applyFont="1" applyFill="1" applyBorder="1" applyAlignment="1">
      <alignment horizontal="center" vertical="center" wrapText="1"/>
    </xf>
    <xf numFmtId="180" fontId="160" fillId="2" borderId="15" xfId="43" applyNumberFormat="1" applyFont="1" applyFill="1" applyBorder="1" applyAlignment="1">
      <alignment horizontal="center" vertical="center" wrapText="1"/>
    </xf>
    <xf numFmtId="43" fontId="5" fillId="0" borderId="11" xfId="43" applyNumberFormat="1" applyFont="1" applyFill="1" applyBorder="1" applyAlignment="1">
      <alignment horizontal="center" vertical="center"/>
    </xf>
    <xf numFmtId="0" fontId="11" fillId="0" borderId="0" xfId="0" applyFont="1" applyAlignment="1">
      <alignment horizontal="center"/>
    </xf>
    <xf numFmtId="0" fontId="20" fillId="0" borderId="14" xfId="0" applyFont="1" applyBorder="1" applyAlignment="1">
      <alignment horizontal="center" vertical="center" wrapText="1"/>
    </xf>
    <xf numFmtId="0" fontId="20" fillId="0" borderId="0" xfId="0" applyFont="1" applyAlignment="1">
      <alignment/>
    </xf>
    <xf numFmtId="180" fontId="20" fillId="0" borderId="0" xfId="0" applyNumberFormat="1" applyFont="1" applyAlignment="1">
      <alignment/>
    </xf>
    <xf numFmtId="3" fontId="20" fillId="0" borderId="0" xfId="0" applyNumberFormat="1" applyFont="1" applyAlignment="1">
      <alignment/>
    </xf>
    <xf numFmtId="180" fontId="163" fillId="0" borderId="0" xfId="0" applyNumberFormat="1" applyFont="1" applyAlignment="1">
      <alignment/>
    </xf>
    <xf numFmtId="0" fontId="15" fillId="0" borderId="0" xfId="0" applyFont="1" applyAlignment="1">
      <alignment/>
    </xf>
    <xf numFmtId="0" fontId="24" fillId="0" borderId="0" xfId="0" applyFont="1" applyAlignment="1">
      <alignment/>
    </xf>
    <xf numFmtId="0" fontId="11" fillId="0" borderId="31" xfId="0" applyFont="1" applyBorder="1" applyAlignment="1">
      <alignment vertical="center" wrapText="1"/>
    </xf>
    <xf numFmtId="0" fontId="15" fillId="0" borderId="31" xfId="0" applyFont="1" applyBorder="1" applyAlignment="1">
      <alignment vertical="center" wrapText="1"/>
    </xf>
    <xf numFmtId="0" fontId="183" fillId="0" borderId="0" xfId="0" applyFont="1" applyAlignment="1">
      <alignment/>
    </xf>
    <xf numFmtId="0" fontId="180" fillId="0" borderId="0" xfId="0" applyFont="1" applyAlignment="1">
      <alignment/>
    </xf>
    <xf numFmtId="43" fontId="37" fillId="0" borderId="12" xfId="43" applyNumberFormat="1" applyFont="1" applyFill="1" applyBorder="1" applyAlignment="1">
      <alignment vertical="center"/>
    </xf>
    <xf numFmtId="3" fontId="7" fillId="0" borderId="12" xfId="43" applyNumberFormat="1" applyFont="1" applyFill="1" applyBorder="1" applyAlignment="1">
      <alignment horizontal="right" vertical="center"/>
    </xf>
    <xf numFmtId="0" fontId="7" fillId="0" borderId="0" xfId="65" applyFont="1" applyFill="1" applyBorder="1" applyAlignment="1">
      <alignment vertical="center"/>
      <protection/>
    </xf>
    <xf numFmtId="0" fontId="151" fillId="0" borderId="12" xfId="0" applyFont="1" applyFill="1" applyBorder="1" applyAlignment="1">
      <alignment horizontal="center" vertical="center"/>
    </xf>
    <xf numFmtId="0" fontId="151" fillId="0" borderId="12" xfId="0" applyFont="1" applyFill="1" applyBorder="1" applyAlignment="1">
      <alignment horizontal="left" vertical="center"/>
    </xf>
    <xf numFmtId="0" fontId="142" fillId="0" borderId="12" xfId="0" applyFont="1" applyFill="1" applyBorder="1" applyAlignment="1">
      <alignment horizontal="center" vertical="center"/>
    </xf>
    <xf numFmtId="0" fontId="142" fillId="0" borderId="12" xfId="0" applyFont="1" applyFill="1" applyBorder="1" applyAlignment="1">
      <alignment horizontal="left" vertical="center"/>
    </xf>
    <xf numFmtId="0" fontId="140" fillId="0" borderId="21" xfId="0" applyFont="1" applyBorder="1" applyAlignment="1">
      <alignment vertical="center" wrapText="1"/>
    </xf>
    <xf numFmtId="191" fontId="148" fillId="0" borderId="12" xfId="66" applyNumberFormat="1" applyFont="1" applyBorder="1" applyAlignment="1">
      <alignment vertical="center"/>
      <protection/>
    </xf>
    <xf numFmtId="0" fontId="23" fillId="0" borderId="12" xfId="66" applyFont="1" applyBorder="1" applyAlignment="1">
      <alignment horizontal="center" vertical="center"/>
      <protection/>
    </xf>
    <xf numFmtId="0" fontId="23" fillId="0" borderId="12" xfId="66" applyNumberFormat="1" applyFont="1" applyBorder="1" applyAlignment="1">
      <alignment horizontal="left" vertical="center" wrapText="1"/>
      <protection/>
    </xf>
    <xf numFmtId="4" fontId="23" fillId="0" borderId="12" xfId="66" applyNumberFormat="1" applyFont="1" applyBorder="1" applyAlignment="1">
      <alignment vertical="center"/>
      <protection/>
    </xf>
    <xf numFmtId="0" fontId="23" fillId="0" borderId="0" xfId="66" applyFont="1" applyAlignment="1">
      <alignment vertical="center"/>
      <protection/>
    </xf>
    <xf numFmtId="0" fontId="23" fillId="0" borderId="0" xfId="0" applyFont="1" applyAlignment="1">
      <alignment/>
    </xf>
    <xf numFmtId="0" fontId="147" fillId="0" borderId="15" xfId="66" applyFont="1" applyBorder="1" applyAlignment="1">
      <alignment horizontal="left" vertical="center" wrapText="1"/>
      <protection/>
    </xf>
    <xf numFmtId="180" fontId="140" fillId="0" borderId="33" xfId="43" applyNumberFormat="1" applyFont="1" applyBorder="1" applyAlignment="1">
      <alignment horizontal="center" vertical="center" wrapText="1"/>
    </xf>
    <xf numFmtId="0" fontId="140" fillId="0" borderId="33" xfId="0" applyFont="1" applyBorder="1" applyAlignment="1">
      <alignment horizontal="center" vertical="center" wrapText="1"/>
    </xf>
    <xf numFmtId="0" fontId="9" fillId="0" borderId="33" xfId="0" applyFont="1" applyFill="1" applyBorder="1" applyAlignment="1">
      <alignment vertical="center"/>
    </xf>
    <xf numFmtId="180" fontId="140" fillId="0" borderId="12" xfId="43" applyNumberFormat="1" applyFont="1" applyBorder="1" applyAlignment="1">
      <alignment horizontal="center" vertical="center" wrapText="1"/>
    </xf>
    <xf numFmtId="0" fontId="38" fillId="0" borderId="13" xfId="0" applyFont="1" applyBorder="1" applyAlignment="1">
      <alignment vertical="center"/>
    </xf>
    <xf numFmtId="180" fontId="134" fillId="42" borderId="0" xfId="0" applyNumberFormat="1" applyFont="1" applyFill="1" applyAlignment="1">
      <alignment/>
    </xf>
    <xf numFmtId="0" fontId="134" fillId="42" borderId="0" xfId="0" applyFont="1" applyFill="1" applyAlignment="1">
      <alignment wrapText="1"/>
    </xf>
    <xf numFmtId="0" fontId="139" fillId="0" borderId="0" xfId="0" applyFont="1" applyAlignment="1">
      <alignment horizontal="center"/>
    </xf>
    <xf numFmtId="180" fontId="140" fillId="0" borderId="12" xfId="43" applyNumberFormat="1" applyFont="1" applyBorder="1" applyAlignment="1">
      <alignment horizontal="center" vertical="center" wrapText="1"/>
    </xf>
    <xf numFmtId="0" fontId="140" fillId="0" borderId="12" xfId="0" applyFont="1" applyBorder="1" applyAlignment="1">
      <alignment horizontal="center" vertical="center" wrapText="1"/>
    </xf>
    <xf numFmtId="0" fontId="162" fillId="33" borderId="10" xfId="0" applyFont="1" applyFill="1" applyBorder="1" applyAlignment="1">
      <alignment horizontal="center" vertical="center" wrapText="1"/>
    </xf>
    <xf numFmtId="180" fontId="168" fillId="42" borderId="12" xfId="43" applyNumberFormat="1" applyFont="1" applyFill="1" applyBorder="1" applyAlignment="1">
      <alignment horizontal="center" vertical="center" wrapText="1"/>
    </xf>
    <xf numFmtId="180" fontId="167" fillId="42" borderId="12" xfId="43" applyNumberFormat="1" applyFont="1" applyFill="1" applyBorder="1" applyAlignment="1">
      <alignment horizontal="center" vertical="center" wrapText="1"/>
    </xf>
    <xf numFmtId="180" fontId="140" fillId="0" borderId="11" xfId="0" applyNumberFormat="1" applyFont="1" applyBorder="1" applyAlignment="1">
      <alignment horizontal="center" vertical="center" wrapText="1"/>
    </xf>
    <xf numFmtId="43" fontId="5" fillId="0" borderId="12" xfId="43" applyNumberFormat="1" applyFont="1" applyFill="1" applyBorder="1" applyAlignment="1">
      <alignment vertical="center"/>
    </xf>
    <xf numFmtId="3" fontId="7" fillId="0" borderId="0" xfId="65" applyNumberFormat="1" applyFont="1" applyFill="1" applyAlignment="1">
      <alignment vertical="center"/>
      <protection/>
    </xf>
    <xf numFmtId="3" fontId="5" fillId="0" borderId="12" xfId="65" applyNumberFormat="1" applyFont="1" applyFill="1" applyBorder="1" applyAlignment="1">
      <alignment vertical="center"/>
      <protection/>
    </xf>
    <xf numFmtId="3" fontId="5" fillId="0" borderId="0" xfId="65" applyNumberFormat="1" applyFont="1" applyFill="1" applyAlignment="1">
      <alignment vertical="center"/>
      <protection/>
    </xf>
    <xf numFmtId="0" fontId="18" fillId="0" borderId="12" xfId="0" applyFont="1" applyFill="1" applyBorder="1" applyAlignment="1" quotePrefix="1">
      <alignment horizontal="center" vertical="center"/>
    </xf>
    <xf numFmtId="0" fontId="7" fillId="0" borderId="12" xfId="0" applyFont="1" applyFill="1" applyBorder="1" applyAlignment="1">
      <alignment horizontal="left" vertical="center"/>
    </xf>
    <xf numFmtId="3" fontId="5" fillId="0" borderId="12" xfId="0" applyNumberFormat="1" applyFont="1" applyBorder="1" applyAlignment="1">
      <alignment vertical="center"/>
    </xf>
    <xf numFmtId="3" fontId="7" fillId="0" borderId="12" xfId="0" applyNumberFormat="1" applyFont="1" applyBorder="1" applyAlignment="1">
      <alignment vertical="center"/>
    </xf>
    <xf numFmtId="0" fontId="5" fillId="0" borderId="12" xfId="0" applyFont="1" applyFill="1" applyBorder="1" applyAlignment="1">
      <alignment horizontal="left" vertical="center"/>
    </xf>
    <xf numFmtId="0" fontId="40" fillId="0" borderId="12" xfId="0" applyFont="1" applyFill="1" applyBorder="1" applyAlignment="1" quotePrefix="1">
      <alignment horizontal="center" vertical="center"/>
    </xf>
    <xf numFmtId="3" fontId="9" fillId="0" borderId="12" xfId="0" applyNumberFormat="1" applyFont="1" applyBorder="1" applyAlignment="1">
      <alignment vertical="center"/>
    </xf>
    <xf numFmtId="0" fontId="8" fillId="0" borderId="0" xfId="0" applyFont="1" applyFill="1" applyAlignment="1">
      <alignment vertical="center"/>
    </xf>
    <xf numFmtId="0" fontId="39" fillId="0" borderId="0" xfId="0" applyFont="1" applyFill="1" applyAlignment="1">
      <alignment vertical="center"/>
    </xf>
    <xf numFmtId="180" fontId="39" fillId="0" borderId="0" xfId="43" applyNumberFormat="1" applyFont="1" applyFill="1" applyAlignment="1">
      <alignment vertical="center"/>
    </xf>
    <xf numFmtId="181" fontId="7" fillId="0" borderId="12" xfId="0" applyNumberFormat="1" applyFont="1" applyFill="1" applyBorder="1" applyAlignment="1">
      <alignment horizontal="left" vertical="center"/>
    </xf>
    <xf numFmtId="3" fontId="5" fillId="0" borderId="21" xfId="0" applyNumberFormat="1" applyFont="1" applyBorder="1" applyAlignment="1">
      <alignment vertical="center"/>
    </xf>
    <xf numFmtId="0" fontId="184" fillId="0" borderId="12" xfId="0" applyFont="1" applyFill="1" applyBorder="1" applyAlignment="1">
      <alignment horizontal="center" vertical="center"/>
    </xf>
    <xf numFmtId="0" fontId="37" fillId="0" borderId="12" xfId="0" applyFont="1" applyFill="1" applyBorder="1" applyAlignment="1">
      <alignment horizontal="left" vertical="center"/>
    </xf>
    <xf numFmtId="0" fontId="37" fillId="0" borderId="0" xfId="65" applyFont="1" applyFill="1" applyAlignment="1">
      <alignment vertical="center"/>
      <protection/>
    </xf>
    <xf numFmtId="0" fontId="142" fillId="0" borderId="13" xfId="0" applyFont="1" applyFill="1" applyBorder="1" applyAlignment="1">
      <alignment horizontal="center" vertical="center"/>
    </xf>
    <xf numFmtId="0" fontId="7" fillId="0" borderId="13" xfId="0" applyFont="1" applyFill="1" applyBorder="1" applyAlignment="1">
      <alignment horizontal="left" vertical="center"/>
    </xf>
    <xf numFmtId="3" fontId="7" fillId="0" borderId="13" xfId="0" applyNumberFormat="1" applyFont="1" applyBorder="1" applyAlignment="1">
      <alignment vertical="center"/>
    </xf>
    <xf numFmtId="43" fontId="7" fillId="0" borderId="13" xfId="43" applyNumberFormat="1" applyFont="1" applyFill="1" applyBorder="1" applyAlignment="1">
      <alignment vertical="center"/>
    </xf>
    <xf numFmtId="0" fontId="15" fillId="0" borderId="12" xfId="65" applyFont="1" applyFill="1" applyBorder="1" applyAlignment="1">
      <alignment vertical="center"/>
      <protection/>
    </xf>
    <xf numFmtId="0" fontId="15" fillId="0" borderId="17" xfId="65" applyFont="1" applyFill="1" applyBorder="1" applyAlignment="1">
      <alignment vertical="center"/>
      <protection/>
    </xf>
    <xf numFmtId="0" fontId="140" fillId="0" borderId="11" xfId="0" applyFont="1" applyBorder="1" applyAlignment="1" quotePrefix="1">
      <alignment horizontal="center" vertical="center" wrapText="1"/>
    </xf>
    <xf numFmtId="0" fontId="140" fillId="0" borderId="12" xfId="0" applyFont="1" applyBorder="1" applyAlignment="1" quotePrefix="1">
      <alignment horizontal="center" vertical="center" wrapText="1"/>
    </xf>
    <xf numFmtId="0" fontId="140" fillId="0" borderId="21" xfId="0" applyFont="1" applyBorder="1" applyAlignment="1" quotePrefix="1">
      <alignment horizontal="center" vertical="center" wrapText="1"/>
    </xf>
    <xf numFmtId="0" fontId="140" fillId="0" borderId="13" xfId="0" applyFont="1" applyBorder="1" applyAlignment="1" quotePrefix="1">
      <alignment horizontal="center" vertical="center" wrapText="1"/>
    </xf>
    <xf numFmtId="0" fontId="139" fillId="2" borderId="22" xfId="0" applyFont="1" applyFill="1" applyBorder="1" applyAlignment="1">
      <alignment horizontal="center" vertical="center" wrapText="1"/>
    </xf>
    <xf numFmtId="180" fontId="139" fillId="2" borderId="22" xfId="43" applyNumberFormat="1" applyFont="1" applyFill="1" applyBorder="1" applyAlignment="1">
      <alignment horizontal="center" vertical="center" wrapText="1"/>
    </xf>
    <xf numFmtId="192" fontId="137" fillId="0" borderId="12" xfId="43" applyNumberFormat="1" applyFont="1" applyBorder="1" applyAlignment="1">
      <alignment horizontal="center" vertical="center" wrapText="1"/>
    </xf>
    <xf numFmtId="0" fontId="140" fillId="0" borderId="12" xfId="0" applyFont="1" applyBorder="1" applyAlignment="1">
      <alignment horizontal="center" vertical="center" wrapText="1"/>
    </xf>
    <xf numFmtId="0" fontId="139" fillId="0" borderId="0" xfId="0" applyFont="1" applyAlignment="1">
      <alignment horizontal="center"/>
    </xf>
    <xf numFmtId="0" fontId="139" fillId="0" borderId="12" xfId="0" applyFont="1" applyBorder="1" applyAlignment="1">
      <alignment vertical="center" wrapText="1"/>
    </xf>
    <xf numFmtId="180" fontId="139" fillId="5" borderId="10" xfId="43" applyNumberFormat="1" applyFont="1" applyFill="1" applyBorder="1" applyAlignment="1">
      <alignment horizontal="center" vertical="center" wrapText="1"/>
    </xf>
    <xf numFmtId="180" fontId="140" fillId="0" borderId="12" xfId="43" applyNumberFormat="1" applyFont="1" applyBorder="1" applyAlignment="1">
      <alignment horizontal="center" vertical="center" wrapText="1"/>
    </xf>
    <xf numFmtId="182" fontId="0" fillId="0" borderId="12" xfId="0" applyNumberFormat="1" applyFont="1" applyBorder="1" applyAlignment="1">
      <alignment/>
    </xf>
    <xf numFmtId="180" fontId="185" fillId="0" borderId="0" xfId="43" applyNumberFormat="1" applyFont="1" applyAlignment="1">
      <alignment horizontal="center"/>
    </xf>
    <xf numFmtId="3" fontId="135" fillId="0" borderId="0" xfId="43" applyNumberFormat="1" applyFont="1" applyAlignment="1">
      <alignment/>
    </xf>
    <xf numFmtId="3" fontId="134" fillId="0" borderId="0" xfId="0" applyNumberFormat="1" applyFont="1" applyAlignment="1">
      <alignment/>
    </xf>
    <xf numFmtId="3" fontId="0" fillId="0" borderId="0" xfId="0" applyNumberFormat="1" applyFont="1" applyAlignment="1">
      <alignment/>
    </xf>
    <xf numFmtId="180" fontId="0" fillId="0" borderId="13" xfId="43" applyNumberFormat="1" applyFont="1" applyBorder="1" applyAlignment="1">
      <alignment/>
    </xf>
    <xf numFmtId="3" fontId="185" fillId="0" borderId="0" xfId="43" applyNumberFormat="1" applyFont="1" applyAlignment="1">
      <alignment/>
    </xf>
    <xf numFmtId="3" fontId="5" fillId="0" borderId="0" xfId="0" applyNumberFormat="1" applyFont="1" applyFill="1" applyAlignment="1">
      <alignment/>
    </xf>
    <xf numFmtId="3" fontId="5" fillId="0" borderId="0" xfId="0" applyNumberFormat="1" applyFont="1" applyFill="1" applyAlignment="1">
      <alignment horizontal="center"/>
    </xf>
    <xf numFmtId="180" fontId="143" fillId="0" borderId="0" xfId="43" applyNumberFormat="1" applyFont="1" applyAlignment="1">
      <alignment horizontal="right"/>
    </xf>
    <xf numFmtId="180" fontId="186" fillId="0" borderId="0" xfId="43" applyNumberFormat="1" applyFont="1" applyAlignment="1">
      <alignment horizontal="right"/>
    </xf>
    <xf numFmtId="180" fontId="143" fillId="0" borderId="0" xfId="43" applyNumberFormat="1" applyFont="1" applyAlignment="1">
      <alignment/>
    </xf>
    <xf numFmtId="180" fontId="187" fillId="0" borderId="0" xfId="43" applyNumberFormat="1" applyFont="1" applyAlignment="1">
      <alignment horizontal="right" vertical="center" wrapText="1"/>
    </xf>
    <xf numFmtId="180" fontId="188" fillId="0" borderId="0" xfId="43" applyNumberFormat="1" applyFont="1" applyAlignment="1">
      <alignment horizontal="center"/>
    </xf>
    <xf numFmtId="180" fontId="185" fillId="0" borderId="0" xfId="43" applyNumberFormat="1" applyFont="1" applyAlignment="1">
      <alignment horizontal="center" vertical="center"/>
    </xf>
    <xf numFmtId="180" fontId="143" fillId="0" borderId="0" xfId="43" applyNumberFormat="1" applyFont="1" applyAlignment="1">
      <alignment vertical="center"/>
    </xf>
    <xf numFmtId="180" fontId="143" fillId="0" borderId="0" xfId="43" applyNumberFormat="1" applyFont="1" applyAlignment="1">
      <alignment horizontal="right" vertical="center"/>
    </xf>
    <xf numFmtId="0" fontId="185" fillId="0" borderId="0" xfId="0" applyFont="1" applyAlignment="1">
      <alignment horizontal="center" vertical="center"/>
    </xf>
    <xf numFmtId="0" fontId="185" fillId="0" borderId="0" xfId="0" applyFont="1" applyAlignment="1">
      <alignment horizontal="center"/>
    </xf>
    <xf numFmtId="180" fontId="189" fillId="0" borderId="0" xfId="43" applyNumberFormat="1" applyFont="1" applyAlignment="1">
      <alignment/>
    </xf>
    <xf numFmtId="0" fontId="187" fillId="0" borderId="0" xfId="0" applyFont="1" applyAlignment="1">
      <alignment horizontal="center"/>
    </xf>
    <xf numFmtId="0" fontId="154" fillId="0" borderId="12" xfId="0" applyFont="1" applyBorder="1" applyAlignment="1">
      <alignment horizontal="center" vertical="center" wrapText="1"/>
    </xf>
    <xf numFmtId="171" fontId="154" fillId="0" borderId="12" xfId="43" applyNumberFormat="1" applyFont="1" applyBorder="1" applyAlignment="1">
      <alignment horizontal="center" vertical="center" wrapText="1"/>
    </xf>
    <xf numFmtId="180" fontId="154" fillId="0" borderId="12" xfId="43" applyNumberFormat="1" applyFont="1" applyBorder="1" applyAlignment="1">
      <alignment horizontal="center" vertical="center" wrapText="1"/>
    </xf>
    <xf numFmtId="0" fontId="169" fillId="0" borderId="12" xfId="0" applyFont="1" applyBorder="1" applyAlignment="1">
      <alignment horizontal="center" vertical="center" wrapText="1"/>
    </xf>
    <xf numFmtId="180" fontId="190" fillId="0" borderId="12" xfId="43" applyNumberFormat="1" applyFont="1" applyBorder="1" applyAlignment="1">
      <alignment horizontal="center" vertical="center" wrapText="1"/>
    </xf>
    <xf numFmtId="180" fontId="169" fillId="0" borderId="12" xfId="43" applyNumberFormat="1" applyFont="1" applyBorder="1" applyAlignment="1">
      <alignment horizontal="center" vertical="center" wrapText="1"/>
    </xf>
    <xf numFmtId="171" fontId="169" fillId="0" borderId="12" xfId="43" applyNumberFormat="1" applyFont="1" applyBorder="1" applyAlignment="1">
      <alignment horizontal="center" vertical="center" wrapText="1"/>
    </xf>
    <xf numFmtId="180" fontId="167" fillId="0" borderId="11" xfId="43" applyNumberFormat="1" applyFont="1" applyBorder="1" applyAlignment="1">
      <alignment horizontal="center" vertical="center" wrapText="1"/>
    </xf>
    <xf numFmtId="180" fontId="168" fillId="2" borderId="10" xfId="43" applyNumberFormat="1" applyFont="1" applyFill="1" applyBorder="1" applyAlignment="1">
      <alignment horizontal="center" vertical="center" wrapText="1"/>
    </xf>
    <xf numFmtId="180" fontId="140" fillId="0" borderId="12" xfId="43" applyNumberFormat="1" applyFont="1" applyBorder="1" applyAlignment="1">
      <alignment horizontal="center" vertical="center" wrapText="1"/>
    </xf>
    <xf numFmtId="180" fontId="140" fillId="0" borderId="12" xfId="43" applyNumberFormat="1" applyFont="1" applyBorder="1" applyAlignment="1">
      <alignment horizontal="center" vertical="center" wrapText="1"/>
    </xf>
    <xf numFmtId="171" fontId="140" fillId="0" borderId="33" xfId="43" applyNumberFormat="1" applyFont="1" applyBorder="1" applyAlignment="1">
      <alignment horizontal="center" vertical="center" wrapText="1"/>
    </xf>
    <xf numFmtId="180" fontId="162" fillId="42" borderId="12" xfId="43" applyNumberFormat="1" applyFont="1" applyFill="1" applyBorder="1" applyAlignment="1">
      <alignment horizontal="right" vertical="center" wrapText="1"/>
    </xf>
    <xf numFmtId="180" fontId="139" fillId="42" borderId="12" xfId="43" applyNumberFormat="1" applyFont="1" applyFill="1" applyBorder="1" applyAlignment="1">
      <alignment horizontal="right" vertical="center" wrapText="1"/>
    </xf>
    <xf numFmtId="180" fontId="0" fillId="0" borderId="0" xfId="43" applyNumberFormat="1" applyFont="1" applyAlignment="1">
      <alignment horizontal="right"/>
    </xf>
    <xf numFmtId="0" fontId="139" fillId="0" borderId="12" xfId="0" applyFont="1" applyBorder="1" applyAlignment="1">
      <alignment vertical="center" wrapText="1"/>
    </xf>
    <xf numFmtId="180" fontId="162" fillId="5" borderId="10" xfId="43" applyNumberFormat="1" applyFont="1" applyFill="1" applyBorder="1" applyAlignment="1">
      <alignment horizontal="center" vertical="center" wrapText="1"/>
    </xf>
    <xf numFmtId="0" fontId="155" fillId="0" borderId="12" xfId="0" applyFont="1" applyBorder="1" applyAlignment="1">
      <alignment vertical="center" wrapText="1"/>
    </xf>
    <xf numFmtId="180" fontId="135" fillId="0" borderId="0" xfId="43" applyNumberFormat="1" applyFont="1" applyAlignment="1">
      <alignment vertical="center"/>
    </xf>
    <xf numFmtId="0" fontId="162" fillId="2" borderId="10" xfId="0" applyFont="1" applyFill="1" applyBorder="1" applyAlignment="1">
      <alignment horizontal="center" vertical="center" wrapText="1"/>
    </xf>
    <xf numFmtId="180" fontId="162" fillId="0" borderId="11" xfId="43" applyNumberFormat="1" applyFont="1" applyBorder="1" applyAlignment="1">
      <alignment horizontal="center" vertical="center" wrapText="1"/>
    </xf>
    <xf numFmtId="180" fontId="191" fillId="0" borderId="12" xfId="43" applyNumberFormat="1" applyFont="1" applyBorder="1" applyAlignment="1">
      <alignment horizontal="center" vertical="center" wrapText="1"/>
    </xf>
    <xf numFmtId="180" fontId="162" fillId="0" borderId="21" xfId="43" applyNumberFormat="1" applyFont="1" applyBorder="1" applyAlignment="1">
      <alignment horizontal="center" vertical="center" wrapText="1"/>
    </xf>
    <xf numFmtId="180" fontId="155" fillId="0" borderId="13" xfId="43" applyNumberFormat="1" applyFont="1" applyBorder="1" applyAlignment="1">
      <alignment horizontal="center" vertical="center" wrapText="1"/>
    </xf>
    <xf numFmtId="180" fontId="155" fillId="0" borderId="33" xfId="43" applyNumberFormat="1" applyFont="1" applyBorder="1" applyAlignment="1">
      <alignment horizontal="center" vertical="center" wrapText="1"/>
    </xf>
    <xf numFmtId="180" fontId="192" fillId="0" borderId="0" xfId="43" applyNumberFormat="1" applyFont="1" applyAlignment="1">
      <alignment horizontal="right" vertical="center" wrapText="1"/>
    </xf>
    <xf numFmtId="180" fontId="193" fillId="0" borderId="0" xfId="43" applyNumberFormat="1" applyFont="1" applyAlignment="1">
      <alignment horizontal="center" vertical="center"/>
    </xf>
    <xf numFmtId="180" fontId="182" fillId="0" borderId="0" xfId="43" applyNumberFormat="1" applyFont="1" applyAlignment="1">
      <alignment horizontal="right" vertical="center"/>
    </xf>
    <xf numFmtId="0" fontId="11" fillId="0" borderId="12" xfId="0" applyFont="1" applyBorder="1" applyAlignment="1" quotePrefix="1">
      <alignment horizontal="left" vertical="center" wrapText="1"/>
    </xf>
    <xf numFmtId="193" fontId="163" fillId="0" borderId="0" xfId="0" applyNumberFormat="1" applyFont="1" applyAlignment="1">
      <alignment/>
    </xf>
    <xf numFmtId="0" fontId="171" fillId="0" borderId="34" xfId="0" applyFont="1" applyBorder="1" applyAlignment="1">
      <alignment horizontal="left" vertical="center" wrapText="1"/>
    </xf>
    <xf numFmtId="0" fontId="163" fillId="0" borderId="31" xfId="0" applyFont="1" applyBorder="1" applyAlignment="1" quotePrefix="1">
      <alignment horizontal="center" vertical="center" wrapText="1"/>
    </xf>
    <xf numFmtId="1" fontId="163" fillId="41" borderId="31" xfId="0" applyNumberFormat="1" applyFont="1" applyFill="1" applyBorder="1" applyAlignment="1">
      <alignment horizontal="justify" vertical="center" wrapText="1"/>
    </xf>
    <xf numFmtId="182" fontId="171" fillId="41" borderId="31" xfId="0" applyNumberFormat="1" applyFont="1" applyFill="1" applyBorder="1" applyAlignment="1">
      <alignment horizontal="right" vertical="center" wrapText="1" shrinkToFit="1"/>
    </xf>
    <xf numFmtId="0" fontId="11" fillId="33" borderId="12" xfId="0" applyFont="1" applyFill="1" applyBorder="1" applyAlignment="1" quotePrefix="1">
      <alignment horizontal="left" vertical="center" wrapText="1"/>
    </xf>
    <xf numFmtId="0" fontId="20" fillId="0" borderId="12" xfId="0" applyFont="1" applyBorder="1" applyAlignment="1" quotePrefix="1">
      <alignment horizontal="left" vertical="center" wrapText="1"/>
    </xf>
    <xf numFmtId="0" fontId="15" fillId="0" borderId="31" xfId="0" applyFont="1" applyBorder="1" applyAlignment="1" quotePrefix="1">
      <alignment horizontal="center" vertical="center" wrapText="1"/>
    </xf>
    <xf numFmtId="180" fontId="24" fillId="0" borderId="0" xfId="0" applyNumberFormat="1" applyFont="1" applyAlignment="1">
      <alignment/>
    </xf>
    <xf numFmtId="171" fontId="163" fillId="0" borderId="0" xfId="0" applyNumberFormat="1" applyFont="1" applyAlignment="1">
      <alignment/>
    </xf>
    <xf numFmtId="180" fontId="183" fillId="0" borderId="0" xfId="0" applyNumberFormat="1" applyFont="1" applyAlignment="1">
      <alignment/>
    </xf>
    <xf numFmtId="171" fontId="183" fillId="0" borderId="0" xfId="0" applyNumberFormat="1" applyFont="1" applyAlignment="1">
      <alignment/>
    </xf>
    <xf numFmtId="0" fontId="20" fillId="0" borderId="12" xfId="0" applyFont="1" applyBorder="1" applyAlignment="1">
      <alignment horizontal="left" vertical="center" wrapText="1"/>
    </xf>
    <xf numFmtId="182" fontId="177" fillId="0" borderId="31" xfId="0" applyNumberFormat="1" applyFont="1" applyBorder="1" applyAlignment="1">
      <alignment horizontal="right" vertical="center" wrapText="1"/>
    </xf>
    <xf numFmtId="0" fontId="163" fillId="41" borderId="31" xfId="0" applyFont="1" applyFill="1" applyBorder="1" applyAlignment="1">
      <alignment horizontal="left" vertical="center" wrapText="1"/>
    </xf>
    <xf numFmtId="0" fontId="135" fillId="0" borderId="35" xfId="0" applyFont="1" applyBorder="1" applyAlignment="1">
      <alignment horizontal="center" vertical="center" wrapText="1"/>
    </xf>
    <xf numFmtId="182" fontId="177" fillId="41" borderId="35" xfId="0" applyNumberFormat="1" applyFont="1" applyFill="1" applyBorder="1" applyAlignment="1">
      <alignment horizontal="right" vertical="center" wrapText="1" shrinkToFit="1"/>
    </xf>
    <xf numFmtId="0" fontId="163" fillId="0" borderId="35" xfId="0" applyFont="1" applyBorder="1" applyAlignment="1">
      <alignment horizontal="center" vertical="center" wrapText="1"/>
    </xf>
    <xf numFmtId="0" fontId="163" fillId="41" borderId="35" xfId="0" applyFont="1" applyFill="1" applyBorder="1" applyAlignment="1">
      <alignment horizontal="left" vertical="center" wrapText="1"/>
    </xf>
    <xf numFmtId="182" fontId="171" fillId="41" borderId="35" xfId="0" applyNumberFormat="1" applyFont="1" applyFill="1" applyBorder="1" applyAlignment="1">
      <alignment horizontal="right" vertical="center" wrapText="1" shrinkToFit="1"/>
    </xf>
    <xf numFmtId="0" fontId="163" fillId="41" borderId="0" xfId="0" applyFont="1" applyFill="1" applyAlignment="1">
      <alignment horizontal="left" vertical="center" wrapText="1"/>
    </xf>
    <xf numFmtId="0" fontId="180" fillId="0" borderId="35" xfId="0" applyFont="1" applyBorder="1" applyAlignment="1">
      <alignment horizontal="center" vertical="center" wrapText="1"/>
    </xf>
    <xf numFmtId="182" fontId="163" fillId="0" borderId="0" xfId="0" applyNumberFormat="1" applyFont="1" applyAlignment="1">
      <alignment/>
    </xf>
    <xf numFmtId="0" fontId="135" fillId="41" borderId="35" xfId="0" applyFont="1" applyFill="1" applyBorder="1" applyAlignment="1">
      <alignment horizontal="left" vertical="center" wrapText="1"/>
    </xf>
    <xf numFmtId="0" fontId="180" fillId="0" borderId="35" xfId="0" applyFont="1" applyBorder="1" applyAlignment="1" quotePrefix="1">
      <alignment horizontal="center" vertical="center" wrapText="1"/>
    </xf>
    <xf numFmtId="182" fontId="179" fillId="41" borderId="35" xfId="0" applyNumberFormat="1" applyFont="1" applyFill="1" applyBorder="1" applyAlignment="1">
      <alignment horizontal="right" vertical="center" wrapText="1" shrinkToFit="1"/>
    </xf>
    <xf numFmtId="0" fontId="183" fillId="0" borderId="35" xfId="0" applyFont="1" applyBorder="1" applyAlignment="1">
      <alignment horizontal="center" vertical="center" wrapText="1"/>
    </xf>
    <xf numFmtId="0" fontId="183" fillId="41" borderId="35" xfId="0" applyFont="1" applyFill="1" applyBorder="1" applyAlignment="1">
      <alignment horizontal="left" vertical="center" wrapText="1"/>
    </xf>
    <xf numFmtId="182" fontId="194" fillId="41" borderId="35" xfId="0" applyNumberFormat="1" applyFont="1" applyFill="1" applyBorder="1" applyAlignment="1">
      <alignment horizontal="right" vertical="center" wrapText="1" shrinkToFit="1"/>
    </xf>
    <xf numFmtId="0" fontId="180" fillId="41" borderId="35" xfId="0" applyFont="1" applyFill="1" applyBorder="1" applyAlignment="1">
      <alignment horizontal="left" vertical="center" wrapText="1"/>
    </xf>
    <xf numFmtId="0" fontId="135" fillId="33" borderId="35" xfId="0" applyFont="1" applyFill="1" applyBorder="1" applyAlignment="1" quotePrefix="1">
      <alignment horizontal="center" vertical="center" wrapText="1"/>
    </xf>
    <xf numFmtId="0" fontId="135" fillId="33" borderId="35" xfId="0" applyFont="1" applyFill="1" applyBorder="1" applyAlignment="1">
      <alignment horizontal="left" vertical="center" wrapText="1"/>
    </xf>
    <xf numFmtId="0" fontId="135" fillId="33" borderId="35" xfId="0" applyFont="1" applyFill="1" applyBorder="1" applyAlignment="1">
      <alignment horizontal="center" vertical="center" wrapText="1"/>
    </xf>
    <xf numFmtId="182" fontId="177" fillId="33" borderId="35" xfId="0" applyNumberFormat="1" applyFont="1" applyFill="1" applyBorder="1" applyAlignment="1">
      <alignment horizontal="right" vertical="center" wrapText="1" shrinkToFit="1"/>
    </xf>
    <xf numFmtId="0" fontId="135" fillId="33" borderId="0" xfId="0" applyFont="1" applyFill="1" applyAlignment="1">
      <alignment/>
    </xf>
    <xf numFmtId="0" fontId="180" fillId="33" borderId="35" xfId="0" applyFont="1" applyFill="1" applyBorder="1" applyAlignment="1" quotePrefix="1">
      <alignment horizontal="center" vertical="center" wrapText="1"/>
    </xf>
    <xf numFmtId="0" fontId="180" fillId="33" borderId="35" xfId="0" applyFont="1" applyFill="1" applyBorder="1" applyAlignment="1">
      <alignment horizontal="left" vertical="center" wrapText="1"/>
    </xf>
    <xf numFmtId="0" fontId="180" fillId="33" borderId="35" xfId="0" applyFont="1" applyFill="1" applyBorder="1" applyAlignment="1">
      <alignment horizontal="center" vertical="center" wrapText="1"/>
    </xf>
    <xf numFmtId="182" fontId="179" fillId="33" borderId="35" xfId="0" applyNumberFormat="1" applyFont="1" applyFill="1" applyBorder="1" applyAlignment="1">
      <alignment horizontal="right" vertical="center" wrapText="1" shrinkToFit="1"/>
    </xf>
    <xf numFmtId="0" fontId="180" fillId="33" borderId="0" xfId="0" applyFont="1" applyFill="1" applyAlignment="1">
      <alignment/>
    </xf>
    <xf numFmtId="0" fontId="135" fillId="0" borderId="35" xfId="0" applyFont="1" applyBorder="1" applyAlignment="1" quotePrefix="1">
      <alignment horizontal="center" vertical="center" wrapText="1"/>
    </xf>
    <xf numFmtId="0" fontId="180" fillId="33" borderId="31" xfId="0" applyFont="1" applyFill="1" applyBorder="1" applyAlignment="1" quotePrefix="1">
      <alignment horizontal="center" vertical="center" wrapText="1"/>
    </xf>
    <xf numFmtId="0" fontId="180" fillId="41" borderId="31" xfId="0" applyFont="1" applyFill="1" applyBorder="1" applyAlignment="1">
      <alignment horizontal="left" vertical="center" wrapText="1"/>
    </xf>
    <xf numFmtId="0" fontId="135" fillId="33" borderId="31" xfId="0" applyFont="1" applyFill="1" applyBorder="1" applyAlignment="1" quotePrefix="1">
      <alignment horizontal="center" vertical="center" wrapText="1"/>
    </xf>
    <xf numFmtId="0" fontId="135" fillId="33" borderId="31" xfId="0" applyFont="1" applyFill="1" applyBorder="1" applyAlignment="1">
      <alignment horizontal="left" vertical="center" wrapText="1"/>
    </xf>
    <xf numFmtId="0" fontId="135" fillId="33" borderId="31" xfId="0" applyFont="1" applyFill="1" applyBorder="1" applyAlignment="1">
      <alignment horizontal="center" vertical="center" wrapText="1"/>
    </xf>
    <xf numFmtId="182" fontId="177" fillId="33" borderId="31" xfId="0" applyNumberFormat="1" applyFont="1" applyFill="1" applyBorder="1" applyAlignment="1">
      <alignment horizontal="right" vertical="center" wrapText="1" shrinkToFit="1"/>
    </xf>
    <xf numFmtId="182" fontId="135" fillId="33" borderId="0" xfId="0" applyNumberFormat="1" applyFont="1" applyFill="1" applyAlignment="1">
      <alignment/>
    </xf>
    <xf numFmtId="0" fontId="180" fillId="33" borderId="31" xfId="0" applyFont="1" applyFill="1" applyBorder="1" applyAlignment="1">
      <alignment horizontal="left" vertical="center" wrapText="1"/>
    </xf>
    <xf numFmtId="0" fontId="180" fillId="33" borderId="31" xfId="0" applyFont="1" applyFill="1" applyBorder="1" applyAlignment="1">
      <alignment horizontal="center" vertical="center" wrapText="1"/>
    </xf>
    <xf numFmtId="182" fontId="179" fillId="33" borderId="31" xfId="0" applyNumberFormat="1" applyFont="1" applyFill="1" applyBorder="1" applyAlignment="1">
      <alignment horizontal="right" vertical="center" wrapText="1" shrinkToFit="1"/>
    </xf>
    <xf numFmtId="0" fontId="183" fillId="33" borderId="35" xfId="0" applyFont="1" applyFill="1" applyBorder="1" applyAlignment="1">
      <alignment horizontal="center" vertical="center" wrapText="1"/>
    </xf>
    <xf numFmtId="0" fontId="183" fillId="33" borderId="35" xfId="0" applyFont="1" applyFill="1" applyBorder="1" applyAlignment="1">
      <alignment horizontal="left" vertical="center" wrapText="1"/>
    </xf>
    <xf numFmtId="182" fontId="194" fillId="33" borderId="35" xfId="0" applyNumberFormat="1" applyFont="1" applyFill="1" applyBorder="1" applyAlignment="1">
      <alignment horizontal="right" vertical="center" wrapText="1" shrinkToFit="1"/>
    </xf>
    <xf numFmtId="0" fontId="183" fillId="33" borderId="0" xfId="0" applyFont="1" applyFill="1" applyAlignment="1">
      <alignment/>
    </xf>
    <xf numFmtId="0" fontId="180" fillId="0" borderId="36" xfId="0" applyFont="1" applyBorder="1" applyAlignment="1" quotePrefix="1">
      <alignment horizontal="center" vertical="center" wrapText="1"/>
    </xf>
    <xf numFmtId="0" fontId="180" fillId="41" borderId="36" xfId="0" applyFont="1" applyFill="1" applyBorder="1" applyAlignment="1">
      <alignment horizontal="left" vertical="center" wrapText="1"/>
    </xf>
    <xf numFmtId="0" fontId="180" fillId="0" borderId="36" xfId="0" applyFont="1" applyBorder="1" applyAlignment="1">
      <alignment horizontal="center" vertical="center" wrapText="1"/>
    </xf>
    <xf numFmtId="182" fontId="179" fillId="41" borderId="36" xfId="0" applyNumberFormat="1" applyFont="1" applyFill="1" applyBorder="1" applyAlignment="1">
      <alignment horizontal="right" vertical="center" wrapText="1" shrinkToFit="1"/>
    </xf>
    <xf numFmtId="0" fontId="180" fillId="0" borderId="0" xfId="0" applyFont="1" applyAlignment="1" quotePrefix="1">
      <alignment horizontal="center" vertical="center" wrapText="1"/>
    </xf>
    <xf numFmtId="0" fontId="180" fillId="0" borderId="0" xfId="0" applyFont="1" applyAlignment="1">
      <alignment horizontal="center" vertical="center" wrapText="1"/>
    </xf>
    <xf numFmtId="0" fontId="139" fillId="0" borderId="12" xfId="0" applyFont="1" applyBorder="1" applyAlignment="1">
      <alignment vertical="center" wrapText="1"/>
    </xf>
    <xf numFmtId="180" fontId="139" fillId="5" borderId="10" xfId="43" applyNumberFormat="1" applyFont="1" applyFill="1" applyBorder="1" applyAlignment="1">
      <alignment horizontal="center" vertical="center" wrapText="1"/>
    </xf>
    <xf numFmtId="0" fontId="139" fillId="5" borderId="10" xfId="0" applyFont="1" applyFill="1" applyBorder="1" applyAlignment="1">
      <alignment horizontal="center" vertical="center" wrapText="1"/>
    </xf>
    <xf numFmtId="0" fontId="140" fillId="0" borderId="12" xfId="0" applyFont="1" applyBorder="1" applyAlignment="1">
      <alignment horizontal="center" vertical="center" wrapText="1"/>
    </xf>
    <xf numFmtId="0" fontId="11" fillId="0" borderId="0" xfId="0" applyFont="1" applyAlignment="1">
      <alignment vertical="center"/>
    </xf>
    <xf numFmtId="180" fontId="11" fillId="0" borderId="0" xfId="43" applyNumberFormat="1" applyFont="1" applyAlignment="1">
      <alignment vertical="center"/>
    </xf>
    <xf numFmtId="0" fontId="20" fillId="0" borderId="0" xfId="0" applyFont="1" applyAlignment="1">
      <alignment horizontal="center" vertical="center"/>
    </xf>
    <xf numFmtId="3" fontId="11" fillId="0" borderId="0" xfId="0" applyNumberFormat="1" applyFont="1" applyAlignment="1">
      <alignment vertical="center"/>
    </xf>
    <xf numFmtId="171" fontId="11" fillId="0" borderId="0" xfId="43" applyNumberFormat="1" applyFont="1" applyAlignment="1">
      <alignment vertical="center"/>
    </xf>
    <xf numFmtId="0" fontId="11" fillId="0" borderId="0" xfId="0" applyFont="1" applyAlignment="1">
      <alignment horizontal="right" vertical="center"/>
    </xf>
    <xf numFmtId="180" fontId="163" fillId="5" borderId="10" xfId="43" applyNumberFormat="1" applyFont="1" applyFill="1" applyBorder="1" applyAlignment="1">
      <alignment horizontal="center" vertical="center" wrapText="1"/>
    </xf>
    <xf numFmtId="180" fontId="11" fillId="5" borderId="10" xfId="43" applyNumberFormat="1" applyFont="1" applyFill="1" applyBorder="1" applyAlignment="1">
      <alignment horizontal="center" vertical="center" wrapText="1"/>
    </xf>
    <xf numFmtId="0" fontId="11" fillId="2" borderId="15" xfId="0" applyFont="1" applyFill="1" applyBorder="1" applyAlignment="1">
      <alignment horizontal="center" vertical="center" wrapText="1"/>
    </xf>
    <xf numFmtId="180" fontId="11" fillId="2" borderId="15" xfId="43" applyNumberFormat="1" applyFont="1" applyFill="1" applyBorder="1" applyAlignment="1">
      <alignment horizontal="center" vertical="center" wrapText="1"/>
    </xf>
    <xf numFmtId="180" fontId="11" fillId="2" borderId="15" xfId="43" applyNumberFormat="1" applyFont="1" applyFill="1" applyBorder="1" applyAlignment="1" quotePrefix="1">
      <alignment horizontal="center" vertical="center" wrapText="1"/>
    </xf>
    <xf numFmtId="180" fontId="11" fillId="2" borderId="15" xfId="43" applyNumberFormat="1" applyFont="1" applyFill="1" applyBorder="1" applyAlignment="1">
      <alignment vertical="center" wrapText="1"/>
    </xf>
    <xf numFmtId="0" fontId="11" fillId="2" borderId="15" xfId="0" applyFont="1" applyFill="1" applyBorder="1" applyAlignment="1">
      <alignment vertical="center" wrapText="1"/>
    </xf>
    <xf numFmtId="3" fontId="11" fillId="42" borderId="0" xfId="0" applyNumberFormat="1" applyFont="1" applyFill="1" applyAlignment="1">
      <alignment vertical="center"/>
    </xf>
    <xf numFmtId="0" fontId="20" fillId="0" borderId="12" xfId="0" applyFont="1" applyBorder="1" applyAlignment="1">
      <alignment horizontal="center" vertical="center" wrapText="1"/>
    </xf>
    <xf numFmtId="0" fontId="20" fillId="0" borderId="12" xfId="0" applyFont="1" applyBorder="1" applyAlignment="1">
      <alignment vertical="center" wrapText="1"/>
    </xf>
    <xf numFmtId="4" fontId="20" fillId="0" borderId="12" xfId="43" applyNumberFormat="1" applyFont="1" applyBorder="1" applyAlignment="1">
      <alignment horizontal="right" vertical="center" wrapText="1"/>
    </xf>
    <xf numFmtId="4" fontId="20" fillId="0" borderId="12" xfId="0" applyNumberFormat="1" applyFont="1" applyBorder="1" applyAlignment="1">
      <alignment horizontal="right" vertical="center" wrapText="1"/>
    </xf>
    <xf numFmtId="3" fontId="20" fillId="0" borderId="0" xfId="0" applyNumberFormat="1" applyFont="1" applyAlignment="1">
      <alignment vertical="center"/>
    </xf>
    <xf numFmtId="0" fontId="20" fillId="0" borderId="0" xfId="0" applyFont="1" applyAlignment="1">
      <alignment vertical="center"/>
    </xf>
    <xf numFmtId="0" fontId="11" fillId="0" borderId="12" xfId="0" applyFont="1" applyBorder="1" applyAlignment="1">
      <alignment horizontal="center" vertical="center" wrapText="1"/>
    </xf>
    <xf numFmtId="0" fontId="11" fillId="0" borderId="12" xfId="0" applyFont="1" applyBorder="1" applyAlignment="1">
      <alignment vertical="center" wrapText="1"/>
    </xf>
    <xf numFmtId="4" fontId="11" fillId="0" borderId="12" xfId="43" applyNumberFormat="1" applyFont="1" applyBorder="1" applyAlignment="1">
      <alignment horizontal="right" vertical="center" wrapText="1"/>
    </xf>
    <xf numFmtId="4" fontId="11" fillId="0" borderId="12" xfId="0" applyNumberFormat="1" applyFont="1" applyBorder="1" applyAlignment="1">
      <alignment horizontal="right" vertical="center" wrapText="1"/>
    </xf>
    <xf numFmtId="0" fontId="15" fillId="0" borderId="12" xfId="0" applyFont="1" applyBorder="1" applyAlignment="1">
      <alignment horizontal="center" vertical="center" wrapText="1"/>
    </xf>
    <xf numFmtId="0" fontId="15" fillId="0" borderId="12" xfId="0" applyFont="1" applyBorder="1" applyAlignment="1">
      <alignment vertical="center" wrapText="1"/>
    </xf>
    <xf numFmtId="4" fontId="15" fillId="0" borderId="12" xfId="43" applyNumberFormat="1" applyFont="1" applyBorder="1" applyAlignment="1">
      <alignment horizontal="right" vertical="center" wrapText="1"/>
    </xf>
    <xf numFmtId="4" fontId="24" fillId="0" borderId="12" xfId="43" applyNumberFormat="1" applyFont="1" applyBorder="1" applyAlignment="1">
      <alignment horizontal="right" vertical="center" wrapText="1"/>
    </xf>
    <xf numFmtId="4" fontId="15" fillId="0" borderId="12" xfId="0" applyNumberFormat="1" applyFont="1" applyBorder="1" applyAlignment="1">
      <alignment horizontal="right" vertical="center" wrapText="1"/>
    </xf>
    <xf numFmtId="3" fontId="15" fillId="0" borderId="0" xfId="0" applyNumberFormat="1" applyFont="1" applyAlignment="1">
      <alignment vertical="center"/>
    </xf>
    <xf numFmtId="0" fontId="15" fillId="0" borderId="0" xfId="0" applyFont="1" applyAlignment="1">
      <alignment vertical="center"/>
    </xf>
    <xf numFmtId="0" fontId="24" fillId="0" borderId="12" xfId="0" applyFont="1" applyBorder="1" applyAlignment="1">
      <alignment horizontal="center" vertical="center" wrapText="1"/>
    </xf>
    <xf numFmtId="0" fontId="24" fillId="0" borderId="12" xfId="0" applyFont="1" applyBorder="1" applyAlignment="1">
      <alignment vertical="center" wrapText="1"/>
    </xf>
    <xf numFmtId="3" fontId="24" fillId="0" borderId="0" xfId="0" applyNumberFormat="1" applyFont="1" applyAlignment="1">
      <alignment vertical="center"/>
    </xf>
    <xf numFmtId="0" fontId="24" fillId="0" borderId="0" xfId="0" applyFont="1" applyAlignment="1">
      <alignment vertical="center"/>
    </xf>
    <xf numFmtId="4" fontId="24" fillId="0" borderId="12" xfId="0" applyNumberFormat="1" applyFont="1" applyBorder="1" applyAlignment="1">
      <alignment horizontal="right" vertical="center" wrapText="1"/>
    </xf>
    <xf numFmtId="180" fontId="20" fillId="0" borderId="12" xfId="43" applyNumberFormat="1" applyFont="1" applyBorder="1" applyAlignment="1">
      <alignment horizontal="center" vertical="center" wrapText="1"/>
    </xf>
    <xf numFmtId="0" fontId="11" fillId="0" borderId="13" xfId="0" applyFont="1" applyBorder="1" applyAlignment="1">
      <alignment horizontal="center" vertical="center" wrapText="1"/>
    </xf>
    <xf numFmtId="0" fontId="11" fillId="0" borderId="13" xfId="0" applyFont="1" applyBorder="1" applyAlignment="1">
      <alignment vertical="center" wrapText="1"/>
    </xf>
    <xf numFmtId="180" fontId="11" fillId="0" borderId="13" xfId="43" applyNumberFormat="1" applyFont="1" applyBorder="1" applyAlignment="1">
      <alignment horizontal="center" vertical="center" wrapText="1"/>
    </xf>
    <xf numFmtId="0" fontId="163" fillId="0" borderId="12" xfId="0" applyFont="1" applyBorder="1" applyAlignment="1">
      <alignment horizontal="center" vertical="center" wrapText="1"/>
    </xf>
    <xf numFmtId="0" fontId="163" fillId="0" borderId="12" xfId="0" applyFont="1" applyBorder="1" applyAlignment="1">
      <alignment vertical="center" wrapText="1"/>
    </xf>
    <xf numFmtId="4" fontId="163" fillId="0" borderId="12" xfId="43" applyNumberFormat="1" applyFont="1" applyBorder="1" applyAlignment="1">
      <alignment horizontal="right" vertical="center" wrapText="1"/>
    </xf>
    <xf numFmtId="3" fontId="163" fillId="0" borderId="0" xfId="0" applyNumberFormat="1" applyFont="1" applyAlignment="1">
      <alignment vertical="center"/>
    </xf>
    <xf numFmtId="0" fontId="15" fillId="0" borderId="12" xfId="0" applyFont="1" applyBorder="1" applyAlignment="1">
      <alignment horizontal="left" vertical="center" wrapText="1"/>
    </xf>
    <xf numFmtId="4" fontId="15" fillId="42" borderId="12" xfId="43" applyNumberFormat="1" applyFont="1" applyFill="1" applyBorder="1" applyAlignment="1">
      <alignment horizontal="right" vertical="center" wrapText="1"/>
    </xf>
    <xf numFmtId="0" fontId="150" fillId="0" borderId="0" xfId="66" applyFont="1" applyAlignment="1">
      <alignment horizontal="center" vertical="center" wrapText="1"/>
      <protection/>
    </xf>
    <xf numFmtId="180" fontId="20" fillId="5" borderId="10" xfId="43" applyNumberFormat="1" applyFont="1" applyFill="1" applyBorder="1" applyAlignment="1">
      <alignment horizontal="center" vertical="center" wrapText="1"/>
    </xf>
    <xf numFmtId="191" fontId="10" fillId="0" borderId="15" xfId="66" applyNumberFormat="1" applyFont="1" applyBorder="1" applyAlignment="1">
      <alignment horizontal="right" vertical="center" wrapText="1"/>
      <protection/>
    </xf>
    <xf numFmtId="191" fontId="23" fillId="0" borderId="12" xfId="66" applyNumberFormat="1" applyFont="1" applyBorder="1" applyAlignment="1">
      <alignment vertical="center" wrapText="1"/>
      <protection/>
    </xf>
    <xf numFmtId="191" fontId="22" fillId="0" borderId="12" xfId="66" applyNumberFormat="1" applyFont="1" applyBorder="1" applyAlignment="1">
      <alignment vertical="center"/>
      <protection/>
    </xf>
    <xf numFmtId="191" fontId="23" fillId="0" borderId="12" xfId="66" applyNumberFormat="1" applyFont="1" applyBorder="1" applyAlignment="1">
      <alignment vertical="center"/>
      <protection/>
    </xf>
    <xf numFmtId="191" fontId="147" fillId="0" borderId="12" xfId="66" applyNumberFormat="1" applyFont="1" applyBorder="1" applyAlignment="1">
      <alignment vertical="center"/>
      <protection/>
    </xf>
    <xf numFmtId="191" fontId="147" fillId="42" borderId="12" xfId="66" applyNumberFormat="1" applyFont="1" applyFill="1" applyBorder="1" applyAlignment="1">
      <alignment vertical="center"/>
      <protection/>
    </xf>
    <xf numFmtId="191" fontId="148" fillId="0" borderId="12" xfId="66" applyNumberFormat="1" applyFont="1" applyBorder="1" applyAlignment="1">
      <alignment horizontal="right" vertical="center"/>
      <protection/>
    </xf>
    <xf numFmtId="191" fontId="147" fillId="42" borderId="12" xfId="66" applyNumberFormat="1" applyFont="1" applyFill="1" applyBorder="1" applyAlignment="1">
      <alignment horizontal="right" vertical="center"/>
      <protection/>
    </xf>
    <xf numFmtId="191" fontId="22" fillId="0" borderId="10" xfId="67" applyNumberFormat="1" applyFont="1" applyBorder="1" applyAlignment="1">
      <alignment vertical="center"/>
      <protection/>
    </xf>
    <xf numFmtId="194" fontId="22" fillId="0" borderId="10" xfId="67" applyNumberFormat="1" applyFont="1" applyBorder="1" applyAlignment="1">
      <alignment vertical="center"/>
      <protection/>
    </xf>
    <xf numFmtId="191" fontId="10" fillId="42" borderId="12" xfId="66" applyNumberFormat="1" applyFont="1" applyFill="1" applyBorder="1" applyAlignment="1">
      <alignment vertical="center" wrapText="1"/>
      <protection/>
    </xf>
    <xf numFmtId="191" fontId="22" fillId="0" borderId="12" xfId="43" applyNumberFormat="1" applyFont="1" applyBorder="1" applyAlignment="1">
      <alignment vertical="center"/>
    </xf>
    <xf numFmtId="191" fontId="23" fillId="0" borderId="12" xfId="43" applyNumberFormat="1" applyFont="1" applyBorder="1" applyAlignment="1">
      <alignment vertical="center" wrapText="1"/>
    </xf>
    <xf numFmtId="191" fontId="147" fillId="0" borderId="13" xfId="66" applyNumberFormat="1" applyFont="1" applyBorder="1" applyAlignment="1">
      <alignment vertical="center"/>
      <protection/>
    </xf>
    <xf numFmtId="3" fontId="7" fillId="33" borderId="12" xfId="65" applyNumberFormat="1" applyFont="1" applyFill="1" applyBorder="1" applyAlignment="1">
      <alignment vertical="center"/>
      <protection/>
    </xf>
    <xf numFmtId="3" fontId="7" fillId="42" borderId="12" xfId="65" applyNumberFormat="1" applyFont="1" applyFill="1" applyBorder="1" applyAlignment="1">
      <alignment vertical="center"/>
      <protection/>
    </xf>
    <xf numFmtId="3" fontId="5" fillId="0" borderId="11" xfId="0" applyNumberFormat="1" applyFont="1" applyBorder="1" applyAlignment="1">
      <alignment vertical="center"/>
    </xf>
    <xf numFmtId="182" fontId="7" fillId="0" borderId="12" xfId="43" applyNumberFormat="1" applyFont="1" applyFill="1" applyBorder="1" applyAlignment="1">
      <alignment vertical="center"/>
    </xf>
    <xf numFmtId="3" fontId="5" fillId="0" borderId="22" xfId="0" applyNumberFormat="1" applyFont="1" applyBorder="1" applyAlignment="1">
      <alignment vertical="center"/>
    </xf>
    <xf numFmtId="180" fontId="195" fillId="0" borderId="0" xfId="43" applyNumberFormat="1" applyFont="1" applyAlignment="1">
      <alignment/>
    </xf>
    <xf numFmtId="0" fontId="136" fillId="0" borderId="0" xfId="0" applyFont="1" applyAlignment="1">
      <alignment/>
    </xf>
    <xf numFmtId="0" fontId="11" fillId="0" borderId="12" xfId="0" applyFont="1" applyFill="1" applyBorder="1" applyAlignment="1">
      <alignment horizontal="left" vertical="center" wrapText="1"/>
    </xf>
    <xf numFmtId="0" fontId="138" fillId="0" borderId="12" xfId="0" applyFont="1" applyBorder="1" applyAlignment="1">
      <alignment vertical="center" wrapText="1"/>
    </xf>
    <xf numFmtId="3" fontId="7" fillId="0" borderId="12" xfId="0" applyNumberFormat="1" applyFont="1" applyBorder="1" applyAlignment="1">
      <alignment vertical="center" wrapText="1"/>
    </xf>
    <xf numFmtId="180" fontId="138" fillId="0" borderId="12" xfId="43" applyNumberFormat="1" applyFont="1" applyBorder="1" applyAlignment="1">
      <alignment horizontal="right" vertical="center" wrapText="1"/>
    </xf>
    <xf numFmtId="3" fontId="11" fillId="0" borderId="37" xfId="0" applyNumberFormat="1" applyFont="1" applyBorder="1" applyAlignment="1">
      <alignment vertical="center" wrapText="1"/>
    </xf>
    <xf numFmtId="0" fontId="15" fillId="0" borderId="12" xfId="0" applyFont="1" applyBorder="1" applyAlignment="1" quotePrefix="1">
      <alignment horizontal="center" vertical="center" wrapText="1"/>
    </xf>
    <xf numFmtId="3" fontId="15" fillId="0" borderId="12" xfId="0" applyNumberFormat="1" applyFont="1" applyBorder="1" applyAlignment="1">
      <alignment vertical="center" wrapText="1"/>
    </xf>
    <xf numFmtId="4" fontId="15" fillId="0" borderId="22" xfId="0" applyNumberFormat="1" applyFont="1" applyBorder="1" applyAlignment="1">
      <alignment horizontal="right" vertical="center" wrapText="1"/>
    </xf>
    <xf numFmtId="3" fontId="11" fillId="0" borderId="12" xfId="0" applyNumberFormat="1" applyFont="1" applyBorder="1" applyAlignment="1">
      <alignment vertical="center" wrapText="1"/>
    </xf>
    <xf numFmtId="171" fontId="140" fillId="0" borderId="13" xfId="0" applyNumberFormat="1" applyFont="1" applyBorder="1" applyAlignment="1">
      <alignment horizontal="center" vertical="center" wrapText="1"/>
    </xf>
    <xf numFmtId="193" fontId="139" fillId="2" borderId="22" xfId="43" applyNumberFormat="1" applyFont="1" applyFill="1" applyBorder="1" applyAlignment="1">
      <alignment horizontal="center" vertical="center" wrapText="1"/>
    </xf>
    <xf numFmtId="0" fontId="5" fillId="0" borderId="0" xfId="0" applyFont="1" applyAlignment="1">
      <alignment vertical="center"/>
    </xf>
    <xf numFmtId="0" fontId="9" fillId="0" borderId="0" xfId="0" applyFont="1" applyAlignment="1">
      <alignment/>
    </xf>
    <xf numFmtId="191" fontId="9" fillId="0" borderId="0" xfId="0" applyNumberFormat="1" applyFont="1" applyAlignment="1">
      <alignment horizontal="right"/>
    </xf>
    <xf numFmtId="0" fontId="5" fillId="0" borderId="0" xfId="0" applyFont="1" applyAlignment="1">
      <alignment horizontal="center" vertical="center"/>
    </xf>
    <xf numFmtId="0" fontId="196" fillId="0" borderId="0" xfId="0" applyFont="1" applyAlignment="1" quotePrefix="1">
      <alignment/>
    </xf>
    <xf numFmtId="191" fontId="11" fillId="0" borderId="0" xfId="43" applyNumberFormat="1" applyFont="1" applyFill="1" applyAlignment="1">
      <alignment horizontal="right"/>
    </xf>
    <xf numFmtId="0" fontId="37" fillId="0" borderId="10" xfId="0" applyFont="1" applyBorder="1" applyAlignment="1">
      <alignment horizontal="center" vertical="center" wrapText="1"/>
    </xf>
    <xf numFmtId="191" fontId="37" fillId="0" borderId="10" xfId="0" applyNumberFormat="1" applyFont="1" applyBorder="1" applyAlignment="1">
      <alignment horizontal="center" vertical="center" wrapText="1"/>
    </xf>
    <xf numFmtId="0" fontId="37" fillId="0" borderId="0" xfId="0" applyFont="1" applyAlignment="1">
      <alignment/>
    </xf>
    <xf numFmtId="196" fontId="37" fillId="0" borderId="0" xfId="0" applyNumberFormat="1" applyFont="1" applyAlignment="1">
      <alignment/>
    </xf>
    <xf numFmtId="0" fontId="5" fillId="0" borderId="15" xfId="0" applyFont="1" applyBorder="1" applyAlignment="1">
      <alignment horizontal="center" vertical="center" wrapText="1"/>
    </xf>
    <xf numFmtId="191" fontId="5" fillId="0" borderId="15" xfId="0" applyNumberFormat="1" applyFont="1" applyBorder="1" applyAlignment="1">
      <alignment horizontal="right" vertical="center" wrapText="1"/>
    </xf>
    <xf numFmtId="197" fontId="5" fillId="0" borderId="15" xfId="0" applyNumberFormat="1" applyFont="1" applyBorder="1" applyAlignment="1">
      <alignment horizontal="right" vertical="center" wrapText="1"/>
    </xf>
    <xf numFmtId="182" fontId="5" fillId="0" borderId="15" xfId="0" applyNumberFormat="1" applyFont="1" applyBorder="1" applyAlignment="1">
      <alignment horizontal="center" vertical="center" wrapText="1"/>
    </xf>
    <xf numFmtId="0" fontId="5" fillId="0" borderId="0" xfId="0" applyFont="1" applyAlignment="1">
      <alignment/>
    </xf>
    <xf numFmtId="0" fontId="197" fillId="0" borderId="12" xfId="0" applyFont="1" applyBorder="1" applyAlignment="1">
      <alignment horizontal="center" vertical="center" wrapText="1"/>
    </xf>
    <xf numFmtId="0" fontId="197" fillId="0" borderId="12" xfId="0" applyFont="1" applyBorder="1" applyAlignment="1">
      <alignment horizontal="justify" vertical="center" wrapText="1"/>
    </xf>
    <xf numFmtId="191" fontId="197" fillId="0" borderId="12" xfId="0" applyNumberFormat="1" applyFont="1" applyBorder="1" applyAlignment="1">
      <alignment horizontal="right" vertical="center"/>
    </xf>
    <xf numFmtId="191" fontId="197" fillId="0" borderId="12" xfId="43" applyNumberFormat="1" applyFont="1" applyFill="1" applyBorder="1" applyAlignment="1">
      <alignment horizontal="right" vertical="center" wrapText="1"/>
    </xf>
    <xf numFmtId="0" fontId="197" fillId="0" borderId="12" xfId="0" applyFont="1" applyBorder="1" applyAlignment="1">
      <alignment vertical="center"/>
    </xf>
    <xf numFmtId="0" fontId="197" fillId="0" borderId="0" xfId="0" applyFont="1" applyAlignment="1">
      <alignment vertical="center"/>
    </xf>
    <xf numFmtId="0" fontId="37" fillId="0" borderId="12" xfId="0" applyFont="1" applyBorder="1" applyAlignment="1" quotePrefix="1">
      <alignment horizontal="center" vertical="center" wrapText="1"/>
    </xf>
    <xf numFmtId="182" fontId="5" fillId="0" borderId="12" xfId="47" applyNumberFormat="1" applyFont="1" applyFill="1" applyBorder="1" applyAlignment="1">
      <alignment vertical="center" wrapText="1"/>
    </xf>
    <xf numFmtId="191" fontId="37" fillId="0" borderId="12" xfId="0" applyNumberFormat="1" applyFont="1" applyBorder="1" applyAlignment="1">
      <alignment horizontal="right" vertical="center"/>
    </xf>
    <xf numFmtId="191" fontId="37" fillId="0" borderId="12" xfId="43" applyNumberFormat="1" applyFont="1" applyFill="1" applyBorder="1" applyAlignment="1">
      <alignment horizontal="right" vertical="center" wrapText="1"/>
    </xf>
    <xf numFmtId="3" fontId="198" fillId="0" borderId="12" xfId="0" applyNumberFormat="1" applyFont="1" applyBorder="1" applyAlignment="1">
      <alignment horizontal="center" vertical="center" wrapText="1"/>
    </xf>
    <xf numFmtId="0" fontId="37" fillId="0" borderId="0" xfId="0" applyFont="1" applyAlignment="1">
      <alignment vertical="center"/>
    </xf>
    <xf numFmtId="3" fontId="196" fillId="0" borderId="12" xfId="0" applyNumberFormat="1" applyFont="1" applyBorder="1" applyAlignment="1">
      <alignment horizontal="center" vertical="center"/>
    </xf>
    <xf numFmtId="3" fontId="196" fillId="0" borderId="12" xfId="0" applyNumberFormat="1" applyFont="1" applyBorder="1" applyAlignment="1">
      <alignment horizontal="left" vertical="center" wrapText="1"/>
    </xf>
    <xf numFmtId="191" fontId="9" fillId="0" borderId="12" xfId="0" applyNumberFormat="1" applyFont="1" applyBorder="1" applyAlignment="1">
      <alignment horizontal="right" vertical="center"/>
    </xf>
    <xf numFmtId="191" fontId="196" fillId="0" borderId="12" xfId="0" applyNumberFormat="1" applyFont="1" applyBorder="1" applyAlignment="1">
      <alignment horizontal="right" vertical="center"/>
    </xf>
    <xf numFmtId="191" fontId="9" fillId="0" borderId="12" xfId="43" applyNumberFormat="1" applyFont="1" applyFill="1" applyBorder="1" applyAlignment="1">
      <alignment horizontal="right" vertical="center" wrapText="1"/>
    </xf>
    <xf numFmtId="0" fontId="9" fillId="0" borderId="12" xfId="0" applyFont="1" applyBorder="1" applyAlignment="1">
      <alignment vertical="center"/>
    </xf>
    <xf numFmtId="0" fontId="9" fillId="0" borderId="0" xfId="0" applyFont="1" applyAlignment="1">
      <alignment vertical="center"/>
    </xf>
    <xf numFmtId="1" fontId="196" fillId="0" borderId="12" xfId="68" applyNumberFormat="1" applyFont="1" applyBorder="1" applyAlignment="1">
      <alignment vertical="center" wrapText="1"/>
      <protection/>
    </xf>
    <xf numFmtId="3" fontId="198" fillId="0" borderId="12" xfId="0" applyNumberFormat="1" applyFont="1" applyBorder="1" applyAlignment="1">
      <alignment horizontal="center" vertical="center"/>
    </xf>
    <xf numFmtId="1" fontId="182" fillId="0" borderId="12" xfId="68" applyNumberFormat="1" applyFont="1" applyBorder="1" applyAlignment="1">
      <alignment vertical="center" wrapText="1"/>
      <protection/>
    </xf>
    <xf numFmtId="191" fontId="182" fillId="0" borderId="12" xfId="0" applyNumberFormat="1" applyFont="1" applyBorder="1" applyAlignment="1">
      <alignment horizontal="right" vertical="center"/>
    </xf>
    <xf numFmtId="1" fontId="196" fillId="0" borderId="12" xfId="0" applyNumberFormat="1" applyFont="1" applyBorder="1" applyAlignment="1">
      <alignment horizontal="justify" vertical="center" wrapText="1"/>
    </xf>
    <xf numFmtId="3" fontId="199" fillId="0" borderId="12" xfId="0" applyNumberFormat="1" applyFont="1" applyBorder="1" applyAlignment="1">
      <alignment horizontal="center" vertical="center"/>
    </xf>
    <xf numFmtId="0" fontId="198" fillId="0" borderId="12" xfId="0" applyFont="1" applyBorder="1" applyAlignment="1" quotePrefix="1">
      <alignment horizontal="center" vertical="center" wrapText="1"/>
    </xf>
    <xf numFmtId="182" fontId="196" fillId="0" borderId="12" xfId="47" applyNumberFormat="1" applyFont="1" applyFill="1" applyBorder="1" applyAlignment="1">
      <alignment vertical="center" wrapText="1"/>
    </xf>
    <xf numFmtId="191" fontId="198" fillId="0" borderId="12" xfId="0" applyNumberFormat="1" applyFont="1" applyBorder="1" applyAlignment="1">
      <alignment horizontal="right" vertical="center"/>
    </xf>
    <xf numFmtId="191" fontId="198" fillId="0" borderId="12" xfId="43" applyNumberFormat="1" applyFont="1" applyFill="1" applyBorder="1" applyAlignment="1">
      <alignment horizontal="right" vertical="center" wrapText="1"/>
    </xf>
    <xf numFmtId="0" fontId="198" fillId="0" borderId="12" xfId="0" applyFont="1" applyBorder="1" applyAlignment="1">
      <alignment vertical="center"/>
    </xf>
    <xf numFmtId="0" fontId="198" fillId="0" borderId="0" xfId="0" applyFont="1" applyAlignment="1">
      <alignment vertical="center"/>
    </xf>
    <xf numFmtId="0" fontId="9" fillId="33" borderId="12" xfId="0" applyFont="1" applyFill="1" applyBorder="1" applyAlignment="1" quotePrefix="1">
      <alignment horizontal="center" vertical="center" wrapText="1"/>
    </xf>
    <xf numFmtId="0" fontId="9" fillId="33" borderId="12" xfId="0" applyFont="1" applyFill="1" applyBorder="1" applyAlignment="1">
      <alignment horizontal="justify" vertical="center" wrapText="1"/>
    </xf>
    <xf numFmtId="0" fontId="9" fillId="0" borderId="12" xfId="0" applyFont="1" applyBorder="1" applyAlignment="1">
      <alignment horizontal="center" vertical="center"/>
    </xf>
    <xf numFmtId="198" fontId="9" fillId="33" borderId="12" xfId="43" applyNumberFormat="1" applyFont="1" applyFill="1" applyBorder="1" applyAlignment="1">
      <alignment horizontal="center" vertical="center" wrapText="1"/>
    </xf>
    <xf numFmtId="0" fontId="9" fillId="33" borderId="0" xfId="0" applyFont="1" applyFill="1" applyAlignment="1">
      <alignment vertical="center"/>
    </xf>
    <xf numFmtId="191" fontId="197" fillId="0" borderId="12" xfId="0" applyNumberFormat="1" applyFont="1" applyBorder="1" applyAlignment="1" quotePrefix="1">
      <alignment horizontal="right" vertical="center"/>
    </xf>
    <xf numFmtId="0" fontId="37" fillId="0" borderId="12" xfId="0" applyFont="1" applyBorder="1" applyAlignment="1">
      <alignment vertical="center"/>
    </xf>
    <xf numFmtId="0" fontId="9" fillId="0" borderId="12" xfId="0" applyFont="1" applyBorder="1" applyAlignment="1">
      <alignment horizontal="center" vertical="center" wrapText="1"/>
    </xf>
    <xf numFmtId="0" fontId="37" fillId="0" borderId="12" xfId="0" applyFont="1" applyBorder="1" applyAlignment="1">
      <alignment horizontal="justify" vertical="center" wrapText="1"/>
    </xf>
    <xf numFmtId="0" fontId="9" fillId="0" borderId="12" xfId="0" applyFont="1" applyBorder="1" applyAlignment="1">
      <alignment horizontal="justify" vertical="center" wrapText="1"/>
    </xf>
    <xf numFmtId="199" fontId="197" fillId="0" borderId="12" xfId="43" applyNumberFormat="1" applyFont="1" applyFill="1" applyBorder="1" applyAlignment="1">
      <alignment horizontal="right" vertical="center" wrapText="1"/>
    </xf>
    <xf numFmtId="3" fontId="10" fillId="0" borderId="12" xfId="0" applyNumberFormat="1" applyFont="1" applyBorder="1" applyAlignment="1">
      <alignment horizontal="center" vertical="center"/>
    </xf>
    <xf numFmtId="3" fontId="10" fillId="0" borderId="12" xfId="0" applyNumberFormat="1" applyFont="1" applyBorder="1" applyAlignment="1">
      <alignment vertical="center" wrapText="1"/>
    </xf>
    <xf numFmtId="191" fontId="5" fillId="0" borderId="12" xfId="43" applyNumberFormat="1" applyFont="1" applyFill="1" applyBorder="1" applyAlignment="1">
      <alignment horizontal="right" vertical="center" wrapText="1"/>
    </xf>
    <xf numFmtId="3" fontId="12" fillId="0" borderId="12" xfId="0" applyNumberFormat="1" applyFont="1" applyBorder="1" applyAlignment="1">
      <alignment vertical="center" wrapText="1"/>
    </xf>
    <xf numFmtId="3" fontId="23" fillId="0" borderId="12" xfId="0" applyNumberFormat="1" applyFont="1" applyBorder="1" applyAlignment="1">
      <alignment horizontal="center" vertical="center"/>
    </xf>
    <xf numFmtId="3" fontId="23" fillId="0" borderId="12" xfId="0" applyNumberFormat="1" applyFont="1" applyBorder="1" applyAlignment="1">
      <alignment vertical="center" wrapText="1"/>
    </xf>
    <xf numFmtId="191" fontId="23" fillId="0" borderId="12" xfId="0" applyNumberFormat="1" applyFont="1" applyBorder="1" applyAlignment="1">
      <alignment horizontal="right" vertical="center" wrapText="1"/>
    </xf>
    <xf numFmtId="191" fontId="23" fillId="0" borderId="12" xfId="0" applyNumberFormat="1" applyFont="1" applyBorder="1" applyAlignment="1">
      <alignment horizontal="right" vertical="center"/>
    </xf>
    <xf numFmtId="3" fontId="23" fillId="0" borderId="12" xfId="0" applyNumberFormat="1" applyFont="1" applyBorder="1" applyAlignment="1">
      <alignment vertical="center"/>
    </xf>
    <xf numFmtId="191" fontId="7" fillId="0" borderId="12" xfId="43" applyNumberFormat="1" applyFont="1" applyFill="1" applyBorder="1" applyAlignment="1">
      <alignment horizontal="right" vertical="center" wrapText="1"/>
    </xf>
    <xf numFmtId="0" fontId="9" fillId="0" borderId="12" xfId="0" applyFont="1" applyBorder="1" applyAlignment="1" quotePrefix="1">
      <alignment horizontal="center" vertical="center"/>
    </xf>
    <xf numFmtId="197" fontId="197" fillId="0" borderId="12" xfId="43" applyNumberFormat="1" applyFont="1" applyFill="1" applyBorder="1" applyAlignment="1">
      <alignment horizontal="right" vertical="center" wrapText="1"/>
    </xf>
    <xf numFmtId="3" fontId="12" fillId="0" borderId="12" xfId="0" applyNumberFormat="1" applyFont="1" applyBorder="1" applyAlignment="1">
      <alignment horizontal="center" vertical="center"/>
    </xf>
    <xf numFmtId="3" fontId="200" fillId="0" borderId="12" xfId="0" applyNumberFormat="1" applyFont="1" applyBorder="1" applyAlignment="1">
      <alignment horizontal="center" vertical="center"/>
    </xf>
    <xf numFmtId="3" fontId="200" fillId="0" borderId="12" xfId="0" applyNumberFormat="1" applyFont="1" applyBorder="1" applyAlignment="1">
      <alignment vertical="center" wrapText="1"/>
    </xf>
    <xf numFmtId="3" fontId="42" fillId="0" borderId="12" xfId="0" applyNumberFormat="1" applyFont="1" applyBorder="1" applyAlignment="1">
      <alignment vertical="center"/>
    </xf>
    <xf numFmtId="0" fontId="9" fillId="0" borderId="12" xfId="0" applyFont="1" applyBorder="1" applyAlignment="1">
      <alignment vertical="center" wrapText="1"/>
    </xf>
    <xf numFmtId="0" fontId="37" fillId="0" borderId="12" xfId="0" applyFont="1" applyBorder="1" applyAlignment="1">
      <alignment horizontal="center" vertical="center" wrapText="1"/>
    </xf>
    <xf numFmtId="3" fontId="201" fillId="0" borderId="12" xfId="0" applyNumberFormat="1" applyFont="1" applyBorder="1" applyAlignment="1">
      <alignment vertical="center" wrapText="1"/>
    </xf>
    <xf numFmtId="0" fontId="9" fillId="33" borderId="12" xfId="0" applyFont="1" applyFill="1" applyBorder="1" applyAlignment="1">
      <alignment horizontal="center" vertical="center" wrapText="1"/>
    </xf>
    <xf numFmtId="0" fontId="7" fillId="0" borderId="12" xfId="0" applyFont="1" applyBorder="1" applyAlignment="1" quotePrefix="1">
      <alignment horizontal="center" vertical="center" wrapText="1"/>
    </xf>
    <xf numFmtId="182" fontId="9" fillId="0" borderId="12" xfId="47" applyNumberFormat="1" applyFont="1" applyFill="1" applyBorder="1" applyAlignment="1">
      <alignment vertical="center" wrapText="1"/>
    </xf>
    <xf numFmtId="191" fontId="7" fillId="0" borderId="12" xfId="0" applyNumberFormat="1" applyFont="1" applyBorder="1" applyAlignment="1">
      <alignment horizontal="right" vertical="center"/>
    </xf>
    <xf numFmtId="0" fontId="7" fillId="0" borderId="12" xfId="0" applyFont="1" applyBorder="1" applyAlignment="1">
      <alignment vertical="center"/>
    </xf>
    <xf numFmtId="0" fontId="7" fillId="0" borderId="0" xfId="0" applyFont="1" applyAlignment="1">
      <alignment vertical="center"/>
    </xf>
    <xf numFmtId="0" fontId="9" fillId="0" borderId="21" xfId="0" applyFont="1" applyBorder="1" applyAlignment="1">
      <alignment vertical="top" wrapText="1"/>
    </xf>
    <xf numFmtId="198" fontId="9" fillId="33" borderId="21" xfId="43" applyNumberFormat="1" applyFont="1" applyFill="1" applyBorder="1" applyAlignment="1">
      <alignment/>
    </xf>
    <xf numFmtId="0" fontId="9" fillId="0" borderId="12" xfId="0" applyFont="1" applyBorder="1" applyAlignment="1">
      <alignment vertical="top" wrapText="1"/>
    </xf>
    <xf numFmtId="198" fontId="143" fillId="33" borderId="12" xfId="43" applyNumberFormat="1" applyFont="1" applyFill="1" applyBorder="1" applyAlignment="1">
      <alignment vertical="center"/>
    </xf>
    <xf numFmtId="198" fontId="143" fillId="33" borderId="12" xfId="43" applyNumberFormat="1" applyFont="1" applyFill="1" applyBorder="1" applyAlignment="1">
      <alignment/>
    </xf>
    <xf numFmtId="0" fontId="37" fillId="0" borderId="12" xfId="0" applyFont="1" applyBorder="1" applyAlignment="1">
      <alignment horizontal="center" vertical="center"/>
    </xf>
    <xf numFmtId="3" fontId="196" fillId="0" borderId="12" xfId="0" applyNumberFormat="1" applyFont="1" applyBorder="1" applyAlignment="1">
      <alignment horizontal="justify" vertical="center" wrapText="1"/>
    </xf>
    <xf numFmtId="3" fontId="182" fillId="0" borderId="12" xfId="0" applyNumberFormat="1" applyFont="1" applyBorder="1" applyAlignment="1">
      <alignment horizontal="justify" vertical="center" wrapText="1"/>
    </xf>
    <xf numFmtId="0" fontId="5" fillId="0" borderId="12" xfId="0" applyFont="1" applyBorder="1" applyAlignment="1">
      <alignment horizontal="center" vertical="center" wrapText="1"/>
    </xf>
    <xf numFmtId="191" fontId="5" fillId="0" borderId="12" xfId="0" applyNumberFormat="1" applyFont="1" applyBorder="1" applyAlignment="1">
      <alignment horizontal="right" vertical="center"/>
    </xf>
    <xf numFmtId="191" fontId="196" fillId="0" borderId="12" xfId="0" applyNumberFormat="1" applyFont="1" applyBorder="1" applyAlignment="1">
      <alignment horizontal="right" vertical="center" wrapText="1"/>
    </xf>
    <xf numFmtId="3" fontId="5" fillId="0" borderId="12" xfId="0" applyNumberFormat="1" applyFont="1" applyBorder="1" applyAlignment="1">
      <alignment horizontal="justify" vertical="center" wrapText="1"/>
    </xf>
    <xf numFmtId="0" fontId="5" fillId="0" borderId="12" xfId="0" applyFont="1" applyBorder="1" applyAlignment="1">
      <alignment vertical="center"/>
    </xf>
    <xf numFmtId="3" fontId="37" fillId="0" borderId="12" xfId="0" applyNumberFormat="1" applyFont="1" applyBorder="1" applyAlignment="1">
      <alignment horizontal="justify" vertical="center" wrapText="1"/>
    </xf>
    <xf numFmtId="0" fontId="5" fillId="0" borderId="12" xfId="0" applyFont="1" applyBorder="1" applyAlignment="1">
      <alignment horizontal="justify" vertical="center" wrapText="1"/>
    </xf>
    <xf numFmtId="0" fontId="9" fillId="0" borderId="12" xfId="0" applyFont="1" applyBorder="1" applyAlignment="1" quotePrefix="1">
      <alignment horizontal="center" vertical="center" wrapText="1"/>
    </xf>
    <xf numFmtId="0" fontId="196" fillId="0" borderId="12" xfId="0" applyFont="1" applyBorder="1" applyAlignment="1">
      <alignment vertical="center" wrapText="1"/>
    </xf>
    <xf numFmtId="0" fontId="182" fillId="0" borderId="12" xfId="0" applyFont="1" applyBorder="1" applyAlignment="1" quotePrefix="1">
      <alignment horizontal="left" vertical="center" wrapText="1"/>
    </xf>
    <xf numFmtId="0" fontId="196" fillId="0" borderId="12" xfId="0" applyFont="1" applyBorder="1" applyAlignment="1" quotePrefix="1">
      <alignment horizontal="left" vertical="center" wrapText="1"/>
    </xf>
    <xf numFmtId="3" fontId="182" fillId="0" borderId="12" xfId="0" applyNumberFormat="1" applyFont="1" applyBorder="1" applyAlignment="1">
      <alignment horizontal="center" vertical="center" wrapText="1"/>
    </xf>
    <xf numFmtId="0" fontId="37" fillId="0" borderId="12" xfId="0" applyFont="1" applyBorder="1" applyAlignment="1" quotePrefix="1">
      <alignment horizontal="left" vertical="center" wrapText="1"/>
    </xf>
    <xf numFmtId="0" fontId="148" fillId="0" borderId="12" xfId="0" applyFont="1" applyBorder="1" applyAlignment="1">
      <alignment vertical="center" wrapText="1"/>
    </xf>
    <xf numFmtId="3" fontId="16" fillId="0" borderId="12" xfId="0" applyNumberFormat="1" applyFont="1" applyBorder="1" applyAlignment="1">
      <alignment horizontal="center" vertical="center" wrapText="1"/>
    </xf>
    <xf numFmtId="0" fontId="22" fillId="0" borderId="12" xfId="0" applyFont="1" applyBorder="1" applyAlignment="1">
      <alignment vertical="center" wrapText="1"/>
    </xf>
    <xf numFmtId="3" fontId="16" fillId="0" borderId="12" xfId="0" applyNumberFormat="1" applyFont="1" applyBorder="1" applyAlignment="1">
      <alignment horizontal="center" vertical="center"/>
    </xf>
    <xf numFmtId="0" fontId="196" fillId="0" borderId="12" xfId="0" applyFont="1" applyBorder="1" applyAlignment="1">
      <alignment horizontal="left" vertical="center" wrapText="1"/>
    </xf>
    <xf numFmtId="191" fontId="196" fillId="0" borderId="12" xfId="0" applyNumberFormat="1" applyFont="1" applyBorder="1" applyAlignment="1">
      <alignment horizontal="right"/>
    </xf>
    <xf numFmtId="0" fontId="182" fillId="0" borderId="12" xfId="0" applyFont="1" applyBorder="1" applyAlignment="1">
      <alignment horizontal="left" vertical="center" wrapText="1"/>
    </xf>
    <xf numFmtId="3" fontId="196" fillId="0" borderId="12" xfId="0" applyNumberFormat="1" applyFont="1" applyBorder="1" applyAlignment="1">
      <alignment vertical="center" wrapText="1"/>
    </xf>
    <xf numFmtId="3" fontId="199" fillId="0" borderId="12" xfId="0" applyNumberFormat="1" applyFont="1" applyBorder="1" applyAlignment="1">
      <alignment horizontal="center" vertical="center" wrapText="1"/>
    </xf>
    <xf numFmtId="3" fontId="43" fillId="0" borderId="12" xfId="0" applyNumberFormat="1" applyFont="1" applyBorder="1" applyAlignment="1">
      <alignment vertical="center" wrapText="1"/>
    </xf>
    <xf numFmtId="0" fontId="7" fillId="0" borderId="12" xfId="0" applyFont="1" applyBorder="1" applyAlignment="1">
      <alignment horizontal="center" vertical="center"/>
    </xf>
    <xf numFmtId="0" fontId="9" fillId="0" borderId="21" xfId="0" applyFont="1" applyBorder="1" applyAlignment="1">
      <alignment horizontal="center" vertical="center" wrapText="1"/>
    </xf>
    <xf numFmtId="3" fontId="43" fillId="0" borderId="21" xfId="0" applyNumberFormat="1" applyFont="1" applyBorder="1" applyAlignment="1">
      <alignment vertical="center" wrapText="1"/>
    </xf>
    <xf numFmtId="191" fontId="9" fillId="0" borderId="21" xfId="0" applyNumberFormat="1" applyFont="1" applyBorder="1" applyAlignment="1">
      <alignment horizontal="right" vertical="center"/>
    </xf>
    <xf numFmtId="191" fontId="9" fillId="0" borderId="21" xfId="43" applyNumberFormat="1" applyFont="1" applyFill="1" applyBorder="1" applyAlignment="1">
      <alignment horizontal="right" vertical="center" wrapText="1"/>
    </xf>
    <xf numFmtId="0" fontId="7" fillId="0" borderId="21" xfId="0" applyFont="1" applyBorder="1" applyAlignment="1">
      <alignment horizontal="center" vertical="center" wrapText="1"/>
    </xf>
    <xf numFmtId="0" fontId="9" fillId="0" borderId="21" xfId="0" applyFont="1" applyBorder="1" applyAlignment="1" quotePrefix="1">
      <alignment horizontal="center" vertical="center"/>
    </xf>
    <xf numFmtId="198" fontId="9" fillId="33" borderId="21" xfId="43" applyNumberFormat="1" applyFont="1" applyFill="1" applyBorder="1" applyAlignment="1">
      <alignment horizontal="center" vertical="center" wrapText="1"/>
    </xf>
    <xf numFmtId="0" fontId="9" fillId="33" borderId="21" xfId="0" applyFont="1" applyFill="1" applyBorder="1" applyAlignment="1">
      <alignment horizontal="center" vertical="center" wrapText="1"/>
    </xf>
    <xf numFmtId="0" fontId="9" fillId="33" borderId="21" xfId="0" applyFont="1" applyFill="1" applyBorder="1" applyAlignment="1">
      <alignment horizontal="justify" vertical="center" wrapText="1"/>
    </xf>
    <xf numFmtId="0" fontId="9" fillId="0" borderId="21" xfId="0" applyFont="1" applyBorder="1" applyAlignment="1">
      <alignment vertical="center"/>
    </xf>
    <xf numFmtId="0" fontId="9" fillId="0" borderId="13" xfId="0" applyFont="1" applyBorder="1" applyAlignment="1">
      <alignment horizontal="center" vertical="center" wrapText="1"/>
    </xf>
    <xf numFmtId="0" fontId="9" fillId="0" borderId="13" xfId="0" applyFont="1" applyBorder="1" applyAlignment="1">
      <alignment horizontal="justify" vertical="center" wrapText="1"/>
    </xf>
    <xf numFmtId="191" fontId="9" fillId="0" borderId="13" xfId="0" applyNumberFormat="1" applyFont="1" applyBorder="1" applyAlignment="1">
      <alignment horizontal="right" vertical="center"/>
    </xf>
    <xf numFmtId="191" fontId="9" fillId="0" borderId="13" xfId="43" applyNumberFormat="1" applyFont="1" applyFill="1" applyBorder="1" applyAlignment="1">
      <alignment horizontal="right" vertical="center" wrapText="1"/>
    </xf>
    <xf numFmtId="0" fontId="9" fillId="0" borderId="13" xfId="0" applyFont="1" applyBorder="1" applyAlignment="1">
      <alignment vertical="center"/>
    </xf>
    <xf numFmtId="0" fontId="9" fillId="0" borderId="0" xfId="0" applyFont="1" applyAlignment="1">
      <alignment horizontal="center" vertical="center" wrapText="1"/>
    </xf>
    <xf numFmtId="0" fontId="9" fillId="0" borderId="0" xfId="0" applyFont="1" applyAlignment="1">
      <alignment horizontal="justify" vertical="center" wrapText="1"/>
    </xf>
    <xf numFmtId="191" fontId="9" fillId="0" borderId="0" xfId="0" applyNumberFormat="1" applyFont="1" applyAlignment="1">
      <alignment horizontal="right" vertical="center"/>
    </xf>
    <xf numFmtId="191" fontId="9" fillId="0" borderId="0" xfId="43" applyNumberFormat="1" applyFont="1" applyFill="1" applyBorder="1" applyAlignment="1">
      <alignment horizontal="right" vertical="center" wrapText="1"/>
    </xf>
    <xf numFmtId="0" fontId="44" fillId="0" borderId="0" xfId="0" applyFont="1" applyAlignment="1">
      <alignment vertical="center"/>
    </xf>
    <xf numFmtId="0" fontId="45" fillId="0" borderId="0" xfId="0" applyFont="1" applyAlignment="1">
      <alignment/>
    </xf>
    <xf numFmtId="191" fontId="45" fillId="0" borderId="0" xfId="0" applyNumberFormat="1" applyFont="1" applyAlignment="1">
      <alignment horizontal="right"/>
    </xf>
    <xf numFmtId="0" fontId="21" fillId="0" borderId="0" xfId="0" applyFont="1" applyAlignment="1">
      <alignment/>
    </xf>
    <xf numFmtId="191" fontId="21" fillId="0" borderId="0" xfId="0" applyNumberFormat="1" applyFont="1" applyAlignment="1">
      <alignment horizontal="right"/>
    </xf>
    <xf numFmtId="191" fontId="9" fillId="0" borderId="0" xfId="43" applyNumberFormat="1" applyFont="1" applyFill="1" applyBorder="1" applyAlignment="1">
      <alignment horizontal="right"/>
    </xf>
    <xf numFmtId="182" fontId="9" fillId="33" borderId="0" xfId="48" applyNumberFormat="1" applyFont="1" applyFill="1" applyAlignment="1">
      <alignment vertical="center"/>
    </xf>
    <xf numFmtId="4" fontId="9" fillId="33" borderId="0" xfId="48" applyNumberFormat="1" applyFont="1" applyFill="1" applyAlignment="1">
      <alignment vertical="center"/>
    </xf>
    <xf numFmtId="182" fontId="9" fillId="0" borderId="0" xfId="48" applyNumberFormat="1" applyFont="1" applyFill="1" applyAlignment="1">
      <alignment vertical="center"/>
    </xf>
    <xf numFmtId="0" fontId="9" fillId="33" borderId="0" xfId="0" applyFont="1" applyFill="1" applyAlignment="1">
      <alignment/>
    </xf>
    <xf numFmtId="182" fontId="5" fillId="33" borderId="0" xfId="0" applyNumberFormat="1" applyFont="1" applyFill="1" applyAlignment="1">
      <alignment horizontal="center" vertical="center"/>
    </xf>
    <xf numFmtId="182" fontId="5" fillId="33" borderId="0" xfId="48" applyNumberFormat="1" applyFont="1" applyFill="1" applyAlignment="1" quotePrefix="1">
      <alignment horizontal="center" vertical="center" wrapText="1"/>
    </xf>
    <xf numFmtId="0" fontId="9" fillId="33" borderId="38" xfId="0" applyFont="1" applyFill="1" applyBorder="1" applyAlignment="1">
      <alignment horizontal="center"/>
    </xf>
    <xf numFmtId="0" fontId="9" fillId="33" borderId="38" xfId="0" applyFont="1" applyFill="1" applyBorder="1" applyAlignment="1">
      <alignment horizontal="left"/>
    </xf>
    <xf numFmtId="4" fontId="5" fillId="0" borderId="10" xfId="48" applyNumberFormat="1" applyFont="1" applyFill="1" applyBorder="1" applyAlignment="1">
      <alignment horizontal="center" vertical="center" wrapText="1"/>
    </xf>
    <xf numFmtId="182" fontId="5" fillId="0" borderId="10" xfId="48" applyNumberFormat="1" applyFont="1" applyFill="1" applyBorder="1" applyAlignment="1">
      <alignment horizontal="center" vertical="center" wrapText="1"/>
    </xf>
    <xf numFmtId="1" fontId="9" fillId="33" borderId="33" xfId="0" applyNumberFormat="1" applyFont="1" applyFill="1" applyBorder="1" applyAlignment="1">
      <alignment horizontal="center" vertical="center" wrapText="1"/>
    </xf>
    <xf numFmtId="1" fontId="9" fillId="33" borderId="33" xfId="48" applyNumberFormat="1" applyFont="1" applyFill="1" applyBorder="1" applyAlignment="1" quotePrefix="1">
      <alignment horizontal="center" vertical="center" wrapText="1"/>
    </xf>
    <xf numFmtId="4" fontId="9" fillId="33" borderId="33" xfId="48" applyNumberFormat="1" applyFont="1" applyFill="1" applyBorder="1" applyAlignment="1" quotePrefix="1">
      <alignment horizontal="center" vertical="center" wrapText="1"/>
    </xf>
    <xf numFmtId="1" fontId="9" fillId="0" borderId="33" xfId="48" applyNumberFormat="1" applyFont="1" applyFill="1" applyBorder="1" applyAlignment="1" quotePrefix="1">
      <alignment horizontal="center" vertical="center" wrapText="1"/>
    </xf>
    <xf numFmtId="1" fontId="9" fillId="33" borderId="14" xfId="0" applyNumberFormat="1" applyFont="1" applyFill="1" applyBorder="1" applyAlignment="1">
      <alignment horizontal="center" vertical="center"/>
    </xf>
    <xf numFmtId="1" fontId="9" fillId="33" borderId="0" xfId="0" applyNumberFormat="1" applyFont="1" applyFill="1" applyAlignment="1">
      <alignment vertical="center"/>
    </xf>
    <xf numFmtId="0" fontId="5" fillId="33" borderId="39" xfId="0" applyFont="1" applyFill="1" applyBorder="1" applyAlignment="1">
      <alignment horizontal="center" vertical="center"/>
    </xf>
    <xf numFmtId="0" fontId="5" fillId="33" borderId="40" xfId="0" applyFont="1" applyFill="1" applyBorder="1" applyAlignment="1">
      <alignment horizontal="center" vertical="center" wrapText="1"/>
    </xf>
    <xf numFmtId="182" fontId="5" fillId="33" borderId="39" xfId="48" applyNumberFormat="1" applyFont="1" applyFill="1" applyBorder="1" applyAlignment="1">
      <alignment horizontal="center" vertical="center" wrapText="1"/>
    </xf>
    <xf numFmtId="194" fontId="5" fillId="33" borderId="39" xfId="48" applyNumberFormat="1" applyFont="1" applyFill="1" applyBorder="1" applyAlignment="1">
      <alignment horizontal="center" vertical="center" wrapText="1"/>
    </xf>
    <xf numFmtId="4" fontId="5" fillId="33" borderId="39" xfId="48" applyNumberFormat="1" applyFont="1" applyFill="1" applyBorder="1" applyAlignment="1">
      <alignment horizontal="right" vertical="center" wrapText="1"/>
    </xf>
    <xf numFmtId="194" fontId="5" fillId="0" borderId="39" xfId="48" applyNumberFormat="1" applyFont="1" applyFill="1" applyBorder="1" applyAlignment="1">
      <alignment horizontal="center" vertical="center" wrapText="1"/>
    </xf>
    <xf numFmtId="0" fontId="5" fillId="33" borderId="22" xfId="0" applyFont="1" applyFill="1" applyBorder="1" applyAlignment="1">
      <alignment vertical="center"/>
    </xf>
    <xf numFmtId="0" fontId="5" fillId="33" borderId="0" xfId="0" applyFont="1" applyFill="1" applyAlignment="1">
      <alignment vertical="center"/>
    </xf>
    <xf numFmtId="4" fontId="5" fillId="33" borderId="0" xfId="0" applyNumberFormat="1" applyFont="1" applyFill="1" applyAlignment="1">
      <alignment vertical="center"/>
    </xf>
    <xf numFmtId="0" fontId="5" fillId="33" borderId="39" xfId="0" applyFont="1" applyFill="1" applyBorder="1" applyAlignment="1">
      <alignment vertical="center" wrapText="1"/>
    </xf>
    <xf numFmtId="182" fontId="5" fillId="33" borderId="39" xfId="48" applyNumberFormat="1" applyFont="1" applyFill="1" applyBorder="1" applyAlignment="1">
      <alignment vertical="center"/>
    </xf>
    <xf numFmtId="194" fontId="5" fillId="33" borderId="39" xfId="48" applyNumberFormat="1" applyFont="1" applyFill="1" applyBorder="1" applyAlignment="1">
      <alignment vertical="center"/>
    </xf>
    <xf numFmtId="4" fontId="5" fillId="33" borderId="39" xfId="48" applyNumberFormat="1" applyFont="1" applyFill="1" applyBorder="1" applyAlignment="1">
      <alignment vertical="center"/>
    </xf>
    <xf numFmtId="194" fontId="5" fillId="0" borderId="39" xfId="48" applyNumberFormat="1" applyFont="1" applyFill="1" applyBorder="1" applyAlignment="1">
      <alignment vertical="center"/>
    </xf>
    <xf numFmtId="0" fontId="7" fillId="33" borderId="39" xfId="0" applyFont="1" applyFill="1" applyBorder="1" applyAlignment="1">
      <alignment horizontal="center" vertical="center" wrapText="1"/>
    </xf>
    <xf numFmtId="0" fontId="7" fillId="33" borderId="39" xfId="0" applyFont="1" applyFill="1" applyBorder="1" applyAlignment="1">
      <alignment vertical="center" wrapText="1"/>
    </xf>
    <xf numFmtId="182" fontId="7" fillId="33" borderId="39" xfId="48" applyNumberFormat="1" applyFont="1" applyFill="1" applyBorder="1" applyAlignment="1">
      <alignment vertical="center"/>
    </xf>
    <xf numFmtId="194" fontId="7" fillId="33" borderId="39" xfId="48" applyNumberFormat="1" applyFont="1" applyFill="1" applyBorder="1" applyAlignment="1">
      <alignment vertical="center"/>
    </xf>
    <xf numFmtId="4" fontId="7" fillId="33" borderId="39" xfId="48" applyNumberFormat="1" applyFont="1" applyFill="1" applyBorder="1" applyAlignment="1">
      <alignment vertical="center"/>
    </xf>
    <xf numFmtId="194" fontId="7" fillId="0" borderId="39" xfId="48" applyNumberFormat="1" applyFont="1" applyFill="1" applyBorder="1" applyAlignment="1">
      <alignment vertical="center"/>
    </xf>
    <xf numFmtId="0" fontId="7" fillId="33" borderId="22" xfId="0" applyFont="1" applyFill="1" applyBorder="1" applyAlignment="1">
      <alignment vertical="center"/>
    </xf>
    <xf numFmtId="0" fontId="7" fillId="33" borderId="0" xfId="0" applyFont="1" applyFill="1" applyAlignment="1">
      <alignment vertical="center"/>
    </xf>
    <xf numFmtId="0" fontId="9" fillId="33" borderId="39" xfId="0" applyFont="1" applyFill="1" applyBorder="1" applyAlignment="1" quotePrefix="1">
      <alignment horizontal="center" vertical="center"/>
    </xf>
    <xf numFmtId="0" fontId="9" fillId="33" borderId="39" xfId="0" applyFont="1" applyFill="1" applyBorder="1" applyAlignment="1">
      <alignment vertical="center" wrapText="1"/>
    </xf>
    <xf numFmtId="182" fontId="9" fillId="33" borderId="39" xfId="48" applyNumberFormat="1" applyFont="1" applyFill="1" applyBorder="1" applyAlignment="1">
      <alignment vertical="center"/>
    </xf>
    <xf numFmtId="194" fontId="9" fillId="33" borderId="39" xfId="48" applyNumberFormat="1" applyFont="1" applyFill="1" applyBorder="1" applyAlignment="1">
      <alignment vertical="center"/>
    </xf>
    <xf numFmtId="4" fontId="9" fillId="33" borderId="39" xfId="48" applyNumberFormat="1" applyFont="1" applyFill="1" applyBorder="1" applyAlignment="1">
      <alignment vertical="center"/>
    </xf>
    <xf numFmtId="194" fontId="9" fillId="0" borderId="39" xfId="48" applyNumberFormat="1" applyFont="1" applyFill="1" applyBorder="1" applyAlignment="1">
      <alignment vertical="center"/>
    </xf>
    <xf numFmtId="0" fontId="9" fillId="33" borderId="22" xfId="0" applyFont="1" applyFill="1" applyBorder="1" applyAlignment="1">
      <alignment vertical="center"/>
    </xf>
    <xf numFmtId="9" fontId="9" fillId="33" borderId="0" xfId="0" applyNumberFormat="1" applyFont="1" applyFill="1" applyAlignment="1">
      <alignment vertical="center"/>
    </xf>
    <xf numFmtId="0" fontId="9" fillId="33" borderId="39" xfId="0" applyFont="1" applyFill="1" applyBorder="1" applyAlignment="1">
      <alignment horizontal="center" vertical="center"/>
    </xf>
    <xf numFmtId="194" fontId="9" fillId="0" borderId="39" xfId="48" applyNumberFormat="1" applyFont="1" applyFill="1" applyBorder="1" applyAlignment="1">
      <alignment horizontal="right" vertical="center"/>
    </xf>
    <xf numFmtId="0" fontId="5" fillId="33" borderId="39" xfId="0" applyFont="1" applyFill="1" applyBorder="1" applyAlignment="1" quotePrefix="1">
      <alignment horizontal="center" vertical="center"/>
    </xf>
    <xf numFmtId="200" fontId="9" fillId="33" borderId="0" xfId="0" applyNumberFormat="1" applyFont="1" applyFill="1" applyAlignment="1">
      <alignment vertical="center"/>
    </xf>
    <xf numFmtId="4" fontId="9" fillId="33" borderId="0" xfId="0" applyNumberFormat="1" applyFont="1" applyFill="1" applyAlignment="1">
      <alignment vertical="center"/>
    </xf>
    <xf numFmtId="201" fontId="9" fillId="33" borderId="39" xfId="48" applyNumberFormat="1" applyFont="1" applyFill="1" applyBorder="1" applyAlignment="1">
      <alignment vertical="center"/>
    </xf>
    <xf numFmtId="0" fontId="7" fillId="33" borderId="39" xfId="0" applyFont="1" applyFill="1" applyBorder="1" applyAlignment="1" quotePrefix="1">
      <alignment horizontal="center" vertical="center"/>
    </xf>
    <xf numFmtId="0" fontId="5" fillId="33" borderId="37" xfId="0" applyFont="1" applyFill="1" applyBorder="1" applyAlignment="1">
      <alignment horizontal="center" vertical="center"/>
    </xf>
    <xf numFmtId="0" fontId="5" fillId="33" borderId="37" xfId="0" applyFont="1" applyFill="1" applyBorder="1" applyAlignment="1">
      <alignment vertical="center" wrapText="1"/>
    </xf>
    <xf numFmtId="182" fontId="5" fillId="33" borderId="37" xfId="48" applyNumberFormat="1" applyFont="1" applyFill="1" applyBorder="1" applyAlignment="1">
      <alignment vertical="center"/>
    </xf>
    <xf numFmtId="4" fontId="5" fillId="33" borderId="37" xfId="48" applyNumberFormat="1" applyFont="1" applyFill="1" applyBorder="1" applyAlignment="1">
      <alignment vertical="center"/>
    </xf>
    <xf numFmtId="194" fontId="5" fillId="0" borderId="37" xfId="48" applyNumberFormat="1" applyFont="1" applyFill="1" applyBorder="1" applyAlignment="1">
      <alignment vertical="center"/>
    </xf>
    <xf numFmtId="182" fontId="5" fillId="33" borderId="41" xfId="48" applyNumberFormat="1" applyFont="1" applyFill="1" applyBorder="1" applyAlignment="1">
      <alignment vertical="center"/>
    </xf>
    <xf numFmtId="4" fontId="5" fillId="33" borderId="41" xfId="48" applyNumberFormat="1" applyFont="1" applyFill="1" applyBorder="1" applyAlignment="1">
      <alignment vertical="center"/>
    </xf>
    <xf numFmtId="182" fontId="5" fillId="0" borderId="41" xfId="48" applyNumberFormat="1" applyFont="1" applyFill="1" applyBorder="1" applyAlignment="1">
      <alignment vertical="center"/>
    </xf>
    <xf numFmtId="0" fontId="5" fillId="33" borderId="33" xfId="0" applyFont="1" applyFill="1" applyBorder="1" applyAlignment="1">
      <alignment vertical="center"/>
    </xf>
    <xf numFmtId="0" fontId="9" fillId="33" borderId="0" xfId="0" applyFont="1" applyFill="1" applyAlignment="1">
      <alignment horizontal="left" vertical="center"/>
    </xf>
    <xf numFmtId="0" fontId="9" fillId="33" borderId="0" xfId="0" applyFont="1" applyFill="1" applyAlignment="1">
      <alignment horizontal="center" vertical="center"/>
    </xf>
    <xf numFmtId="171" fontId="0" fillId="0" borderId="0" xfId="43" applyNumberFormat="1" applyFont="1" applyAlignment="1">
      <alignment vertical="center"/>
    </xf>
    <xf numFmtId="171" fontId="0" fillId="0" borderId="0" xfId="43" applyNumberFormat="1" applyFont="1" applyAlignment="1">
      <alignment/>
    </xf>
    <xf numFmtId="0" fontId="202" fillId="43" borderId="0" xfId="0" applyFont="1" applyFill="1" applyAlignment="1">
      <alignment horizontal="center" vertical="center"/>
    </xf>
    <xf numFmtId="0" fontId="178" fillId="44" borderId="0" xfId="0" applyFont="1" applyFill="1" applyBorder="1" applyAlignment="1">
      <alignment horizontal="center" vertical="center"/>
    </xf>
    <xf numFmtId="0" fontId="170" fillId="0" borderId="14" xfId="0" applyFont="1" applyBorder="1" applyAlignment="1">
      <alignment horizontal="center" vertical="center"/>
    </xf>
    <xf numFmtId="0" fontId="170" fillId="0" borderId="33" xfId="0" applyFont="1" applyBorder="1" applyAlignment="1">
      <alignment horizontal="center" vertical="center"/>
    </xf>
    <xf numFmtId="0" fontId="170" fillId="0" borderId="22" xfId="0" applyFont="1" applyBorder="1" applyAlignment="1">
      <alignment horizontal="center" vertical="center"/>
    </xf>
    <xf numFmtId="0" fontId="175" fillId="0" borderId="42" xfId="0" applyFont="1" applyBorder="1" applyAlignment="1">
      <alignment vertical="center" wrapText="1"/>
    </xf>
    <xf numFmtId="0" fontId="175" fillId="0" borderId="30" xfId="0" applyFont="1" applyBorder="1" applyAlignment="1">
      <alignment vertical="center" wrapText="1"/>
    </xf>
    <xf numFmtId="0" fontId="175" fillId="0" borderId="43" xfId="0" applyFont="1" applyBorder="1" applyAlignment="1">
      <alignment vertical="center" wrapText="1"/>
    </xf>
    <xf numFmtId="0" fontId="174" fillId="3" borderId="44" xfId="0" applyFont="1" applyFill="1" applyBorder="1" applyAlignment="1">
      <alignment horizontal="center" vertical="center" wrapText="1"/>
    </xf>
    <xf numFmtId="0" fontId="174" fillId="3" borderId="29" xfId="0" applyFont="1" applyFill="1" applyBorder="1" applyAlignment="1">
      <alignment horizontal="center" vertical="center" wrapText="1"/>
    </xf>
    <xf numFmtId="0" fontId="174" fillId="3" borderId="28" xfId="0" applyFont="1" applyFill="1" applyBorder="1" applyAlignment="1">
      <alignment horizontal="center" vertical="center" wrapText="1"/>
    </xf>
    <xf numFmtId="0" fontId="203" fillId="0" borderId="45" xfId="59" applyFont="1" applyBorder="1" applyAlignment="1">
      <alignment vertical="center"/>
    </xf>
    <xf numFmtId="0" fontId="176" fillId="0" borderId="45" xfId="59" applyFont="1" applyBorder="1" applyAlignment="1">
      <alignment vertical="center"/>
    </xf>
    <xf numFmtId="0" fontId="176" fillId="0" borderId="44" xfId="59" applyFont="1" applyBorder="1" applyAlignment="1">
      <alignment vertical="center" wrapText="1"/>
    </xf>
    <xf numFmtId="0" fontId="176" fillId="0" borderId="29" xfId="59" applyFont="1" applyBorder="1" applyAlignment="1">
      <alignment vertical="center" wrapText="1"/>
    </xf>
    <xf numFmtId="0" fontId="176" fillId="0" borderId="28" xfId="59" applyFont="1" applyBorder="1" applyAlignment="1">
      <alignment vertical="center" wrapText="1"/>
    </xf>
    <xf numFmtId="0" fontId="176" fillId="0" borderId="44" xfId="59" applyFont="1" applyBorder="1" applyAlignment="1">
      <alignment vertical="center"/>
    </xf>
    <xf numFmtId="0" fontId="176" fillId="0" borderId="29" xfId="59" applyFont="1" applyBorder="1" applyAlignment="1">
      <alignment vertical="center"/>
    </xf>
    <xf numFmtId="0" fontId="176" fillId="0" borderId="28" xfId="59" applyFont="1" applyBorder="1" applyAlignment="1">
      <alignment vertical="center"/>
    </xf>
    <xf numFmtId="0" fontId="176" fillId="0" borderId="46" xfId="59" applyFont="1" applyBorder="1" applyAlignment="1">
      <alignment vertical="center"/>
    </xf>
    <xf numFmtId="0" fontId="176" fillId="0" borderId="47" xfId="59" applyFont="1" applyBorder="1" applyAlignment="1">
      <alignment vertical="center"/>
    </xf>
    <xf numFmtId="0" fontId="176" fillId="0" borderId="48" xfId="59" applyFont="1" applyBorder="1" applyAlignment="1">
      <alignment vertical="center"/>
    </xf>
    <xf numFmtId="0" fontId="174" fillId="3" borderId="44" xfId="0" applyFont="1" applyFill="1" applyBorder="1" applyAlignment="1">
      <alignment vertical="center" wrapText="1"/>
    </xf>
    <xf numFmtId="0" fontId="174" fillId="3" borderId="29" xfId="0" applyFont="1" applyFill="1" applyBorder="1" applyAlignment="1">
      <alignment vertical="center" wrapText="1"/>
    </xf>
    <xf numFmtId="0" fontId="174" fillId="3" borderId="28" xfId="0" applyFont="1" applyFill="1" applyBorder="1" applyAlignment="1">
      <alignment vertical="center" wrapText="1"/>
    </xf>
    <xf numFmtId="0" fontId="176" fillId="0" borderId="10" xfId="59" applyFont="1" applyBorder="1" applyAlignment="1">
      <alignment vertical="center"/>
    </xf>
    <xf numFmtId="0" fontId="175" fillId="0" borderId="44" xfId="0" applyFont="1" applyBorder="1" applyAlignment="1">
      <alignment vertical="center" wrapText="1"/>
    </xf>
    <xf numFmtId="0" fontId="175" fillId="0" borderId="28" xfId="0" applyFont="1" applyBorder="1" applyAlignment="1">
      <alignment vertical="center" wrapText="1"/>
    </xf>
    <xf numFmtId="0" fontId="175" fillId="3" borderId="42" xfId="0" applyFont="1" applyFill="1" applyBorder="1" applyAlignment="1">
      <alignment vertical="center" wrapText="1"/>
    </xf>
    <xf numFmtId="0" fontId="175" fillId="3" borderId="30" xfId="0" applyFont="1" applyFill="1" applyBorder="1" applyAlignment="1">
      <alignment vertical="center" wrapText="1"/>
    </xf>
    <xf numFmtId="0" fontId="175" fillId="3" borderId="43" xfId="0" applyFont="1" applyFill="1" applyBorder="1" applyAlignment="1">
      <alignment vertical="center" wrapText="1"/>
    </xf>
    <xf numFmtId="0" fontId="177" fillId="0" borderId="42" xfId="0" applyFont="1" applyBorder="1" applyAlignment="1">
      <alignment vertical="center" wrapText="1"/>
    </xf>
    <xf numFmtId="0" fontId="177" fillId="0" borderId="30" xfId="0" applyFont="1" applyBorder="1" applyAlignment="1">
      <alignment vertical="center" wrapText="1"/>
    </xf>
    <xf numFmtId="0" fontId="177" fillId="0" borderId="43" xfId="0" applyFont="1" applyBorder="1" applyAlignment="1">
      <alignment vertical="center" wrapText="1"/>
    </xf>
    <xf numFmtId="0" fontId="19" fillId="0" borderId="0" xfId="0" applyFont="1" applyFill="1" applyAlignment="1">
      <alignment horizontal="center"/>
    </xf>
    <xf numFmtId="0" fontId="20" fillId="0" borderId="0" xfId="0" applyFont="1" applyFill="1" applyAlignment="1">
      <alignment horizontal="center"/>
    </xf>
    <xf numFmtId="0" fontId="20" fillId="0" borderId="0" xfId="0" applyFont="1" applyAlignment="1">
      <alignment horizontal="center"/>
    </xf>
    <xf numFmtId="0" fontId="5" fillId="0" borderId="0" xfId="0" applyFont="1" applyFill="1" applyAlignment="1">
      <alignment horizontal="left"/>
    </xf>
    <xf numFmtId="0" fontId="5" fillId="0" borderId="0" xfId="0" applyFont="1" applyFill="1" applyAlignment="1">
      <alignment horizontal="center"/>
    </xf>
    <xf numFmtId="0" fontId="204" fillId="0" borderId="0" xfId="0" applyFont="1" applyAlignment="1">
      <alignment horizontal="center"/>
    </xf>
    <xf numFmtId="0" fontId="154" fillId="0" borderId="0" xfId="0" applyFont="1" applyAlignment="1">
      <alignment horizontal="center"/>
    </xf>
    <xf numFmtId="0" fontId="154" fillId="0" borderId="0" xfId="0" applyFont="1" applyAlignment="1">
      <alignment horizontal="center" vertical="center"/>
    </xf>
    <xf numFmtId="0" fontId="3" fillId="0" borderId="12" xfId="0" applyFont="1" applyBorder="1" applyAlignment="1" quotePrefix="1">
      <alignment vertical="center" wrapText="1"/>
    </xf>
    <xf numFmtId="0" fontId="139" fillId="0" borderId="12" xfId="0" applyFont="1" applyBorder="1" applyAlignment="1">
      <alignment vertical="center" wrapText="1"/>
    </xf>
    <xf numFmtId="0" fontId="139" fillId="0" borderId="13" xfId="0" applyFont="1" applyBorder="1" applyAlignment="1">
      <alignment vertical="center" wrapText="1"/>
    </xf>
    <xf numFmtId="0" fontId="187" fillId="0" borderId="0" xfId="0" applyFont="1" applyAlignment="1">
      <alignment horizontal="center"/>
    </xf>
    <xf numFmtId="180" fontId="187" fillId="0" borderId="0" xfId="43" applyNumberFormat="1" applyFont="1" applyAlignment="1">
      <alignment horizontal="center"/>
    </xf>
    <xf numFmtId="180" fontId="205" fillId="0" borderId="0" xfId="43" applyNumberFormat="1" applyFont="1" applyAlignment="1">
      <alignment horizontal="center"/>
    </xf>
    <xf numFmtId="180" fontId="0" fillId="0" borderId="0" xfId="43" applyNumberFormat="1" applyFont="1" applyAlignment="1">
      <alignment horizontal="center" wrapText="1"/>
    </xf>
    <xf numFmtId="180" fontId="0" fillId="0" borderId="0" xfId="43" applyNumberFormat="1" applyFont="1" applyAlignment="1">
      <alignment horizontal="center"/>
    </xf>
    <xf numFmtId="180" fontId="154" fillId="0" borderId="0" xfId="43" applyNumberFormat="1" applyFont="1" applyAlignment="1">
      <alignment horizontal="center"/>
    </xf>
    <xf numFmtId="180" fontId="185" fillId="0" borderId="0" xfId="43" applyNumberFormat="1" applyFont="1" applyAlignment="1">
      <alignment horizontal="center"/>
    </xf>
    <xf numFmtId="180" fontId="187" fillId="0" borderId="0" xfId="43" applyNumberFormat="1" applyFont="1" applyAlignment="1">
      <alignment horizontal="center" vertical="center"/>
    </xf>
    <xf numFmtId="0" fontId="204" fillId="0" borderId="0" xfId="0" applyFont="1" applyAlignment="1">
      <alignment horizontal="center" vertical="center"/>
    </xf>
    <xf numFmtId="180" fontId="162" fillId="5" borderId="10" xfId="43" applyNumberFormat="1" applyFont="1" applyFill="1" applyBorder="1" applyAlignment="1">
      <alignment horizontal="center" vertical="center" wrapText="1"/>
    </xf>
    <xf numFmtId="180" fontId="139" fillId="5" borderId="10" xfId="43" applyNumberFormat="1" applyFont="1" applyFill="1" applyBorder="1" applyAlignment="1">
      <alignment horizontal="center" vertical="center" wrapText="1"/>
    </xf>
    <xf numFmtId="0" fontId="139" fillId="5" borderId="10" xfId="0" applyFont="1" applyFill="1" applyBorder="1" applyAlignment="1">
      <alignment horizontal="center" vertical="center" wrapText="1"/>
    </xf>
    <xf numFmtId="180" fontId="185" fillId="0" borderId="0" xfId="43" applyNumberFormat="1" applyFont="1" applyAlignment="1">
      <alignment horizontal="center" vertical="center"/>
    </xf>
    <xf numFmtId="0" fontId="187" fillId="0" borderId="0" xfId="0" applyFont="1" applyAlignment="1">
      <alignment horizontal="center" vertical="center"/>
    </xf>
    <xf numFmtId="180" fontId="162" fillId="5" borderId="49" xfId="43" applyNumberFormat="1" applyFont="1" applyFill="1" applyBorder="1" applyAlignment="1">
      <alignment horizontal="center" vertical="center" wrapText="1"/>
    </xf>
    <xf numFmtId="180" fontId="162" fillId="5" borderId="50" xfId="43" applyNumberFormat="1" applyFont="1" applyFill="1" applyBorder="1" applyAlignment="1">
      <alignment horizontal="center" vertical="center" wrapText="1"/>
    </xf>
    <xf numFmtId="180" fontId="162" fillId="5" borderId="45" xfId="43" applyNumberFormat="1" applyFont="1" applyFill="1" applyBorder="1" applyAlignment="1">
      <alignment horizontal="center" vertical="center" wrapText="1"/>
    </xf>
    <xf numFmtId="0" fontId="154" fillId="0" borderId="12" xfId="0" applyFont="1" applyBorder="1" applyAlignment="1">
      <alignment horizontal="center" vertical="center" wrapText="1"/>
    </xf>
    <xf numFmtId="0" fontId="140" fillId="5" borderId="10" xfId="0" applyFont="1" applyFill="1" applyBorder="1" applyAlignment="1">
      <alignment horizontal="center" vertical="center" wrapText="1"/>
    </xf>
    <xf numFmtId="180" fontId="162" fillId="5" borderId="51" xfId="43" applyNumberFormat="1" applyFont="1" applyFill="1" applyBorder="1" applyAlignment="1">
      <alignment horizontal="center" vertical="center" wrapText="1"/>
    </xf>
    <xf numFmtId="180" fontId="162" fillId="5" borderId="52" xfId="43" applyNumberFormat="1" applyFont="1" applyFill="1" applyBorder="1" applyAlignment="1">
      <alignment horizontal="center" vertical="center" wrapText="1"/>
    </xf>
    <xf numFmtId="180" fontId="162" fillId="5" borderId="53" xfId="43" applyNumberFormat="1" applyFont="1" applyFill="1" applyBorder="1" applyAlignment="1">
      <alignment horizontal="center" vertical="center" wrapText="1"/>
    </xf>
    <xf numFmtId="180" fontId="162" fillId="5" borderId="54" xfId="43" applyNumberFormat="1" applyFont="1" applyFill="1" applyBorder="1" applyAlignment="1">
      <alignment horizontal="center" vertical="center" wrapText="1"/>
    </xf>
    <xf numFmtId="0" fontId="151" fillId="0" borderId="14" xfId="0" applyFont="1" applyBorder="1" applyAlignment="1">
      <alignment horizontal="center" vertical="center" wrapText="1"/>
    </xf>
    <xf numFmtId="0" fontId="151" fillId="0" borderId="11" xfId="0" applyFont="1" applyBorder="1" applyAlignment="1">
      <alignment horizontal="center" vertical="center" wrapText="1"/>
    </xf>
    <xf numFmtId="0" fontId="151" fillId="0" borderId="14" xfId="0" applyFont="1" applyBorder="1" applyAlignment="1">
      <alignment horizontal="center" vertical="center"/>
    </xf>
    <xf numFmtId="0" fontId="151" fillId="0" borderId="11" xfId="0" applyFont="1" applyBorder="1" applyAlignment="1">
      <alignment horizontal="center" vertical="center"/>
    </xf>
    <xf numFmtId="0" fontId="151" fillId="0" borderId="51" xfId="0" applyFont="1" applyBorder="1" applyAlignment="1">
      <alignment horizontal="center" vertical="center" wrapText="1"/>
    </xf>
    <xf numFmtId="0" fontId="151" fillId="0" borderId="55" xfId="0" applyFont="1" applyBorder="1" applyAlignment="1">
      <alignment horizontal="center" vertical="center" wrapText="1"/>
    </xf>
    <xf numFmtId="0" fontId="151" fillId="0" borderId="56" xfId="0" applyFont="1" applyBorder="1" applyAlignment="1">
      <alignment horizontal="center" vertical="center" wrapText="1"/>
    </xf>
    <xf numFmtId="0" fontId="151" fillId="0" borderId="57" xfId="0" applyFont="1" applyBorder="1" applyAlignment="1">
      <alignment horizontal="center" vertical="center" wrapText="1"/>
    </xf>
    <xf numFmtId="0" fontId="0" fillId="0" borderId="10" xfId="0" applyBorder="1" applyAlignment="1">
      <alignment horizontal="center" vertical="center" wrapText="1"/>
    </xf>
    <xf numFmtId="0" fontId="139" fillId="0" borderId="0" xfId="0" applyFont="1" applyAlignment="1">
      <alignment horizontal="center"/>
    </xf>
    <xf numFmtId="0" fontId="155" fillId="0" borderId="12" xfId="0" applyFont="1" applyBorder="1" applyAlignment="1">
      <alignment vertical="center" wrapText="1"/>
    </xf>
    <xf numFmtId="0" fontId="150" fillId="0" borderId="0" xfId="66" applyFont="1" applyAlignment="1">
      <alignment horizontal="center" vertical="center" wrapText="1"/>
      <protection/>
    </xf>
    <xf numFmtId="0" fontId="14" fillId="0" borderId="0" xfId="0" applyFont="1" applyAlignment="1">
      <alignment horizontal="center"/>
    </xf>
    <xf numFmtId="0" fontId="150" fillId="0" borderId="49" xfId="66" applyFont="1" applyBorder="1" applyAlignment="1">
      <alignment horizontal="center" vertical="center" wrapText="1"/>
      <protection/>
    </xf>
    <xf numFmtId="0" fontId="150" fillId="0" borderId="50" xfId="66" applyFont="1" applyBorder="1" applyAlignment="1">
      <alignment horizontal="center" vertical="center" wrapText="1"/>
      <protection/>
    </xf>
    <xf numFmtId="0" fontId="150" fillId="0" borderId="45" xfId="66" applyFont="1" applyBorder="1" applyAlignment="1">
      <alignment horizontal="center" vertical="center" wrapText="1"/>
      <protection/>
    </xf>
    <xf numFmtId="0" fontId="150" fillId="0" borderId="58" xfId="66" applyFont="1" applyBorder="1" applyAlignment="1">
      <alignment horizontal="center" vertical="center" wrapText="1"/>
      <protection/>
    </xf>
    <xf numFmtId="0" fontId="150" fillId="0" borderId="59" xfId="66" applyFont="1" applyBorder="1" applyAlignment="1">
      <alignment horizontal="center" vertical="center" wrapText="1"/>
      <protection/>
    </xf>
    <xf numFmtId="0" fontId="150" fillId="0" borderId="60" xfId="66" applyFont="1" applyBorder="1" applyAlignment="1">
      <alignment horizontal="center" vertical="center" wrapText="1"/>
      <protection/>
    </xf>
    <xf numFmtId="0" fontId="150" fillId="0" borderId="14" xfId="66" applyFont="1" applyBorder="1" applyAlignment="1">
      <alignment horizontal="center" vertical="center" wrapText="1"/>
      <protection/>
    </xf>
    <xf numFmtId="0" fontId="150" fillId="0" borderId="22" xfId="66" applyFont="1" applyBorder="1" applyAlignment="1">
      <alignment horizontal="center" vertical="center" wrapText="1"/>
      <protection/>
    </xf>
    <xf numFmtId="0" fontId="150" fillId="0" borderId="33" xfId="66" applyFont="1" applyBorder="1" applyAlignment="1">
      <alignment horizontal="center" vertical="center" wrapText="1"/>
      <protection/>
    </xf>
    <xf numFmtId="0" fontId="14" fillId="0" borderId="49" xfId="66" applyFont="1" applyBorder="1" applyAlignment="1">
      <alignment horizontal="center" vertical="center" wrapText="1"/>
      <protection/>
    </xf>
    <xf numFmtId="0" fontId="14" fillId="0" borderId="45" xfId="66" applyFont="1" applyBorder="1" applyAlignment="1">
      <alignment horizontal="center" vertical="center" wrapText="1"/>
      <protection/>
    </xf>
    <xf numFmtId="0" fontId="14" fillId="0" borderId="14" xfId="66" applyFont="1" applyBorder="1" applyAlignment="1">
      <alignment horizontal="center" vertical="center" wrapText="1"/>
      <protection/>
    </xf>
    <xf numFmtId="0" fontId="14" fillId="0" borderId="33" xfId="66" applyFont="1" applyBorder="1" applyAlignment="1">
      <alignment horizontal="center" vertical="center" wrapText="1"/>
      <protection/>
    </xf>
    <xf numFmtId="0" fontId="150" fillId="0" borderId="14" xfId="66" applyFont="1" applyBorder="1" applyAlignment="1">
      <alignment horizontal="center" vertical="center"/>
      <protection/>
    </xf>
    <xf numFmtId="0" fontId="150" fillId="0" borderId="22" xfId="66" applyFont="1" applyBorder="1" applyAlignment="1">
      <alignment horizontal="center" vertical="center"/>
      <protection/>
    </xf>
    <xf numFmtId="0" fontId="150" fillId="0" borderId="33" xfId="66" applyFont="1" applyBorder="1" applyAlignment="1">
      <alignment horizontal="center" vertical="center"/>
      <protection/>
    </xf>
    <xf numFmtId="0" fontId="14" fillId="0" borderId="22" xfId="66" applyFont="1" applyBorder="1" applyAlignment="1">
      <alignment horizontal="center" vertical="center" wrapText="1"/>
      <protection/>
    </xf>
    <xf numFmtId="0" fontId="206" fillId="0" borderId="0" xfId="0" applyFont="1" applyAlignment="1">
      <alignment horizontal="center"/>
    </xf>
    <xf numFmtId="180" fontId="195" fillId="0" borderId="0" xfId="43" applyNumberFormat="1" applyFont="1" applyAlignment="1">
      <alignment horizontal="center"/>
    </xf>
    <xf numFmtId="0" fontId="12" fillId="0" borderId="0" xfId="65" applyNumberFormat="1" applyFont="1" applyFill="1" applyAlignment="1">
      <alignment horizontal="center" vertical="center" wrapText="1"/>
      <protection/>
    </xf>
    <xf numFmtId="0" fontId="13" fillId="0" borderId="0" xfId="65" applyNumberFormat="1" applyFont="1" applyFill="1" applyAlignment="1">
      <alignment horizontal="center" vertical="center" wrapText="1"/>
      <protection/>
    </xf>
    <xf numFmtId="0" fontId="5" fillId="0" borderId="0" xfId="0" applyFont="1" applyAlignment="1">
      <alignment horizontal="center"/>
    </xf>
    <xf numFmtId="0" fontId="180" fillId="0" borderId="0" xfId="0" applyFont="1" applyAlignment="1">
      <alignment horizontal="center" vertical="center" wrapText="1"/>
    </xf>
    <xf numFmtId="0" fontId="20" fillId="0" borderId="0" xfId="0" applyFont="1" applyAlignment="1">
      <alignment horizontal="center"/>
    </xf>
    <xf numFmtId="0" fontId="15" fillId="0" borderId="0" xfId="0" applyFont="1" applyAlignment="1">
      <alignment horizontal="center" vertical="center"/>
    </xf>
    <xf numFmtId="0" fontId="20" fillId="0" borderId="61" xfId="0" applyFont="1" applyBorder="1" applyAlignment="1">
      <alignment horizontal="center" vertical="center" wrapText="1"/>
    </xf>
    <xf numFmtId="0" fontId="20" fillId="0" borderId="62" xfId="0" applyFont="1" applyBorder="1" applyAlignment="1">
      <alignment horizontal="center" vertical="center" wrapText="1"/>
    </xf>
    <xf numFmtId="3" fontId="162" fillId="5" borderId="63" xfId="43" applyNumberFormat="1" applyFont="1" applyFill="1" applyBorder="1" applyAlignment="1">
      <alignment horizontal="center" vertical="center" wrapText="1"/>
    </xf>
    <xf numFmtId="3" fontId="162" fillId="5" borderId="0" xfId="43" applyNumberFormat="1" applyFont="1" applyFill="1" applyBorder="1" applyAlignment="1">
      <alignment horizontal="center" vertical="center" wrapText="1"/>
    </xf>
    <xf numFmtId="3" fontId="135" fillId="0" borderId="63" xfId="0" applyNumberFormat="1" applyFont="1" applyBorder="1" applyAlignment="1">
      <alignment horizontal="center"/>
    </xf>
    <xf numFmtId="3" fontId="135" fillId="0" borderId="0" xfId="0" applyNumberFormat="1" applyFont="1" applyAlignment="1">
      <alignment horizontal="center"/>
    </xf>
    <xf numFmtId="0" fontId="162" fillId="0" borderId="0" xfId="0" applyFont="1" applyAlignment="1">
      <alignment horizontal="center" vertical="center"/>
    </xf>
    <xf numFmtId="0" fontId="140" fillId="0" borderId="12" xfId="0" applyFont="1" applyBorder="1" applyAlignment="1">
      <alignment horizontal="center" vertical="center" wrapText="1"/>
    </xf>
    <xf numFmtId="0" fontId="136" fillId="0" borderId="0" xfId="0" applyFont="1" applyAlignment="1">
      <alignment horizontal="center" vertical="center"/>
    </xf>
    <xf numFmtId="0" fontId="138" fillId="0" borderId="0" xfId="0" applyFont="1" applyAlignment="1">
      <alignment horizontal="center" vertical="center"/>
    </xf>
    <xf numFmtId="180" fontId="151" fillId="0" borderId="0" xfId="43" applyNumberFormat="1" applyFont="1" applyAlignment="1">
      <alignment horizontal="center"/>
    </xf>
    <xf numFmtId="180" fontId="207" fillId="0" borderId="0" xfId="43" applyNumberFormat="1" applyFont="1" applyAlignment="1">
      <alignment horizontal="center"/>
    </xf>
    <xf numFmtId="182" fontId="5" fillId="33" borderId="10" xfId="48" applyNumberFormat="1" applyFont="1" applyFill="1" applyBorder="1" applyAlignment="1">
      <alignment horizontal="center" vertical="center" wrapText="1"/>
    </xf>
    <xf numFmtId="0" fontId="5" fillId="33" borderId="41" xfId="0" applyFont="1" applyFill="1" applyBorder="1" applyAlignment="1">
      <alignment horizontal="center" vertical="center"/>
    </xf>
    <xf numFmtId="0" fontId="5" fillId="33" borderId="64" xfId="0" applyFont="1" applyFill="1" applyBorder="1" applyAlignment="1">
      <alignment horizontal="left" vertical="center" wrapText="1"/>
    </xf>
    <xf numFmtId="0" fontId="5" fillId="33" borderId="0" xfId="0" applyFont="1" applyFill="1" applyAlignment="1">
      <alignment horizontal="left"/>
    </xf>
    <xf numFmtId="0" fontId="14" fillId="33" borderId="0" xfId="0" applyFont="1" applyFill="1" applyAlignment="1">
      <alignment horizontal="center" vertical="center" wrapText="1"/>
    </xf>
    <xf numFmtId="49" fontId="7" fillId="33" borderId="0" xfId="45" applyNumberFormat="1" applyFont="1" applyFill="1" applyAlignment="1">
      <alignment horizontal="center" vertical="center"/>
    </xf>
    <xf numFmtId="0" fontId="9" fillId="33" borderId="14" xfId="0" applyFont="1" applyFill="1" applyBorder="1" applyAlignment="1">
      <alignment/>
    </xf>
    <xf numFmtId="0" fontId="9" fillId="33" borderId="22" xfId="0" applyFont="1" applyFill="1" applyBorder="1" applyAlignment="1">
      <alignment/>
    </xf>
    <xf numFmtId="0" fontId="9" fillId="33" borderId="33" xfId="0" applyFont="1" applyFill="1" applyBorder="1" applyAlignment="1">
      <alignment/>
    </xf>
    <xf numFmtId="0" fontId="5" fillId="33" borderId="10" xfId="0" applyFont="1" applyFill="1" applyBorder="1" applyAlignment="1">
      <alignment horizontal="center" vertical="center"/>
    </xf>
    <xf numFmtId="182" fontId="5" fillId="33" borderId="10" xfId="48" applyNumberFormat="1" applyFont="1" applyFill="1" applyBorder="1" applyAlignment="1" quotePrefix="1">
      <alignment horizontal="center" vertical="center" wrapText="1"/>
    </xf>
    <xf numFmtId="0" fontId="9" fillId="33" borderId="14" xfId="0" applyFont="1" applyFill="1" applyBorder="1" applyAlignment="1">
      <alignment horizontal="center" vertical="center"/>
    </xf>
    <xf numFmtId="0" fontId="9" fillId="33" borderId="22" xfId="0" applyFont="1" applyFill="1" applyBorder="1" applyAlignment="1">
      <alignment horizontal="center" vertical="center"/>
    </xf>
    <xf numFmtId="0" fontId="9" fillId="33" borderId="33" xfId="0" applyFont="1" applyFill="1" applyBorder="1" applyAlignment="1">
      <alignment horizontal="center" vertical="center"/>
    </xf>
    <xf numFmtId="0" fontId="14" fillId="0" borderId="0" xfId="0" applyFont="1" applyAlignment="1">
      <alignment horizontal="center" vertical="center"/>
    </xf>
    <xf numFmtId="180" fontId="20" fillId="5" borderId="10" xfId="43" applyNumberFormat="1" applyFont="1" applyFill="1" applyBorder="1" applyAlignment="1">
      <alignment horizontal="center" vertical="center" wrapText="1"/>
    </xf>
    <xf numFmtId="3" fontId="11" fillId="42" borderId="0" xfId="0" applyNumberFormat="1" applyFont="1" applyFill="1" applyAlignment="1">
      <alignment horizontal="center" vertical="center"/>
    </xf>
    <xf numFmtId="180" fontId="15" fillId="0" borderId="0" xfId="43" applyNumberFormat="1" applyFont="1" applyAlignment="1">
      <alignment horizontal="center" vertical="center"/>
    </xf>
    <xf numFmtId="4" fontId="11" fillId="0" borderId="21" xfId="0" applyNumberFormat="1" applyFont="1" applyBorder="1" applyAlignment="1">
      <alignment horizontal="right" vertical="center" wrapText="1"/>
    </xf>
    <xf numFmtId="4" fontId="11" fillId="0" borderId="22" xfId="0" applyNumberFormat="1" applyFont="1" applyBorder="1" applyAlignment="1">
      <alignment horizontal="right" vertical="center" wrapText="1"/>
    </xf>
    <xf numFmtId="180" fontId="20" fillId="0" borderId="0" xfId="43" applyNumberFormat="1" applyFont="1" applyAlignment="1">
      <alignment horizontal="center" vertical="center"/>
    </xf>
    <xf numFmtId="0" fontId="20" fillId="5" borderId="10" xfId="0" applyFont="1" applyFill="1" applyBorder="1" applyAlignment="1">
      <alignment horizontal="center" vertical="center" wrapText="1"/>
    </xf>
    <xf numFmtId="0" fontId="139" fillId="0" borderId="0" xfId="0" applyFont="1" applyAlignment="1">
      <alignment horizontal="center" vertical="center"/>
    </xf>
    <xf numFmtId="0" fontId="162" fillId="33" borderId="10" xfId="0" applyFont="1" applyFill="1" applyBorder="1" applyAlignment="1">
      <alignment horizontal="center" vertical="center" wrapText="1"/>
    </xf>
    <xf numFmtId="180" fontId="162" fillId="33" borderId="49" xfId="43" applyNumberFormat="1" applyFont="1" applyFill="1" applyBorder="1" applyAlignment="1">
      <alignment horizontal="center" vertical="center" wrapText="1"/>
    </xf>
    <xf numFmtId="180" fontId="162" fillId="33" borderId="45" xfId="43" applyNumberFormat="1" applyFont="1" applyFill="1" applyBorder="1" applyAlignment="1">
      <alignment horizontal="center" vertical="center" wrapText="1"/>
    </xf>
    <xf numFmtId="0" fontId="162" fillId="33" borderId="14" xfId="0" applyFont="1" applyFill="1" applyBorder="1" applyAlignment="1">
      <alignment horizontal="center" vertical="center" wrapText="1"/>
    </xf>
    <xf numFmtId="0" fontId="162" fillId="33" borderId="33" xfId="0" applyFont="1" applyFill="1" applyBorder="1" applyAlignment="1">
      <alignment horizontal="center" vertical="center" wrapText="1"/>
    </xf>
    <xf numFmtId="180" fontId="162" fillId="33" borderId="50" xfId="43" applyNumberFormat="1" applyFont="1" applyFill="1" applyBorder="1" applyAlignment="1">
      <alignment horizontal="center" vertical="center" wrapText="1"/>
    </xf>
    <xf numFmtId="180" fontId="162" fillId="33" borderId="10" xfId="43" applyNumberFormat="1" applyFont="1" applyFill="1" applyBorder="1" applyAlignment="1">
      <alignment horizontal="center" vertical="center" wrapText="1"/>
    </xf>
    <xf numFmtId="191" fontId="5" fillId="0" borderId="14" xfId="0" applyNumberFormat="1" applyFont="1" applyBorder="1" applyAlignment="1">
      <alignment horizontal="center" vertical="center" wrapText="1"/>
    </xf>
    <xf numFmtId="191" fontId="5" fillId="0" borderId="33" xfId="0" applyNumberFormat="1" applyFont="1" applyBorder="1" applyAlignment="1">
      <alignment horizontal="center" vertical="center" wrapText="1"/>
    </xf>
    <xf numFmtId="0" fontId="5" fillId="0" borderId="14" xfId="0" applyFont="1" applyBorder="1" applyAlignment="1">
      <alignment horizontal="center" vertical="center" wrapText="1"/>
    </xf>
    <xf numFmtId="0" fontId="5" fillId="0" borderId="33" xfId="0" applyFont="1" applyBorder="1" applyAlignment="1">
      <alignment horizontal="center" vertical="center" wrapText="1"/>
    </xf>
    <xf numFmtId="3" fontId="199" fillId="0" borderId="21" xfId="0" applyNumberFormat="1" applyFont="1" applyBorder="1" applyAlignment="1">
      <alignment horizontal="center" vertical="center"/>
    </xf>
    <xf numFmtId="3" fontId="199" fillId="0" borderId="11" xfId="0" applyNumberFormat="1" applyFont="1" applyBorder="1" applyAlignment="1">
      <alignment horizontal="center" vertical="center"/>
    </xf>
    <xf numFmtId="0" fontId="44" fillId="0" borderId="0" xfId="0" applyFont="1" applyAlignment="1">
      <alignment horizontal="center"/>
    </xf>
    <xf numFmtId="0" fontId="13" fillId="0" borderId="0" xfId="0" applyFont="1" applyAlignment="1">
      <alignment horizontal="center" vertical="center" wrapText="1"/>
    </xf>
    <xf numFmtId="182" fontId="13" fillId="0" borderId="0" xfId="0" applyNumberFormat="1" applyFont="1" applyAlignment="1">
      <alignment horizontal="center" vertical="center"/>
    </xf>
    <xf numFmtId="0" fontId="7" fillId="0" borderId="0" xfId="0" applyFont="1" applyAlignment="1">
      <alignment horizontal="center" vertical="center"/>
    </xf>
    <xf numFmtId="0" fontId="5" fillId="0" borderId="10" xfId="0" applyFont="1" applyBorder="1" applyAlignment="1">
      <alignment horizontal="center" vertical="center" wrapText="1"/>
    </xf>
    <xf numFmtId="0" fontId="154" fillId="0" borderId="0" xfId="0" applyFont="1" applyAlignment="1">
      <alignment horizontal="center" vertical="center" wrapText="1"/>
    </xf>
    <xf numFmtId="0" fontId="139" fillId="0" borderId="0" xfId="0" applyFont="1" applyAlignment="1">
      <alignment horizontal="center" vertical="center" wrapText="1"/>
    </xf>
    <xf numFmtId="0" fontId="163" fillId="0" borderId="0" xfId="0" applyFont="1" applyAlignment="1">
      <alignment horizontal="center"/>
    </xf>
    <xf numFmtId="0" fontId="138" fillId="0" borderId="0" xfId="0" applyFont="1" applyAlignment="1">
      <alignment horizontal="center" vertical="center" wrapText="1"/>
    </xf>
    <xf numFmtId="0" fontId="136" fillId="0" borderId="0" xfId="0" applyFont="1" applyAlignment="1">
      <alignment horizontal="center" vertical="center" wrapText="1"/>
    </xf>
  </cellXfs>
  <cellStyles count="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AutoFormat-Optionen" xfId="39"/>
    <cellStyle name="Bad" xfId="40"/>
    <cellStyle name="Calculation" xfId="41"/>
    <cellStyle name="Check Cell" xfId="42"/>
    <cellStyle name="Comma" xfId="43"/>
    <cellStyle name="Comma [0]" xfId="44"/>
    <cellStyle name="Comma 14" xfId="45"/>
    <cellStyle name="Comma 2" xfId="46"/>
    <cellStyle name="Comma 2 2" xfId="47"/>
    <cellStyle name="Comma 22 3" xfId="48"/>
    <cellStyle name="Comma 3" xfId="49"/>
    <cellStyle name="Currency" xfId="50"/>
    <cellStyle name="Currency [0]" xfId="51"/>
    <cellStyle name="Explanatory Text" xfId="52"/>
    <cellStyle name="Followed Hyperlink" xfId="53"/>
    <cellStyle name="Good" xfId="54"/>
    <cellStyle name="Heading 1" xfId="55"/>
    <cellStyle name="Heading 2" xfId="56"/>
    <cellStyle name="Heading 3" xfId="57"/>
    <cellStyle name="Heading 4" xfId="58"/>
    <cellStyle name="Hyperlink" xfId="59"/>
    <cellStyle name="Input" xfId="60"/>
    <cellStyle name="Linked Cell" xfId="61"/>
    <cellStyle name="Neutral" xfId="62"/>
    <cellStyle name="Normal 2" xfId="63"/>
    <cellStyle name="Normal 3" xfId="64"/>
    <cellStyle name="Normal 4" xfId="65"/>
    <cellStyle name="Normal 5" xfId="66"/>
    <cellStyle name="Normal 5 2" xfId="67"/>
    <cellStyle name="Normal_Bieu mau (CV )" xfId="68"/>
    <cellStyle name="Note" xfId="69"/>
    <cellStyle name="Output" xfId="70"/>
    <cellStyle name="Percent" xfId="71"/>
    <cellStyle name="Title" xfId="72"/>
    <cellStyle name="Total" xfId="73"/>
    <cellStyle name="Warning Text"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drawings/_rels/drawing10.xml.rels><?xml version="1.0" encoding="utf-8" standalone="yes"?><Relationships xmlns="http://schemas.openxmlformats.org/package/2006/relationships"><Relationship Id="rId1" Type="http://schemas.openxmlformats.org/officeDocument/2006/relationships/hyperlink" Target="#Phuluc1!A1" /><Relationship Id="rId2" Type="http://schemas.openxmlformats.org/officeDocument/2006/relationships/hyperlink" Target="#Phuluc1!A1" /></Relationships>
</file>

<file path=xl/drawings/_rels/drawing11.xml.rels><?xml version="1.0" encoding="utf-8" standalone="yes"?><Relationships xmlns="http://schemas.openxmlformats.org/package/2006/relationships"><Relationship Id="rId1" Type="http://schemas.openxmlformats.org/officeDocument/2006/relationships/hyperlink" Target="#Phuluc1!A1" /><Relationship Id="rId2" Type="http://schemas.openxmlformats.org/officeDocument/2006/relationships/hyperlink" Target="#Phuluc1!A1" /><Relationship Id="rId3" Type="http://schemas.openxmlformats.org/officeDocument/2006/relationships/hyperlink" Target="#Phuluc1!A1" /><Relationship Id="rId4" Type="http://schemas.openxmlformats.org/officeDocument/2006/relationships/hyperlink" Target="#Phuluc1!A1" /></Relationships>
</file>

<file path=xl/drawings/_rels/drawing12.xml.rels><?xml version="1.0" encoding="utf-8" standalone="yes"?><Relationships xmlns="http://schemas.openxmlformats.org/package/2006/relationships"><Relationship Id="rId1" Type="http://schemas.openxmlformats.org/officeDocument/2006/relationships/hyperlink" Target="#Phuluc1!A1" /><Relationship Id="rId2" Type="http://schemas.openxmlformats.org/officeDocument/2006/relationships/hyperlink" Target="#Phuluc1!A1" /></Relationships>
</file>

<file path=xl/drawings/_rels/drawing13.xml.rels><?xml version="1.0" encoding="utf-8" standalone="yes"?><Relationships xmlns="http://schemas.openxmlformats.org/package/2006/relationships"><Relationship Id="rId1" Type="http://schemas.openxmlformats.org/officeDocument/2006/relationships/hyperlink" Target="#Phuluc1!A1" /></Relationships>
</file>

<file path=xl/drawings/_rels/drawing14.xml.rels><?xml version="1.0" encoding="utf-8" standalone="yes"?><Relationships xmlns="http://schemas.openxmlformats.org/package/2006/relationships"><Relationship Id="rId1" Type="http://schemas.openxmlformats.org/officeDocument/2006/relationships/hyperlink" Target="#Phuluc1!A1" /></Relationships>
</file>

<file path=xl/drawings/_rels/drawing2.xml.rels><?xml version="1.0" encoding="utf-8" standalone="yes"?><Relationships xmlns="http://schemas.openxmlformats.org/package/2006/relationships"><Relationship Id="rId1" Type="http://schemas.openxmlformats.org/officeDocument/2006/relationships/hyperlink" Target="#Phuluc1!A1" /></Relationships>
</file>

<file path=xl/drawings/_rels/drawing3.xml.rels><?xml version="1.0" encoding="utf-8" standalone="yes"?><Relationships xmlns="http://schemas.openxmlformats.org/package/2006/relationships"><Relationship Id="rId1" Type="http://schemas.openxmlformats.org/officeDocument/2006/relationships/hyperlink" Target="#Phuluc1!A1" /></Relationships>
</file>

<file path=xl/drawings/_rels/drawing4.xml.rels><?xml version="1.0" encoding="utf-8" standalone="yes"?><Relationships xmlns="http://schemas.openxmlformats.org/package/2006/relationships"><Relationship Id="rId1" Type="http://schemas.openxmlformats.org/officeDocument/2006/relationships/hyperlink" Target="#Phuluc1!A1" /></Relationships>
</file>

<file path=xl/drawings/_rels/drawing5.xml.rels><?xml version="1.0" encoding="utf-8" standalone="yes"?><Relationships xmlns="http://schemas.openxmlformats.org/package/2006/relationships"><Relationship Id="rId1" Type="http://schemas.openxmlformats.org/officeDocument/2006/relationships/hyperlink" Target="#Phuluc1!A1" /></Relationships>
</file>

<file path=xl/drawings/_rels/drawing6.xml.rels><?xml version="1.0" encoding="utf-8" standalone="yes"?><Relationships xmlns="http://schemas.openxmlformats.org/package/2006/relationships"><Relationship Id="rId1" Type="http://schemas.openxmlformats.org/officeDocument/2006/relationships/hyperlink" Target="#Phuluc1!A1" /></Relationships>
</file>

<file path=xl/drawings/_rels/drawing7.xml.rels><?xml version="1.0" encoding="utf-8" standalone="yes"?><Relationships xmlns="http://schemas.openxmlformats.org/package/2006/relationships"><Relationship Id="rId1" Type="http://schemas.openxmlformats.org/officeDocument/2006/relationships/hyperlink" Target="#Phuluc1!A1" /><Relationship Id="rId2" Type="http://schemas.openxmlformats.org/officeDocument/2006/relationships/hyperlink" Target="#Phuluc1!A1" /><Relationship Id="rId3" Type="http://schemas.openxmlformats.org/officeDocument/2006/relationships/hyperlink" Target="#Phuluc1!A1" /><Relationship Id="rId4" Type="http://schemas.openxmlformats.org/officeDocument/2006/relationships/hyperlink" Target="#Phuluc1!A1" /><Relationship Id="rId5" Type="http://schemas.openxmlformats.org/officeDocument/2006/relationships/hyperlink" Target="#Phuluc1!A1" /><Relationship Id="rId6" Type="http://schemas.openxmlformats.org/officeDocument/2006/relationships/hyperlink" Target="#Phuluc1!A1" /><Relationship Id="rId7" Type="http://schemas.openxmlformats.org/officeDocument/2006/relationships/hyperlink" Target="#Phuluc1!A1" /><Relationship Id="rId8" Type="http://schemas.openxmlformats.org/officeDocument/2006/relationships/hyperlink" Target="#Phuluc1!A1" /><Relationship Id="rId9" Type="http://schemas.openxmlformats.org/officeDocument/2006/relationships/hyperlink" Target="#Phuluc1!A1" /><Relationship Id="rId10" Type="http://schemas.openxmlformats.org/officeDocument/2006/relationships/hyperlink" Target="#Phuluc1!A1" /><Relationship Id="rId11" Type="http://schemas.openxmlformats.org/officeDocument/2006/relationships/hyperlink" Target="#Phuluc1!A1" /><Relationship Id="rId12" Type="http://schemas.openxmlformats.org/officeDocument/2006/relationships/hyperlink" Target="#Phuluc1!A1" /><Relationship Id="rId13" Type="http://schemas.openxmlformats.org/officeDocument/2006/relationships/hyperlink" Target="#Phuluc1!A1" /><Relationship Id="rId14" Type="http://schemas.openxmlformats.org/officeDocument/2006/relationships/hyperlink" Target="#Phuluc1!A1" /><Relationship Id="rId15" Type="http://schemas.openxmlformats.org/officeDocument/2006/relationships/hyperlink" Target="#Phuluc1!A1" /><Relationship Id="rId16" Type="http://schemas.openxmlformats.org/officeDocument/2006/relationships/hyperlink" Target="#Phuluc1!A1" /><Relationship Id="rId17" Type="http://schemas.openxmlformats.org/officeDocument/2006/relationships/hyperlink" Target="#Phuluc1!A1" /><Relationship Id="rId18" Type="http://schemas.openxmlformats.org/officeDocument/2006/relationships/hyperlink" Target="#Phuluc1!A1" /><Relationship Id="rId19" Type="http://schemas.openxmlformats.org/officeDocument/2006/relationships/hyperlink" Target="#Phuluc1!A1" /><Relationship Id="rId20" Type="http://schemas.openxmlformats.org/officeDocument/2006/relationships/hyperlink" Target="#Phuluc1!A1" /><Relationship Id="rId21" Type="http://schemas.openxmlformats.org/officeDocument/2006/relationships/hyperlink" Target="#Phuluc1!A1" /><Relationship Id="rId22" Type="http://schemas.openxmlformats.org/officeDocument/2006/relationships/hyperlink" Target="#Phuluc1!A1" /><Relationship Id="rId23" Type="http://schemas.openxmlformats.org/officeDocument/2006/relationships/hyperlink" Target="#Phuluc1!A1" /><Relationship Id="rId24" Type="http://schemas.openxmlformats.org/officeDocument/2006/relationships/hyperlink" Target="#Phuluc1!A1" /><Relationship Id="rId25" Type="http://schemas.openxmlformats.org/officeDocument/2006/relationships/hyperlink" Target="#Phuluc1!A1" /><Relationship Id="rId26" Type="http://schemas.openxmlformats.org/officeDocument/2006/relationships/hyperlink" Target="#Phuluc1!A1" /><Relationship Id="rId27" Type="http://schemas.openxmlformats.org/officeDocument/2006/relationships/hyperlink" Target="#Phuluc1!A1" /><Relationship Id="rId28" Type="http://schemas.openxmlformats.org/officeDocument/2006/relationships/hyperlink" Target="#Phuluc1!A1" /><Relationship Id="rId29" Type="http://schemas.openxmlformats.org/officeDocument/2006/relationships/hyperlink" Target="#Phuluc1!A1" /><Relationship Id="rId30" Type="http://schemas.openxmlformats.org/officeDocument/2006/relationships/hyperlink" Target="#Phuluc1!A1" /><Relationship Id="rId31" Type="http://schemas.openxmlformats.org/officeDocument/2006/relationships/hyperlink" Target="#Phuluc1!A1" /><Relationship Id="rId32" Type="http://schemas.openxmlformats.org/officeDocument/2006/relationships/hyperlink" Target="#Phuluc1!A1" /><Relationship Id="rId33" Type="http://schemas.openxmlformats.org/officeDocument/2006/relationships/hyperlink" Target="#Phuluc1!A1" /><Relationship Id="rId34" Type="http://schemas.openxmlformats.org/officeDocument/2006/relationships/hyperlink" Target="#Phuluc1!A1" /><Relationship Id="rId35" Type="http://schemas.openxmlformats.org/officeDocument/2006/relationships/hyperlink" Target="#Phuluc1!A1" /><Relationship Id="rId36" Type="http://schemas.openxmlformats.org/officeDocument/2006/relationships/hyperlink" Target="#Phuluc1!A1" /><Relationship Id="rId37" Type="http://schemas.openxmlformats.org/officeDocument/2006/relationships/hyperlink" Target="#Phuluc1!A1" /><Relationship Id="rId38" Type="http://schemas.openxmlformats.org/officeDocument/2006/relationships/hyperlink" Target="#Phuluc1!A1" /><Relationship Id="rId39" Type="http://schemas.openxmlformats.org/officeDocument/2006/relationships/hyperlink" Target="#Phuluc1!A1" /><Relationship Id="rId40" Type="http://schemas.openxmlformats.org/officeDocument/2006/relationships/hyperlink" Target="#Phuluc1!A1" /><Relationship Id="rId41" Type="http://schemas.openxmlformats.org/officeDocument/2006/relationships/hyperlink" Target="#Phuluc1!A1" /><Relationship Id="rId42" Type="http://schemas.openxmlformats.org/officeDocument/2006/relationships/hyperlink" Target="#Phuluc1!A1" /><Relationship Id="rId43" Type="http://schemas.openxmlformats.org/officeDocument/2006/relationships/hyperlink" Target="#Phuluc1!A1" /><Relationship Id="rId44" Type="http://schemas.openxmlformats.org/officeDocument/2006/relationships/hyperlink" Target="#Phuluc1!A1" /><Relationship Id="rId45" Type="http://schemas.openxmlformats.org/officeDocument/2006/relationships/hyperlink" Target="#Phuluc1!A1" /><Relationship Id="rId46" Type="http://schemas.openxmlformats.org/officeDocument/2006/relationships/hyperlink" Target="#Phuluc1!A1" /><Relationship Id="rId47" Type="http://schemas.openxmlformats.org/officeDocument/2006/relationships/hyperlink" Target="#Phuluc1!A1" /><Relationship Id="rId48" Type="http://schemas.openxmlformats.org/officeDocument/2006/relationships/hyperlink" Target="#Phuluc1!A1" /><Relationship Id="rId49" Type="http://schemas.openxmlformats.org/officeDocument/2006/relationships/hyperlink" Target="#Phuluc1!A1" /><Relationship Id="rId50" Type="http://schemas.openxmlformats.org/officeDocument/2006/relationships/hyperlink" Target="#Phuluc1!A1" /></Relationships>
</file>

<file path=xl/drawings/_rels/drawing8.xml.rels><?xml version="1.0" encoding="utf-8" standalone="yes"?><Relationships xmlns="http://schemas.openxmlformats.org/package/2006/relationships"><Relationship Id="rId1" Type="http://schemas.openxmlformats.org/officeDocument/2006/relationships/hyperlink" Target="#Phuluc1!A1" /><Relationship Id="rId2" Type="http://schemas.openxmlformats.org/officeDocument/2006/relationships/hyperlink" Target="#Phuluc1!A1" /><Relationship Id="rId3" Type="http://schemas.openxmlformats.org/officeDocument/2006/relationships/hyperlink" Target="#Phuluc1!A1" /><Relationship Id="rId4" Type="http://schemas.openxmlformats.org/officeDocument/2006/relationships/hyperlink" Target="#Phuluc1!A1" /><Relationship Id="rId5" Type="http://schemas.openxmlformats.org/officeDocument/2006/relationships/hyperlink" Target="#Phuluc1!A1" /><Relationship Id="rId6" Type="http://schemas.openxmlformats.org/officeDocument/2006/relationships/hyperlink" Target="#Phuluc1!A1" /><Relationship Id="rId7" Type="http://schemas.openxmlformats.org/officeDocument/2006/relationships/hyperlink" Target="#Phuluc1!A1" /></Relationships>
</file>

<file path=xl/drawings/_rels/drawing9.xml.rels><?xml version="1.0" encoding="utf-8" standalone="yes"?><Relationships xmlns="http://schemas.openxmlformats.org/package/2006/relationships"><Relationship Id="rId1" Type="http://schemas.openxmlformats.org/officeDocument/2006/relationships/hyperlink" Target="#Phuluc1!A1" /><Relationship Id="rId2" Type="http://schemas.openxmlformats.org/officeDocument/2006/relationships/hyperlink" Target="#Phuluc1!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3371850</xdr:colOff>
      <xdr:row>3</xdr:row>
      <xdr:rowOff>0</xdr:rowOff>
    </xdr:from>
    <xdr:to>
      <xdr:col>0</xdr:col>
      <xdr:colOff>4648200</xdr:colOff>
      <xdr:row>3</xdr:row>
      <xdr:rowOff>0</xdr:rowOff>
    </xdr:to>
    <xdr:sp>
      <xdr:nvSpPr>
        <xdr:cNvPr id="1" name="Line 1"/>
        <xdr:cNvSpPr>
          <a:spLocks/>
        </xdr:cNvSpPr>
      </xdr:nvSpPr>
      <xdr:spPr>
        <a:xfrm>
          <a:off x="3371850" y="638175"/>
          <a:ext cx="1276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29</xdr:col>
      <xdr:colOff>0</xdr:colOff>
      <xdr:row>1</xdr:row>
      <xdr:rowOff>95250</xdr:rowOff>
    </xdr:from>
    <xdr:to>
      <xdr:col>29</xdr:col>
      <xdr:colOff>0</xdr:colOff>
      <xdr:row>3</xdr:row>
      <xdr:rowOff>19050</xdr:rowOff>
    </xdr:to>
    <xdr:sp>
      <xdr:nvSpPr>
        <xdr:cNvPr id="1" name="TextBox 1">
          <a:hlinkClick r:id="rId1"/>
        </xdr:cNvPr>
        <xdr:cNvSpPr txBox="1">
          <a:spLocks noChangeArrowheads="1"/>
        </xdr:cNvSpPr>
      </xdr:nvSpPr>
      <xdr:spPr>
        <a:xfrm>
          <a:off x="12315825" y="257175"/>
          <a:ext cx="0" cy="323850"/>
        </a:xfrm>
        <a:prstGeom prst="rect">
          <a:avLst/>
        </a:prstGeom>
        <a:solidFill>
          <a:srgbClr val="C5E0B4"/>
        </a:solidFill>
        <a:ln w="9525" cmpd="sng">
          <a:solidFill>
            <a:srgbClr val="BCBCBC"/>
          </a:solidFill>
          <a:headEnd type="none"/>
          <a:tailEnd type="none"/>
        </a:ln>
      </xdr:spPr>
      <xdr:txBody>
        <a:bodyPr vertOverflow="clip" wrap="square"/>
        <a:p>
          <a:pPr algn="ctr">
            <a:defRPr/>
          </a:pPr>
          <a:r>
            <a:rPr lang="en-US" cap="none" sz="1100" b="1" i="0" u="none" baseline="0">
              <a:solidFill>
                <a:srgbClr val="FF0000"/>
              </a:solidFill>
              <a:latin typeface="Calibri"/>
              <a:ea typeface="Calibri"/>
              <a:cs typeface="Calibri"/>
            </a:rPr>
            <a:t>Trở</a:t>
          </a:r>
          <a:r>
            <a:rPr lang="en-US" cap="none" sz="1100" b="1" i="0" u="none" baseline="0">
              <a:solidFill>
                <a:srgbClr val="FF0000"/>
              </a:solidFill>
              <a:latin typeface="Calibri"/>
              <a:ea typeface="Calibri"/>
              <a:cs typeface="Calibri"/>
            </a:rPr>
            <a:t> về</a:t>
          </a:r>
        </a:p>
      </xdr:txBody>
    </xdr:sp>
    <xdr:clientData fPrintsWithSheet="0"/>
  </xdr:twoCellAnchor>
  <xdr:twoCellAnchor>
    <xdr:from>
      <xdr:col>29</xdr:col>
      <xdr:colOff>0</xdr:colOff>
      <xdr:row>1</xdr:row>
      <xdr:rowOff>95250</xdr:rowOff>
    </xdr:from>
    <xdr:to>
      <xdr:col>29</xdr:col>
      <xdr:colOff>0</xdr:colOff>
      <xdr:row>3</xdr:row>
      <xdr:rowOff>19050</xdr:rowOff>
    </xdr:to>
    <xdr:sp>
      <xdr:nvSpPr>
        <xdr:cNvPr id="2" name="TextBox 2">
          <a:hlinkClick r:id="rId2"/>
        </xdr:cNvPr>
        <xdr:cNvSpPr txBox="1">
          <a:spLocks noChangeArrowheads="1"/>
        </xdr:cNvSpPr>
      </xdr:nvSpPr>
      <xdr:spPr>
        <a:xfrm>
          <a:off x="12315825" y="257175"/>
          <a:ext cx="0" cy="323850"/>
        </a:xfrm>
        <a:prstGeom prst="rect">
          <a:avLst/>
        </a:prstGeom>
        <a:solidFill>
          <a:srgbClr val="C5E0B4"/>
        </a:solidFill>
        <a:ln w="9525" cmpd="sng">
          <a:solidFill>
            <a:srgbClr val="BCBCBC"/>
          </a:solidFill>
          <a:headEnd type="none"/>
          <a:tailEnd type="none"/>
        </a:ln>
      </xdr:spPr>
      <xdr:txBody>
        <a:bodyPr vertOverflow="clip" wrap="square"/>
        <a:p>
          <a:pPr algn="ctr">
            <a:defRPr/>
          </a:pPr>
          <a:r>
            <a:rPr lang="en-US" cap="none" sz="1100" b="1" i="0" u="none" baseline="0">
              <a:solidFill>
                <a:srgbClr val="FF0000"/>
              </a:solidFill>
              <a:latin typeface="Calibri"/>
              <a:ea typeface="Calibri"/>
              <a:cs typeface="Calibri"/>
            </a:rPr>
            <a:t>Trở</a:t>
          </a:r>
          <a:r>
            <a:rPr lang="en-US" cap="none" sz="1100" b="1" i="0" u="none" baseline="0">
              <a:solidFill>
                <a:srgbClr val="FF0000"/>
              </a:solidFill>
              <a:latin typeface="Calibri"/>
              <a:ea typeface="Calibri"/>
              <a:cs typeface="Calibri"/>
            </a:rPr>
            <a:t> về</a:t>
          </a:r>
        </a:p>
      </xdr:txBody>
    </xdr:sp>
    <xdr:clientData fPrintsWithSheet="0"/>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38100</xdr:colOff>
      <xdr:row>1</xdr:row>
      <xdr:rowOff>0</xdr:rowOff>
    </xdr:from>
    <xdr:to>
      <xdr:col>7</xdr:col>
      <xdr:colOff>704850</xdr:colOff>
      <xdr:row>2</xdr:row>
      <xdr:rowOff>95250</xdr:rowOff>
    </xdr:to>
    <xdr:sp>
      <xdr:nvSpPr>
        <xdr:cNvPr id="1" name="TextBox 1">
          <a:hlinkClick r:id="rId1"/>
        </xdr:cNvPr>
        <xdr:cNvSpPr txBox="1">
          <a:spLocks noChangeArrowheads="1"/>
        </xdr:cNvSpPr>
      </xdr:nvSpPr>
      <xdr:spPr>
        <a:xfrm>
          <a:off x="7572375" y="161925"/>
          <a:ext cx="666750" cy="257175"/>
        </a:xfrm>
        <a:prstGeom prst="rect">
          <a:avLst/>
        </a:prstGeom>
        <a:solidFill>
          <a:srgbClr val="C5E0B4"/>
        </a:solidFill>
        <a:ln w="9525" cmpd="sng">
          <a:solidFill>
            <a:srgbClr val="BCBCBC"/>
          </a:solidFill>
          <a:headEnd type="none"/>
          <a:tailEnd type="none"/>
        </a:ln>
      </xdr:spPr>
      <xdr:txBody>
        <a:bodyPr vertOverflow="clip" wrap="square"/>
        <a:p>
          <a:pPr algn="ctr">
            <a:defRPr/>
          </a:pPr>
          <a:r>
            <a:rPr lang="en-US" cap="none" sz="1100" b="1" i="0" u="none" baseline="0">
              <a:solidFill>
                <a:srgbClr val="FF0000"/>
              </a:solidFill>
              <a:latin typeface="Calibri"/>
              <a:ea typeface="Calibri"/>
              <a:cs typeface="Calibri"/>
            </a:rPr>
            <a:t>Trở</a:t>
          </a:r>
          <a:r>
            <a:rPr lang="en-US" cap="none" sz="1100" b="1" i="0" u="none" baseline="0">
              <a:solidFill>
                <a:srgbClr val="FF0000"/>
              </a:solidFill>
              <a:latin typeface="Calibri"/>
              <a:ea typeface="Calibri"/>
              <a:cs typeface="Calibri"/>
            </a:rPr>
            <a:t> về</a:t>
          </a:r>
        </a:p>
      </xdr:txBody>
    </xdr:sp>
    <xdr:clientData fPrintsWithSheet="0"/>
  </xdr:twoCellAnchor>
  <xdr:twoCellAnchor>
    <xdr:from>
      <xdr:col>7</xdr:col>
      <xdr:colOff>38100</xdr:colOff>
      <xdr:row>1</xdr:row>
      <xdr:rowOff>0</xdr:rowOff>
    </xdr:from>
    <xdr:to>
      <xdr:col>7</xdr:col>
      <xdr:colOff>704850</xdr:colOff>
      <xdr:row>2</xdr:row>
      <xdr:rowOff>95250</xdr:rowOff>
    </xdr:to>
    <xdr:sp>
      <xdr:nvSpPr>
        <xdr:cNvPr id="2" name="TextBox 2">
          <a:hlinkClick r:id="rId2"/>
        </xdr:cNvPr>
        <xdr:cNvSpPr txBox="1">
          <a:spLocks noChangeArrowheads="1"/>
        </xdr:cNvSpPr>
      </xdr:nvSpPr>
      <xdr:spPr>
        <a:xfrm>
          <a:off x="7572375" y="161925"/>
          <a:ext cx="666750" cy="257175"/>
        </a:xfrm>
        <a:prstGeom prst="rect">
          <a:avLst/>
        </a:prstGeom>
        <a:solidFill>
          <a:srgbClr val="C5E0B4"/>
        </a:solidFill>
        <a:ln w="9525" cmpd="sng">
          <a:solidFill>
            <a:srgbClr val="BCBCBC"/>
          </a:solidFill>
          <a:headEnd type="none"/>
          <a:tailEnd type="none"/>
        </a:ln>
      </xdr:spPr>
      <xdr:txBody>
        <a:bodyPr vertOverflow="clip" wrap="square"/>
        <a:p>
          <a:pPr algn="ctr">
            <a:defRPr/>
          </a:pPr>
          <a:r>
            <a:rPr lang="en-US" cap="none" sz="1100" b="1" i="0" u="none" baseline="0">
              <a:solidFill>
                <a:srgbClr val="FF0000"/>
              </a:solidFill>
              <a:latin typeface="Calibri"/>
              <a:ea typeface="Calibri"/>
              <a:cs typeface="Calibri"/>
            </a:rPr>
            <a:t>Trở</a:t>
          </a:r>
          <a:r>
            <a:rPr lang="en-US" cap="none" sz="1100" b="1" i="0" u="none" baseline="0">
              <a:solidFill>
                <a:srgbClr val="FF0000"/>
              </a:solidFill>
              <a:latin typeface="Calibri"/>
              <a:ea typeface="Calibri"/>
              <a:cs typeface="Calibri"/>
            </a:rPr>
            <a:t> về</a:t>
          </a:r>
        </a:p>
      </xdr:txBody>
    </xdr:sp>
    <xdr:clientData fPrintsWithSheet="0"/>
  </xdr:twoCellAnchor>
  <xdr:twoCellAnchor>
    <xdr:from>
      <xdr:col>7</xdr:col>
      <xdr:colOff>38100</xdr:colOff>
      <xdr:row>1</xdr:row>
      <xdr:rowOff>0</xdr:rowOff>
    </xdr:from>
    <xdr:to>
      <xdr:col>7</xdr:col>
      <xdr:colOff>704850</xdr:colOff>
      <xdr:row>2</xdr:row>
      <xdr:rowOff>95250</xdr:rowOff>
    </xdr:to>
    <xdr:sp>
      <xdr:nvSpPr>
        <xdr:cNvPr id="3" name="TextBox 3">
          <a:hlinkClick r:id="rId3"/>
        </xdr:cNvPr>
        <xdr:cNvSpPr txBox="1">
          <a:spLocks noChangeArrowheads="1"/>
        </xdr:cNvSpPr>
      </xdr:nvSpPr>
      <xdr:spPr>
        <a:xfrm>
          <a:off x="7572375" y="161925"/>
          <a:ext cx="666750" cy="257175"/>
        </a:xfrm>
        <a:prstGeom prst="rect">
          <a:avLst/>
        </a:prstGeom>
        <a:solidFill>
          <a:srgbClr val="C5E0B4"/>
        </a:solidFill>
        <a:ln w="9525" cmpd="sng">
          <a:solidFill>
            <a:srgbClr val="BCBCBC"/>
          </a:solidFill>
          <a:headEnd type="none"/>
          <a:tailEnd type="none"/>
        </a:ln>
      </xdr:spPr>
      <xdr:txBody>
        <a:bodyPr vertOverflow="clip" wrap="square"/>
        <a:p>
          <a:pPr algn="ctr">
            <a:defRPr/>
          </a:pPr>
          <a:r>
            <a:rPr lang="en-US" cap="none" sz="1100" b="1" i="0" u="none" baseline="0">
              <a:solidFill>
                <a:srgbClr val="FF0000"/>
              </a:solidFill>
              <a:latin typeface="Calibri"/>
              <a:ea typeface="Calibri"/>
              <a:cs typeface="Calibri"/>
            </a:rPr>
            <a:t>Trở</a:t>
          </a:r>
          <a:r>
            <a:rPr lang="en-US" cap="none" sz="1100" b="1" i="0" u="none" baseline="0">
              <a:solidFill>
                <a:srgbClr val="FF0000"/>
              </a:solidFill>
              <a:latin typeface="Calibri"/>
              <a:ea typeface="Calibri"/>
              <a:cs typeface="Calibri"/>
            </a:rPr>
            <a:t> về</a:t>
          </a:r>
        </a:p>
      </xdr:txBody>
    </xdr:sp>
    <xdr:clientData fPrintsWithSheet="0"/>
  </xdr:twoCellAnchor>
  <xdr:twoCellAnchor>
    <xdr:from>
      <xdr:col>7</xdr:col>
      <xdr:colOff>38100</xdr:colOff>
      <xdr:row>1</xdr:row>
      <xdr:rowOff>0</xdr:rowOff>
    </xdr:from>
    <xdr:to>
      <xdr:col>7</xdr:col>
      <xdr:colOff>704850</xdr:colOff>
      <xdr:row>2</xdr:row>
      <xdr:rowOff>95250</xdr:rowOff>
    </xdr:to>
    <xdr:sp>
      <xdr:nvSpPr>
        <xdr:cNvPr id="4" name="TextBox 4">
          <a:hlinkClick r:id="rId4"/>
        </xdr:cNvPr>
        <xdr:cNvSpPr txBox="1">
          <a:spLocks noChangeArrowheads="1"/>
        </xdr:cNvSpPr>
      </xdr:nvSpPr>
      <xdr:spPr>
        <a:xfrm>
          <a:off x="7572375" y="161925"/>
          <a:ext cx="666750" cy="257175"/>
        </a:xfrm>
        <a:prstGeom prst="rect">
          <a:avLst/>
        </a:prstGeom>
        <a:solidFill>
          <a:srgbClr val="C5E0B4"/>
        </a:solidFill>
        <a:ln w="9525" cmpd="sng">
          <a:solidFill>
            <a:srgbClr val="BCBCBC"/>
          </a:solidFill>
          <a:headEnd type="none"/>
          <a:tailEnd type="none"/>
        </a:ln>
      </xdr:spPr>
      <xdr:txBody>
        <a:bodyPr vertOverflow="clip" wrap="square"/>
        <a:p>
          <a:pPr algn="ctr">
            <a:defRPr/>
          </a:pPr>
          <a:r>
            <a:rPr lang="en-US" cap="none" sz="1100" b="1" i="0" u="none" baseline="0">
              <a:solidFill>
                <a:srgbClr val="FF0000"/>
              </a:solidFill>
              <a:latin typeface="Calibri"/>
              <a:ea typeface="Calibri"/>
              <a:cs typeface="Calibri"/>
            </a:rPr>
            <a:t>Trở</a:t>
          </a:r>
          <a:r>
            <a:rPr lang="en-US" cap="none" sz="1100" b="1" i="0" u="none" baseline="0">
              <a:solidFill>
                <a:srgbClr val="FF0000"/>
              </a:solidFill>
              <a:latin typeface="Calibri"/>
              <a:ea typeface="Calibri"/>
              <a:cs typeface="Calibri"/>
            </a:rPr>
            <a:t> về</a:t>
          </a:r>
        </a:p>
      </xdr:txBody>
    </xdr:sp>
    <xdr:clientData fPrintsWithSheet="0"/>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0</xdr:colOff>
      <xdr:row>1</xdr:row>
      <xdr:rowOff>114300</xdr:rowOff>
    </xdr:from>
    <xdr:to>
      <xdr:col>18</xdr:col>
      <xdr:colOff>0</xdr:colOff>
      <xdr:row>3</xdr:row>
      <xdr:rowOff>0</xdr:rowOff>
    </xdr:to>
    <xdr:sp>
      <xdr:nvSpPr>
        <xdr:cNvPr id="1" name="TextBox 1">
          <a:hlinkClick r:id="rId1"/>
        </xdr:cNvPr>
        <xdr:cNvSpPr txBox="1">
          <a:spLocks noChangeArrowheads="1"/>
        </xdr:cNvSpPr>
      </xdr:nvSpPr>
      <xdr:spPr>
        <a:xfrm>
          <a:off x="10096500" y="276225"/>
          <a:ext cx="0" cy="209550"/>
        </a:xfrm>
        <a:prstGeom prst="rect">
          <a:avLst/>
        </a:prstGeom>
        <a:solidFill>
          <a:srgbClr val="C5E0B4"/>
        </a:solidFill>
        <a:ln w="9525" cmpd="sng">
          <a:solidFill>
            <a:srgbClr val="BCBCBC"/>
          </a:solidFill>
          <a:headEnd type="none"/>
          <a:tailEnd type="none"/>
        </a:ln>
      </xdr:spPr>
      <xdr:txBody>
        <a:bodyPr vertOverflow="clip" wrap="square"/>
        <a:p>
          <a:pPr algn="ctr">
            <a:defRPr/>
          </a:pPr>
          <a:r>
            <a:rPr lang="en-US" cap="none" sz="1100" b="1" i="0" u="none" baseline="0">
              <a:solidFill>
                <a:srgbClr val="FF0000"/>
              </a:solidFill>
              <a:latin typeface="Calibri"/>
              <a:ea typeface="Calibri"/>
              <a:cs typeface="Calibri"/>
            </a:rPr>
            <a:t>Trở</a:t>
          </a:r>
          <a:r>
            <a:rPr lang="en-US" cap="none" sz="1100" b="1" i="0" u="none" baseline="0">
              <a:solidFill>
                <a:srgbClr val="FF0000"/>
              </a:solidFill>
              <a:latin typeface="Calibri"/>
              <a:ea typeface="Calibri"/>
              <a:cs typeface="Calibri"/>
            </a:rPr>
            <a:t> về</a:t>
          </a:r>
        </a:p>
      </xdr:txBody>
    </xdr:sp>
    <xdr:clientData fPrintsWithSheet="0"/>
  </xdr:twoCellAnchor>
  <xdr:twoCellAnchor>
    <xdr:from>
      <xdr:col>32</xdr:col>
      <xdr:colOff>0</xdr:colOff>
      <xdr:row>1</xdr:row>
      <xdr:rowOff>114300</xdr:rowOff>
    </xdr:from>
    <xdr:to>
      <xdr:col>32</xdr:col>
      <xdr:colOff>0</xdr:colOff>
      <xdr:row>3</xdr:row>
      <xdr:rowOff>0</xdr:rowOff>
    </xdr:to>
    <xdr:sp>
      <xdr:nvSpPr>
        <xdr:cNvPr id="2" name="TextBox 2">
          <a:hlinkClick r:id="rId2"/>
        </xdr:cNvPr>
        <xdr:cNvSpPr txBox="1">
          <a:spLocks noChangeArrowheads="1"/>
        </xdr:cNvSpPr>
      </xdr:nvSpPr>
      <xdr:spPr>
        <a:xfrm>
          <a:off x="15735300" y="276225"/>
          <a:ext cx="0" cy="209550"/>
        </a:xfrm>
        <a:prstGeom prst="rect">
          <a:avLst/>
        </a:prstGeom>
        <a:solidFill>
          <a:srgbClr val="C5E0B4"/>
        </a:solidFill>
        <a:ln w="9525" cmpd="sng">
          <a:solidFill>
            <a:srgbClr val="BCBCBC"/>
          </a:solidFill>
          <a:headEnd type="none"/>
          <a:tailEnd type="none"/>
        </a:ln>
      </xdr:spPr>
      <xdr:txBody>
        <a:bodyPr vertOverflow="clip" wrap="square"/>
        <a:p>
          <a:pPr algn="ctr">
            <a:defRPr/>
          </a:pPr>
          <a:r>
            <a:rPr lang="en-US" cap="none" sz="1100" b="1" i="0" u="none" baseline="0">
              <a:solidFill>
                <a:srgbClr val="FF0000"/>
              </a:solidFill>
              <a:latin typeface="Calibri"/>
              <a:ea typeface="Calibri"/>
              <a:cs typeface="Calibri"/>
            </a:rPr>
            <a:t>Trở</a:t>
          </a:r>
          <a:r>
            <a:rPr lang="en-US" cap="none" sz="1100" b="1" i="0" u="none" baseline="0">
              <a:solidFill>
                <a:srgbClr val="FF0000"/>
              </a:solidFill>
              <a:latin typeface="Calibri"/>
              <a:ea typeface="Calibri"/>
              <a:cs typeface="Calibri"/>
            </a:rPr>
            <a:t> về</a:t>
          </a:r>
        </a:p>
      </xdr:txBody>
    </xdr:sp>
    <xdr:clientData fPrintsWithSheet="0"/>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3</xdr:row>
      <xdr:rowOff>0</xdr:rowOff>
    </xdr:from>
    <xdr:to>
      <xdr:col>11</xdr:col>
      <xdr:colOff>0</xdr:colOff>
      <xdr:row>4</xdr:row>
      <xdr:rowOff>95250</xdr:rowOff>
    </xdr:to>
    <xdr:sp>
      <xdr:nvSpPr>
        <xdr:cNvPr id="1" name="TextBox 1">
          <a:hlinkClick r:id="rId1"/>
        </xdr:cNvPr>
        <xdr:cNvSpPr txBox="1">
          <a:spLocks noChangeArrowheads="1"/>
        </xdr:cNvSpPr>
      </xdr:nvSpPr>
      <xdr:spPr>
        <a:xfrm>
          <a:off x="7820025" y="485775"/>
          <a:ext cx="666750" cy="257175"/>
        </a:xfrm>
        <a:prstGeom prst="rect">
          <a:avLst/>
        </a:prstGeom>
        <a:solidFill>
          <a:srgbClr val="C5E0B4"/>
        </a:solidFill>
        <a:ln w="9525" cmpd="sng">
          <a:solidFill>
            <a:srgbClr val="BCBCBC"/>
          </a:solidFill>
          <a:headEnd type="none"/>
          <a:tailEnd type="none"/>
        </a:ln>
      </xdr:spPr>
      <xdr:txBody>
        <a:bodyPr vertOverflow="clip" wrap="square"/>
        <a:p>
          <a:pPr algn="ctr">
            <a:defRPr/>
          </a:pPr>
          <a:r>
            <a:rPr lang="en-US" cap="none" sz="1100" b="1" i="0" u="none" baseline="0">
              <a:solidFill>
                <a:srgbClr val="FF0000"/>
              </a:solidFill>
              <a:latin typeface="Calibri"/>
              <a:ea typeface="Calibri"/>
              <a:cs typeface="Calibri"/>
            </a:rPr>
            <a:t>Trở</a:t>
          </a:r>
          <a:r>
            <a:rPr lang="en-US" cap="none" sz="1100" b="1" i="0" u="none" baseline="0">
              <a:solidFill>
                <a:srgbClr val="FF0000"/>
              </a:solidFill>
              <a:latin typeface="Calibri"/>
              <a:ea typeface="Calibri"/>
              <a:cs typeface="Calibri"/>
            </a:rPr>
            <a:t> về</a:t>
          </a:r>
        </a:p>
      </xdr:txBody>
    </xdr:sp>
    <xdr:clientData fPrintsWithSheet="0"/>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1</xdr:row>
      <xdr:rowOff>0</xdr:rowOff>
    </xdr:from>
    <xdr:to>
      <xdr:col>7</xdr:col>
      <xdr:colOff>142875</xdr:colOff>
      <xdr:row>2</xdr:row>
      <xdr:rowOff>95250</xdr:rowOff>
    </xdr:to>
    <xdr:sp>
      <xdr:nvSpPr>
        <xdr:cNvPr id="1" name="TextBox 1">
          <a:hlinkClick r:id="rId1"/>
        </xdr:cNvPr>
        <xdr:cNvSpPr txBox="1">
          <a:spLocks noChangeArrowheads="1"/>
        </xdr:cNvSpPr>
      </xdr:nvSpPr>
      <xdr:spPr>
        <a:xfrm>
          <a:off x="6019800" y="161925"/>
          <a:ext cx="676275" cy="257175"/>
        </a:xfrm>
        <a:prstGeom prst="rect">
          <a:avLst/>
        </a:prstGeom>
        <a:solidFill>
          <a:srgbClr val="C5E0B4"/>
        </a:solidFill>
        <a:ln w="9525" cmpd="sng">
          <a:solidFill>
            <a:srgbClr val="BCBCBC"/>
          </a:solidFill>
          <a:headEnd type="none"/>
          <a:tailEnd type="none"/>
        </a:ln>
      </xdr:spPr>
      <xdr:txBody>
        <a:bodyPr vertOverflow="clip" wrap="square"/>
        <a:p>
          <a:pPr algn="ctr">
            <a:defRPr/>
          </a:pPr>
          <a:r>
            <a:rPr lang="en-US" cap="none" sz="1100" b="1" i="0" u="none" baseline="0">
              <a:solidFill>
                <a:srgbClr val="FF0000"/>
              </a:solidFill>
              <a:latin typeface="Calibri"/>
              <a:ea typeface="Calibri"/>
              <a:cs typeface="Calibri"/>
            </a:rPr>
            <a:t>Trở</a:t>
          </a:r>
          <a:r>
            <a:rPr lang="en-US" cap="none" sz="1100" b="1" i="0" u="none" baseline="0">
              <a:solidFill>
                <a:srgbClr val="FF0000"/>
              </a:solidFill>
              <a:latin typeface="Calibri"/>
              <a:ea typeface="Calibri"/>
              <a:cs typeface="Calibri"/>
            </a:rPr>
            <a:t> về</a:t>
          </a:r>
        </a:p>
      </xdr:txBody>
    </xdr:sp>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457200</xdr:colOff>
      <xdr:row>1</xdr:row>
      <xdr:rowOff>95250</xdr:rowOff>
    </xdr:from>
    <xdr:to>
      <xdr:col>9</xdr:col>
      <xdr:colOff>495300</xdr:colOff>
      <xdr:row>3</xdr:row>
      <xdr:rowOff>0</xdr:rowOff>
    </xdr:to>
    <xdr:sp>
      <xdr:nvSpPr>
        <xdr:cNvPr id="1" name="TextBox 2">
          <a:hlinkClick r:id="rId1"/>
        </xdr:cNvPr>
        <xdr:cNvSpPr txBox="1">
          <a:spLocks noChangeArrowheads="1"/>
        </xdr:cNvSpPr>
      </xdr:nvSpPr>
      <xdr:spPr>
        <a:xfrm>
          <a:off x="9715500" y="257175"/>
          <a:ext cx="1171575" cy="295275"/>
        </a:xfrm>
        <a:prstGeom prst="rect">
          <a:avLst/>
        </a:prstGeom>
        <a:solidFill>
          <a:srgbClr val="C5E0B4"/>
        </a:solidFill>
        <a:ln w="9525" cmpd="sng">
          <a:solidFill>
            <a:srgbClr val="BCBCBC"/>
          </a:solidFill>
          <a:headEnd type="none"/>
          <a:tailEnd type="none"/>
        </a:ln>
      </xdr:spPr>
      <xdr:txBody>
        <a:bodyPr vertOverflow="clip" wrap="square"/>
        <a:p>
          <a:pPr algn="ctr">
            <a:defRPr/>
          </a:pPr>
          <a:r>
            <a:rPr lang="en-US" cap="none" sz="1100" b="1" i="0" u="none" baseline="0">
              <a:solidFill>
                <a:srgbClr val="FF0000"/>
              </a:solidFill>
              <a:latin typeface="Calibri"/>
              <a:ea typeface="Calibri"/>
              <a:cs typeface="Calibri"/>
            </a:rPr>
            <a:t>Trở</a:t>
          </a:r>
          <a:r>
            <a:rPr lang="en-US" cap="none" sz="1100" b="1" i="0" u="none" baseline="0">
              <a:solidFill>
                <a:srgbClr val="FF0000"/>
              </a:solidFill>
              <a:latin typeface="Calibri"/>
              <a:ea typeface="Calibri"/>
              <a:cs typeface="Calibri"/>
            </a:rPr>
            <a:t> về</a:t>
          </a:r>
        </a:p>
      </xdr:txBody>
    </xdr:sp>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1</xdr:row>
      <xdr:rowOff>0</xdr:rowOff>
    </xdr:from>
    <xdr:to>
      <xdr:col>9</xdr:col>
      <xdr:colOff>0</xdr:colOff>
      <xdr:row>2</xdr:row>
      <xdr:rowOff>95250</xdr:rowOff>
    </xdr:to>
    <xdr:sp>
      <xdr:nvSpPr>
        <xdr:cNvPr id="1" name="TextBox 1">
          <a:hlinkClick r:id="rId1"/>
        </xdr:cNvPr>
        <xdr:cNvSpPr txBox="1">
          <a:spLocks noChangeArrowheads="1"/>
        </xdr:cNvSpPr>
      </xdr:nvSpPr>
      <xdr:spPr>
        <a:xfrm>
          <a:off x="10715625" y="257175"/>
          <a:ext cx="1314450" cy="352425"/>
        </a:xfrm>
        <a:prstGeom prst="rect">
          <a:avLst/>
        </a:prstGeom>
        <a:solidFill>
          <a:srgbClr val="C5E0B4"/>
        </a:solidFill>
        <a:ln w="9525" cmpd="sng">
          <a:solidFill>
            <a:srgbClr val="BCBCBC"/>
          </a:solidFill>
          <a:headEnd type="none"/>
          <a:tailEnd type="none"/>
        </a:ln>
      </xdr:spPr>
      <xdr:txBody>
        <a:bodyPr vertOverflow="clip" wrap="square"/>
        <a:p>
          <a:pPr algn="ctr">
            <a:defRPr/>
          </a:pPr>
          <a:r>
            <a:rPr lang="en-US" cap="none" sz="1100" b="1" i="0" u="none" baseline="0">
              <a:solidFill>
                <a:srgbClr val="FF0000"/>
              </a:solidFill>
              <a:latin typeface="Calibri"/>
              <a:ea typeface="Calibri"/>
              <a:cs typeface="Calibri"/>
            </a:rPr>
            <a:t>Trở</a:t>
          </a:r>
          <a:r>
            <a:rPr lang="en-US" cap="none" sz="1100" b="1" i="0" u="none" baseline="0">
              <a:solidFill>
                <a:srgbClr val="FF0000"/>
              </a:solidFill>
              <a:latin typeface="Calibri"/>
              <a:ea typeface="Calibri"/>
              <a:cs typeface="Calibri"/>
            </a:rPr>
            <a:t> về</a:t>
          </a:r>
        </a:p>
      </xdr:txBody>
    </xdr:sp>
    <xdr:clientData fPrint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0</xdr:colOff>
      <xdr:row>1</xdr:row>
      <xdr:rowOff>0</xdr:rowOff>
    </xdr:from>
    <xdr:to>
      <xdr:col>19</xdr:col>
      <xdr:colOff>209550</xdr:colOff>
      <xdr:row>2</xdr:row>
      <xdr:rowOff>95250</xdr:rowOff>
    </xdr:to>
    <xdr:sp>
      <xdr:nvSpPr>
        <xdr:cNvPr id="1" name="TextBox 1">
          <a:hlinkClick r:id="rId1"/>
        </xdr:cNvPr>
        <xdr:cNvSpPr txBox="1">
          <a:spLocks noChangeArrowheads="1"/>
        </xdr:cNvSpPr>
      </xdr:nvSpPr>
      <xdr:spPr>
        <a:xfrm>
          <a:off x="10315575" y="161925"/>
          <a:ext cx="990600" cy="257175"/>
        </a:xfrm>
        <a:prstGeom prst="rect">
          <a:avLst/>
        </a:prstGeom>
        <a:solidFill>
          <a:srgbClr val="C5E0B4"/>
        </a:solidFill>
        <a:ln w="9525" cmpd="sng">
          <a:solidFill>
            <a:srgbClr val="BCBCBC"/>
          </a:solidFill>
          <a:headEnd type="none"/>
          <a:tailEnd type="none"/>
        </a:ln>
      </xdr:spPr>
      <xdr:txBody>
        <a:bodyPr vertOverflow="clip" wrap="square"/>
        <a:p>
          <a:pPr algn="ctr">
            <a:defRPr/>
          </a:pPr>
          <a:r>
            <a:rPr lang="en-US" cap="none" sz="1100" b="1" i="0" u="none" baseline="0">
              <a:solidFill>
                <a:srgbClr val="FF0000"/>
              </a:solidFill>
              <a:latin typeface="Calibri"/>
              <a:ea typeface="Calibri"/>
              <a:cs typeface="Calibri"/>
            </a:rPr>
            <a:t>Trở</a:t>
          </a:r>
          <a:r>
            <a:rPr lang="en-US" cap="none" sz="1100" b="1" i="0" u="none" baseline="0">
              <a:solidFill>
                <a:srgbClr val="FF0000"/>
              </a:solidFill>
              <a:latin typeface="Calibri"/>
              <a:ea typeface="Calibri"/>
              <a:cs typeface="Calibri"/>
            </a:rPr>
            <a:t> về</a:t>
          </a:r>
        </a:p>
      </xdr:txBody>
    </xdr:sp>
    <xdr:clientData fPrint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1</xdr:row>
      <xdr:rowOff>0</xdr:rowOff>
    </xdr:from>
    <xdr:to>
      <xdr:col>8</xdr:col>
      <xdr:colOff>676275</xdr:colOff>
      <xdr:row>2</xdr:row>
      <xdr:rowOff>95250</xdr:rowOff>
    </xdr:to>
    <xdr:sp>
      <xdr:nvSpPr>
        <xdr:cNvPr id="1" name="TextBox 1">
          <a:hlinkClick r:id="rId1"/>
        </xdr:cNvPr>
        <xdr:cNvSpPr txBox="1">
          <a:spLocks noChangeArrowheads="1"/>
        </xdr:cNvSpPr>
      </xdr:nvSpPr>
      <xdr:spPr>
        <a:xfrm>
          <a:off x="7905750" y="161925"/>
          <a:ext cx="676275" cy="257175"/>
        </a:xfrm>
        <a:prstGeom prst="rect">
          <a:avLst/>
        </a:prstGeom>
        <a:solidFill>
          <a:srgbClr val="C5E0B4"/>
        </a:solidFill>
        <a:ln w="9525" cmpd="sng">
          <a:solidFill>
            <a:srgbClr val="BCBCBC"/>
          </a:solidFill>
          <a:headEnd type="none"/>
          <a:tailEnd type="none"/>
        </a:ln>
      </xdr:spPr>
      <xdr:txBody>
        <a:bodyPr vertOverflow="clip" wrap="square"/>
        <a:p>
          <a:pPr algn="ctr">
            <a:defRPr/>
          </a:pPr>
          <a:r>
            <a:rPr lang="en-US" cap="none" sz="1100" b="1" i="0" u="none" baseline="0">
              <a:solidFill>
                <a:srgbClr val="FF0000"/>
              </a:solidFill>
              <a:latin typeface="Calibri"/>
              <a:ea typeface="Calibri"/>
              <a:cs typeface="Calibri"/>
            </a:rPr>
            <a:t>Trở</a:t>
          </a:r>
          <a:r>
            <a:rPr lang="en-US" cap="none" sz="1100" b="1" i="0" u="none" baseline="0">
              <a:solidFill>
                <a:srgbClr val="FF0000"/>
              </a:solidFill>
              <a:latin typeface="Calibri"/>
              <a:ea typeface="Calibri"/>
              <a:cs typeface="Calibri"/>
            </a:rPr>
            <a:t> về</a:t>
          </a:r>
        </a:p>
      </xdr:txBody>
    </xdr:sp>
    <xdr:clientData fPrintsWithSheet="0"/>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647700</xdr:colOff>
      <xdr:row>1</xdr:row>
      <xdr:rowOff>19050</xdr:rowOff>
    </xdr:from>
    <xdr:to>
      <xdr:col>6</xdr:col>
      <xdr:colOff>1323975</xdr:colOff>
      <xdr:row>2</xdr:row>
      <xdr:rowOff>114300</xdr:rowOff>
    </xdr:to>
    <xdr:sp>
      <xdr:nvSpPr>
        <xdr:cNvPr id="1" name="TextBox 1">
          <a:hlinkClick r:id="rId1"/>
        </xdr:cNvPr>
        <xdr:cNvSpPr txBox="1">
          <a:spLocks noChangeArrowheads="1"/>
        </xdr:cNvSpPr>
      </xdr:nvSpPr>
      <xdr:spPr>
        <a:xfrm>
          <a:off x="5162550" y="180975"/>
          <a:ext cx="676275" cy="257175"/>
        </a:xfrm>
        <a:prstGeom prst="rect">
          <a:avLst/>
        </a:prstGeom>
        <a:solidFill>
          <a:srgbClr val="C5E0B4"/>
        </a:solidFill>
        <a:ln w="9525" cmpd="sng">
          <a:solidFill>
            <a:srgbClr val="BCBCBC"/>
          </a:solidFill>
          <a:headEnd type="none"/>
          <a:tailEnd type="none"/>
        </a:ln>
      </xdr:spPr>
      <xdr:txBody>
        <a:bodyPr vertOverflow="clip" wrap="square"/>
        <a:p>
          <a:pPr algn="ctr">
            <a:defRPr/>
          </a:pPr>
          <a:r>
            <a:rPr lang="en-US" cap="none" sz="1100" b="1" i="0" u="none" baseline="0">
              <a:solidFill>
                <a:srgbClr val="FF0000"/>
              </a:solidFill>
              <a:latin typeface="Calibri"/>
              <a:ea typeface="Calibri"/>
              <a:cs typeface="Calibri"/>
            </a:rPr>
            <a:t>Trở</a:t>
          </a:r>
          <a:r>
            <a:rPr lang="en-US" cap="none" sz="1100" b="1" i="0" u="none" baseline="0">
              <a:solidFill>
                <a:srgbClr val="FF0000"/>
              </a:solidFill>
              <a:latin typeface="Calibri"/>
              <a:ea typeface="Calibri"/>
              <a:cs typeface="Calibri"/>
            </a:rPr>
            <a:t> về</a:t>
          </a:r>
        </a:p>
      </xdr:txBody>
    </xdr:sp>
    <xdr:clientData fPrintsWithSheet="0"/>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257175</xdr:colOff>
      <xdr:row>1</xdr:row>
      <xdr:rowOff>114300</xdr:rowOff>
    </xdr:from>
    <xdr:to>
      <xdr:col>7</xdr:col>
      <xdr:colOff>981075</xdr:colOff>
      <xdr:row>3</xdr:row>
      <xdr:rowOff>0</xdr:rowOff>
    </xdr:to>
    <xdr:sp>
      <xdr:nvSpPr>
        <xdr:cNvPr id="1" name="TextBox 1">
          <a:hlinkClick r:id="rId1"/>
        </xdr:cNvPr>
        <xdr:cNvSpPr txBox="1">
          <a:spLocks noChangeArrowheads="1"/>
        </xdr:cNvSpPr>
      </xdr:nvSpPr>
      <xdr:spPr>
        <a:xfrm>
          <a:off x="7353300" y="276225"/>
          <a:ext cx="723900" cy="209550"/>
        </a:xfrm>
        <a:prstGeom prst="rect">
          <a:avLst/>
        </a:prstGeom>
        <a:solidFill>
          <a:srgbClr val="C5E0B4"/>
        </a:solidFill>
        <a:ln w="9525" cmpd="sng">
          <a:solidFill>
            <a:srgbClr val="BCBCBC"/>
          </a:solidFill>
          <a:headEnd type="none"/>
          <a:tailEnd type="none"/>
        </a:ln>
      </xdr:spPr>
      <xdr:txBody>
        <a:bodyPr vertOverflow="clip" wrap="square"/>
        <a:p>
          <a:pPr algn="ctr">
            <a:defRPr/>
          </a:pPr>
          <a:r>
            <a:rPr lang="en-US" cap="none" sz="1100" b="1" i="0" u="none" baseline="0">
              <a:solidFill>
                <a:srgbClr val="FF0000"/>
              </a:solidFill>
              <a:latin typeface="Calibri"/>
              <a:ea typeface="Calibri"/>
              <a:cs typeface="Calibri"/>
            </a:rPr>
            <a:t>Trở</a:t>
          </a:r>
          <a:r>
            <a:rPr lang="en-US" cap="none" sz="1100" b="1" i="0" u="none" baseline="0">
              <a:solidFill>
                <a:srgbClr val="FF0000"/>
              </a:solidFill>
              <a:latin typeface="Calibri"/>
              <a:ea typeface="Calibri"/>
              <a:cs typeface="Calibri"/>
            </a:rPr>
            <a:t> về</a:t>
          </a:r>
        </a:p>
      </xdr:txBody>
    </xdr:sp>
    <xdr:clientData fPrintsWithSheet="0"/>
  </xdr:twoCellAnchor>
  <xdr:twoCellAnchor>
    <xdr:from>
      <xdr:col>7</xdr:col>
      <xdr:colOff>257175</xdr:colOff>
      <xdr:row>1</xdr:row>
      <xdr:rowOff>114300</xdr:rowOff>
    </xdr:from>
    <xdr:to>
      <xdr:col>7</xdr:col>
      <xdr:colOff>981075</xdr:colOff>
      <xdr:row>3</xdr:row>
      <xdr:rowOff>0</xdr:rowOff>
    </xdr:to>
    <xdr:sp>
      <xdr:nvSpPr>
        <xdr:cNvPr id="2" name="TextBox 2">
          <a:hlinkClick r:id="rId2"/>
        </xdr:cNvPr>
        <xdr:cNvSpPr txBox="1">
          <a:spLocks noChangeArrowheads="1"/>
        </xdr:cNvSpPr>
      </xdr:nvSpPr>
      <xdr:spPr>
        <a:xfrm>
          <a:off x="7353300" y="276225"/>
          <a:ext cx="723900" cy="209550"/>
        </a:xfrm>
        <a:prstGeom prst="rect">
          <a:avLst/>
        </a:prstGeom>
        <a:solidFill>
          <a:srgbClr val="C5E0B4"/>
        </a:solidFill>
        <a:ln w="9525" cmpd="sng">
          <a:solidFill>
            <a:srgbClr val="BCBCBC"/>
          </a:solidFill>
          <a:headEnd type="none"/>
          <a:tailEnd type="none"/>
        </a:ln>
      </xdr:spPr>
      <xdr:txBody>
        <a:bodyPr vertOverflow="clip" wrap="square"/>
        <a:p>
          <a:pPr algn="ctr">
            <a:defRPr/>
          </a:pPr>
          <a:r>
            <a:rPr lang="en-US" cap="none" sz="1100" b="1" i="0" u="none" baseline="0">
              <a:solidFill>
                <a:srgbClr val="FF0000"/>
              </a:solidFill>
              <a:latin typeface="Calibri"/>
              <a:ea typeface="Calibri"/>
              <a:cs typeface="Calibri"/>
            </a:rPr>
            <a:t>Trở</a:t>
          </a:r>
          <a:r>
            <a:rPr lang="en-US" cap="none" sz="1100" b="1" i="0" u="none" baseline="0">
              <a:solidFill>
                <a:srgbClr val="FF0000"/>
              </a:solidFill>
              <a:latin typeface="Calibri"/>
              <a:ea typeface="Calibri"/>
              <a:cs typeface="Calibri"/>
            </a:rPr>
            <a:t> về</a:t>
          </a:r>
        </a:p>
      </xdr:txBody>
    </xdr:sp>
    <xdr:clientData fPrintsWithSheet="0"/>
  </xdr:twoCellAnchor>
  <xdr:twoCellAnchor>
    <xdr:from>
      <xdr:col>7</xdr:col>
      <xdr:colOff>257175</xdr:colOff>
      <xdr:row>1</xdr:row>
      <xdr:rowOff>114300</xdr:rowOff>
    </xdr:from>
    <xdr:to>
      <xdr:col>7</xdr:col>
      <xdr:colOff>981075</xdr:colOff>
      <xdr:row>3</xdr:row>
      <xdr:rowOff>0</xdr:rowOff>
    </xdr:to>
    <xdr:sp>
      <xdr:nvSpPr>
        <xdr:cNvPr id="3" name="TextBox 3">
          <a:hlinkClick r:id="rId3"/>
        </xdr:cNvPr>
        <xdr:cNvSpPr txBox="1">
          <a:spLocks noChangeArrowheads="1"/>
        </xdr:cNvSpPr>
      </xdr:nvSpPr>
      <xdr:spPr>
        <a:xfrm>
          <a:off x="7353300" y="276225"/>
          <a:ext cx="723900" cy="209550"/>
        </a:xfrm>
        <a:prstGeom prst="rect">
          <a:avLst/>
        </a:prstGeom>
        <a:solidFill>
          <a:srgbClr val="C5E0B4"/>
        </a:solidFill>
        <a:ln w="9525" cmpd="sng">
          <a:solidFill>
            <a:srgbClr val="BCBCBC"/>
          </a:solidFill>
          <a:headEnd type="none"/>
          <a:tailEnd type="none"/>
        </a:ln>
      </xdr:spPr>
      <xdr:txBody>
        <a:bodyPr vertOverflow="clip" wrap="square"/>
        <a:p>
          <a:pPr algn="ctr">
            <a:defRPr/>
          </a:pPr>
          <a:r>
            <a:rPr lang="en-US" cap="none" sz="1100" b="1" i="0" u="none" baseline="0">
              <a:solidFill>
                <a:srgbClr val="FF0000"/>
              </a:solidFill>
              <a:latin typeface="Calibri"/>
              <a:ea typeface="Calibri"/>
              <a:cs typeface="Calibri"/>
            </a:rPr>
            <a:t>Trở</a:t>
          </a:r>
          <a:r>
            <a:rPr lang="en-US" cap="none" sz="1100" b="1" i="0" u="none" baseline="0">
              <a:solidFill>
                <a:srgbClr val="FF0000"/>
              </a:solidFill>
              <a:latin typeface="Calibri"/>
              <a:ea typeface="Calibri"/>
              <a:cs typeface="Calibri"/>
            </a:rPr>
            <a:t> về</a:t>
          </a:r>
        </a:p>
      </xdr:txBody>
    </xdr:sp>
    <xdr:clientData fPrintsWithSheet="0"/>
  </xdr:twoCellAnchor>
  <xdr:twoCellAnchor>
    <xdr:from>
      <xdr:col>7</xdr:col>
      <xdr:colOff>257175</xdr:colOff>
      <xdr:row>1</xdr:row>
      <xdr:rowOff>114300</xdr:rowOff>
    </xdr:from>
    <xdr:to>
      <xdr:col>7</xdr:col>
      <xdr:colOff>981075</xdr:colOff>
      <xdr:row>3</xdr:row>
      <xdr:rowOff>0</xdr:rowOff>
    </xdr:to>
    <xdr:sp>
      <xdr:nvSpPr>
        <xdr:cNvPr id="4" name="TextBox 4">
          <a:hlinkClick r:id="rId4"/>
        </xdr:cNvPr>
        <xdr:cNvSpPr txBox="1">
          <a:spLocks noChangeArrowheads="1"/>
        </xdr:cNvSpPr>
      </xdr:nvSpPr>
      <xdr:spPr>
        <a:xfrm>
          <a:off x="7353300" y="276225"/>
          <a:ext cx="723900" cy="209550"/>
        </a:xfrm>
        <a:prstGeom prst="rect">
          <a:avLst/>
        </a:prstGeom>
        <a:solidFill>
          <a:srgbClr val="C5E0B4"/>
        </a:solidFill>
        <a:ln w="9525" cmpd="sng">
          <a:solidFill>
            <a:srgbClr val="BCBCBC"/>
          </a:solidFill>
          <a:headEnd type="none"/>
          <a:tailEnd type="none"/>
        </a:ln>
      </xdr:spPr>
      <xdr:txBody>
        <a:bodyPr vertOverflow="clip" wrap="square"/>
        <a:p>
          <a:pPr algn="ctr">
            <a:defRPr/>
          </a:pPr>
          <a:r>
            <a:rPr lang="en-US" cap="none" sz="1100" b="1" i="0" u="none" baseline="0">
              <a:solidFill>
                <a:srgbClr val="FF0000"/>
              </a:solidFill>
              <a:latin typeface="Calibri"/>
              <a:ea typeface="Calibri"/>
              <a:cs typeface="Calibri"/>
            </a:rPr>
            <a:t>Trở</a:t>
          </a:r>
          <a:r>
            <a:rPr lang="en-US" cap="none" sz="1100" b="1" i="0" u="none" baseline="0">
              <a:solidFill>
                <a:srgbClr val="FF0000"/>
              </a:solidFill>
              <a:latin typeface="Calibri"/>
              <a:ea typeface="Calibri"/>
              <a:cs typeface="Calibri"/>
            </a:rPr>
            <a:t> về</a:t>
          </a:r>
        </a:p>
      </xdr:txBody>
    </xdr:sp>
    <xdr:clientData fPrintsWithSheet="0"/>
  </xdr:twoCellAnchor>
  <xdr:twoCellAnchor>
    <xdr:from>
      <xdr:col>7</xdr:col>
      <xdr:colOff>257175</xdr:colOff>
      <xdr:row>1</xdr:row>
      <xdr:rowOff>114300</xdr:rowOff>
    </xdr:from>
    <xdr:to>
      <xdr:col>7</xdr:col>
      <xdr:colOff>981075</xdr:colOff>
      <xdr:row>3</xdr:row>
      <xdr:rowOff>0</xdr:rowOff>
    </xdr:to>
    <xdr:sp>
      <xdr:nvSpPr>
        <xdr:cNvPr id="5" name="TextBox 5">
          <a:hlinkClick r:id="rId5"/>
        </xdr:cNvPr>
        <xdr:cNvSpPr txBox="1">
          <a:spLocks noChangeArrowheads="1"/>
        </xdr:cNvSpPr>
      </xdr:nvSpPr>
      <xdr:spPr>
        <a:xfrm>
          <a:off x="7353300" y="276225"/>
          <a:ext cx="723900" cy="209550"/>
        </a:xfrm>
        <a:prstGeom prst="rect">
          <a:avLst/>
        </a:prstGeom>
        <a:solidFill>
          <a:srgbClr val="C5E0B4"/>
        </a:solidFill>
        <a:ln w="9525" cmpd="sng">
          <a:solidFill>
            <a:srgbClr val="BCBCBC"/>
          </a:solidFill>
          <a:headEnd type="none"/>
          <a:tailEnd type="none"/>
        </a:ln>
      </xdr:spPr>
      <xdr:txBody>
        <a:bodyPr vertOverflow="clip" wrap="square"/>
        <a:p>
          <a:pPr algn="ctr">
            <a:defRPr/>
          </a:pPr>
          <a:r>
            <a:rPr lang="en-US" cap="none" sz="1100" b="1" i="0" u="none" baseline="0">
              <a:solidFill>
                <a:srgbClr val="FF0000"/>
              </a:solidFill>
              <a:latin typeface="Calibri"/>
              <a:ea typeface="Calibri"/>
              <a:cs typeface="Calibri"/>
            </a:rPr>
            <a:t>Trở</a:t>
          </a:r>
          <a:r>
            <a:rPr lang="en-US" cap="none" sz="1100" b="1" i="0" u="none" baseline="0">
              <a:solidFill>
                <a:srgbClr val="FF0000"/>
              </a:solidFill>
              <a:latin typeface="Calibri"/>
              <a:ea typeface="Calibri"/>
              <a:cs typeface="Calibri"/>
            </a:rPr>
            <a:t> về</a:t>
          </a:r>
        </a:p>
      </xdr:txBody>
    </xdr:sp>
    <xdr:clientData fPrintsWithSheet="0"/>
  </xdr:twoCellAnchor>
  <xdr:twoCellAnchor>
    <xdr:from>
      <xdr:col>7</xdr:col>
      <xdr:colOff>257175</xdr:colOff>
      <xdr:row>1</xdr:row>
      <xdr:rowOff>114300</xdr:rowOff>
    </xdr:from>
    <xdr:to>
      <xdr:col>7</xdr:col>
      <xdr:colOff>981075</xdr:colOff>
      <xdr:row>3</xdr:row>
      <xdr:rowOff>0</xdr:rowOff>
    </xdr:to>
    <xdr:sp>
      <xdr:nvSpPr>
        <xdr:cNvPr id="6" name="TextBox 6">
          <a:hlinkClick r:id="rId6"/>
        </xdr:cNvPr>
        <xdr:cNvSpPr txBox="1">
          <a:spLocks noChangeArrowheads="1"/>
        </xdr:cNvSpPr>
      </xdr:nvSpPr>
      <xdr:spPr>
        <a:xfrm>
          <a:off x="7353300" y="276225"/>
          <a:ext cx="723900" cy="209550"/>
        </a:xfrm>
        <a:prstGeom prst="rect">
          <a:avLst/>
        </a:prstGeom>
        <a:solidFill>
          <a:srgbClr val="C5E0B4"/>
        </a:solidFill>
        <a:ln w="9525" cmpd="sng">
          <a:solidFill>
            <a:srgbClr val="BCBCBC"/>
          </a:solidFill>
          <a:headEnd type="none"/>
          <a:tailEnd type="none"/>
        </a:ln>
      </xdr:spPr>
      <xdr:txBody>
        <a:bodyPr vertOverflow="clip" wrap="square"/>
        <a:p>
          <a:pPr algn="ctr">
            <a:defRPr/>
          </a:pPr>
          <a:r>
            <a:rPr lang="en-US" cap="none" sz="1100" b="1" i="0" u="none" baseline="0">
              <a:solidFill>
                <a:srgbClr val="FF0000"/>
              </a:solidFill>
              <a:latin typeface="Calibri"/>
              <a:ea typeface="Calibri"/>
              <a:cs typeface="Calibri"/>
            </a:rPr>
            <a:t>Trở</a:t>
          </a:r>
          <a:r>
            <a:rPr lang="en-US" cap="none" sz="1100" b="1" i="0" u="none" baseline="0">
              <a:solidFill>
                <a:srgbClr val="FF0000"/>
              </a:solidFill>
              <a:latin typeface="Calibri"/>
              <a:ea typeface="Calibri"/>
              <a:cs typeface="Calibri"/>
            </a:rPr>
            <a:t> về</a:t>
          </a:r>
        </a:p>
      </xdr:txBody>
    </xdr:sp>
    <xdr:clientData fPrintsWithSheet="0"/>
  </xdr:twoCellAnchor>
  <xdr:twoCellAnchor>
    <xdr:from>
      <xdr:col>7</xdr:col>
      <xdr:colOff>257175</xdr:colOff>
      <xdr:row>1</xdr:row>
      <xdr:rowOff>114300</xdr:rowOff>
    </xdr:from>
    <xdr:to>
      <xdr:col>7</xdr:col>
      <xdr:colOff>981075</xdr:colOff>
      <xdr:row>3</xdr:row>
      <xdr:rowOff>0</xdr:rowOff>
    </xdr:to>
    <xdr:sp>
      <xdr:nvSpPr>
        <xdr:cNvPr id="7" name="TextBox 7">
          <a:hlinkClick r:id="rId7"/>
        </xdr:cNvPr>
        <xdr:cNvSpPr txBox="1">
          <a:spLocks noChangeArrowheads="1"/>
        </xdr:cNvSpPr>
      </xdr:nvSpPr>
      <xdr:spPr>
        <a:xfrm>
          <a:off x="7353300" y="276225"/>
          <a:ext cx="723900" cy="209550"/>
        </a:xfrm>
        <a:prstGeom prst="rect">
          <a:avLst/>
        </a:prstGeom>
        <a:solidFill>
          <a:srgbClr val="C5E0B4"/>
        </a:solidFill>
        <a:ln w="9525" cmpd="sng">
          <a:solidFill>
            <a:srgbClr val="BCBCBC"/>
          </a:solidFill>
          <a:headEnd type="none"/>
          <a:tailEnd type="none"/>
        </a:ln>
      </xdr:spPr>
      <xdr:txBody>
        <a:bodyPr vertOverflow="clip" wrap="square"/>
        <a:p>
          <a:pPr algn="ctr">
            <a:defRPr/>
          </a:pPr>
          <a:r>
            <a:rPr lang="en-US" cap="none" sz="1100" b="1" i="0" u="none" baseline="0">
              <a:solidFill>
                <a:srgbClr val="FF0000"/>
              </a:solidFill>
              <a:latin typeface="Calibri"/>
              <a:ea typeface="Calibri"/>
              <a:cs typeface="Calibri"/>
            </a:rPr>
            <a:t>Trở</a:t>
          </a:r>
          <a:r>
            <a:rPr lang="en-US" cap="none" sz="1100" b="1" i="0" u="none" baseline="0">
              <a:solidFill>
                <a:srgbClr val="FF0000"/>
              </a:solidFill>
              <a:latin typeface="Calibri"/>
              <a:ea typeface="Calibri"/>
              <a:cs typeface="Calibri"/>
            </a:rPr>
            <a:t> về</a:t>
          </a:r>
        </a:p>
      </xdr:txBody>
    </xdr:sp>
    <xdr:clientData fPrintsWithSheet="0"/>
  </xdr:twoCellAnchor>
  <xdr:twoCellAnchor>
    <xdr:from>
      <xdr:col>7</xdr:col>
      <xdr:colOff>257175</xdr:colOff>
      <xdr:row>1</xdr:row>
      <xdr:rowOff>114300</xdr:rowOff>
    </xdr:from>
    <xdr:to>
      <xdr:col>7</xdr:col>
      <xdr:colOff>981075</xdr:colOff>
      <xdr:row>3</xdr:row>
      <xdr:rowOff>0</xdr:rowOff>
    </xdr:to>
    <xdr:sp>
      <xdr:nvSpPr>
        <xdr:cNvPr id="8" name="TextBox 8">
          <a:hlinkClick r:id="rId8"/>
        </xdr:cNvPr>
        <xdr:cNvSpPr txBox="1">
          <a:spLocks noChangeArrowheads="1"/>
        </xdr:cNvSpPr>
      </xdr:nvSpPr>
      <xdr:spPr>
        <a:xfrm>
          <a:off x="7353300" y="276225"/>
          <a:ext cx="723900" cy="209550"/>
        </a:xfrm>
        <a:prstGeom prst="rect">
          <a:avLst/>
        </a:prstGeom>
        <a:solidFill>
          <a:srgbClr val="C5E0B4"/>
        </a:solidFill>
        <a:ln w="9525" cmpd="sng">
          <a:solidFill>
            <a:srgbClr val="BCBCBC"/>
          </a:solidFill>
          <a:headEnd type="none"/>
          <a:tailEnd type="none"/>
        </a:ln>
      </xdr:spPr>
      <xdr:txBody>
        <a:bodyPr vertOverflow="clip" wrap="square"/>
        <a:p>
          <a:pPr algn="ctr">
            <a:defRPr/>
          </a:pPr>
          <a:r>
            <a:rPr lang="en-US" cap="none" sz="1100" b="1" i="0" u="none" baseline="0">
              <a:solidFill>
                <a:srgbClr val="FF0000"/>
              </a:solidFill>
              <a:latin typeface="Calibri"/>
              <a:ea typeface="Calibri"/>
              <a:cs typeface="Calibri"/>
            </a:rPr>
            <a:t>Trở</a:t>
          </a:r>
          <a:r>
            <a:rPr lang="en-US" cap="none" sz="1100" b="1" i="0" u="none" baseline="0">
              <a:solidFill>
                <a:srgbClr val="FF0000"/>
              </a:solidFill>
              <a:latin typeface="Calibri"/>
              <a:ea typeface="Calibri"/>
              <a:cs typeface="Calibri"/>
            </a:rPr>
            <a:t> về</a:t>
          </a:r>
        </a:p>
      </xdr:txBody>
    </xdr:sp>
    <xdr:clientData fPrintsWithSheet="0"/>
  </xdr:twoCellAnchor>
  <xdr:twoCellAnchor>
    <xdr:from>
      <xdr:col>7</xdr:col>
      <xdr:colOff>257175</xdr:colOff>
      <xdr:row>1</xdr:row>
      <xdr:rowOff>114300</xdr:rowOff>
    </xdr:from>
    <xdr:to>
      <xdr:col>7</xdr:col>
      <xdr:colOff>981075</xdr:colOff>
      <xdr:row>3</xdr:row>
      <xdr:rowOff>0</xdr:rowOff>
    </xdr:to>
    <xdr:sp>
      <xdr:nvSpPr>
        <xdr:cNvPr id="9" name="TextBox 9">
          <a:hlinkClick r:id="rId9"/>
        </xdr:cNvPr>
        <xdr:cNvSpPr txBox="1">
          <a:spLocks noChangeArrowheads="1"/>
        </xdr:cNvSpPr>
      </xdr:nvSpPr>
      <xdr:spPr>
        <a:xfrm>
          <a:off x="7353300" y="276225"/>
          <a:ext cx="723900" cy="209550"/>
        </a:xfrm>
        <a:prstGeom prst="rect">
          <a:avLst/>
        </a:prstGeom>
        <a:solidFill>
          <a:srgbClr val="C5E0B4"/>
        </a:solidFill>
        <a:ln w="9525" cmpd="sng">
          <a:solidFill>
            <a:srgbClr val="BCBCBC"/>
          </a:solidFill>
          <a:headEnd type="none"/>
          <a:tailEnd type="none"/>
        </a:ln>
      </xdr:spPr>
      <xdr:txBody>
        <a:bodyPr vertOverflow="clip" wrap="square"/>
        <a:p>
          <a:pPr algn="ctr">
            <a:defRPr/>
          </a:pPr>
          <a:r>
            <a:rPr lang="en-US" cap="none" sz="1100" b="1" i="0" u="none" baseline="0">
              <a:solidFill>
                <a:srgbClr val="FF0000"/>
              </a:solidFill>
              <a:latin typeface="Calibri"/>
              <a:ea typeface="Calibri"/>
              <a:cs typeface="Calibri"/>
            </a:rPr>
            <a:t>Trở</a:t>
          </a:r>
          <a:r>
            <a:rPr lang="en-US" cap="none" sz="1100" b="1" i="0" u="none" baseline="0">
              <a:solidFill>
                <a:srgbClr val="FF0000"/>
              </a:solidFill>
              <a:latin typeface="Calibri"/>
              <a:ea typeface="Calibri"/>
              <a:cs typeface="Calibri"/>
            </a:rPr>
            <a:t> về</a:t>
          </a:r>
        </a:p>
      </xdr:txBody>
    </xdr:sp>
    <xdr:clientData fPrintsWithSheet="0"/>
  </xdr:twoCellAnchor>
  <xdr:twoCellAnchor>
    <xdr:from>
      <xdr:col>7</xdr:col>
      <xdr:colOff>257175</xdr:colOff>
      <xdr:row>1</xdr:row>
      <xdr:rowOff>114300</xdr:rowOff>
    </xdr:from>
    <xdr:to>
      <xdr:col>7</xdr:col>
      <xdr:colOff>981075</xdr:colOff>
      <xdr:row>3</xdr:row>
      <xdr:rowOff>0</xdr:rowOff>
    </xdr:to>
    <xdr:sp>
      <xdr:nvSpPr>
        <xdr:cNvPr id="10" name="TextBox 10">
          <a:hlinkClick r:id="rId10"/>
        </xdr:cNvPr>
        <xdr:cNvSpPr txBox="1">
          <a:spLocks noChangeArrowheads="1"/>
        </xdr:cNvSpPr>
      </xdr:nvSpPr>
      <xdr:spPr>
        <a:xfrm>
          <a:off x="7353300" y="276225"/>
          <a:ext cx="723900" cy="209550"/>
        </a:xfrm>
        <a:prstGeom prst="rect">
          <a:avLst/>
        </a:prstGeom>
        <a:solidFill>
          <a:srgbClr val="C5E0B4"/>
        </a:solidFill>
        <a:ln w="9525" cmpd="sng">
          <a:solidFill>
            <a:srgbClr val="BCBCBC"/>
          </a:solidFill>
          <a:headEnd type="none"/>
          <a:tailEnd type="none"/>
        </a:ln>
      </xdr:spPr>
      <xdr:txBody>
        <a:bodyPr vertOverflow="clip" wrap="square"/>
        <a:p>
          <a:pPr algn="ctr">
            <a:defRPr/>
          </a:pPr>
          <a:r>
            <a:rPr lang="en-US" cap="none" sz="1100" b="1" i="0" u="none" baseline="0">
              <a:solidFill>
                <a:srgbClr val="FF0000"/>
              </a:solidFill>
              <a:latin typeface="Calibri"/>
              <a:ea typeface="Calibri"/>
              <a:cs typeface="Calibri"/>
            </a:rPr>
            <a:t>Trở</a:t>
          </a:r>
          <a:r>
            <a:rPr lang="en-US" cap="none" sz="1100" b="1" i="0" u="none" baseline="0">
              <a:solidFill>
                <a:srgbClr val="FF0000"/>
              </a:solidFill>
              <a:latin typeface="Calibri"/>
              <a:ea typeface="Calibri"/>
              <a:cs typeface="Calibri"/>
            </a:rPr>
            <a:t> về</a:t>
          </a:r>
        </a:p>
      </xdr:txBody>
    </xdr:sp>
    <xdr:clientData fPrintsWithSheet="0"/>
  </xdr:twoCellAnchor>
  <xdr:twoCellAnchor>
    <xdr:from>
      <xdr:col>7</xdr:col>
      <xdr:colOff>257175</xdr:colOff>
      <xdr:row>1</xdr:row>
      <xdr:rowOff>114300</xdr:rowOff>
    </xdr:from>
    <xdr:to>
      <xdr:col>7</xdr:col>
      <xdr:colOff>981075</xdr:colOff>
      <xdr:row>3</xdr:row>
      <xdr:rowOff>0</xdr:rowOff>
    </xdr:to>
    <xdr:sp>
      <xdr:nvSpPr>
        <xdr:cNvPr id="11" name="TextBox 11">
          <a:hlinkClick r:id="rId11"/>
        </xdr:cNvPr>
        <xdr:cNvSpPr txBox="1">
          <a:spLocks noChangeArrowheads="1"/>
        </xdr:cNvSpPr>
      </xdr:nvSpPr>
      <xdr:spPr>
        <a:xfrm>
          <a:off x="7353300" y="276225"/>
          <a:ext cx="723900" cy="209550"/>
        </a:xfrm>
        <a:prstGeom prst="rect">
          <a:avLst/>
        </a:prstGeom>
        <a:solidFill>
          <a:srgbClr val="C5E0B4"/>
        </a:solidFill>
        <a:ln w="9525" cmpd="sng">
          <a:solidFill>
            <a:srgbClr val="BCBCBC"/>
          </a:solidFill>
          <a:headEnd type="none"/>
          <a:tailEnd type="none"/>
        </a:ln>
      </xdr:spPr>
      <xdr:txBody>
        <a:bodyPr vertOverflow="clip" wrap="square"/>
        <a:p>
          <a:pPr algn="ctr">
            <a:defRPr/>
          </a:pPr>
          <a:r>
            <a:rPr lang="en-US" cap="none" sz="1100" b="1" i="0" u="none" baseline="0">
              <a:solidFill>
                <a:srgbClr val="FF0000"/>
              </a:solidFill>
              <a:latin typeface="Calibri"/>
              <a:ea typeface="Calibri"/>
              <a:cs typeface="Calibri"/>
            </a:rPr>
            <a:t>Trở</a:t>
          </a:r>
          <a:r>
            <a:rPr lang="en-US" cap="none" sz="1100" b="1" i="0" u="none" baseline="0">
              <a:solidFill>
                <a:srgbClr val="FF0000"/>
              </a:solidFill>
              <a:latin typeface="Calibri"/>
              <a:ea typeface="Calibri"/>
              <a:cs typeface="Calibri"/>
            </a:rPr>
            <a:t> về</a:t>
          </a:r>
        </a:p>
      </xdr:txBody>
    </xdr:sp>
    <xdr:clientData fPrintsWithSheet="0"/>
  </xdr:twoCellAnchor>
  <xdr:twoCellAnchor>
    <xdr:from>
      <xdr:col>7</xdr:col>
      <xdr:colOff>257175</xdr:colOff>
      <xdr:row>1</xdr:row>
      <xdr:rowOff>114300</xdr:rowOff>
    </xdr:from>
    <xdr:to>
      <xdr:col>7</xdr:col>
      <xdr:colOff>981075</xdr:colOff>
      <xdr:row>3</xdr:row>
      <xdr:rowOff>0</xdr:rowOff>
    </xdr:to>
    <xdr:sp>
      <xdr:nvSpPr>
        <xdr:cNvPr id="12" name="TextBox 12">
          <a:hlinkClick r:id="rId12"/>
        </xdr:cNvPr>
        <xdr:cNvSpPr txBox="1">
          <a:spLocks noChangeArrowheads="1"/>
        </xdr:cNvSpPr>
      </xdr:nvSpPr>
      <xdr:spPr>
        <a:xfrm>
          <a:off x="7353300" y="276225"/>
          <a:ext cx="723900" cy="209550"/>
        </a:xfrm>
        <a:prstGeom prst="rect">
          <a:avLst/>
        </a:prstGeom>
        <a:solidFill>
          <a:srgbClr val="C5E0B4"/>
        </a:solidFill>
        <a:ln w="9525" cmpd="sng">
          <a:solidFill>
            <a:srgbClr val="BCBCBC"/>
          </a:solidFill>
          <a:headEnd type="none"/>
          <a:tailEnd type="none"/>
        </a:ln>
      </xdr:spPr>
      <xdr:txBody>
        <a:bodyPr vertOverflow="clip" wrap="square"/>
        <a:p>
          <a:pPr algn="ctr">
            <a:defRPr/>
          </a:pPr>
          <a:r>
            <a:rPr lang="en-US" cap="none" sz="1100" b="1" i="0" u="none" baseline="0">
              <a:solidFill>
                <a:srgbClr val="FF0000"/>
              </a:solidFill>
              <a:latin typeface="Calibri"/>
              <a:ea typeface="Calibri"/>
              <a:cs typeface="Calibri"/>
            </a:rPr>
            <a:t>Trở</a:t>
          </a:r>
          <a:r>
            <a:rPr lang="en-US" cap="none" sz="1100" b="1" i="0" u="none" baseline="0">
              <a:solidFill>
                <a:srgbClr val="FF0000"/>
              </a:solidFill>
              <a:latin typeface="Calibri"/>
              <a:ea typeface="Calibri"/>
              <a:cs typeface="Calibri"/>
            </a:rPr>
            <a:t> về</a:t>
          </a:r>
        </a:p>
      </xdr:txBody>
    </xdr:sp>
    <xdr:clientData fPrintsWithSheet="0"/>
  </xdr:twoCellAnchor>
  <xdr:twoCellAnchor>
    <xdr:from>
      <xdr:col>7</xdr:col>
      <xdr:colOff>257175</xdr:colOff>
      <xdr:row>1</xdr:row>
      <xdr:rowOff>114300</xdr:rowOff>
    </xdr:from>
    <xdr:to>
      <xdr:col>7</xdr:col>
      <xdr:colOff>981075</xdr:colOff>
      <xdr:row>3</xdr:row>
      <xdr:rowOff>0</xdr:rowOff>
    </xdr:to>
    <xdr:sp>
      <xdr:nvSpPr>
        <xdr:cNvPr id="13" name="TextBox 13">
          <a:hlinkClick r:id="rId13"/>
        </xdr:cNvPr>
        <xdr:cNvSpPr txBox="1">
          <a:spLocks noChangeArrowheads="1"/>
        </xdr:cNvSpPr>
      </xdr:nvSpPr>
      <xdr:spPr>
        <a:xfrm>
          <a:off x="7353300" y="276225"/>
          <a:ext cx="723900" cy="209550"/>
        </a:xfrm>
        <a:prstGeom prst="rect">
          <a:avLst/>
        </a:prstGeom>
        <a:solidFill>
          <a:srgbClr val="C5E0B4"/>
        </a:solidFill>
        <a:ln w="9525" cmpd="sng">
          <a:solidFill>
            <a:srgbClr val="BCBCBC"/>
          </a:solidFill>
          <a:headEnd type="none"/>
          <a:tailEnd type="none"/>
        </a:ln>
      </xdr:spPr>
      <xdr:txBody>
        <a:bodyPr vertOverflow="clip" wrap="square"/>
        <a:p>
          <a:pPr algn="ctr">
            <a:defRPr/>
          </a:pPr>
          <a:r>
            <a:rPr lang="en-US" cap="none" sz="1100" b="1" i="0" u="none" baseline="0">
              <a:solidFill>
                <a:srgbClr val="FF0000"/>
              </a:solidFill>
              <a:latin typeface="Calibri"/>
              <a:ea typeface="Calibri"/>
              <a:cs typeface="Calibri"/>
            </a:rPr>
            <a:t>Trở</a:t>
          </a:r>
          <a:r>
            <a:rPr lang="en-US" cap="none" sz="1100" b="1" i="0" u="none" baseline="0">
              <a:solidFill>
                <a:srgbClr val="FF0000"/>
              </a:solidFill>
              <a:latin typeface="Calibri"/>
              <a:ea typeface="Calibri"/>
              <a:cs typeface="Calibri"/>
            </a:rPr>
            <a:t> về</a:t>
          </a:r>
        </a:p>
      </xdr:txBody>
    </xdr:sp>
    <xdr:clientData fPrintsWithSheet="0"/>
  </xdr:twoCellAnchor>
  <xdr:twoCellAnchor>
    <xdr:from>
      <xdr:col>7</xdr:col>
      <xdr:colOff>257175</xdr:colOff>
      <xdr:row>1</xdr:row>
      <xdr:rowOff>114300</xdr:rowOff>
    </xdr:from>
    <xdr:to>
      <xdr:col>7</xdr:col>
      <xdr:colOff>981075</xdr:colOff>
      <xdr:row>3</xdr:row>
      <xdr:rowOff>0</xdr:rowOff>
    </xdr:to>
    <xdr:sp>
      <xdr:nvSpPr>
        <xdr:cNvPr id="14" name="TextBox 14">
          <a:hlinkClick r:id="rId14"/>
        </xdr:cNvPr>
        <xdr:cNvSpPr txBox="1">
          <a:spLocks noChangeArrowheads="1"/>
        </xdr:cNvSpPr>
      </xdr:nvSpPr>
      <xdr:spPr>
        <a:xfrm>
          <a:off x="7353300" y="276225"/>
          <a:ext cx="723900" cy="209550"/>
        </a:xfrm>
        <a:prstGeom prst="rect">
          <a:avLst/>
        </a:prstGeom>
        <a:solidFill>
          <a:srgbClr val="C5E0B4"/>
        </a:solidFill>
        <a:ln w="9525" cmpd="sng">
          <a:solidFill>
            <a:srgbClr val="BCBCBC"/>
          </a:solidFill>
          <a:headEnd type="none"/>
          <a:tailEnd type="none"/>
        </a:ln>
      </xdr:spPr>
      <xdr:txBody>
        <a:bodyPr vertOverflow="clip" wrap="square"/>
        <a:p>
          <a:pPr algn="ctr">
            <a:defRPr/>
          </a:pPr>
          <a:r>
            <a:rPr lang="en-US" cap="none" sz="1100" b="1" i="0" u="none" baseline="0">
              <a:solidFill>
                <a:srgbClr val="FF0000"/>
              </a:solidFill>
              <a:latin typeface="Calibri"/>
              <a:ea typeface="Calibri"/>
              <a:cs typeface="Calibri"/>
            </a:rPr>
            <a:t>Trở</a:t>
          </a:r>
          <a:r>
            <a:rPr lang="en-US" cap="none" sz="1100" b="1" i="0" u="none" baseline="0">
              <a:solidFill>
                <a:srgbClr val="FF0000"/>
              </a:solidFill>
              <a:latin typeface="Calibri"/>
              <a:ea typeface="Calibri"/>
              <a:cs typeface="Calibri"/>
            </a:rPr>
            <a:t> về</a:t>
          </a:r>
        </a:p>
      </xdr:txBody>
    </xdr:sp>
    <xdr:clientData fPrintsWithSheet="0"/>
  </xdr:twoCellAnchor>
  <xdr:twoCellAnchor>
    <xdr:from>
      <xdr:col>7</xdr:col>
      <xdr:colOff>257175</xdr:colOff>
      <xdr:row>1</xdr:row>
      <xdr:rowOff>114300</xdr:rowOff>
    </xdr:from>
    <xdr:to>
      <xdr:col>7</xdr:col>
      <xdr:colOff>981075</xdr:colOff>
      <xdr:row>3</xdr:row>
      <xdr:rowOff>0</xdr:rowOff>
    </xdr:to>
    <xdr:sp>
      <xdr:nvSpPr>
        <xdr:cNvPr id="15" name="TextBox 15">
          <a:hlinkClick r:id="rId15"/>
        </xdr:cNvPr>
        <xdr:cNvSpPr txBox="1">
          <a:spLocks noChangeArrowheads="1"/>
        </xdr:cNvSpPr>
      </xdr:nvSpPr>
      <xdr:spPr>
        <a:xfrm>
          <a:off x="7353300" y="276225"/>
          <a:ext cx="723900" cy="209550"/>
        </a:xfrm>
        <a:prstGeom prst="rect">
          <a:avLst/>
        </a:prstGeom>
        <a:solidFill>
          <a:srgbClr val="C5E0B4"/>
        </a:solidFill>
        <a:ln w="9525" cmpd="sng">
          <a:solidFill>
            <a:srgbClr val="BCBCBC"/>
          </a:solidFill>
          <a:headEnd type="none"/>
          <a:tailEnd type="none"/>
        </a:ln>
      </xdr:spPr>
      <xdr:txBody>
        <a:bodyPr vertOverflow="clip" wrap="square"/>
        <a:p>
          <a:pPr algn="ctr">
            <a:defRPr/>
          </a:pPr>
          <a:r>
            <a:rPr lang="en-US" cap="none" sz="1100" b="1" i="0" u="none" baseline="0">
              <a:solidFill>
                <a:srgbClr val="FF0000"/>
              </a:solidFill>
              <a:latin typeface="Calibri"/>
              <a:ea typeface="Calibri"/>
              <a:cs typeface="Calibri"/>
            </a:rPr>
            <a:t>Trở</a:t>
          </a:r>
          <a:r>
            <a:rPr lang="en-US" cap="none" sz="1100" b="1" i="0" u="none" baseline="0">
              <a:solidFill>
                <a:srgbClr val="FF0000"/>
              </a:solidFill>
              <a:latin typeface="Calibri"/>
              <a:ea typeface="Calibri"/>
              <a:cs typeface="Calibri"/>
            </a:rPr>
            <a:t> về</a:t>
          </a:r>
        </a:p>
      </xdr:txBody>
    </xdr:sp>
    <xdr:clientData fPrintsWithSheet="0"/>
  </xdr:twoCellAnchor>
  <xdr:twoCellAnchor>
    <xdr:from>
      <xdr:col>7</xdr:col>
      <xdr:colOff>257175</xdr:colOff>
      <xdr:row>1</xdr:row>
      <xdr:rowOff>114300</xdr:rowOff>
    </xdr:from>
    <xdr:to>
      <xdr:col>7</xdr:col>
      <xdr:colOff>981075</xdr:colOff>
      <xdr:row>3</xdr:row>
      <xdr:rowOff>0</xdr:rowOff>
    </xdr:to>
    <xdr:sp>
      <xdr:nvSpPr>
        <xdr:cNvPr id="16" name="TextBox 16">
          <a:hlinkClick r:id="rId16"/>
        </xdr:cNvPr>
        <xdr:cNvSpPr txBox="1">
          <a:spLocks noChangeArrowheads="1"/>
        </xdr:cNvSpPr>
      </xdr:nvSpPr>
      <xdr:spPr>
        <a:xfrm>
          <a:off x="7353300" y="276225"/>
          <a:ext cx="723900" cy="209550"/>
        </a:xfrm>
        <a:prstGeom prst="rect">
          <a:avLst/>
        </a:prstGeom>
        <a:solidFill>
          <a:srgbClr val="C5E0B4"/>
        </a:solidFill>
        <a:ln w="9525" cmpd="sng">
          <a:solidFill>
            <a:srgbClr val="BCBCBC"/>
          </a:solidFill>
          <a:headEnd type="none"/>
          <a:tailEnd type="none"/>
        </a:ln>
      </xdr:spPr>
      <xdr:txBody>
        <a:bodyPr vertOverflow="clip" wrap="square"/>
        <a:p>
          <a:pPr algn="ctr">
            <a:defRPr/>
          </a:pPr>
          <a:r>
            <a:rPr lang="en-US" cap="none" sz="1100" b="1" i="0" u="none" baseline="0">
              <a:solidFill>
                <a:srgbClr val="FF0000"/>
              </a:solidFill>
              <a:latin typeface="Calibri"/>
              <a:ea typeface="Calibri"/>
              <a:cs typeface="Calibri"/>
            </a:rPr>
            <a:t>Trở</a:t>
          </a:r>
          <a:r>
            <a:rPr lang="en-US" cap="none" sz="1100" b="1" i="0" u="none" baseline="0">
              <a:solidFill>
                <a:srgbClr val="FF0000"/>
              </a:solidFill>
              <a:latin typeface="Calibri"/>
              <a:ea typeface="Calibri"/>
              <a:cs typeface="Calibri"/>
            </a:rPr>
            <a:t> về</a:t>
          </a:r>
        </a:p>
      </xdr:txBody>
    </xdr:sp>
    <xdr:clientData fPrintsWithSheet="0"/>
  </xdr:twoCellAnchor>
  <xdr:twoCellAnchor>
    <xdr:from>
      <xdr:col>7</xdr:col>
      <xdr:colOff>257175</xdr:colOff>
      <xdr:row>1</xdr:row>
      <xdr:rowOff>114300</xdr:rowOff>
    </xdr:from>
    <xdr:to>
      <xdr:col>7</xdr:col>
      <xdr:colOff>981075</xdr:colOff>
      <xdr:row>3</xdr:row>
      <xdr:rowOff>0</xdr:rowOff>
    </xdr:to>
    <xdr:sp>
      <xdr:nvSpPr>
        <xdr:cNvPr id="17" name="TextBox 17">
          <a:hlinkClick r:id="rId17"/>
        </xdr:cNvPr>
        <xdr:cNvSpPr txBox="1">
          <a:spLocks noChangeArrowheads="1"/>
        </xdr:cNvSpPr>
      </xdr:nvSpPr>
      <xdr:spPr>
        <a:xfrm>
          <a:off x="7353300" y="276225"/>
          <a:ext cx="723900" cy="209550"/>
        </a:xfrm>
        <a:prstGeom prst="rect">
          <a:avLst/>
        </a:prstGeom>
        <a:solidFill>
          <a:srgbClr val="C5E0B4"/>
        </a:solidFill>
        <a:ln w="9525" cmpd="sng">
          <a:solidFill>
            <a:srgbClr val="BCBCBC"/>
          </a:solidFill>
          <a:headEnd type="none"/>
          <a:tailEnd type="none"/>
        </a:ln>
      </xdr:spPr>
      <xdr:txBody>
        <a:bodyPr vertOverflow="clip" wrap="square"/>
        <a:p>
          <a:pPr algn="ctr">
            <a:defRPr/>
          </a:pPr>
          <a:r>
            <a:rPr lang="en-US" cap="none" sz="1100" b="1" i="0" u="none" baseline="0">
              <a:solidFill>
                <a:srgbClr val="FF0000"/>
              </a:solidFill>
              <a:latin typeface="Calibri"/>
              <a:ea typeface="Calibri"/>
              <a:cs typeface="Calibri"/>
            </a:rPr>
            <a:t>Trở</a:t>
          </a:r>
          <a:r>
            <a:rPr lang="en-US" cap="none" sz="1100" b="1" i="0" u="none" baseline="0">
              <a:solidFill>
                <a:srgbClr val="FF0000"/>
              </a:solidFill>
              <a:latin typeface="Calibri"/>
              <a:ea typeface="Calibri"/>
              <a:cs typeface="Calibri"/>
            </a:rPr>
            <a:t> về</a:t>
          </a:r>
        </a:p>
      </xdr:txBody>
    </xdr:sp>
    <xdr:clientData fPrintsWithSheet="0"/>
  </xdr:twoCellAnchor>
  <xdr:twoCellAnchor>
    <xdr:from>
      <xdr:col>7</xdr:col>
      <xdr:colOff>257175</xdr:colOff>
      <xdr:row>1</xdr:row>
      <xdr:rowOff>114300</xdr:rowOff>
    </xdr:from>
    <xdr:to>
      <xdr:col>7</xdr:col>
      <xdr:colOff>981075</xdr:colOff>
      <xdr:row>3</xdr:row>
      <xdr:rowOff>0</xdr:rowOff>
    </xdr:to>
    <xdr:sp>
      <xdr:nvSpPr>
        <xdr:cNvPr id="18" name="TextBox 18">
          <a:hlinkClick r:id="rId18"/>
        </xdr:cNvPr>
        <xdr:cNvSpPr txBox="1">
          <a:spLocks noChangeArrowheads="1"/>
        </xdr:cNvSpPr>
      </xdr:nvSpPr>
      <xdr:spPr>
        <a:xfrm>
          <a:off x="7353300" y="276225"/>
          <a:ext cx="723900" cy="209550"/>
        </a:xfrm>
        <a:prstGeom prst="rect">
          <a:avLst/>
        </a:prstGeom>
        <a:solidFill>
          <a:srgbClr val="C5E0B4"/>
        </a:solidFill>
        <a:ln w="9525" cmpd="sng">
          <a:solidFill>
            <a:srgbClr val="BCBCBC"/>
          </a:solidFill>
          <a:headEnd type="none"/>
          <a:tailEnd type="none"/>
        </a:ln>
      </xdr:spPr>
      <xdr:txBody>
        <a:bodyPr vertOverflow="clip" wrap="square"/>
        <a:p>
          <a:pPr algn="ctr">
            <a:defRPr/>
          </a:pPr>
          <a:r>
            <a:rPr lang="en-US" cap="none" sz="1100" b="1" i="0" u="none" baseline="0">
              <a:solidFill>
                <a:srgbClr val="FF0000"/>
              </a:solidFill>
              <a:latin typeface="Calibri"/>
              <a:ea typeface="Calibri"/>
              <a:cs typeface="Calibri"/>
            </a:rPr>
            <a:t>Trở</a:t>
          </a:r>
          <a:r>
            <a:rPr lang="en-US" cap="none" sz="1100" b="1" i="0" u="none" baseline="0">
              <a:solidFill>
                <a:srgbClr val="FF0000"/>
              </a:solidFill>
              <a:latin typeface="Calibri"/>
              <a:ea typeface="Calibri"/>
              <a:cs typeface="Calibri"/>
            </a:rPr>
            <a:t> về</a:t>
          </a:r>
        </a:p>
      </xdr:txBody>
    </xdr:sp>
    <xdr:clientData fPrintsWithSheet="0"/>
  </xdr:twoCellAnchor>
  <xdr:twoCellAnchor>
    <xdr:from>
      <xdr:col>7</xdr:col>
      <xdr:colOff>257175</xdr:colOff>
      <xdr:row>1</xdr:row>
      <xdr:rowOff>114300</xdr:rowOff>
    </xdr:from>
    <xdr:to>
      <xdr:col>7</xdr:col>
      <xdr:colOff>981075</xdr:colOff>
      <xdr:row>3</xdr:row>
      <xdr:rowOff>0</xdr:rowOff>
    </xdr:to>
    <xdr:sp>
      <xdr:nvSpPr>
        <xdr:cNvPr id="19" name="TextBox 19">
          <a:hlinkClick r:id="rId19"/>
        </xdr:cNvPr>
        <xdr:cNvSpPr txBox="1">
          <a:spLocks noChangeArrowheads="1"/>
        </xdr:cNvSpPr>
      </xdr:nvSpPr>
      <xdr:spPr>
        <a:xfrm>
          <a:off x="7353300" y="276225"/>
          <a:ext cx="723900" cy="209550"/>
        </a:xfrm>
        <a:prstGeom prst="rect">
          <a:avLst/>
        </a:prstGeom>
        <a:solidFill>
          <a:srgbClr val="C5E0B4"/>
        </a:solidFill>
        <a:ln w="9525" cmpd="sng">
          <a:solidFill>
            <a:srgbClr val="BCBCBC"/>
          </a:solidFill>
          <a:headEnd type="none"/>
          <a:tailEnd type="none"/>
        </a:ln>
      </xdr:spPr>
      <xdr:txBody>
        <a:bodyPr vertOverflow="clip" wrap="square"/>
        <a:p>
          <a:pPr algn="ctr">
            <a:defRPr/>
          </a:pPr>
          <a:r>
            <a:rPr lang="en-US" cap="none" sz="1100" b="1" i="0" u="none" baseline="0">
              <a:solidFill>
                <a:srgbClr val="FF0000"/>
              </a:solidFill>
              <a:latin typeface="Calibri"/>
              <a:ea typeface="Calibri"/>
              <a:cs typeface="Calibri"/>
            </a:rPr>
            <a:t>Trở</a:t>
          </a:r>
          <a:r>
            <a:rPr lang="en-US" cap="none" sz="1100" b="1" i="0" u="none" baseline="0">
              <a:solidFill>
                <a:srgbClr val="FF0000"/>
              </a:solidFill>
              <a:latin typeface="Calibri"/>
              <a:ea typeface="Calibri"/>
              <a:cs typeface="Calibri"/>
            </a:rPr>
            <a:t> về</a:t>
          </a:r>
        </a:p>
      </xdr:txBody>
    </xdr:sp>
    <xdr:clientData fPrintsWithSheet="0"/>
  </xdr:twoCellAnchor>
  <xdr:twoCellAnchor>
    <xdr:from>
      <xdr:col>7</xdr:col>
      <xdr:colOff>257175</xdr:colOff>
      <xdr:row>1</xdr:row>
      <xdr:rowOff>114300</xdr:rowOff>
    </xdr:from>
    <xdr:to>
      <xdr:col>7</xdr:col>
      <xdr:colOff>981075</xdr:colOff>
      <xdr:row>3</xdr:row>
      <xdr:rowOff>0</xdr:rowOff>
    </xdr:to>
    <xdr:sp>
      <xdr:nvSpPr>
        <xdr:cNvPr id="20" name="TextBox 20">
          <a:hlinkClick r:id="rId20"/>
        </xdr:cNvPr>
        <xdr:cNvSpPr txBox="1">
          <a:spLocks noChangeArrowheads="1"/>
        </xdr:cNvSpPr>
      </xdr:nvSpPr>
      <xdr:spPr>
        <a:xfrm>
          <a:off x="7353300" y="276225"/>
          <a:ext cx="723900" cy="209550"/>
        </a:xfrm>
        <a:prstGeom prst="rect">
          <a:avLst/>
        </a:prstGeom>
        <a:solidFill>
          <a:srgbClr val="C5E0B4"/>
        </a:solidFill>
        <a:ln w="9525" cmpd="sng">
          <a:solidFill>
            <a:srgbClr val="BCBCBC"/>
          </a:solidFill>
          <a:headEnd type="none"/>
          <a:tailEnd type="none"/>
        </a:ln>
      </xdr:spPr>
      <xdr:txBody>
        <a:bodyPr vertOverflow="clip" wrap="square"/>
        <a:p>
          <a:pPr algn="ctr">
            <a:defRPr/>
          </a:pPr>
          <a:r>
            <a:rPr lang="en-US" cap="none" sz="1100" b="1" i="0" u="none" baseline="0">
              <a:solidFill>
                <a:srgbClr val="FF0000"/>
              </a:solidFill>
              <a:latin typeface="Calibri"/>
              <a:ea typeface="Calibri"/>
              <a:cs typeface="Calibri"/>
            </a:rPr>
            <a:t>Trở</a:t>
          </a:r>
          <a:r>
            <a:rPr lang="en-US" cap="none" sz="1100" b="1" i="0" u="none" baseline="0">
              <a:solidFill>
                <a:srgbClr val="FF0000"/>
              </a:solidFill>
              <a:latin typeface="Calibri"/>
              <a:ea typeface="Calibri"/>
              <a:cs typeface="Calibri"/>
            </a:rPr>
            <a:t> về</a:t>
          </a:r>
        </a:p>
      </xdr:txBody>
    </xdr:sp>
    <xdr:clientData fPrintsWithSheet="0"/>
  </xdr:twoCellAnchor>
  <xdr:twoCellAnchor>
    <xdr:from>
      <xdr:col>7</xdr:col>
      <xdr:colOff>257175</xdr:colOff>
      <xdr:row>1</xdr:row>
      <xdr:rowOff>114300</xdr:rowOff>
    </xdr:from>
    <xdr:to>
      <xdr:col>7</xdr:col>
      <xdr:colOff>981075</xdr:colOff>
      <xdr:row>3</xdr:row>
      <xdr:rowOff>0</xdr:rowOff>
    </xdr:to>
    <xdr:sp>
      <xdr:nvSpPr>
        <xdr:cNvPr id="21" name="TextBox 21">
          <a:hlinkClick r:id="rId21"/>
        </xdr:cNvPr>
        <xdr:cNvSpPr txBox="1">
          <a:spLocks noChangeArrowheads="1"/>
        </xdr:cNvSpPr>
      </xdr:nvSpPr>
      <xdr:spPr>
        <a:xfrm>
          <a:off x="7353300" y="276225"/>
          <a:ext cx="723900" cy="209550"/>
        </a:xfrm>
        <a:prstGeom prst="rect">
          <a:avLst/>
        </a:prstGeom>
        <a:solidFill>
          <a:srgbClr val="C5E0B4"/>
        </a:solidFill>
        <a:ln w="9525" cmpd="sng">
          <a:solidFill>
            <a:srgbClr val="BCBCBC"/>
          </a:solidFill>
          <a:headEnd type="none"/>
          <a:tailEnd type="none"/>
        </a:ln>
      </xdr:spPr>
      <xdr:txBody>
        <a:bodyPr vertOverflow="clip" wrap="square"/>
        <a:p>
          <a:pPr algn="ctr">
            <a:defRPr/>
          </a:pPr>
          <a:r>
            <a:rPr lang="en-US" cap="none" sz="1100" b="1" i="0" u="none" baseline="0">
              <a:solidFill>
                <a:srgbClr val="FF0000"/>
              </a:solidFill>
              <a:latin typeface="Calibri"/>
              <a:ea typeface="Calibri"/>
              <a:cs typeface="Calibri"/>
            </a:rPr>
            <a:t>Trở</a:t>
          </a:r>
          <a:r>
            <a:rPr lang="en-US" cap="none" sz="1100" b="1" i="0" u="none" baseline="0">
              <a:solidFill>
                <a:srgbClr val="FF0000"/>
              </a:solidFill>
              <a:latin typeface="Calibri"/>
              <a:ea typeface="Calibri"/>
              <a:cs typeface="Calibri"/>
            </a:rPr>
            <a:t> về</a:t>
          </a:r>
        </a:p>
      </xdr:txBody>
    </xdr:sp>
    <xdr:clientData fPrintsWithSheet="0"/>
  </xdr:twoCellAnchor>
  <xdr:twoCellAnchor>
    <xdr:from>
      <xdr:col>7</xdr:col>
      <xdr:colOff>257175</xdr:colOff>
      <xdr:row>1</xdr:row>
      <xdr:rowOff>114300</xdr:rowOff>
    </xdr:from>
    <xdr:to>
      <xdr:col>7</xdr:col>
      <xdr:colOff>981075</xdr:colOff>
      <xdr:row>3</xdr:row>
      <xdr:rowOff>0</xdr:rowOff>
    </xdr:to>
    <xdr:sp>
      <xdr:nvSpPr>
        <xdr:cNvPr id="22" name="TextBox 22">
          <a:hlinkClick r:id="rId22"/>
        </xdr:cNvPr>
        <xdr:cNvSpPr txBox="1">
          <a:spLocks noChangeArrowheads="1"/>
        </xdr:cNvSpPr>
      </xdr:nvSpPr>
      <xdr:spPr>
        <a:xfrm>
          <a:off x="7353300" y="276225"/>
          <a:ext cx="723900" cy="209550"/>
        </a:xfrm>
        <a:prstGeom prst="rect">
          <a:avLst/>
        </a:prstGeom>
        <a:solidFill>
          <a:srgbClr val="C5E0B4"/>
        </a:solidFill>
        <a:ln w="9525" cmpd="sng">
          <a:solidFill>
            <a:srgbClr val="BCBCBC"/>
          </a:solidFill>
          <a:headEnd type="none"/>
          <a:tailEnd type="none"/>
        </a:ln>
      </xdr:spPr>
      <xdr:txBody>
        <a:bodyPr vertOverflow="clip" wrap="square"/>
        <a:p>
          <a:pPr algn="ctr">
            <a:defRPr/>
          </a:pPr>
          <a:r>
            <a:rPr lang="en-US" cap="none" sz="1100" b="1" i="0" u="none" baseline="0">
              <a:solidFill>
                <a:srgbClr val="FF0000"/>
              </a:solidFill>
              <a:latin typeface="Calibri"/>
              <a:ea typeface="Calibri"/>
              <a:cs typeface="Calibri"/>
            </a:rPr>
            <a:t>Trở</a:t>
          </a:r>
          <a:r>
            <a:rPr lang="en-US" cap="none" sz="1100" b="1" i="0" u="none" baseline="0">
              <a:solidFill>
                <a:srgbClr val="FF0000"/>
              </a:solidFill>
              <a:latin typeface="Calibri"/>
              <a:ea typeface="Calibri"/>
              <a:cs typeface="Calibri"/>
            </a:rPr>
            <a:t> về</a:t>
          </a:r>
        </a:p>
      </xdr:txBody>
    </xdr:sp>
    <xdr:clientData fPrintsWithSheet="0"/>
  </xdr:twoCellAnchor>
  <xdr:twoCellAnchor>
    <xdr:from>
      <xdr:col>7</xdr:col>
      <xdr:colOff>257175</xdr:colOff>
      <xdr:row>1</xdr:row>
      <xdr:rowOff>114300</xdr:rowOff>
    </xdr:from>
    <xdr:to>
      <xdr:col>7</xdr:col>
      <xdr:colOff>981075</xdr:colOff>
      <xdr:row>3</xdr:row>
      <xdr:rowOff>0</xdr:rowOff>
    </xdr:to>
    <xdr:sp>
      <xdr:nvSpPr>
        <xdr:cNvPr id="23" name="TextBox 23">
          <a:hlinkClick r:id="rId23"/>
        </xdr:cNvPr>
        <xdr:cNvSpPr txBox="1">
          <a:spLocks noChangeArrowheads="1"/>
        </xdr:cNvSpPr>
      </xdr:nvSpPr>
      <xdr:spPr>
        <a:xfrm>
          <a:off x="7353300" y="276225"/>
          <a:ext cx="723900" cy="209550"/>
        </a:xfrm>
        <a:prstGeom prst="rect">
          <a:avLst/>
        </a:prstGeom>
        <a:solidFill>
          <a:srgbClr val="C5E0B4"/>
        </a:solidFill>
        <a:ln w="9525" cmpd="sng">
          <a:solidFill>
            <a:srgbClr val="BCBCBC"/>
          </a:solidFill>
          <a:headEnd type="none"/>
          <a:tailEnd type="none"/>
        </a:ln>
      </xdr:spPr>
      <xdr:txBody>
        <a:bodyPr vertOverflow="clip" wrap="square"/>
        <a:p>
          <a:pPr algn="ctr">
            <a:defRPr/>
          </a:pPr>
          <a:r>
            <a:rPr lang="en-US" cap="none" sz="1100" b="1" i="0" u="none" baseline="0">
              <a:solidFill>
                <a:srgbClr val="FF0000"/>
              </a:solidFill>
              <a:latin typeface="Calibri"/>
              <a:ea typeface="Calibri"/>
              <a:cs typeface="Calibri"/>
            </a:rPr>
            <a:t>Trở</a:t>
          </a:r>
          <a:r>
            <a:rPr lang="en-US" cap="none" sz="1100" b="1" i="0" u="none" baseline="0">
              <a:solidFill>
                <a:srgbClr val="FF0000"/>
              </a:solidFill>
              <a:latin typeface="Calibri"/>
              <a:ea typeface="Calibri"/>
              <a:cs typeface="Calibri"/>
            </a:rPr>
            <a:t> về</a:t>
          </a:r>
        </a:p>
      </xdr:txBody>
    </xdr:sp>
    <xdr:clientData fPrintsWithSheet="0"/>
  </xdr:twoCellAnchor>
  <xdr:twoCellAnchor>
    <xdr:from>
      <xdr:col>7</xdr:col>
      <xdr:colOff>257175</xdr:colOff>
      <xdr:row>1</xdr:row>
      <xdr:rowOff>114300</xdr:rowOff>
    </xdr:from>
    <xdr:to>
      <xdr:col>7</xdr:col>
      <xdr:colOff>981075</xdr:colOff>
      <xdr:row>3</xdr:row>
      <xdr:rowOff>0</xdr:rowOff>
    </xdr:to>
    <xdr:sp>
      <xdr:nvSpPr>
        <xdr:cNvPr id="24" name="TextBox 24">
          <a:hlinkClick r:id="rId24"/>
        </xdr:cNvPr>
        <xdr:cNvSpPr txBox="1">
          <a:spLocks noChangeArrowheads="1"/>
        </xdr:cNvSpPr>
      </xdr:nvSpPr>
      <xdr:spPr>
        <a:xfrm>
          <a:off x="7353300" y="276225"/>
          <a:ext cx="723900" cy="209550"/>
        </a:xfrm>
        <a:prstGeom prst="rect">
          <a:avLst/>
        </a:prstGeom>
        <a:solidFill>
          <a:srgbClr val="C5E0B4"/>
        </a:solidFill>
        <a:ln w="9525" cmpd="sng">
          <a:solidFill>
            <a:srgbClr val="BCBCBC"/>
          </a:solidFill>
          <a:headEnd type="none"/>
          <a:tailEnd type="none"/>
        </a:ln>
      </xdr:spPr>
      <xdr:txBody>
        <a:bodyPr vertOverflow="clip" wrap="square"/>
        <a:p>
          <a:pPr algn="ctr">
            <a:defRPr/>
          </a:pPr>
          <a:r>
            <a:rPr lang="en-US" cap="none" sz="1100" b="1" i="0" u="none" baseline="0">
              <a:solidFill>
                <a:srgbClr val="FF0000"/>
              </a:solidFill>
              <a:latin typeface="Calibri"/>
              <a:ea typeface="Calibri"/>
              <a:cs typeface="Calibri"/>
            </a:rPr>
            <a:t>Trở</a:t>
          </a:r>
          <a:r>
            <a:rPr lang="en-US" cap="none" sz="1100" b="1" i="0" u="none" baseline="0">
              <a:solidFill>
                <a:srgbClr val="FF0000"/>
              </a:solidFill>
              <a:latin typeface="Calibri"/>
              <a:ea typeface="Calibri"/>
              <a:cs typeface="Calibri"/>
            </a:rPr>
            <a:t> về</a:t>
          </a:r>
        </a:p>
      </xdr:txBody>
    </xdr:sp>
    <xdr:clientData fPrintsWithSheet="0"/>
  </xdr:twoCellAnchor>
  <xdr:twoCellAnchor>
    <xdr:from>
      <xdr:col>7</xdr:col>
      <xdr:colOff>257175</xdr:colOff>
      <xdr:row>1</xdr:row>
      <xdr:rowOff>114300</xdr:rowOff>
    </xdr:from>
    <xdr:to>
      <xdr:col>7</xdr:col>
      <xdr:colOff>981075</xdr:colOff>
      <xdr:row>3</xdr:row>
      <xdr:rowOff>0</xdr:rowOff>
    </xdr:to>
    <xdr:sp>
      <xdr:nvSpPr>
        <xdr:cNvPr id="25" name="TextBox 25">
          <a:hlinkClick r:id="rId25"/>
        </xdr:cNvPr>
        <xdr:cNvSpPr txBox="1">
          <a:spLocks noChangeArrowheads="1"/>
        </xdr:cNvSpPr>
      </xdr:nvSpPr>
      <xdr:spPr>
        <a:xfrm>
          <a:off x="7353300" y="276225"/>
          <a:ext cx="723900" cy="209550"/>
        </a:xfrm>
        <a:prstGeom prst="rect">
          <a:avLst/>
        </a:prstGeom>
        <a:solidFill>
          <a:srgbClr val="C5E0B4"/>
        </a:solidFill>
        <a:ln w="9525" cmpd="sng">
          <a:solidFill>
            <a:srgbClr val="BCBCBC"/>
          </a:solidFill>
          <a:headEnd type="none"/>
          <a:tailEnd type="none"/>
        </a:ln>
      </xdr:spPr>
      <xdr:txBody>
        <a:bodyPr vertOverflow="clip" wrap="square"/>
        <a:p>
          <a:pPr algn="ctr">
            <a:defRPr/>
          </a:pPr>
          <a:r>
            <a:rPr lang="en-US" cap="none" sz="1100" b="1" i="0" u="none" baseline="0">
              <a:solidFill>
                <a:srgbClr val="FF0000"/>
              </a:solidFill>
              <a:latin typeface="Calibri"/>
              <a:ea typeface="Calibri"/>
              <a:cs typeface="Calibri"/>
            </a:rPr>
            <a:t>Trở</a:t>
          </a:r>
          <a:r>
            <a:rPr lang="en-US" cap="none" sz="1100" b="1" i="0" u="none" baseline="0">
              <a:solidFill>
                <a:srgbClr val="FF0000"/>
              </a:solidFill>
              <a:latin typeface="Calibri"/>
              <a:ea typeface="Calibri"/>
              <a:cs typeface="Calibri"/>
            </a:rPr>
            <a:t> về</a:t>
          </a:r>
        </a:p>
      </xdr:txBody>
    </xdr:sp>
    <xdr:clientData fPrintsWithSheet="0"/>
  </xdr:twoCellAnchor>
  <xdr:twoCellAnchor>
    <xdr:from>
      <xdr:col>7</xdr:col>
      <xdr:colOff>257175</xdr:colOff>
      <xdr:row>1</xdr:row>
      <xdr:rowOff>114300</xdr:rowOff>
    </xdr:from>
    <xdr:to>
      <xdr:col>7</xdr:col>
      <xdr:colOff>981075</xdr:colOff>
      <xdr:row>3</xdr:row>
      <xdr:rowOff>0</xdr:rowOff>
    </xdr:to>
    <xdr:sp>
      <xdr:nvSpPr>
        <xdr:cNvPr id="26" name="TextBox 26">
          <a:hlinkClick r:id="rId26"/>
        </xdr:cNvPr>
        <xdr:cNvSpPr txBox="1">
          <a:spLocks noChangeArrowheads="1"/>
        </xdr:cNvSpPr>
      </xdr:nvSpPr>
      <xdr:spPr>
        <a:xfrm>
          <a:off x="7353300" y="276225"/>
          <a:ext cx="723900" cy="209550"/>
        </a:xfrm>
        <a:prstGeom prst="rect">
          <a:avLst/>
        </a:prstGeom>
        <a:solidFill>
          <a:srgbClr val="C5E0B4"/>
        </a:solidFill>
        <a:ln w="9525" cmpd="sng">
          <a:solidFill>
            <a:srgbClr val="BCBCBC"/>
          </a:solidFill>
          <a:headEnd type="none"/>
          <a:tailEnd type="none"/>
        </a:ln>
      </xdr:spPr>
      <xdr:txBody>
        <a:bodyPr vertOverflow="clip" wrap="square"/>
        <a:p>
          <a:pPr algn="ctr">
            <a:defRPr/>
          </a:pPr>
          <a:r>
            <a:rPr lang="en-US" cap="none" sz="1100" b="1" i="0" u="none" baseline="0">
              <a:solidFill>
                <a:srgbClr val="FF0000"/>
              </a:solidFill>
              <a:latin typeface="Calibri"/>
              <a:ea typeface="Calibri"/>
              <a:cs typeface="Calibri"/>
            </a:rPr>
            <a:t>Trở</a:t>
          </a:r>
          <a:r>
            <a:rPr lang="en-US" cap="none" sz="1100" b="1" i="0" u="none" baseline="0">
              <a:solidFill>
                <a:srgbClr val="FF0000"/>
              </a:solidFill>
              <a:latin typeface="Calibri"/>
              <a:ea typeface="Calibri"/>
              <a:cs typeface="Calibri"/>
            </a:rPr>
            <a:t> về</a:t>
          </a:r>
        </a:p>
      </xdr:txBody>
    </xdr:sp>
    <xdr:clientData fPrintsWithSheet="0"/>
  </xdr:twoCellAnchor>
  <xdr:twoCellAnchor>
    <xdr:from>
      <xdr:col>7</xdr:col>
      <xdr:colOff>257175</xdr:colOff>
      <xdr:row>1</xdr:row>
      <xdr:rowOff>114300</xdr:rowOff>
    </xdr:from>
    <xdr:to>
      <xdr:col>7</xdr:col>
      <xdr:colOff>981075</xdr:colOff>
      <xdr:row>3</xdr:row>
      <xdr:rowOff>0</xdr:rowOff>
    </xdr:to>
    <xdr:sp>
      <xdr:nvSpPr>
        <xdr:cNvPr id="27" name="TextBox 27">
          <a:hlinkClick r:id="rId27"/>
        </xdr:cNvPr>
        <xdr:cNvSpPr txBox="1">
          <a:spLocks noChangeArrowheads="1"/>
        </xdr:cNvSpPr>
      </xdr:nvSpPr>
      <xdr:spPr>
        <a:xfrm>
          <a:off x="7353300" y="276225"/>
          <a:ext cx="723900" cy="209550"/>
        </a:xfrm>
        <a:prstGeom prst="rect">
          <a:avLst/>
        </a:prstGeom>
        <a:solidFill>
          <a:srgbClr val="C5E0B4"/>
        </a:solidFill>
        <a:ln w="9525" cmpd="sng">
          <a:solidFill>
            <a:srgbClr val="BCBCBC"/>
          </a:solidFill>
          <a:headEnd type="none"/>
          <a:tailEnd type="none"/>
        </a:ln>
      </xdr:spPr>
      <xdr:txBody>
        <a:bodyPr vertOverflow="clip" wrap="square"/>
        <a:p>
          <a:pPr algn="ctr">
            <a:defRPr/>
          </a:pPr>
          <a:r>
            <a:rPr lang="en-US" cap="none" sz="1100" b="1" i="0" u="none" baseline="0">
              <a:solidFill>
                <a:srgbClr val="FF0000"/>
              </a:solidFill>
              <a:latin typeface="Calibri"/>
              <a:ea typeface="Calibri"/>
              <a:cs typeface="Calibri"/>
            </a:rPr>
            <a:t>Trở</a:t>
          </a:r>
          <a:r>
            <a:rPr lang="en-US" cap="none" sz="1100" b="1" i="0" u="none" baseline="0">
              <a:solidFill>
                <a:srgbClr val="FF0000"/>
              </a:solidFill>
              <a:latin typeface="Calibri"/>
              <a:ea typeface="Calibri"/>
              <a:cs typeface="Calibri"/>
            </a:rPr>
            <a:t> về</a:t>
          </a:r>
        </a:p>
      </xdr:txBody>
    </xdr:sp>
    <xdr:clientData fPrintsWithSheet="0"/>
  </xdr:twoCellAnchor>
  <xdr:twoCellAnchor>
    <xdr:from>
      <xdr:col>7</xdr:col>
      <xdr:colOff>257175</xdr:colOff>
      <xdr:row>1</xdr:row>
      <xdr:rowOff>114300</xdr:rowOff>
    </xdr:from>
    <xdr:to>
      <xdr:col>7</xdr:col>
      <xdr:colOff>981075</xdr:colOff>
      <xdr:row>3</xdr:row>
      <xdr:rowOff>0</xdr:rowOff>
    </xdr:to>
    <xdr:sp>
      <xdr:nvSpPr>
        <xdr:cNvPr id="28" name="TextBox 28">
          <a:hlinkClick r:id="rId28"/>
        </xdr:cNvPr>
        <xdr:cNvSpPr txBox="1">
          <a:spLocks noChangeArrowheads="1"/>
        </xdr:cNvSpPr>
      </xdr:nvSpPr>
      <xdr:spPr>
        <a:xfrm>
          <a:off x="7353300" y="276225"/>
          <a:ext cx="723900" cy="209550"/>
        </a:xfrm>
        <a:prstGeom prst="rect">
          <a:avLst/>
        </a:prstGeom>
        <a:solidFill>
          <a:srgbClr val="C5E0B4"/>
        </a:solidFill>
        <a:ln w="9525" cmpd="sng">
          <a:solidFill>
            <a:srgbClr val="BCBCBC"/>
          </a:solidFill>
          <a:headEnd type="none"/>
          <a:tailEnd type="none"/>
        </a:ln>
      </xdr:spPr>
      <xdr:txBody>
        <a:bodyPr vertOverflow="clip" wrap="square"/>
        <a:p>
          <a:pPr algn="ctr">
            <a:defRPr/>
          </a:pPr>
          <a:r>
            <a:rPr lang="en-US" cap="none" sz="1100" b="1" i="0" u="none" baseline="0">
              <a:solidFill>
                <a:srgbClr val="FF0000"/>
              </a:solidFill>
              <a:latin typeface="Calibri"/>
              <a:ea typeface="Calibri"/>
              <a:cs typeface="Calibri"/>
            </a:rPr>
            <a:t>Trở</a:t>
          </a:r>
          <a:r>
            <a:rPr lang="en-US" cap="none" sz="1100" b="1" i="0" u="none" baseline="0">
              <a:solidFill>
                <a:srgbClr val="FF0000"/>
              </a:solidFill>
              <a:latin typeface="Calibri"/>
              <a:ea typeface="Calibri"/>
              <a:cs typeface="Calibri"/>
            </a:rPr>
            <a:t> về</a:t>
          </a:r>
        </a:p>
      </xdr:txBody>
    </xdr:sp>
    <xdr:clientData fPrintsWithSheet="0"/>
  </xdr:twoCellAnchor>
  <xdr:twoCellAnchor>
    <xdr:from>
      <xdr:col>7</xdr:col>
      <xdr:colOff>257175</xdr:colOff>
      <xdr:row>1</xdr:row>
      <xdr:rowOff>114300</xdr:rowOff>
    </xdr:from>
    <xdr:to>
      <xdr:col>7</xdr:col>
      <xdr:colOff>981075</xdr:colOff>
      <xdr:row>3</xdr:row>
      <xdr:rowOff>0</xdr:rowOff>
    </xdr:to>
    <xdr:sp>
      <xdr:nvSpPr>
        <xdr:cNvPr id="29" name="TextBox 29">
          <a:hlinkClick r:id="rId29"/>
        </xdr:cNvPr>
        <xdr:cNvSpPr txBox="1">
          <a:spLocks noChangeArrowheads="1"/>
        </xdr:cNvSpPr>
      </xdr:nvSpPr>
      <xdr:spPr>
        <a:xfrm>
          <a:off x="7353300" y="276225"/>
          <a:ext cx="723900" cy="209550"/>
        </a:xfrm>
        <a:prstGeom prst="rect">
          <a:avLst/>
        </a:prstGeom>
        <a:solidFill>
          <a:srgbClr val="C5E0B4"/>
        </a:solidFill>
        <a:ln w="9525" cmpd="sng">
          <a:solidFill>
            <a:srgbClr val="BCBCBC"/>
          </a:solidFill>
          <a:headEnd type="none"/>
          <a:tailEnd type="none"/>
        </a:ln>
      </xdr:spPr>
      <xdr:txBody>
        <a:bodyPr vertOverflow="clip" wrap="square"/>
        <a:p>
          <a:pPr algn="ctr">
            <a:defRPr/>
          </a:pPr>
          <a:r>
            <a:rPr lang="en-US" cap="none" sz="1100" b="1" i="0" u="none" baseline="0">
              <a:solidFill>
                <a:srgbClr val="FF0000"/>
              </a:solidFill>
              <a:latin typeface="Calibri"/>
              <a:ea typeface="Calibri"/>
              <a:cs typeface="Calibri"/>
            </a:rPr>
            <a:t>Trở</a:t>
          </a:r>
          <a:r>
            <a:rPr lang="en-US" cap="none" sz="1100" b="1" i="0" u="none" baseline="0">
              <a:solidFill>
                <a:srgbClr val="FF0000"/>
              </a:solidFill>
              <a:latin typeface="Calibri"/>
              <a:ea typeface="Calibri"/>
              <a:cs typeface="Calibri"/>
            </a:rPr>
            <a:t> về</a:t>
          </a:r>
        </a:p>
      </xdr:txBody>
    </xdr:sp>
    <xdr:clientData fPrintsWithSheet="0"/>
  </xdr:twoCellAnchor>
  <xdr:twoCellAnchor>
    <xdr:from>
      <xdr:col>7</xdr:col>
      <xdr:colOff>257175</xdr:colOff>
      <xdr:row>1</xdr:row>
      <xdr:rowOff>114300</xdr:rowOff>
    </xdr:from>
    <xdr:to>
      <xdr:col>7</xdr:col>
      <xdr:colOff>981075</xdr:colOff>
      <xdr:row>3</xdr:row>
      <xdr:rowOff>0</xdr:rowOff>
    </xdr:to>
    <xdr:sp>
      <xdr:nvSpPr>
        <xdr:cNvPr id="30" name="TextBox 30">
          <a:hlinkClick r:id="rId30"/>
        </xdr:cNvPr>
        <xdr:cNvSpPr txBox="1">
          <a:spLocks noChangeArrowheads="1"/>
        </xdr:cNvSpPr>
      </xdr:nvSpPr>
      <xdr:spPr>
        <a:xfrm>
          <a:off x="7353300" y="276225"/>
          <a:ext cx="723900" cy="209550"/>
        </a:xfrm>
        <a:prstGeom prst="rect">
          <a:avLst/>
        </a:prstGeom>
        <a:solidFill>
          <a:srgbClr val="C5E0B4"/>
        </a:solidFill>
        <a:ln w="9525" cmpd="sng">
          <a:solidFill>
            <a:srgbClr val="BCBCBC"/>
          </a:solidFill>
          <a:headEnd type="none"/>
          <a:tailEnd type="none"/>
        </a:ln>
      </xdr:spPr>
      <xdr:txBody>
        <a:bodyPr vertOverflow="clip" wrap="square"/>
        <a:p>
          <a:pPr algn="ctr">
            <a:defRPr/>
          </a:pPr>
          <a:r>
            <a:rPr lang="en-US" cap="none" sz="1100" b="1" i="0" u="none" baseline="0">
              <a:solidFill>
                <a:srgbClr val="FF0000"/>
              </a:solidFill>
              <a:latin typeface="Calibri"/>
              <a:ea typeface="Calibri"/>
              <a:cs typeface="Calibri"/>
            </a:rPr>
            <a:t>Trở</a:t>
          </a:r>
          <a:r>
            <a:rPr lang="en-US" cap="none" sz="1100" b="1" i="0" u="none" baseline="0">
              <a:solidFill>
                <a:srgbClr val="FF0000"/>
              </a:solidFill>
              <a:latin typeface="Calibri"/>
              <a:ea typeface="Calibri"/>
              <a:cs typeface="Calibri"/>
            </a:rPr>
            <a:t> về</a:t>
          </a:r>
        </a:p>
      </xdr:txBody>
    </xdr:sp>
    <xdr:clientData fPrintsWithSheet="0"/>
  </xdr:twoCellAnchor>
  <xdr:twoCellAnchor>
    <xdr:from>
      <xdr:col>7</xdr:col>
      <xdr:colOff>257175</xdr:colOff>
      <xdr:row>1</xdr:row>
      <xdr:rowOff>114300</xdr:rowOff>
    </xdr:from>
    <xdr:to>
      <xdr:col>7</xdr:col>
      <xdr:colOff>981075</xdr:colOff>
      <xdr:row>3</xdr:row>
      <xdr:rowOff>0</xdr:rowOff>
    </xdr:to>
    <xdr:sp>
      <xdr:nvSpPr>
        <xdr:cNvPr id="31" name="TextBox 31">
          <a:hlinkClick r:id="rId31"/>
        </xdr:cNvPr>
        <xdr:cNvSpPr txBox="1">
          <a:spLocks noChangeArrowheads="1"/>
        </xdr:cNvSpPr>
      </xdr:nvSpPr>
      <xdr:spPr>
        <a:xfrm>
          <a:off x="7353300" y="276225"/>
          <a:ext cx="723900" cy="209550"/>
        </a:xfrm>
        <a:prstGeom prst="rect">
          <a:avLst/>
        </a:prstGeom>
        <a:solidFill>
          <a:srgbClr val="C5E0B4"/>
        </a:solidFill>
        <a:ln w="9525" cmpd="sng">
          <a:solidFill>
            <a:srgbClr val="BCBCBC"/>
          </a:solidFill>
          <a:headEnd type="none"/>
          <a:tailEnd type="none"/>
        </a:ln>
      </xdr:spPr>
      <xdr:txBody>
        <a:bodyPr vertOverflow="clip" wrap="square"/>
        <a:p>
          <a:pPr algn="ctr">
            <a:defRPr/>
          </a:pPr>
          <a:r>
            <a:rPr lang="en-US" cap="none" sz="1100" b="1" i="0" u="none" baseline="0">
              <a:solidFill>
                <a:srgbClr val="FF0000"/>
              </a:solidFill>
              <a:latin typeface="Calibri"/>
              <a:ea typeface="Calibri"/>
              <a:cs typeface="Calibri"/>
            </a:rPr>
            <a:t>Trở</a:t>
          </a:r>
          <a:r>
            <a:rPr lang="en-US" cap="none" sz="1100" b="1" i="0" u="none" baseline="0">
              <a:solidFill>
                <a:srgbClr val="FF0000"/>
              </a:solidFill>
              <a:latin typeface="Calibri"/>
              <a:ea typeface="Calibri"/>
              <a:cs typeface="Calibri"/>
            </a:rPr>
            <a:t> về</a:t>
          </a:r>
        </a:p>
      </xdr:txBody>
    </xdr:sp>
    <xdr:clientData fPrintsWithSheet="0"/>
  </xdr:twoCellAnchor>
  <xdr:twoCellAnchor>
    <xdr:from>
      <xdr:col>7</xdr:col>
      <xdr:colOff>257175</xdr:colOff>
      <xdr:row>1</xdr:row>
      <xdr:rowOff>114300</xdr:rowOff>
    </xdr:from>
    <xdr:to>
      <xdr:col>7</xdr:col>
      <xdr:colOff>981075</xdr:colOff>
      <xdr:row>3</xdr:row>
      <xdr:rowOff>0</xdr:rowOff>
    </xdr:to>
    <xdr:sp>
      <xdr:nvSpPr>
        <xdr:cNvPr id="32" name="TextBox 32">
          <a:hlinkClick r:id="rId32"/>
        </xdr:cNvPr>
        <xdr:cNvSpPr txBox="1">
          <a:spLocks noChangeArrowheads="1"/>
        </xdr:cNvSpPr>
      </xdr:nvSpPr>
      <xdr:spPr>
        <a:xfrm>
          <a:off x="7353300" y="276225"/>
          <a:ext cx="723900" cy="209550"/>
        </a:xfrm>
        <a:prstGeom prst="rect">
          <a:avLst/>
        </a:prstGeom>
        <a:solidFill>
          <a:srgbClr val="C5E0B4"/>
        </a:solidFill>
        <a:ln w="9525" cmpd="sng">
          <a:solidFill>
            <a:srgbClr val="BCBCBC"/>
          </a:solidFill>
          <a:headEnd type="none"/>
          <a:tailEnd type="none"/>
        </a:ln>
      </xdr:spPr>
      <xdr:txBody>
        <a:bodyPr vertOverflow="clip" wrap="square"/>
        <a:p>
          <a:pPr algn="ctr">
            <a:defRPr/>
          </a:pPr>
          <a:r>
            <a:rPr lang="en-US" cap="none" sz="1100" b="1" i="0" u="none" baseline="0">
              <a:solidFill>
                <a:srgbClr val="FF0000"/>
              </a:solidFill>
              <a:latin typeface="Calibri"/>
              <a:ea typeface="Calibri"/>
              <a:cs typeface="Calibri"/>
            </a:rPr>
            <a:t>Trở</a:t>
          </a:r>
          <a:r>
            <a:rPr lang="en-US" cap="none" sz="1100" b="1" i="0" u="none" baseline="0">
              <a:solidFill>
                <a:srgbClr val="FF0000"/>
              </a:solidFill>
              <a:latin typeface="Calibri"/>
              <a:ea typeface="Calibri"/>
              <a:cs typeface="Calibri"/>
            </a:rPr>
            <a:t> về</a:t>
          </a:r>
        </a:p>
      </xdr:txBody>
    </xdr:sp>
    <xdr:clientData fPrintsWithSheet="0"/>
  </xdr:twoCellAnchor>
  <xdr:twoCellAnchor>
    <xdr:from>
      <xdr:col>7</xdr:col>
      <xdr:colOff>257175</xdr:colOff>
      <xdr:row>1</xdr:row>
      <xdr:rowOff>114300</xdr:rowOff>
    </xdr:from>
    <xdr:to>
      <xdr:col>7</xdr:col>
      <xdr:colOff>981075</xdr:colOff>
      <xdr:row>3</xdr:row>
      <xdr:rowOff>0</xdr:rowOff>
    </xdr:to>
    <xdr:sp>
      <xdr:nvSpPr>
        <xdr:cNvPr id="33" name="TextBox 33">
          <a:hlinkClick r:id="rId33"/>
        </xdr:cNvPr>
        <xdr:cNvSpPr txBox="1">
          <a:spLocks noChangeArrowheads="1"/>
        </xdr:cNvSpPr>
      </xdr:nvSpPr>
      <xdr:spPr>
        <a:xfrm>
          <a:off x="7353300" y="276225"/>
          <a:ext cx="723900" cy="209550"/>
        </a:xfrm>
        <a:prstGeom prst="rect">
          <a:avLst/>
        </a:prstGeom>
        <a:solidFill>
          <a:srgbClr val="C5E0B4"/>
        </a:solidFill>
        <a:ln w="9525" cmpd="sng">
          <a:solidFill>
            <a:srgbClr val="BCBCBC"/>
          </a:solidFill>
          <a:headEnd type="none"/>
          <a:tailEnd type="none"/>
        </a:ln>
      </xdr:spPr>
      <xdr:txBody>
        <a:bodyPr vertOverflow="clip" wrap="square"/>
        <a:p>
          <a:pPr algn="ctr">
            <a:defRPr/>
          </a:pPr>
          <a:r>
            <a:rPr lang="en-US" cap="none" sz="1100" b="1" i="0" u="none" baseline="0">
              <a:solidFill>
                <a:srgbClr val="FF0000"/>
              </a:solidFill>
              <a:latin typeface="Calibri"/>
              <a:ea typeface="Calibri"/>
              <a:cs typeface="Calibri"/>
            </a:rPr>
            <a:t>Trở</a:t>
          </a:r>
          <a:r>
            <a:rPr lang="en-US" cap="none" sz="1100" b="1" i="0" u="none" baseline="0">
              <a:solidFill>
                <a:srgbClr val="FF0000"/>
              </a:solidFill>
              <a:latin typeface="Calibri"/>
              <a:ea typeface="Calibri"/>
              <a:cs typeface="Calibri"/>
            </a:rPr>
            <a:t> về</a:t>
          </a:r>
        </a:p>
      </xdr:txBody>
    </xdr:sp>
    <xdr:clientData fPrintsWithSheet="0"/>
  </xdr:twoCellAnchor>
  <xdr:twoCellAnchor>
    <xdr:from>
      <xdr:col>7</xdr:col>
      <xdr:colOff>257175</xdr:colOff>
      <xdr:row>1</xdr:row>
      <xdr:rowOff>114300</xdr:rowOff>
    </xdr:from>
    <xdr:to>
      <xdr:col>7</xdr:col>
      <xdr:colOff>981075</xdr:colOff>
      <xdr:row>3</xdr:row>
      <xdr:rowOff>0</xdr:rowOff>
    </xdr:to>
    <xdr:sp>
      <xdr:nvSpPr>
        <xdr:cNvPr id="34" name="TextBox 34">
          <a:hlinkClick r:id="rId34"/>
        </xdr:cNvPr>
        <xdr:cNvSpPr txBox="1">
          <a:spLocks noChangeArrowheads="1"/>
        </xdr:cNvSpPr>
      </xdr:nvSpPr>
      <xdr:spPr>
        <a:xfrm>
          <a:off x="7353300" y="276225"/>
          <a:ext cx="723900" cy="209550"/>
        </a:xfrm>
        <a:prstGeom prst="rect">
          <a:avLst/>
        </a:prstGeom>
        <a:solidFill>
          <a:srgbClr val="C5E0B4"/>
        </a:solidFill>
        <a:ln w="9525" cmpd="sng">
          <a:solidFill>
            <a:srgbClr val="BCBCBC"/>
          </a:solidFill>
          <a:headEnd type="none"/>
          <a:tailEnd type="none"/>
        </a:ln>
      </xdr:spPr>
      <xdr:txBody>
        <a:bodyPr vertOverflow="clip" wrap="square"/>
        <a:p>
          <a:pPr algn="ctr">
            <a:defRPr/>
          </a:pPr>
          <a:r>
            <a:rPr lang="en-US" cap="none" sz="1100" b="1" i="0" u="none" baseline="0">
              <a:solidFill>
                <a:srgbClr val="FF0000"/>
              </a:solidFill>
              <a:latin typeface="Calibri"/>
              <a:ea typeface="Calibri"/>
              <a:cs typeface="Calibri"/>
            </a:rPr>
            <a:t>Trở</a:t>
          </a:r>
          <a:r>
            <a:rPr lang="en-US" cap="none" sz="1100" b="1" i="0" u="none" baseline="0">
              <a:solidFill>
                <a:srgbClr val="FF0000"/>
              </a:solidFill>
              <a:latin typeface="Calibri"/>
              <a:ea typeface="Calibri"/>
              <a:cs typeface="Calibri"/>
            </a:rPr>
            <a:t> về</a:t>
          </a:r>
        </a:p>
      </xdr:txBody>
    </xdr:sp>
    <xdr:clientData fPrintsWithSheet="0"/>
  </xdr:twoCellAnchor>
  <xdr:twoCellAnchor>
    <xdr:from>
      <xdr:col>7</xdr:col>
      <xdr:colOff>257175</xdr:colOff>
      <xdr:row>1</xdr:row>
      <xdr:rowOff>114300</xdr:rowOff>
    </xdr:from>
    <xdr:to>
      <xdr:col>7</xdr:col>
      <xdr:colOff>981075</xdr:colOff>
      <xdr:row>3</xdr:row>
      <xdr:rowOff>0</xdr:rowOff>
    </xdr:to>
    <xdr:sp>
      <xdr:nvSpPr>
        <xdr:cNvPr id="35" name="TextBox 35">
          <a:hlinkClick r:id="rId35"/>
        </xdr:cNvPr>
        <xdr:cNvSpPr txBox="1">
          <a:spLocks noChangeArrowheads="1"/>
        </xdr:cNvSpPr>
      </xdr:nvSpPr>
      <xdr:spPr>
        <a:xfrm>
          <a:off x="7353300" y="276225"/>
          <a:ext cx="723900" cy="209550"/>
        </a:xfrm>
        <a:prstGeom prst="rect">
          <a:avLst/>
        </a:prstGeom>
        <a:solidFill>
          <a:srgbClr val="C5E0B4"/>
        </a:solidFill>
        <a:ln w="9525" cmpd="sng">
          <a:solidFill>
            <a:srgbClr val="BCBCBC"/>
          </a:solidFill>
          <a:headEnd type="none"/>
          <a:tailEnd type="none"/>
        </a:ln>
      </xdr:spPr>
      <xdr:txBody>
        <a:bodyPr vertOverflow="clip" wrap="square"/>
        <a:p>
          <a:pPr algn="ctr">
            <a:defRPr/>
          </a:pPr>
          <a:r>
            <a:rPr lang="en-US" cap="none" sz="1100" b="1" i="0" u="none" baseline="0">
              <a:solidFill>
                <a:srgbClr val="FF0000"/>
              </a:solidFill>
              <a:latin typeface="Calibri"/>
              <a:ea typeface="Calibri"/>
              <a:cs typeface="Calibri"/>
            </a:rPr>
            <a:t>Trở</a:t>
          </a:r>
          <a:r>
            <a:rPr lang="en-US" cap="none" sz="1100" b="1" i="0" u="none" baseline="0">
              <a:solidFill>
                <a:srgbClr val="FF0000"/>
              </a:solidFill>
              <a:latin typeface="Calibri"/>
              <a:ea typeface="Calibri"/>
              <a:cs typeface="Calibri"/>
            </a:rPr>
            <a:t> về</a:t>
          </a:r>
        </a:p>
      </xdr:txBody>
    </xdr:sp>
    <xdr:clientData fPrintsWithSheet="0"/>
  </xdr:twoCellAnchor>
  <xdr:twoCellAnchor>
    <xdr:from>
      <xdr:col>7</xdr:col>
      <xdr:colOff>257175</xdr:colOff>
      <xdr:row>1</xdr:row>
      <xdr:rowOff>114300</xdr:rowOff>
    </xdr:from>
    <xdr:to>
      <xdr:col>7</xdr:col>
      <xdr:colOff>981075</xdr:colOff>
      <xdr:row>3</xdr:row>
      <xdr:rowOff>0</xdr:rowOff>
    </xdr:to>
    <xdr:sp>
      <xdr:nvSpPr>
        <xdr:cNvPr id="36" name="TextBox 36">
          <a:hlinkClick r:id="rId36"/>
        </xdr:cNvPr>
        <xdr:cNvSpPr txBox="1">
          <a:spLocks noChangeArrowheads="1"/>
        </xdr:cNvSpPr>
      </xdr:nvSpPr>
      <xdr:spPr>
        <a:xfrm>
          <a:off x="7353300" y="276225"/>
          <a:ext cx="723900" cy="209550"/>
        </a:xfrm>
        <a:prstGeom prst="rect">
          <a:avLst/>
        </a:prstGeom>
        <a:solidFill>
          <a:srgbClr val="C5E0B4"/>
        </a:solidFill>
        <a:ln w="9525" cmpd="sng">
          <a:solidFill>
            <a:srgbClr val="BCBCBC"/>
          </a:solidFill>
          <a:headEnd type="none"/>
          <a:tailEnd type="none"/>
        </a:ln>
      </xdr:spPr>
      <xdr:txBody>
        <a:bodyPr vertOverflow="clip" wrap="square"/>
        <a:p>
          <a:pPr algn="ctr">
            <a:defRPr/>
          </a:pPr>
          <a:r>
            <a:rPr lang="en-US" cap="none" sz="1100" b="1" i="0" u="none" baseline="0">
              <a:solidFill>
                <a:srgbClr val="FF0000"/>
              </a:solidFill>
              <a:latin typeface="Calibri"/>
              <a:ea typeface="Calibri"/>
              <a:cs typeface="Calibri"/>
            </a:rPr>
            <a:t>Trở</a:t>
          </a:r>
          <a:r>
            <a:rPr lang="en-US" cap="none" sz="1100" b="1" i="0" u="none" baseline="0">
              <a:solidFill>
                <a:srgbClr val="FF0000"/>
              </a:solidFill>
              <a:latin typeface="Calibri"/>
              <a:ea typeface="Calibri"/>
              <a:cs typeface="Calibri"/>
            </a:rPr>
            <a:t> về</a:t>
          </a:r>
        </a:p>
      </xdr:txBody>
    </xdr:sp>
    <xdr:clientData fPrintsWithSheet="0"/>
  </xdr:twoCellAnchor>
  <xdr:twoCellAnchor>
    <xdr:from>
      <xdr:col>7</xdr:col>
      <xdr:colOff>257175</xdr:colOff>
      <xdr:row>1</xdr:row>
      <xdr:rowOff>114300</xdr:rowOff>
    </xdr:from>
    <xdr:to>
      <xdr:col>7</xdr:col>
      <xdr:colOff>981075</xdr:colOff>
      <xdr:row>3</xdr:row>
      <xdr:rowOff>0</xdr:rowOff>
    </xdr:to>
    <xdr:sp>
      <xdr:nvSpPr>
        <xdr:cNvPr id="37" name="TextBox 37">
          <a:hlinkClick r:id="rId37"/>
        </xdr:cNvPr>
        <xdr:cNvSpPr txBox="1">
          <a:spLocks noChangeArrowheads="1"/>
        </xdr:cNvSpPr>
      </xdr:nvSpPr>
      <xdr:spPr>
        <a:xfrm>
          <a:off x="7353300" y="276225"/>
          <a:ext cx="723900" cy="209550"/>
        </a:xfrm>
        <a:prstGeom prst="rect">
          <a:avLst/>
        </a:prstGeom>
        <a:solidFill>
          <a:srgbClr val="C5E0B4"/>
        </a:solidFill>
        <a:ln w="9525" cmpd="sng">
          <a:solidFill>
            <a:srgbClr val="BCBCBC"/>
          </a:solidFill>
          <a:headEnd type="none"/>
          <a:tailEnd type="none"/>
        </a:ln>
      </xdr:spPr>
      <xdr:txBody>
        <a:bodyPr vertOverflow="clip" wrap="square"/>
        <a:p>
          <a:pPr algn="ctr">
            <a:defRPr/>
          </a:pPr>
          <a:r>
            <a:rPr lang="en-US" cap="none" sz="1100" b="1" i="0" u="none" baseline="0">
              <a:solidFill>
                <a:srgbClr val="FF0000"/>
              </a:solidFill>
              <a:latin typeface="Calibri"/>
              <a:ea typeface="Calibri"/>
              <a:cs typeface="Calibri"/>
            </a:rPr>
            <a:t>Trở</a:t>
          </a:r>
          <a:r>
            <a:rPr lang="en-US" cap="none" sz="1100" b="1" i="0" u="none" baseline="0">
              <a:solidFill>
                <a:srgbClr val="FF0000"/>
              </a:solidFill>
              <a:latin typeface="Calibri"/>
              <a:ea typeface="Calibri"/>
              <a:cs typeface="Calibri"/>
            </a:rPr>
            <a:t> về</a:t>
          </a:r>
        </a:p>
      </xdr:txBody>
    </xdr:sp>
    <xdr:clientData fPrintsWithSheet="0"/>
  </xdr:twoCellAnchor>
  <xdr:twoCellAnchor>
    <xdr:from>
      <xdr:col>7</xdr:col>
      <xdr:colOff>257175</xdr:colOff>
      <xdr:row>1</xdr:row>
      <xdr:rowOff>114300</xdr:rowOff>
    </xdr:from>
    <xdr:to>
      <xdr:col>7</xdr:col>
      <xdr:colOff>981075</xdr:colOff>
      <xdr:row>3</xdr:row>
      <xdr:rowOff>0</xdr:rowOff>
    </xdr:to>
    <xdr:sp>
      <xdr:nvSpPr>
        <xdr:cNvPr id="38" name="TextBox 38">
          <a:hlinkClick r:id="rId38"/>
        </xdr:cNvPr>
        <xdr:cNvSpPr txBox="1">
          <a:spLocks noChangeArrowheads="1"/>
        </xdr:cNvSpPr>
      </xdr:nvSpPr>
      <xdr:spPr>
        <a:xfrm>
          <a:off x="7353300" y="276225"/>
          <a:ext cx="723900" cy="209550"/>
        </a:xfrm>
        <a:prstGeom prst="rect">
          <a:avLst/>
        </a:prstGeom>
        <a:solidFill>
          <a:srgbClr val="C5E0B4"/>
        </a:solidFill>
        <a:ln w="9525" cmpd="sng">
          <a:solidFill>
            <a:srgbClr val="BCBCBC"/>
          </a:solidFill>
          <a:headEnd type="none"/>
          <a:tailEnd type="none"/>
        </a:ln>
      </xdr:spPr>
      <xdr:txBody>
        <a:bodyPr vertOverflow="clip" wrap="square"/>
        <a:p>
          <a:pPr algn="ctr">
            <a:defRPr/>
          </a:pPr>
          <a:r>
            <a:rPr lang="en-US" cap="none" sz="1100" b="1" i="0" u="none" baseline="0">
              <a:solidFill>
                <a:srgbClr val="FF0000"/>
              </a:solidFill>
              <a:latin typeface="Calibri"/>
              <a:ea typeface="Calibri"/>
              <a:cs typeface="Calibri"/>
            </a:rPr>
            <a:t>Trở</a:t>
          </a:r>
          <a:r>
            <a:rPr lang="en-US" cap="none" sz="1100" b="1" i="0" u="none" baseline="0">
              <a:solidFill>
                <a:srgbClr val="FF0000"/>
              </a:solidFill>
              <a:latin typeface="Calibri"/>
              <a:ea typeface="Calibri"/>
              <a:cs typeface="Calibri"/>
            </a:rPr>
            <a:t> về</a:t>
          </a:r>
        </a:p>
      </xdr:txBody>
    </xdr:sp>
    <xdr:clientData fPrintsWithSheet="0"/>
  </xdr:twoCellAnchor>
  <xdr:twoCellAnchor>
    <xdr:from>
      <xdr:col>7</xdr:col>
      <xdr:colOff>257175</xdr:colOff>
      <xdr:row>1</xdr:row>
      <xdr:rowOff>114300</xdr:rowOff>
    </xdr:from>
    <xdr:to>
      <xdr:col>7</xdr:col>
      <xdr:colOff>981075</xdr:colOff>
      <xdr:row>3</xdr:row>
      <xdr:rowOff>0</xdr:rowOff>
    </xdr:to>
    <xdr:sp>
      <xdr:nvSpPr>
        <xdr:cNvPr id="39" name="TextBox 39">
          <a:hlinkClick r:id="rId39"/>
        </xdr:cNvPr>
        <xdr:cNvSpPr txBox="1">
          <a:spLocks noChangeArrowheads="1"/>
        </xdr:cNvSpPr>
      </xdr:nvSpPr>
      <xdr:spPr>
        <a:xfrm>
          <a:off x="7353300" y="276225"/>
          <a:ext cx="723900" cy="209550"/>
        </a:xfrm>
        <a:prstGeom prst="rect">
          <a:avLst/>
        </a:prstGeom>
        <a:solidFill>
          <a:srgbClr val="C5E0B4"/>
        </a:solidFill>
        <a:ln w="9525" cmpd="sng">
          <a:solidFill>
            <a:srgbClr val="BCBCBC"/>
          </a:solidFill>
          <a:headEnd type="none"/>
          <a:tailEnd type="none"/>
        </a:ln>
      </xdr:spPr>
      <xdr:txBody>
        <a:bodyPr vertOverflow="clip" wrap="square"/>
        <a:p>
          <a:pPr algn="ctr">
            <a:defRPr/>
          </a:pPr>
          <a:r>
            <a:rPr lang="en-US" cap="none" sz="1100" b="1" i="0" u="none" baseline="0">
              <a:solidFill>
                <a:srgbClr val="FF0000"/>
              </a:solidFill>
              <a:latin typeface="Calibri"/>
              <a:ea typeface="Calibri"/>
              <a:cs typeface="Calibri"/>
            </a:rPr>
            <a:t>Trở</a:t>
          </a:r>
          <a:r>
            <a:rPr lang="en-US" cap="none" sz="1100" b="1" i="0" u="none" baseline="0">
              <a:solidFill>
                <a:srgbClr val="FF0000"/>
              </a:solidFill>
              <a:latin typeface="Calibri"/>
              <a:ea typeface="Calibri"/>
              <a:cs typeface="Calibri"/>
            </a:rPr>
            <a:t> về</a:t>
          </a:r>
        </a:p>
      </xdr:txBody>
    </xdr:sp>
    <xdr:clientData fPrintsWithSheet="0"/>
  </xdr:twoCellAnchor>
  <xdr:twoCellAnchor>
    <xdr:from>
      <xdr:col>7</xdr:col>
      <xdr:colOff>257175</xdr:colOff>
      <xdr:row>1</xdr:row>
      <xdr:rowOff>114300</xdr:rowOff>
    </xdr:from>
    <xdr:to>
      <xdr:col>7</xdr:col>
      <xdr:colOff>981075</xdr:colOff>
      <xdr:row>3</xdr:row>
      <xdr:rowOff>0</xdr:rowOff>
    </xdr:to>
    <xdr:sp>
      <xdr:nvSpPr>
        <xdr:cNvPr id="40" name="TextBox 40">
          <a:hlinkClick r:id="rId40"/>
        </xdr:cNvPr>
        <xdr:cNvSpPr txBox="1">
          <a:spLocks noChangeArrowheads="1"/>
        </xdr:cNvSpPr>
      </xdr:nvSpPr>
      <xdr:spPr>
        <a:xfrm>
          <a:off x="7353300" y="276225"/>
          <a:ext cx="723900" cy="209550"/>
        </a:xfrm>
        <a:prstGeom prst="rect">
          <a:avLst/>
        </a:prstGeom>
        <a:solidFill>
          <a:srgbClr val="C5E0B4"/>
        </a:solidFill>
        <a:ln w="9525" cmpd="sng">
          <a:solidFill>
            <a:srgbClr val="BCBCBC"/>
          </a:solidFill>
          <a:headEnd type="none"/>
          <a:tailEnd type="none"/>
        </a:ln>
      </xdr:spPr>
      <xdr:txBody>
        <a:bodyPr vertOverflow="clip" wrap="square"/>
        <a:p>
          <a:pPr algn="ctr">
            <a:defRPr/>
          </a:pPr>
          <a:r>
            <a:rPr lang="en-US" cap="none" sz="1100" b="1" i="0" u="none" baseline="0">
              <a:solidFill>
                <a:srgbClr val="FF0000"/>
              </a:solidFill>
              <a:latin typeface="Calibri"/>
              <a:ea typeface="Calibri"/>
              <a:cs typeface="Calibri"/>
            </a:rPr>
            <a:t>Trở</a:t>
          </a:r>
          <a:r>
            <a:rPr lang="en-US" cap="none" sz="1100" b="1" i="0" u="none" baseline="0">
              <a:solidFill>
                <a:srgbClr val="FF0000"/>
              </a:solidFill>
              <a:latin typeface="Calibri"/>
              <a:ea typeface="Calibri"/>
              <a:cs typeface="Calibri"/>
            </a:rPr>
            <a:t> về</a:t>
          </a:r>
        </a:p>
      </xdr:txBody>
    </xdr:sp>
    <xdr:clientData fPrintsWithSheet="0"/>
  </xdr:twoCellAnchor>
  <xdr:twoCellAnchor>
    <xdr:from>
      <xdr:col>7</xdr:col>
      <xdr:colOff>257175</xdr:colOff>
      <xdr:row>1</xdr:row>
      <xdr:rowOff>114300</xdr:rowOff>
    </xdr:from>
    <xdr:to>
      <xdr:col>7</xdr:col>
      <xdr:colOff>981075</xdr:colOff>
      <xdr:row>3</xdr:row>
      <xdr:rowOff>0</xdr:rowOff>
    </xdr:to>
    <xdr:sp>
      <xdr:nvSpPr>
        <xdr:cNvPr id="41" name="TextBox 41">
          <a:hlinkClick r:id="rId41"/>
        </xdr:cNvPr>
        <xdr:cNvSpPr txBox="1">
          <a:spLocks noChangeArrowheads="1"/>
        </xdr:cNvSpPr>
      </xdr:nvSpPr>
      <xdr:spPr>
        <a:xfrm>
          <a:off x="7353300" y="276225"/>
          <a:ext cx="723900" cy="209550"/>
        </a:xfrm>
        <a:prstGeom prst="rect">
          <a:avLst/>
        </a:prstGeom>
        <a:solidFill>
          <a:srgbClr val="C5E0B4"/>
        </a:solidFill>
        <a:ln w="9525" cmpd="sng">
          <a:solidFill>
            <a:srgbClr val="BCBCBC"/>
          </a:solidFill>
          <a:headEnd type="none"/>
          <a:tailEnd type="none"/>
        </a:ln>
      </xdr:spPr>
      <xdr:txBody>
        <a:bodyPr vertOverflow="clip" wrap="square"/>
        <a:p>
          <a:pPr algn="ctr">
            <a:defRPr/>
          </a:pPr>
          <a:r>
            <a:rPr lang="en-US" cap="none" sz="1100" b="1" i="0" u="none" baseline="0">
              <a:solidFill>
                <a:srgbClr val="FF0000"/>
              </a:solidFill>
              <a:latin typeface="Calibri"/>
              <a:ea typeface="Calibri"/>
              <a:cs typeface="Calibri"/>
            </a:rPr>
            <a:t>Trở</a:t>
          </a:r>
          <a:r>
            <a:rPr lang="en-US" cap="none" sz="1100" b="1" i="0" u="none" baseline="0">
              <a:solidFill>
                <a:srgbClr val="FF0000"/>
              </a:solidFill>
              <a:latin typeface="Calibri"/>
              <a:ea typeface="Calibri"/>
              <a:cs typeface="Calibri"/>
            </a:rPr>
            <a:t> về</a:t>
          </a:r>
        </a:p>
      </xdr:txBody>
    </xdr:sp>
    <xdr:clientData fPrintsWithSheet="0"/>
  </xdr:twoCellAnchor>
  <xdr:twoCellAnchor>
    <xdr:from>
      <xdr:col>7</xdr:col>
      <xdr:colOff>257175</xdr:colOff>
      <xdr:row>1</xdr:row>
      <xdr:rowOff>114300</xdr:rowOff>
    </xdr:from>
    <xdr:to>
      <xdr:col>7</xdr:col>
      <xdr:colOff>981075</xdr:colOff>
      <xdr:row>3</xdr:row>
      <xdr:rowOff>0</xdr:rowOff>
    </xdr:to>
    <xdr:sp>
      <xdr:nvSpPr>
        <xdr:cNvPr id="42" name="TextBox 42">
          <a:hlinkClick r:id="rId42"/>
        </xdr:cNvPr>
        <xdr:cNvSpPr txBox="1">
          <a:spLocks noChangeArrowheads="1"/>
        </xdr:cNvSpPr>
      </xdr:nvSpPr>
      <xdr:spPr>
        <a:xfrm>
          <a:off x="7353300" y="276225"/>
          <a:ext cx="723900" cy="209550"/>
        </a:xfrm>
        <a:prstGeom prst="rect">
          <a:avLst/>
        </a:prstGeom>
        <a:solidFill>
          <a:srgbClr val="C5E0B4"/>
        </a:solidFill>
        <a:ln w="9525" cmpd="sng">
          <a:solidFill>
            <a:srgbClr val="BCBCBC"/>
          </a:solidFill>
          <a:headEnd type="none"/>
          <a:tailEnd type="none"/>
        </a:ln>
      </xdr:spPr>
      <xdr:txBody>
        <a:bodyPr vertOverflow="clip" wrap="square"/>
        <a:p>
          <a:pPr algn="ctr">
            <a:defRPr/>
          </a:pPr>
          <a:r>
            <a:rPr lang="en-US" cap="none" sz="1100" b="1" i="0" u="none" baseline="0">
              <a:solidFill>
                <a:srgbClr val="FF0000"/>
              </a:solidFill>
              <a:latin typeface="Calibri"/>
              <a:ea typeface="Calibri"/>
              <a:cs typeface="Calibri"/>
            </a:rPr>
            <a:t>Trở</a:t>
          </a:r>
          <a:r>
            <a:rPr lang="en-US" cap="none" sz="1100" b="1" i="0" u="none" baseline="0">
              <a:solidFill>
                <a:srgbClr val="FF0000"/>
              </a:solidFill>
              <a:latin typeface="Calibri"/>
              <a:ea typeface="Calibri"/>
              <a:cs typeface="Calibri"/>
            </a:rPr>
            <a:t> về</a:t>
          </a:r>
        </a:p>
      </xdr:txBody>
    </xdr:sp>
    <xdr:clientData fPrintsWithSheet="0"/>
  </xdr:twoCellAnchor>
  <xdr:twoCellAnchor>
    <xdr:from>
      <xdr:col>7</xdr:col>
      <xdr:colOff>257175</xdr:colOff>
      <xdr:row>1</xdr:row>
      <xdr:rowOff>114300</xdr:rowOff>
    </xdr:from>
    <xdr:to>
      <xdr:col>7</xdr:col>
      <xdr:colOff>981075</xdr:colOff>
      <xdr:row>3</xdr:row>
      <xdr:rowOff>0</xdr:rowOff>
    </xdr:to>
    <xdr:sp>
      <xdr:nvSpPr>
        <xdr:cNvPr id="43" name="TextBox 43">
          <a:hlinkClick r:id="rId43"/>
        </xdr:cNvPr>
        <xdr:cNvSpPr txBox="1">
          <a:spLocks noChangeArrowheads="1"/>
        </xdr:cNvSpPr>
      </xdr:nvSpPr>
      <xdr:spPr>
        <a:xfrm>
          <a:off x="7353300" y="276225"/>
          <a:ext cx="723900" cy="209550"/>
        </a:xfrm>
        <a:prstGeom prst="rect">
          <a:avLst/>
        </a:prstGeom>
        <a:solidFill>
          <a:srgbClr val="C5E0B4"/>
        </a:solidFill>
        <a:ln w="9525" cmpd="sng">
          <a:solidFill>
            <a:srgbClr val="BCBCBC"/>
          </a:solidFill>
          <a:headEnd type="none"/>
          <a:tailEnd type="none"/>
        </a:ln>
      </xdr:spPr>
      <xdr:txBody>
        <a:bodyPr vertOverflow="clip" wrap="square"/>
        <a:p>
          <a:pPr algn="ctr">
            <a:defRPr/>
          </a:pPr>
          <a:r>
            <a:rPr lang="en-US" cap="none" sz="1100" b="1" i="0" u="none" baseline="0">
              <a:solidFill>
                <a:srgbClr val="FF0000"/>
              </a:solidFill>
              <a:latin typeface="Calibri"/>
              <a:ea typeface="Calibri"/>
              <a:cs typeface="Calibri"/>
            </a:rPr>
            <a:t>Trở</a:t>
          </a:r>
          <a:r>
            <a:rPr lang="en-US" cap="none" sz="1100" b="1" i="0" u="none" baseline="0">
              <a:solidFill>
                <a:srgbClr val="FF0000"/>
              </a:solidFill>
              <a:latin typeface="Calibri"/>
              <a:ea typeface="Calibri"/>
              <a:cs typeface="Calibri"/>
            </a:rPr>
            <a:t> về</a:t>
          </a:r>
        </a:p>
      </xdr:txBody>
    </xdr:sp>
    <xdr:clientData fPrintsWithSheet="0"/>
  </xdr:twoCellAnchor>
  <xdr:twoCellAnchor>
    <xdr:from>
      <xdr:col>7</xdr:col>
      <xdr:colOff>257175</xdr:colOff>
      <xdr:row>1</xdr:row>
      <xdr:rowOff>114300</xdr:rowOff>
    </xdr:from>
    <xdr:to>
      <xdr:col>7</xdr:col>
      <xdr:colOff>981075</xdr:colOff>
      <xdr:row>3</xdr:row>
      <xdr:rowOff>0</xdr:rowOff>
    </xdr:to>
    <xdr:sp>
      <xdr:nvSpPr>
        <xdr:cNvPr id="44" name="TextBox 44">
          <a:hlinkClick r:id="rId44"/>
        </xdr:cNvPr>
        <xdr:cNvSpPr txBox="1">
          <a:spLocks noChangeArrowheads="1"/>
        </xdr:cNvSpPr>
      </xdr:nvSpPr>
      <xdr:spPr>
        <a:xfrm>
          <a:off x="7353300" y="276225"/>
          <a:ext cx="723900" cy="209550"/>
        </a:xfrm>
        <a:prstGeom prst="rect">
          <a:avLst/>
        </a:prstGeom>
        <a:solidFill>
          <a:srgbClr val="C5E0B4"/>
        </a:solidFill>
        <a:ln w="9525" cmpd="sng">
          <a:solidFill>
            <a:srgbClr val="BCBCBC"/>
          </a:solidFill>
          <a:headEnd type="none"/>
          <a:tailEnd type="none"/>
        </a:ln>
      </xdr:spPr>
      <xdr:txBody>
        <a:bodyPr vertOverflow="clip" wrap="square"/>
        <a:p>
          <a:pPr algn="ctr">
            <a:defRPr/>
          </a:pPr>
          <a:r>
            <a:rPr lang="en-US" cap="none" sz="1100" b="1" i="0" u="none" baseline="0">
              <a:solidFill>
                <a:srgbClr val="FF0000"/>
              </a:solidFill>
              <a:latin typeface="Calibri"/>
              <a:ea typeface="Calibri"/>
              <a:cs typeface="Calibri"/>
            </a:rPr>
            <a:t>Trở</a:t>
          </a:r>
          <a:r>
            <a:rPr lang="en-US" cap="none" sz="1100" b="1" i="0" u="none" baseline="0">
              <a:solidFill>
                <a:srgbClr val="FF0000"/>
              </a:solidFill>
              <a:latin typeface="Calibri"/>
              <a:ea typeface="Calibri"/>
              <a:cs typeface="Calibri"/>
            </a:rPr>
            <a:t> về</a:t>
          </a:r>
        </a:p>
      </xdr:txBody>
    </xdr:sp>
    <xdr:clientData fPrintsWithSheet="0"/>
  </xdr:twoCellAnchor>
  <xdr:twoCellAnchor>
    <xdr:from>
      <xdr:col>7</xdr:col>
      <xdr:colOff>257175</xdr:colOff>
      <xdr:row>1</xdr:row>
      <xdr:rowOff>114300</xdr:rowOff>
    </xdr:from>
    <xdr:to>
      <xdr:col>7</xdr:col>
      <xdr:colOff>981075</xdr:colOff>
      <xdr:row>3</xdr:row>
      <xdr:rowOff>0</xdr:rowOff>
    </xdr:to>
    <xdr:sp>
      <xdr:nvSpPr>
        <xdr:cNvPr id="45" name="TextBox 45">
          <a:hlinkClick r:id="rId45"/>
        </xdr:cNvPr>
        <xdr:cNvSpPr txBox="1">
          <a:spLocks noChangeArrowheads="1"/>
        </xdr:cNvSpPr>
      </xdr:nvSpPr>
      <xdr:spPr>
        <a:xfrm>
          <a:off x="7353300" y="276225"/>
          <a:ext cx="723900" cy="209550"/>
        </a:xfrm>
        <a:prstGeom prst="rect">
          <a:avLst/>
        </a:prstGeom>
        <a:solidFill>
          <a:srgbClr val="C5E0B4"/>
        </a:solidFill>
        <a:ln w="9525" cmpd="sng">
          <a:solidFill>
            <a:srgbClr val="BCBCBC"/>
          </a:solidFill>
          <a:headEnd type="none"/>
          <a:tailEnd type="none"/>
        </a:ln>
      </xdr:spPr>
      <xdr:txBody>
        <a:bodyPr vertOverflow="clip" wrap="square"/>
        <a:p>
          <a:pPr algn="ctr">
            <a:defRPr/>
          </a:pPr>
          <a:r>
            <a:rPr lang="en-US" cap="none" sz="1100" b="1" i="0" u="none" baseline="0">
              <a:solidFill>
                <a:srgbClr val="FF0000"/>
              </a:solidFill>
              <a:latin typeface="Calibri"/>
              <a:ea typeface="Calibri"/>
              <a:cs typeface="Calibri"/>
            </a:rPr>
            <a:t>Trở</a:t>
          </a:r>
          <a:r>
            <a:rPr lang="en-US" cap="none" sz="1100" b="1" i="0" u="none" baseline="0">
              <a:solidFill>
                <a:srgbClr val="FF0000"/>
              </a:solidFill>
              <a:latin typeface="Calibri"/>
              <a:ea typeface="Calibri"/>
              <a:cs typeface="Calibri"/>
            </a:rPr>
            <a:t> về</a:t>
          </a:r>
        </a:p>
      </xdr:txBody>
    </xdr:sp>
    <xdr:clientData fPrintsWithSheet="0"/>
  </xdr:twoCellAnchor>
  <xdr:twoCellAnchor>
    <xdr:from>
      <xdr:col>7</xdr:col>
      <xdr:colOff>257175</xdr:colOff>
      <xdr:row>1</xdr:row>
      <xdr:rowOff>114300</xdr:rowOff>
    </xdr:from>
    <xdr:to>
      <xdr:col>7</xdr:col>
      <xdr:colOff>981075</xdr:colOff>
      <xdr:row>3</xdr:row>
      <xdr:rowOff>0</xdr:rowOff>
    </xdr:to>
    <xdr:sp>
      <xdr:nvSpPr>
        <xdr:cNvPr id="46" name="TextBox 46">
          <a:hlinkClick r:id="rId46"/>
        </xdr:cNvPr>
        <xdr:cNvSpPr txBox="1">
          <a:spLocks noChangeArrowheads="1"/>
        </xdr:cNvSpPr>
      </xdr:nvSpPr>
      <xdr:spPr>
        <a:xfrm>
          <a:off x="7353300" y="276225"/>
          <a:ext cx="723900" cy="209550"/>
        </a:xfrm>
        <a:prstGeom prst="rect">
          <a:avLst/>
        </a:prstGeom>
        <a:solidFill>
          <a:srgbClr val="C5E0B4"/>
        </a:solidFill>
        <a:ln w="9525" cmpd="sng">
          <a:solidFill>
            <a:srgbClr val="BCBCBC"/>
          </a:solidFill>
          <a:headEnd type="none"/>
          <a:tailEnd type="none"/>
        </a:ln>
      </xdr:spPr>
      <xdr:txBody>
        <a:bodyPr vertOverflow="clip" wrap="square"/>
        <a:p>
          <a:pPr algn="ctr">
            <a:defRPr/>
          </a:pPr>
          <a:r>
            <a:rPr lang="en-US" cap="none" sz="1100" b="1" i="0" u="none" baseline="0">
              <a:solidFill>
                <a:srgbClr val="FF0000"/>
              </a:solidFill>
              <a:latin typeface="Calibri"/>
              <a:ea typeface="Calibri"/>
              <a:cs typeface="Calibri"/>
            </a:rPr>
            <a:t>Trở</a:t>
          </a:r>
          <a:r>
            <a:rPr lang="en-US" cap="none" sz="1100" b="1" i="0" u="none" baseline="0">
              <a:solidFill>
                <a:srgbClr val="FF0000"/>
              </a:solidFill>
              <a:latin typeface="Calibri"/>
              <a:ea typeface="Calibri"/>
              <a:cs typeface="Calibri"/>
            </a:rPr>
            <a:t> về</a:t>
          </a:r>
        </a:p>
      </xdr:txBody>
    </xdr:sp>
    <xdr:clientData fPrintsWithSheet="0"/>
  </xdr:twoCellAnchor>
  <xdr:twoCellAnchor>
    <xdr:from>
      <xdr:col>7</xdr:col>
      <xdr:colOff>257175</xdr:colOff>
      <xdr:row>1</xdr:row>
      <xdr:rowOff>114300</xdr:rowOff>
    </xdr:from>
    <xdr:to>
      <xdr:col>7</xdr:col>
      <xdr:colOff>981075</xdr:colOff>
      <xdr:row>3</xdr:row>
      <xdr:rowOff>0</xdr:rowOff>
    </xdr:to>
    <xdr:sp>
      <xdr:nvSpPr>
        <xdr:cNvPr id="47" name="TextBox 47">
          <a:hlinkClick r:id="rId47"/>
        </xdr:cNvPr>
        <xdr:cNvSpPr txBox="1">
          <a:spLocks noChangeArrowheads="1"/>
        </xdr:cNvSpPr>
      </xdr:nvSpPr>
      <xdr:spPr>
        <a:xfrm>
          <a:off x="7353300" y="276225"/>
          <a:ext cx="723900" cy="209550"/>
        </a:xfrm>
        <a:prstGeom prst="rect">
          <a:avLst/>
        </a:prstGeom>
        <a:solidFill>
          <a:srgbClr val="C5E0B4"/>
        </a:solidFill>
        <a:ln w="9525" cmpd="sng">
          <a:solidFill>
            <a:srgbClr val="BCBCBC"/>
          </a:solidFill>
          <a:headEnd type="none"/>
          <a:tailEnd type="none"/>
        </a:ln>
      </xdr:spPr>
      <xdr:txBody>
        <a:bodyPr vertOverflow="clip" wrap="square"/>
        <a:p>
          <a:pPr algn="ctr">
            <a:defRPr/>
          </a:pPr>
          <a:r>
            <a:rPr lang="en-US" cap="none" sz="1100" b="1" i="0" u="none" baseline="0">
              <a:solidFill>
                <a:srgbClr val="FF0000"/>
              </a:solidFill>
              <a:latin typeface="Calibri"/>
              <a:ea typeface="Calibri"/>
              <a:cs typeface="Calibri"/>
            </a:rPr>
            <a:t>Trở</a:t>
          </a:r>
          <a:r>
            <a:rPr lang="en-US" cap="none" sz="1100" b="1" i="0" u="none" baseline="0">
              <a:solidFill>
                <a:srgbClr val="FF0000"/>
              </a:solidFill>
              <a:latin typeface="Calibri"/>
              <a:ea typeface="Calibri"/>
              <a:cs typeface="Calibri"/>
            </a:rPr>
            <a:t> về</a:t>
          </a:r>
        </a:p>
      </xdr:txBody>
    </xdr:sp>
    <xdr:clientData fPrintsWithSheet="0"/>
  </xdr:twoCellAnchor>
  <xdr:twoCellAnchor>
    <xdr:from>
      <xdr:col>7</xdr:col>
      <xdr:colOff>257175</xdr:colOff>
      <xdr:row>1</xdr:row>
      <xdr:rowOff>114300</xdr:rowOff>
    </xdr:from>
    <xdr:to>
      <xdr:col>7</xdr:col>
      <xdr:colOff>981075</xdr:colOff>
      <xdr:row>3</xdr:row>
      <xdr:rowOff>0</xdr:rowOff>
    </xdr:to>
    <xdr:sp>
      <xdr:nvSpPr>
        <xdr:cNvPr id="48" name="TextBox 48">
          <a:hlinkClick r:id="rId48"/>
        </xdr:cNvPr>
        <xdr:cNvSpPr txBox="1">
          <a:spLocks noChangeArrowheads="1"/>
        </xdr:cNvSpPr>
      </xdr:nvSpPr>
      <xdr:spPr>
        <a:xfrm>
          <a:off x="7353300" y="276225"/>
          <a:ext cx="723900" cy="209550"/>
        </a:xfrm>
        <a:prstGeom prst="rect">
          <a:avLst/>
        </a:prstGeom>
        <a:solidFill>
          <a:srgbClr val="C5E0B4"/>
        </a:solidFill>
        <a:ln w="9525" cmpd="sng">
          <a:solidFill>
            <a:srgbClr val="BCBCBC"/>
          </a:solidFill>
          <a:headEnd type="none"/>
          <a:tailEnd type="none"/>
        </a:ln>
      </xdr:spPr>
      <xdr:txBody>
        <a:bodyPr vertOverflow="clip" wrap="square"/>
        <a:p>
          <a:pPr algn="ctr">
            <a:defRPr/>
          </a:pPr>
          <a:r>
            <a:rPr lang="en-US" cap="none" sz="1100" b="1" i="0" u="none" baseline="0">
              <a:solidFill>
                <a:srgbClr val="FF0000"/>
              </a:solidFill>
              <a:latin typeface="Calibri"/>
              <a:ea typeface="Calibri"/>
              <a:cs typeface="Calibri"/>
            </a:rPr>
            <a:t>Trở</a:t>
          </a:r>
          <a:r>
            <a:rPr lang="en-US" cap="none" sz="1100" b="1" i="0" u="none" baseline="0">
              <a:solidFill>
                <a:srgbClr val="FF0000"/>
              </a:solidFill>
              <a:latin typeface="Calibri"/>
              <a:ea typeface="Calibri"/>
              <a:cs typeface="Calibri"/>
            </a:rPr>
            <a:t> về</a:t>
          </a:r>
        </a:p>
      </xdr:txBody>
    </xdr:sp>
    <xdr:clientData fPrintsWithSheet="0"/>
  </xdr:twoCellAnchor>
  <xdr:twoCellAnchor>
    <xdr:from>
      <xdr:col>7</xdr:col>
      <xdr:colOff>257175</xdr:colOff>
      <xdr:row>1</xdr:row>
      <xdr:rowOff>114300</xdr:rowOff>
    </xdr:from>
    <xdr:to>
      <xdr:col>7</xdr:col>
      <xdr:colOff>981075</xdr:colOff>
      <xdr:row>3</xdr:row>
      <xdr:rowOff>0</xdr:rowOff>
    </xdr:to>
    <xdr:sp>
      <xdr:nvSpPr>
        <xdr:cNvPr id="49" name="TextBox 49">
          <a:hlinkClick r:id="rId49"/>
        </xdr:cNvPr>
        <xdr:cNvSpPr txBox="1">
          <a:spLocks noChangeArrowheads="1"/>
        </xdr:cNvSpPr>
      </xdr:nvSpPr>
      <xdr:spPr>
        <a:xfrm>
          <a:off x="7353300" y="276225"/>
          <a:ext cx="723900" cy="209550"/>
        </a:xfrm>
        <a:prstGeom prst="rect">
          <a:avLst/>
        </a:prstGeom>
        <a:solidFill>
          <a:srgbClr val="C5E0B4"/>
        </a:solidFill>
        <a:ln w="9525" cmpd="sng">
          <a:solidFill>
            <a:srgbClr val="BCBCBC"/>
          </a:solidFill>
          <a:headEnd type="none"/>
          <a:tailEnd type="none"/>
        </a:ln>
      </xdr:spPr>
      <xdr:txBody>
        <a:bodyPr vertOverflow="clip" wrap="square"/>
        <a:p>
          <a:pPr algn="ctr">
            <a:defRPr/>
          </a:pPr>
          <a:r>
            <a:rPr lang="en-US" cap="none" sz="1100" b="1" i="0" u="none" baseline="0">
              <a:solidFill>
                <a:srgbClr val="FF0000"/>
              </a:solidFill>
              <a:latin typeface="Calibri"/>
              <a:ea typeface="Calibri"/>
              <a:cs typeface="Calibri"/>
            </a:rPr>
            <a:t>Trở</a:t>
          </a:r>
          <a:r>
            <a:rPr lang="en-US" cap="none" sz="1100" b="1" i="0" u="none" baseline="0">
              <a:solidFill>
                <a:srgbClr val="FF0000"/>
              </a:solidFill>
              <a:latin typeface="Calibri"/>
              <a:ea typeface="Calibri"/>
              <a:cs typeface="Calibri"/>
            </a:rPr>
            <a:t> về</a:t>
          </a:r>
        </a:p>
      </xdr:txBody>
    </xdr:sp>
    <xdr:clientData fPrintsWithSheet="0"/>
  </xdr:twoCellAnchor>
  <xdr:twoCellAnchor>
    <xdr:from>
      <xdr:col>7</xdr:col>
      <xdr:colOff>257175</xdr:colOff>
      <xdr:row>1</xdr:row>
      <xdr:rowOff>114300</xdr:rowOff>
    </xdr:from>
    <xdr:to>
      <xdr:col>7</xdr:col>
      <xdr:colOff>981075</xdr:colOff>
      <xdr:row>3</xdr:row>
      <xdr:rowOff>0</xdr:rowOff>
    </xdr:to>
    <xdr:sp>
      <xdr:nvSpPr>
        <xdr:cNvPr id="50" name="TextBox 50">
          <a:hlinkClick r:id="rId50"/>
        </xdr:cNvPr>
        <xdr:cNvSpPr txBox="1">
          <a:spLocks noChangeArrowheads="1"/>
        </xdr:cNvSpPr>
      </xdr:nvSpPr>
      <xdr:spPr>
        <a:xfrm>
          <a:off x="7353300" y="276225"/>
          <a:ext cx="723900" cy="209550"/>
        </a:xfrm>
        <a:prstGeom prst="rect">
          <a:avLst/>
        </a:prstGeom>
        <a:solidFill>
          <a:srgbClr val="C5E0B4"/>
        </a:solidFill>
        <a:ln w="9525" cmpd="sng">
          <a:solidFill>
            <a:srgbClr val="BCBCBC"/>
          </a:solidFill>
          <a:headEnd type="none"/>
          <a:tailEnd type="none"/>
        </a:ln>
      </xdr:spPr>
      <xdr:txBody>
        <a:bodyPr vertOverflow="clip" wrap="square"/>
        <a:p>
          <a:pPr algn="ctr">
            <a:defRPr/>
          </a:pPr>
          <a:r>
            <a:rPr lang="en-US" cap="none" sz="1100" b="1" i="0" u="none" baseline="0">
              <a:solidFill>
                <a:srgbClr val="FF0000"/>
              </a:solidFill>
              <a:latin typeface="Calibri"/>
              <a:ea typeface="Calibri"/>
              <a:cs typeface="Calibri"/>
            </a:rPr>
            <a:t>Trở</a:t>
          </a:r>
          <a:r>
            <a:rPr lang="en-US" cap="none" sz="1100" b="1" i="0" u="none" baseline="0">
              <a:solidFill>
                <a:srgbClr val="FF0000"/>
              </a:solidFill>
              <a:latin typeface="Calibri"/>
              <a:ea typeface="Calibri"/>
              <a:cs typeface="Calibri"/>
            </a:rPr>
            <a:t> về</a:t>
          </a:r>
        </a:p>
      </xdr:txBody>
    </xdr:sp>
    <xdr:clientData fPrintsWithSheet="0"/>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733425</xdr:colOff>
      <xdr:row>1</xdr:row>
      <xdr:rowOff>114300</xdr:rowOff>
    </xdr:from>
    <xdr:to>
      <xdr:col>6</xdr:col>
      <xdr:colOff>1419225</xdr:colOff>
      <xdr:row>3</xdr:row>
      <xdr:rowOff>0</xdr:rowOff>
    </xdr:to>
    <xdr:sp>
      <xdr:nvSpPr>
        <xdr:cNvPr id="1" name="TextBox 1">
          <a:hlinkClick r:id="rId1"/>
        </xdr:cNvPr>
        <xdr:cNvSpPr txBox="1">
          <a:spLocks noChangeArrowheads="1"/>
        </xdr:cNvSpPr>
      </xdr:nvSpPr>
      <xdr:spPr>
        <a:xfrm>
          <a:off x="7639050" y="276225"/>
          <a:ext cx="685800" cy="209550"/>
        </a:xfrm>
        <a:prstGeom prst="rect">
          <a:avLst/>
        </a:prstGeom>
        <a:solidFill>
          <a:srgbClr val="C5E0B4"/>
        </a:solidFill>
        <a:ln w="9525" cmpd="sng">
          <a:solidFill>
            <a:srgbClr val="BCBCBC"/>
          </a:solidFill>
          <a:headEnd type="none"/>
          <a:tailEnd type="none"/>
        </a:ln>
      </xdr:spPr>
      <xdr:txBody>
        <a:bodyPr vertOverflow="clip" wrap="square"/>
        <a:p>
          <a:pPr algn="ctr">
            <a:defRPr/>
          </a:pPr>
          <a:r>
            <a:rPr lang="en-US" cap="none" sz="1100" b="1" i="0" u="none" baseline="0">
              <a:solidFill>
                <a:srgbClr val="FF0000"/>
              </a:solidFill>
              <a:latin typeface="Calibri"/>
              <a:ea typeface="Calibri"/>
              <a:cs typeface="Calibri"/>
            </a:rPr>
            <a:t>Trở</a:t>
          </a:r>
          <a:r>
            <a:rPr lang="en-US" cap="none" sz="1100" b="1" i="0" u="none" baseline="0">
              <a:solidFill>
                <a:srgbClr val="FF0000"/>
              </a:solidFill>
              <a:latin typeface="Calibri"/>
              <a:ea typeface="Calibri"/>
              <a:cs typeface="Calibri"/>
            </a:rPr>
            <a:t> về</a:t>
          </a:r>
        </a:p>
      </xdr:txBody>
    </xdr:sp>
    <xdr:clientData fPrintsWithSheet="0"/>
  </xdr:twoCellAnchor>
  <xdr:twoCellAnchor>
    <xdr:from>
      <xdr:col>6</xdr:col>
      <xdr:colOff>733425</xdr:colOff>
      <xdr:row>1</xdr:row>
      <xdr:rowOff>114300</xdr:rowOff>
    </xdr:from>
    <xdr:to>
      <xdr:col>6</xdr:col>
      <xdr:colOff>1419225</xdr:colOff>
      <xdr:row>3</xdr:row>
      <xdr:rowOff>0</xdr:rowOff>
    </xdr:to>
    <xdr:sp>
      <xdr:nvSpPr>
        <xdr:cNvPr id="2" name="TextBox 2">
          <a:hlinkClick r:id="rId2"/>
        </xdr:cNvPr>
        <xdr:cNvSpPr txBox="1">
          <a:spLocks noChangeArrowheads="1"/>
        </xdr:cNvSpPr>
      </xdr:nvSpPr>
      <xdr:spPr>
        <a:xfrm>
          <a:off x="7639050" y="276225"/>
          <a:ext cx="685800" cy="209550"/>
        </a:xfrm>
        <a:prstGeom prst="rect">
          <a:avLst/>
        </a:prstGeom>
        <a:solidFill>
          <a:srgbClr val="C5E0B4"/>
        </a:solidFill>
        <a:ln w="9525" cmpd="sng">
          <a:solidFill>
            <a:srgbClr val="BCBCBC"/>
          </a:solidFill>
          <a:headEnd type="none"/>
          <a:tailEnd type="none"/>
        </a:ln>
      </xdr:spPr>
      <xdr:txBody>
        <a:bodyPr vertOverflow="clip" wrap="square"/>
        <a:p>
          <a:pPr algn="ctr">
            <a:defRPr/>
          </a:pPr>
          <a:r>
            <a:rPr lang="en-US" cap="none" sz="1100" b="1" i="0" u="none" baseline="0">
              <a:solidFill>
                <a:srgbClr val="FF0000"/>
              </a:solidFill>
              <a:latin typeface="Calibri"/>
              <a:ea typeface="Calibri"/>
              <a:cs typeface="Calibri"/>
            </a:rPr>
            <a:t>Trở</a:t>
          </a:r>
          <a:r>
            <a:rPr lang="en-US" cap="none" sz="1100" b="1" i="0" u="none" baseline="0">
              <a:solidFill>
                <a:srgbClr val="FF0000"/>
              </a:solidFill>
              <a:latin typeface="Calibri"/>
              <a:ea typeface="Calibri"/>
              <a:cs typeface="Calibri"/>
            </a:rPr>
            <a:t> về</a:t>
          </a:r>
        </a:p>
      </xdr:txBody>
    </xdr:sp>
    <xdr:clientData fPrintsWithSheet="0"/>
  </xdr:twoCellAnchor>
  <xdr:twoCellAnchor>
    <xdr:from>
      <xdr:col>7</xdr:col>
      <xdr:colOff>38100</xdr:colOff>
      <xdr:row>1</xdr:row>
      <xdr:rowOff>0</xdr:rowOff>
    </xdr:from>
    <xdr:to>
      <xdr:col>7</xdr:col>
      <xdr:colOff>704850</xdr:colOff>
      <xdr:row>2</xdr:row>
      <xdr:rowOff>95250</xdr:rowOff>
    </xdr:to>
    <xdr:sp>
      <xdr:nvSpPr>
        <xdr:cNvPr id="3" name="TextBox 3">
          <a:hlinkClick r:id="rId3"/>
        </xdr:cNvPr>
        <xdr:cNvSpPr txBox="1">
          <a:spLocks noChangeArrowheads="1"/>
        </xdr:cNvSpPr>
      </xdr:nvSpPr>
      <xdr:spPr>
        <a:xfrm>
          <a:off x="8829675" y="161925"/>
          <a:ext cx="666750" cy="257175"/>
        </a:xfrm>
        <a:prstGeom prst="rect">
          <a:avLst/>
        </a:prstGeom>
        <a:solidFill>
          <a:srgbClr val="C5E0B4"/>
        </a:solidFill>
        <a:ln w="9525" cmpd="sng">
          <a:solidFill>
            <a:srgbClr val="BCBCBC"/>
          </a:solidFill>
          <a:headEnd type="none"/>
          <a:tailEnd type="none"/>
        </a:ln>
      </xdr:spPr>
      <xdr:txBody>
        <a:bodyPr vertOverflow="clip" wrap="square"/>
        <a:p>
          <a:pPr algn="ctr">
            <a:defRPr/>
          </a:pPr>
          <a:r>
            <a:rPr lang="en-US" cap="none" sz="1100" b="1" i="0" u="none" baseline="0">
              <a:solidFill>
                <a:srgbClr val="FF0000"/>
              </a:solidFill>
              <a:latin typeface="Calibri"/>
              <a:ea typeface="Calibri"/>
              <a:cs typeface="Calibri"/>
            </a:rPr>
            <a:t>Trở</a:t>
          </a:r>
          <a:r>
            <a:rPr lang="en-US" cap="none" sz="1100" b="1" i="0" u="none" baseline="0">
              <a:solidFill>
                <a:srgbClr val="FF0000"/>
              </a:solidFill>
              <a:latin typeface="Calibri"/>
              <a:ea typeface="Calibri"/>
              <a:cs typeface="Calibri"/>
            </a:rPr>
            <a:t> về</a:t>
          </a:r>
        </a:p>
      </xdr:txBody>
    </xdr:sp>
    <xdr:clientData fPrintsWithSheet="0"/>
  </xdr:twoCellAnchor>
  <xdr:twoCellAnchor>
    <xdr:from>
      <xdr:col>6</xdr:col>
      <xdr:colOff>733425</xdr:colOff>
      <xdr:row>1</xdr:row>
      <xdr:rowOff>114300</xdr:rowOff>
    </xdr:from>
    <xdr:to>
      <xdr:col>6</xdr:col>
      <xdr:colOff>1419225</xdr:colOff>
      <xdr:row>3</xdr:row>
      <xdr:rowOff>0</xdr:rowOff>
    </xdr:to>
    <xdr:sp>
      <xdr:nvSpPr>
        <xdr:cNvPr id="4" name="TextBox 4">
          <a:hlinkClick r:id="rId4"/>
        </xdr:cNvPr>
        <xdr:cNvSpPr txBox="1">
          <a:spLocks noChangeArrowheads="1"/>
        </xdr:cNvSpPr>
      </xdr:nvSpPr>
      <xdr:spPr>
        <a:xfrm>
          <a:off x="7639050" y="276225"/>
          <a:ext cx="685800" cy="209550"/>
        </a:xfrm>
        <a:prstGeom prst="rect">
          <a:avLst/>
        </a:prstGeom>
        <a:solidFill>
          <a:srgbClr val="C5E0B4"/>
        </a:solidFill>
        <a:ln w="9525" cmpd="sng">
          <a:solidFill>
            <a:srgbClr val="BCBCBC"/>
          </a:solidFill>
          <a:headEnd type="none"/>
          <a:tailEnd type="none"/>
        </a:ln>
      </xdr:spPr>
      <xdr:txBody>
        <a:bodyPr vertOverflow="clip" wrap="square"/>
        <a:p>
          <a:pPr algn="ctr">
            <a:defRPr/>
          </a:pPr>
          <a:r>
            <a:rPr lang="en-US" cap="none" sz="1100" b="1" i="0" u="none" baseline="0">
              <a:solidFill>
                <a:srgbClr val="FF0000"/>
              </a:solidFill>
              <a:latin typeface="Calibri"/>
              <a:ea typeface="Calibri"/>
              <a:cs typeface="Calibri"/>
            </a:rPr>
            <a:t>Trở</a:t>
          </a:r>
          <a:r>
            <a:rPr lang="en-US" cap="none" sz="1100" b="1" i="0" u="none" baseline="0">
              <a:solidFill>
                <a:srgbClr val="FF0000"/>
              </a:solidFill>
              <a:latin typeface="Calibri"/>
              <a:ea typeface="Calibri"/>
              <a:cs typeface="Calibri"/>
            </a:rPr>
            <a:t> về</a:t>
          </a:r>
        </a:p>
      </xdr:txBody>
    </xdr:sp>
    <xdr:clientData fPrintsWithSheet="0"/>
  </xdr:twoCellAnchor>
  <xdr:twoCellAnchor>
    <xdr:from>
      <xdr:col>6</xdr:col>
      <xdr:colOff>733425</xdr:colOff>
      <xdr:row>1</xdr:row>
      <xdr:rowOff>114300</xdr:rowOff>
    </xdr:from>
    <xdr:to>
      <xdr:col>6</xdr:col>
      <xdr:colOff>1419225</xdr:colOff>
      <xdr:row>3</xdr:row>
      <xdr:rowOff>0</xdr:rowOff>
    </xdr:to>
    <xdr:sp>
      <xdr:nvSpPr>
        <xdr:cNvPr id="5" name="TextBox 5">
          <a:hlinkClick r:id="rId5"/>
        </xdr:cNvPr>
        <xdr:cNvSpPr txBox="1">
          <a:spLocks noChangeArrowheads="1"/>
        </xdr:cNvSpPr>
      </xdr:nvSpPr>
      <xdr:spPr>
        <a:xfrm>
          <a:off x="7639050" y="276225"/>
          <a:ext cx="685800" cy="209550"/>
        </a:xfrm>
        <a:prstGeom prst="rect">
          <a:avLst/>
        </a:prstGeom>
        <a:solidFill>
          <a:srgbClr val="C5E0B4"/>
        </a:solidFill>
        <a:ln w="9525" cmpd="sng">
          <a:solidFill>
            <a:srgbClr val="BCBCBC"/>
          </a:solidFill>
          <a:headEnd type="none"/>
          <a:tailEnd type="none"/>
        </a:ln>
      </xdr:spPr>
      <xdr:txBody>
        <a:bodyPr vertOverflow="clip" wrap="square"/>
        <a:p>
          <a:pPr algn="ctr">
            <a:defRPr/>
          </a:pPr>
          <a:r>
            <a:rPr lang="en-US" cap="none" sz="1100" b="1" i="0" u="none" baseline="0">
              <a:solidFill>
                <a:srgbClr val="FF0000"/>
              </a:solidFill>
              <a:latin typeface="Calibri"/>
              <a:ea typeface="Calibri"/>
              <a:cs typeface="Calibri"/>
            </a:rPr>
            <a:t>Trở</a:t>
          </a:r>
          <a:r>
            <a:rPr lang="en-US" cap="none" sz="1100" b="1" i="0" u="none" baseline="0">
              <a:solidFill>
                <a:srgbClr val="FF0000"/>
              </a:solidFill>
              <a:latin typeface="Calibri"/>
              <a:ea typeface="Calibri"/>
              <a:cs typeface="Calibri"/>
            </a:rPr>
            <a:t> về</a:t>
          </a:r>
        </a:p>
      </xdr:txBody>
    </xdr:sp>
    <xdr:clientData fPrintsWithSheet="0"/>
  </xdr:twoCellAnchor>
  <xdr:twoCellAnchor>
    <xdr:from>
      <xdr:col>6</xdr:col>
      <xdr:colOff>733425</xdr:colOff>
      <xdr:row>1</xdr:row>
      <xdr:rowOff>114300</xdr:rowOff>
    </xdr:from>
    <xdr:to>
      <xdr:col>6</xdr:col>
      <xdr:colOff>1419225</xdr:colOff>
      <xdr:row>3</xdr:row>
      <xdr:rowOff>0</xdr:rowOff>
    </xdr:to>
    <xdr:sp>
      <xdr:nvSpPr>
        <xdr:cNvPr id="6" name="TextBox 6">
          <a:hlinkClick r:id="rId6"/>
        </xdr:cNvPr>
        <xdr:cNvSpPr txBox="1">
          <a:spLocks noChangeArrowheads="1"/>
        </xdr:cNvSpPr>
      </xdr:nvSpPr>
      <xdr:spPr>
        <a:xfrm>
          <a:off x="7639050" y="276225"/>
          <a:ext cx="685800" cy="209550"/>
        </a:xfrm>
        <a:prstGeom prst="rect">
          <a:avLst/>
        </a:prstGeom>
        <a:solidFill>
          <a:srgbClr val="C5E0B4"/>
        </a:solidFill>
        <a:ln w="9525" cmpd="sng">
          <a:solidFill>
            <a:srgbClr val="BCBCBC"/>
          </a:solidFill>
          <a:headEnd type="none"/>
          <a:tailEnd type="none"/>
        </a:ln>
      </xdr:spPr>
      <xdr:txBody>
        <a:bodyPr vertOverflow="clip" wrap="square"/>
        <a:p>
          <a:pPr algn="ctr">
            <a:defRPr/>
          </a:pPr>
          <a:r>
            <a:rPr lang="en-US" cap="none" sz="1100" b="1" i="0" u="none" baseline="0">
              <a:solidFill>
                <a:srgbClr val="FF0000"/>
              </a:solidFill>
              <a:latin typeface="Calibri"/>
              <a:ea typeface="Calibri"/>
              <a:cs typeface="Calibri"/>
            </a:rPr>
            <a:t>Trở</a:t>
          </a:r>
          <a:r>
            <a:rPr lang="en-US" cap="none" sz="1100" b="1" i="0" u="none" baseline="0">
              <a:solidFill>
                <a:srgbClr val="FF0000"/>
              </a:solidFill>
              <a:latin typeface="Calibri"/>
              <a:ea typeface="Calibri"/>
              <a:cs typeface="Calibri"/>
            </a:rPr>
            <a:t> về</a:t>
          </a:r>
        </a:p>
      </xdr:txBody>
    </xdr:sp>
    <xdr:clientData fPrintsWithSheet="0"/>
  </xdr:twoCellAnchor>
  <xdr:twoCellAnchor>
    <xdr:from>
      <xdr:col>6</xdr:col>
      <xdr:colOff>733425</xdr:colOff>
      <xdr:row>1</xdr:row>
      <xdr:rowOff>114300</xdr:rowOff>
    </xdr:from>
    <xdr:to>
      <xdr:col>6</xdr:col>
      <xdr:colOff>1419225</xdr:colOff>
      <xdr:row>3</xdr:row>
      <xdr:rowOff>0</xdr:rowOff>
    </xdr:to>
    <xdr:sp>
      <xdr:nvSpPr>
        <xdr:cNvPr id="7" name="TextBox 7">
          <a:hlinkClick r:id="rId7"/>
        </xdr:cNvPr>
        <xdr:cNvSpPr txBox="1">
          <a:spLocks noChangeArrowheads="1"/>
        </xdr:cNvSpPr>
      </xdr:nvSpPr>
      <xdr:spPr>
        <a:xfrm>
          <a:off x="7639050" y="276225"/>
          <a:ext cx="685800" cy="209550"/>
        </a:xfrm>
        <a:prstGeom prst="rect">
          <a:avLst/>
        </a:prstGeom>
        <a:solidFill>
          <a:srgbClr val="C5E0B4"/>
        </a:solidFill>
        <a:ln w="9525" cmpd="sng">
          <a:solidFill>
            <a:srgbClr val="BCBCBC"/>
          </a:solidFill>
          <a:headEnd type="none"/>
          <a:tailEnd type="none"/>
        </a:ln>
      </xdr:spPr>
      <xdr:txBody>
        <a:bodyPr vertOverflow="clip" wrap="square"/>
        <a:p>
          <a:pPr algn="ctr">
            <a:defRPr/>
          </a:pPr>
          <a:r>
            <a:rPr lang="en-US" cap="none" sz="1100" b="1" i="0" u="none" baseline="0">
              <a:solidFill>
                <a:srgbClr val="FF0000"/>
              </a:solidFill>
              <a:latin typeface="Calibri"/>
              <a:ea typeface="Calibri"/>
              <a:cs typeface="Calibri"/>
            </a:rPr>
            <a:t>Trở</a:t>
          </a:r>
          <a:r>
            <a:rPr lang="en-US" cap="none" sz="1100" b="1" i="0" u="none" baseline="0">
              <a:solidFill>
                <a:srgbClr val="FF0000"/>
              </a:solidFill>
              <a:latin typeface="Calibri"/>
              <a:ea typeface="Calibri"/>
              <a:cs typeface="Calibri"/>
            </a:rPr>
            <a:t> về</a:t>
          </a:r>
        </a:p>
      </xdr:txBody>
    </xdr:sp>
    <xdr:clientData fPrintsWithSheet="0"/>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180975</xdr:colOff>
      <xdr:row>1</xdr:row>
      <xdr:rowOff>133350</xdr:rowOff>
    </xdr:from>
    <xdr:to>
      <xdr:col>5</xdr:col>
      <xdr:colOff>857250</xdr:colOff>
      <xdr:row>3</xdr:row>
      <xdr:rowOff>57150</xdr:rowOff>
    </xdr:to>
    <xdr:sp>
      <xdr:nvSpPr>
        <xdr:cNvPr id="1" name="TextBox 1">
          <a:hlinkClick r:id="rId1"/>
        </xdr:cNvPr>
        <xdr:cNvSpPr txBox="1">
          <a:spLocks noChangeArrowheads="1"/>
        </xdr:cNvSpPr>
      </xdr:nvSpPr>
      <xdr:spPr>
        <a:xfrm>
          <a:off x="6257925" y="295275"/>
          <a:ext cx="676275" cy="247650"/>
        </a:xfrm>
        <a:prstGeom prst="rect">
          <a:avLst/>
        </a:prstGeom>
        <a:solidFill>
          <a:srgbClr val="C5E0B4"/>
        </a:solidFill>
        <a:ln w="9525" cmpd="sng">
          <a:solidFill>
            <a:srgbClr val="BCBCBC"/>
          </a:solidFill>
          <a:headEnd type="none"/>
          <a:tailEnd type="none"/>
        </a:ln>
      </xdr:spPr>
      <xdr:txBody>
        <a:bodyPr vertOverflow="clip" wrap="square"/>
        <a:p>
          <a:pPr algn="ctr">
            <a:defRPr/>
          </a:pPr>
          <a:r>
            <a:rPr lang="en-US" cap="none" sz="1100" b="1" i="0" u="none" baseline="0">
              <a:solidFill>
                <a:srgbClr val="FF0000"/>
              </a:solidFill>
              <a:latin typeface="Calibri"/>
              <a:ea typeface="Calibri"/>
              <a:cs typeface="Calibri"/>
            </a:rPr>
            <a:t>Trở</a:t>
          </a:r>
          <a:r>
            <a:rPr lang="en-US" cap="none" sz="1100" b="1" i="0" u="none" baseline="0">
              <a:solidFill>
                <a:srgbClr val="FF0000"/>
              </a:solidFill>
              <a:latin typeface="Calibri"/>
              <a:ea typeface="Calibri"/>
              <a:cs typeface="Calibri"/>
            </a:rPr>
            <a:t> về</a:t>
          </a:r>
        </a:p>
      </xdr:txBody>
    </xdr:sp>
    <xdr:clientData fPrintsWithSheet="0"/>
  </xdr:twoCellAnchor>
  <xdr:twoCellAnchor>
    <xdr:from>
      <xdr:col>5</xdr:col>
      <xdr:colOff>180975</xdr:colOff>
      <xdr:row>1</xdr:row>
      <xdr:rowOff>133350</xdr:rowOff>
    </xdr:from>
    <xdr:to>
      <xdr:col>5</xdr:col>
      <xdr:colOff>857250</xdr:colOff>
      <xdr:row>3</xdr:row>
      <xdr:rowOff>57150</xdr:rowOff>
    </xdr:to>
    <xdr:sp>
      <xdr:nvSpPr>
        <xdr:cNvPr id="2" name="TextBox 2">
          <a:hlinkClick r:id="rId2"/>
        </xdr:cNvPr>
        <xdr:cNvSpPr txBox="1">
          <a:spLocks noChangeArrowheads="1"/>
        </xdr:cNvSpPr>
      </xdr:nvSpPr>
      <xdr:spPr>
        <a:xfrm>
          <a:off x="6257925" y="295275"/>
          <a:ext cx="676275" cy="247650"/>
        </a:xfrm>
        <a:prstGeom prst="rect">
          <a:avLst/>
        </a:prstGeom>
        <a:solidFill>
          <a:srgbClr val="C5E0B4"/>
        </a:solidFill>
        <a:ln w="9525" cmpd="sng">
          <a:solidFill>
            <a:srgbClr val="BCBCBC"/>
          </a:solidFill>
          <a:headEnd type="none"/>
          <a:tailEnd type="none"/>
        </a:ln>
      </xdr:spPr>
      <xdr:txBody>
        <a:bodyPr vertOverflow="clip" wrap="square"/>
        <a:p>
          <a:pPr algn="ctr">
            <a:defRPr/>
          </a:pPr>
          <a:r>
            <a:rPr lang="en-US" cap="none" sz="1100" b="1" i="0" u="none" baseline="0">
              <a:solidFill>
                <a:srgbClr val="FF0000"/>
              </a:solidFill>
              <a:latin typeface="Calibri"/>
              <a:ea typeface="Calibri"/>
              <a:cs typeface="Calibri"/>
            </a:rPr>
            <a:t>Trở</a:t>
          </a:r>
          <a:r>
            <a:rPr lang="en-US" cap="none" sz="1100" b="1" i="0" u="none" baseline="0">
              <a:solidFill>
                <a:srgbClr val="FF0000"/>
              </a:solidFill>
              <a:latin typeface="Calibri"/>
              <a:ea typeface="Calibri"/>
              <a:cs typeface="Calibri"/>
            </a:rPr>
            <a:t> về</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1430" cap="flat" cmpd="sng" algn="ctr">
          <a:solidFill>
            <a:schemeClr val="phClr">
              <a:shade val="95000"/>
              <a:satMod val="105000"/>
            </a:schemeClr>
          </a:solidFill>
          <a:prstDash val="solid"/>
        </a:ln>
        <a:ln w="40000" cap="flat" cmpd="sng" algn="ctr">
          <a:solidFill>
            <a:schemeClr val="phClr"/>
          </a:solidFill>
          <a:prstDash val="solid"/>
        </a:ln>
        <a:ln w="318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3.vml" /><Relationship Id="rId3" Type="http://schemas.openxmlformats.org/officeDocument/2006/relationships/drawing" Target="../drawings/drawing8.xml" /><Relationship Id="rId4"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4.vml" /><Relationship Id="rId3" Type="http://schemas.openxmlformats.org/officeDocument/2006/relationships/drawing" Target="../drawings/drawing9.xml" /><Relationship Id="rId4"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5.vml" /><Relationship Id="rId3" Type="http://schemas.openxmlformats.org/officeDocument/2006/relationships/drawing" Target="../drawings/drawing10.xml" /><Relationship Id="rId4"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6.vml" /><Relationship Id="rId3" Type="http://schemas.openxmlformats.org/officeDocument/2006/relationships/drawing" Target="../drawings/drawing12.xml" /><Relationship Id="rId4"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8.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drawing" Target="../drawings/drawing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theme="4"/>
  </sheetPr>
  <dimension ref="A1:D136"/>
  <sheetViews>
    <sheetView zoomScalePageLayoutView="0" workbookViewId="0" topLeftCell="A1">
      <selection activeCell="A1" sqref="A1"/>
    </sheetView>
  </sheetViews>
  <sheetFormatPr defaultColWidth="9.33203125" defaultRowHeight="12.75"/>
  <cols>
    <col min="1" max="1" width="6.16015625" style="291" customWidth="1"/>
    <col min="2" max="2" width="23.83203125" style="292" customWidth="1"/>
    <col min="3" max="3" width="68" style="292" customWidth="1"/>
    <col min="4" max="4" width="52" style="292" customWidth="1"/>
    <col min="5" max="16384" width="9.33203125" style="292" customWidth="1"/>
  </cols>
  <sheetData>
    <row r="1" spans="2:4" ht="12">
      <c r="B1" s="293" t="s">
        <v>0</v>
      </c>
      <c r="C1" s="294"/>
      <c r="D1" s="294"/>
    </row>
    <row r="2" spans="2:4" ht="12">
      <c r="B2" s="922" t="s">
        <v>1</v>
      </c>
      <c r="C2" s="922"/>
      <c r="D2" s="922"/>
    </row>
    <row r="3" spans="2:4" ht="12">
      <c r="B3" s="923" t="s">
        <v>2</v>
      </c>
      <c r="C3" s="923"/>
      <c r="D3" s="923"/>
    </row>
    <row r="4" spans="2:4" ht="12">
      <c r="B4" s="295"/>
      <c r="C4" s="295"/>
      <c r="D4" s="295"/>
    </row>
    <row r="5" spans="1:4" ht="42" customHeight="1">
      <c r="A5" s="296" t="s">
        <v>3</v>
      </c>
      <c r="B5" s="296" t="s">
        <v>4</v>
      </c>
      <c r="C5" s="296" t="s">
        <v>5</v>
      </c>
      <c r="D5" s="296" t="s">
        <v>6</v>
      </c>
    </row>
    <row r="6" spans="1:4" ht="12" hidden="1">
      <c r="A6" s="297"/>
      <c r="B6" s="298" t="s">
        <v>7</v>
      </c>
      <c r="C6" s="298" t="s">
        <v>8</v>
      </c>
      <c r="D6" s="299"/>
    </row>
    <row r="7" spans="1:4" ht="12" hidden="1">
      <c r="A7" s="300">
        <v>1</v>
      </c>
      <c r="B7" s="301" t="s">
        <v>9</v>
      </c>
      <c r="C7" s="302" t="s">
        <v>10</v>
      </c>
      <c r="D7" s="927" t="s">
        <v>11</v>
      </c>
    </row>
    <row r="8" spans="1:4" ht="12" hidden="1">
      <c r="A8" s="300">
        <v>2</v>
      </c>
      <c r="B8" s="301" t="s">
        <v>12</v>
      </c>
      <c r="C8" s="302" t="s">
        <v>13</v>
      </c>
      <c r="D8" s="928"/>
    </row>
    <row r="9" spans="1:4" ht="12" hidden="1">
      <c r="A9" s="300">
        <v>3</v>
      </c>
      <c r="B9" s="301" t="s">
        <v>14</v>
      </c>
      <c r="C9" s="302" t="s">
        <v>15</v>
      </c>
      <c r="D9" s="929"/>
    </row>
    <row r="10" spans="1:4" ht="36" hidden="1">
      <c r="A10" s="300">
        <v>4</v>
      </c>
      <c r="B10" s="301" t="s">
        <v>16</v>
      </c>
      <c r="C10" s="302" t="s">
        <v>17</v>
      </c>
      <c r="D10" s="302" t="s">
        <v>18</v>
      </c>
    </row>
    <row r="11" spans="1:4" ht="12" hidden="1">
      <c r="A11" s="297"/>
      <c r="B11" s="298" t="s">
        <v>19</v>
      </c>
      <c r="C11" s="298" t="s">
        <v>20</v>
      </c>
      <c r="D11" s="298" t="s">
        <v>21</v>
      </c>
    </row>
    <row r="12" spans="1:4" ht="12" hidden="1">
      <c r="A12" s="924">
        <v>5</v>
      </c>
      <c r="B12" s="933" t="s">
        <v>22</v>
      </c>
      <c r="C12" s="948" t="s">
        <v>23</v>
      </c>
      <c r="D12" s="303" t="s">
        <v>24</v>
      </c>
    </row>
    <row r="13" spans="1:4" ht="24" hidden="1">
      <c r="A13" s="925"/>
      <c r="B13" s="934"/>
      <c r="C13" s="949"/>
      <c r="D13" s="304" t="s">
        <v>25</v>
      </c>
    </row>
    <row r="14" spans="1:4" ht="24" hidden="1">
      <c r="A14" s="300">
        <v>6</v>
      </c>
      <c r="B14" s="305" t="s">
        <v>26</v>
      </c>
      <c r="C14" s="302" t="s">
        <v>27</v>
      </c>
      <c r="D14" s="302" t="s">
        <v>28</v>
      </c>
    </row>
    <row r="15" spans="1:4" ht="12" hidden="1">
      <c r="A15" s="924">
        <v>7</v>
      </c>
      <c r="B15" s="935" t="s">
        <v>29</v>
      </c>
      <c r="C15" s="927" t="s">
        <v>30</v>
      </c>
      <c r="D15" s="303" t="s">
        <v>31</v>
      </c>
    </row>
    <row r="16" spans="1:4" ht="12" hidden="1">
      <c r="A16" s="926"/>
      <c r="B16" s="936"/>
      <c r="C16" s="928"/>
      <c r="D16" s="304" t="s">
        <v>32</v>
      </c>
    </row>
    <row r="17" spans="1:4" ht="12" hidden="1">
      <c r="A17" s="925"/>
      <c r="B17" s="937"/>
      <c r="C17" s="929"/>
      <c r="D17" s="302" t="s">
        <v>33</v>
      </c>
    </row>
    <row r="18" spans="1:4" ht="12" hidden="1">
      <c r="A18" s="924">
        <v>8</v>
      </c>
      <c r="B18" s="938" t="s">
        <v>34</v>
      </c>
      <c r="C18" s="927" t="s">
        <v>35</v>
      </c>
      <c r="D18" s="303" t="s">
        <v>36</v>
      </c>
    </row>
    <row r="19" spans="1:4" ht="12" hidden="1">
      <c r="A19" s="926"/>
      <c r="B19" s="939"/>
      <c r="C19" s="928"/>
      <c r="D19" s="304" t="s">
        <v>32</v>
      </c>
    </row>
    <row r="20" spans="1:4" ht="24" hidden="1">
      <c r="A20" s="926"/>
      <c r="B20" s="939"/>
      <c r="C20" s="928"/>
      <c r="D20" s="304" t="s">
        <v>28</v>
      </c>
    </row>
    <row r="21" spans="1:4" ht="24" hidden="1">
      <c r="A21" s="925"/>
      <c r="B21" s="940"/>
      <c r="C21" s="929"/>
      <c r="D21" s="302" t="s">
        <v>37</v>
      </c>
    </row>
    <row r="22" spans="1:4" ht="12" hidden="1">
      <c r="A22" s="924">
        <v>9</v>
      </c>
      <c r="B22" s="941" t="s">
        <v>38</v>
      </c>
      <c r="C22" s="927" t="s">
        <v>39</v>
      </c>
      <c r="D22" s="303" t="s">
        <v>40</v>
      </c>
    </row>
    <row r="23" spans="1:4" ht="12" hidden="1">
      <c r="A23" s="926"/>
      <c r="B23" s="942"/>
      <c r="C23" s="928"/>
      <c r="D23" s="304" t="s">
        <v>32</v>
      </c>
    </row>
    <row r="24" spans="1:4" ht="24" hidden="1">
      <c r="A24" s="926"/>
      <c r="B24" s="942"/>
      <c r="C24" s="928"/>
      <c r="D24" s="304" t="s">
        <v>28</v>
      </c>
    </row>
    <row r="25" spans="1:4" ht="24" hidden="1">
      <c r="A25" s="925"/>
      <c r="B25" s="943"/>
      <c r="C25" s="929"/>
      <c r="D25" s="302" t="s">
        <v>37</v>
      </c>
    </row>
    <row r="26" spans="1:4" ht="12" hidden="1">
      <c r="A26" s="930">
        <v>10</v>
      </c>
      <c r="B26" s="944" t="s">
        <v>41</v>
      </c>
      <c r="C26" s="950" t="s">
        <v>42</v>
      </c>
      <c r="D26" s="308" t="s">
        <v>43</v>
      </c>
    </row>
    <row r="27" spans="1:4" ht="24" hidden="1">
      <c r="A27" s="931"/>
      <c r="B27" s="945"/>
      <c r="C27" s="951"/>
      <c r="D27" s="308" t="s">
        <v>44</v>
      </c>
    </row>
    <row r="28" spans="1:4" ht="24" hidden="1">
      <c r="A28" s="932"/>
      <c r="B28" s="946"/>
      <c r="C28" s="952"/>
      <c r="D28" s="311" t="s">
        <v>45</v>
      </c>
    </row>
    <row r="29" spans="1:4" ht="12" hidden="1">
      <c r="A29" s="924">
        <v>11</v>
      </c>
      <c r="B29" s="935" t="s">
        <v>46</v>
      </c>
      <c r="C29" s="927" t="s">
        <v>47</v>
      </c>
      <c r="D29" s="303" t="s">
        <v>48</v>
      </c>
    </row>
    <row r="30" spans="1:4" ht="12" hidden="1">
      <c r="A30" s="926"/>
      <c r="B30" s="936"/>
      <c r="C30" s="928"/>
      <c r="D30" s="304" t="s">
        <v>32</v>
      </c>
    </row>
    <row r="31" spans="1:4" ht="24" hidden="1">
      <c r="A31" s="925"/>
      <c r="B31" s="937"/>
      <c r="C31" s="929"/>
      <c r="D31" s="302" t="s">
        <v>49</v>
      </c>
    </row>
    <row r="32" spans="1:4" ht="12" hidden="1">
      <c r="A32" s="924">
        <v>12</v>
      </c>
      <c r="B32" s="935" t="s">
        <v>50</v>
      </c>
      <c r="C32" s="927" t="s">
        <v>47</v>
      </c>
      <c r="D32" s="303" t="s">
        <v>48</v>
      </c>
    </row>
    <row r="33" spans="1:4" ht="36" hidden="1">
      <c r="A33" s="926"/>
      <c r="B33" s="936"/>
      <c r="C33" s="928"/>
      <c r="D33" s="304" t="s">
        <v>51</v>
      </c>
    </row>
    <row r="34" spans="1:4" ht="24" hidden="1">
      <c r="A34" s="925"/>
      <c r="B34" s="937"/>
      <c r="C34" s="929"/>
      <c r="D34" s="302" t="s">
        <v>52</v>
      </c>
    </row>
    <row r="35" spans="1:4" ht="12" hidden="1">
      <c r="A35" s="924">
        <v>13</v>
      </c>
      <c r="B35" s="935" t="s">
        <v>53</v>
      </c>
      <c r="C35" s="927" t="s">
        <v>54</v>
      </c>
      <c r="D35" s="303" t="s">
        <v>55</v>
      </c>
    </row>
    <row r="36" spans="1:4" ht="12" hidden="1">
      <c r="A36" s="926"/>
      <c r="B36" s="936"/>
      <c r="C36" s="928"/>
      <c r="D36" s="304" t="s">
        <v>56</v>
      </c>
    </row>
    <row r="37" spans="1:4" ht="12" hidden="1">
      <c r="A37" s="925"/>
      <c r="B37" s="937"/>
      <c r="C37" s="929"/>
      <c r="D37" s="302" t="s">
        <v>33</v>
      </c>
    </row>
    <row r="38" spans="1:4" ht="12" hidden="1">
      <c r="A38" s="924">
        <v>14</v>
      </c>
      <c r="B38" s="935" t="s">
        <v>57</v>
      </c>
      <c r="C38" s="927" t="s">
        <v>58</v>
      </c>
      <c r="D38" s="304" t="s">
        <v>43</v>
      </c>
    </row>
    <row r="39" spans="1:4" ht="24" hidden="1">
      <c r="A39" s="926"/>
      <c r="B39" s="936"/>
      <c r="C39" s="928"/>
      <c r="D39" s="304" t="s">
        <v>59</v>
      </c>
    </row>
    <row r="40" spans="1:4" ht="12" hidden="1">
      <c r="A40" s="925"/>
      <c r="B40" s="937"/>
      <c r="C40" s="929"/>
      <c r="D40" s="302" t="s">
        <v>33</v>
      </c>
    </row>
    <row r="41" spans="1:4" ht="12" hidden="1">
      <c r="A41" s="924">
        <v>15</v>
      </c>
      <c r="B41" s="935" t="s">
        <v>60</v>
      </c>
      <c r="C41" s="927" t="s">
        <v>58</v>
      </c>
      <c r="D41" s="304" t="s">
        <v>43</v>
      </c>
    </row>
    <row r="42" spans="1:4" ht="24" hidden="1">
      <c r="A42" s="926"/>
      <c r="B42" s="936"/>
      <c r="C42" s="928"/>
      <c r="D42" s="304" t="s">
        <v>61</v>
      </c>
    </row>
    <row r="43" spans="1:4" ht="12" hidden="1">
      <c r="A43" s="925"/>
      <c r="B43" s="937"/>
      <c r="C43" s="929"/>
      <c r="D43" s="302" t="s">
        <v>33</v>
      </c>
    </row>
    <row r="44" spans="1:4" ht="12" hidden="1">
      <c r="A44" s="924">
        <v>16</v>
      </c>
      <c r="B44" s="935" t="s">
        <v>62</v>
      </c>
      <c r="C44" s="927" t="s">
        <v>58</v>
      </c>
      <c r="D44" s="304" t="s">
        <v>43</v>
      </c>
    </row>
    <row r="45" spans="1:4" ht="24" hidden="1">
      <c r="A45" s="926"/>
      <c r="B45" s="936"/>
      <c r="C45" s="928"/>
      <c r="D45" s="304" t="s">
        <v>63</v>
      </c>
    </row>
    <row r="46" spans="1:4" ht="12" hidden="1">
      <c r="A46" s="925"/>
      <c r="B46" s="937"/>
      <c r="C46" s="929"/>
      <c r="D46" s="302" t="s">
        <v>33</v>
      </c>
    </row>
    <row r="47" spans="1:4" ht="12" hidden="1">
      <c r="A47" s="924">
        <v>17</v>
      </c>
      <c r="B47" s="935" t="s">
        <v>64</v>
      </c>
      <c r="C47" s="927" t="s">
        <v>58</v>
      </c>
      <c r="D47" s="304" t="s">
        <v>43</v>
      </c>
    </row>
    <row r="48" spans="1:4" ht="24" hidden="1">
      <c r="A48" s="926"/>
      <c r="B48" s="936"/>
      <c r="C48" s="928"/>
      <c r="D48" s="304" t="s">
        <v>65</v>
      </c>
    </row>
    <row r="49" spans="1:4" ht="12" hidden="1">
      <c r="A49" s="925"/>
      <c r="B49" s="937"/>
      <c r="C49" s="929"/>
      <c r="D49" s="302" t="s">
        <v>33</v>
      </c>
    </row>
    <row r="50" spans="1:4" ht="12" hidden="1">
      <c r="A50" s="300">
        <v>18</v>
      </c>
      <c r="B50" s="307" t="s">
        <v>66</v>
      </c>
      <c r="C50" s="302" t="s">
        <v>67</v>
      </c>
      <c r="D50" s="304" t="s">
        <v>43</v>
      </c>
    </row>
    <row r="51" spans="1:4" ht="12" hidden="1">
      <c r="A51" s="300">
        <v>19</v>
      </c>
      <c r="B51" s="307" t="s">
        <v>68</v>
      </c>
      <c r="C51" s="302" t="s">
        <v>69</v>
      </c>
      <c r="D51" s="304" t="s">
        <v>32</v>
      </c>
    </row>
    <row r="52" spans="1:4" ht="12" hidden="1">
      <c r="A52" s="300">
        <v>20</v>
      </c>
      <c r="B52" s="307" t="s">
        <v>70</v>
      </c>
      <c r="C52" s="302" t="s">
        <v>71</v>
      </c>
      <c r="D52" s="304" t="s">
        <v>33</v>
      </c>
    </row>
    <row r="53" spans="1:4" ht="12" hidden="1">
      <c r="A53" s="300">
        <v>21</v>
      </c>
      <c r="B53" s="307" t="s">
        <v>72</v>
      </c>
      <c r="C53" s="302" t="s">
        <v>73</v>
      </c>
      <c r="D53" s="312"/>
    </row>
    <row r="54" spans="1:4" ht="12" hidden="1">
      <c r="A54" s="300">
        <v>22</v>
      </c>
      <c r="B54" s="307" t="s">
        <v>74</v>
      </c>
      <c r="C54" s="302" t="s">
        <v>75</v>
      </c>
      <c r="D54" s="312"/>
    </row>
    <row r="55" spans="1:4" ht="12" hidden="1">
      <c r="A55" s="300">
        <v>23</v>
      </c>
      <c r="B55" s="307" t="s">
        <v>76</v>
      </c>
      <c r="C55" s="302" t="s">
        <v>77</v>
      </c>
      <c r="D55" s="312"/>
    </row>
    <row r="56" spans="1:4" ht="12" hidden="1">
      <c r="A56" s="300">
        <v>24</v>
      </c>
      <c r="B56" s="307" t="s">
        <v>78</v>
      </c>
      <c r="C56" s="302" t="s">
        <v>79</v>
      </c>
      <c r="D56" s="312"/>
    </row>
    <row r="57" spans="1:4" ht="12" hidden="1">
      <c r="A57" s="300">
        <v>25</v>
      </c>
      <c r="B57" s="307" t="s">
        <v>80</v>
      </c>
      <c r="C57" s="302" t="s">
        <v>81</v>
      </c>
      <c r="D57" s="312"/>
    </row>
    <row r="58" spans="1:4" ht="12" hidden="1">
      <c r="A58" s="300">
        <v>26</v>
      </c>
      <c r="B58" s="307" t="s">
        <v>82</v>
      </c>
      <c r="C58" s="302" t="s">
        <v>83</v>
      </c>
      <c r="D58" s="312"/>
    </row>
    <row r="59" spans="1:4" ht="24" hidden="1">
      <c r="A59" s="300">
        <v>27</v>
      </c>
      <c r="B59" s="307" t="s">
        <v>84</v>
      </c>
      <c r="C59" s="313" t="s">
        <v>85</v>
      </c>
      <c r="D59" s="314" t="s">
        <v>86</v>
      </c>
    </row>
    <row r="60" spans="1:4" ht="12" hidden="1">
      <c r="A60" s="924">
        <v>28</v>
      </c>
      <c r="B60" s="935" t="s">
        <v>87</v>
      </c>
      <c r="C60" s="927" t="s">
        <v>88</v>
      </c>
      <c r="D60" s="304" t="s">
        <v>43</v>
      </c>
    </row>
    <row r="61" spans="1:4" ht="24" hidden="1">
      <c r="A61" s="926"/>
      <c r="B61" s="936"/>
      <c r="C61" s="928"/>
      <c r="D61" s="304" t="s">
        <v>89</v>
      </c>
    </row>
    <row r="62" spans="1:4" ht="12" hidden="1">
      <c r="A62" s="925"/>
      <c r="B62" s="937"/>
      <c r="C62" s="929"/>
      <c r="D62" s="302" t="s">
        <v>90</v>
      </c>
    </row>
    <row r="63" spans="1:4" ht="24" hidden="1">
      <c r="A63" s="300">
        <v>29</v>
      </c>
      <c r="B63" s="307" t="s">
        <v>91</v>
      </c>
      <c r="C63" s="302" t="s">
        <v>92</v>
      </c>
      <c r="D63" s="302" t="s">
        <v>93</v>
      </c>
    </row>
    <row r="64" spans="1:4" ht="12" hidden="1">
      <c r="A64" s="300">
        <v>30</v>
      </c>
      <c r="B64" s="307" t="s">
        <v>94</v>
      </c>
      <c r="C64" s="302" t="s">
        <v>95</v>
      </c>
      <c r="D64" s="304" t="s">
        <v>43</v>
      </c>
    </row>
    <row r="65" spans="1:4" ht="24" hidden="1">
      <c r="A65" s="300">
        <v>31</v>
      </c>
      <c r="B65" s="307" t="s">
        <v>96</v>
      </c>
      <c r="C65" s="302" t="s">
        <v>97</v>
      </c>
      <c r="D65" s="304" t="s">
        <v>32</v>
      </c>
    </row>
    <row r="66" spans="1:4" ht="24" hidden="1">
      <c r="A66" s="300">
        <v>32</v>
      </c>
      <c r="B66" s="307" t="s">
        <v>98</v>
      </c>
      <c r="C66" s="302" t="s">
        <v>99</v>
      </c>
      <c r="D66" s="302" t="s">
        <v>33</v>
      </c>
    </row>
    <row r="67" spans="1:4" ht="12" hidden="1">
      <c r="A67" s="930">
        <v>33</v>
      </c>
      <c r="B67" s="944" t="s">
        <v>100</v>
      </c>
      <c r="C67" s="950" t="s">
        <v>101</v>
      </c>
      <c r="D67" s="308" t="s">
        <v>43</v>
      </c>
    </row>
    <row r="68" spans="1:4" ht="24" hidden="1">
      <c r="A68" s="931"/>
      <c r="B68" s="945"/>
      <c r="C68" s="951"/>
      <c r="D68" s="308" t="s">
        <v>102</v>
      </c>
    </row>
    <row r="69" spans="1:4" ht="24" hidden="1">
      <c r="A69" s="932"/>
      <c r="B69" s="946"/>
      <c r="C69" s="952"/>
      <c r="D69" s="311" t="s">
        <v>103</v>
      </c>
    </row>
    <row r="70" spans="1:4" ht="48" hidden="1">
      <c r="A70" s="309">
        <v>34</v>
      </c>
      <c r="B70" s="310" t="s">
        <v>104</v>
      </c>
      <c r="C70" s="311" t="s">
        <v>105</v>
      </c>
      <c r="D70" s="311" t="s">
        <v>106</v>
      </c>
    </row>
    <row r="71" spans="1:4" ht="24" hidden="1">
      <c r="A71" s="300">
        <v>35</v>
      </c>
      <c r="B71" s="307" t="s">
        <v>107</v>
      </c>
      <c r="C71" s="302" t="s">
        <v>108</v>
      </c>
      <c r="D71" s="302" t="s">
        <v>109</v>
      </c>
    </row>
    <row r="72" spans="1:4" ht="24" hidden="1">
      <c r="A72" s="297"/>
      <c r="B72" s="298" t="s">
        <v>110</v>
      </c>
      <c r="C72" s="298" t="s">
        <v>111</v>
      </c>
      <c r="D72" s="299"/>
    </row>
    <row r="73" spans="1:4" ht="12" hidden="1">
      <c r="A73" s="309">
        <v>36</v>
      </c>
      <c r="B73" s="310" t="s">
        <v>112</v>
      </c>
      <c r="C73" s="311" t="s">
        <v>113</v>
      </c>
      <c r="D73" s="308" t="s">
        <v>43</v>
      </c>
    </row>
    <row r="74" spans="1:4" ht="24" hidden="1">
      <c r="A74" s="309">
        <v>37</v>
      </c>
      <c r="B74" s="310" t="s">
        <v>114</v>
      </c>
      <c r="C74" s="311" t="s">
        <v>115</v>
      </c>
      <c r="D74" s="308" t="s">
        <v>116</v>
      </c>
    </row>
    <row r="75" spans="1:4" ht="12" hidden="1">
      <c r="A75" s="309">
        <v>38</v>
      </c>
      <c r="B75" s="310" t="s">
        <v>117</v>
      </c>
      <c r="C75" s="311" t="s">
        <v>118</v>
      </c>
      <c r="D75" s="308" t="s">
        <v>119</v>
      </c>
    </row>
    <row r="76" spans="1:4" ht="12" hidden="1">
      <c r="A76" s="309">
        <v>39</v>
      </c>
      <c r="B76" s="310" t="s">
        <v>120</v>
      </c>
      <c r="C76" s="311" t="s">
        <v>121</v>
      </c>
      <c r="D76" s="315"/>
    </row>
    <row r="77" spans="1:4" ht="18" customHeight="1" hidden="1">
      <c r="A77" s="297"/>
      <c r="B77" s="298" t="s">
        <v>122</v>
      </c>
      <c r="C77" s="298" t="s">
        <v>123</v>
      </c>
      <c r="D77" s="299"/>
    </row>
    <row r="78" spans="1:4" ht="12" hidden="1">
      <c r="A78" s="924">
        <v>40</v>
      </c>
      <c r="B78" s="935" t="s">
        <v>124</v>
      </c>
      <c r="C78" s="927" t="s">
        <v>125</v>
      </c>
      <c r="D78" s="304" t="s">
        <v>43</v>
      </c>
    </row>
    <row r="79" spans="1:4" ht="12" hidden="1">
      <c r="A79" s="925"/>
      <c r="B79" s="937"/>
      <c r="C79" s="929"/>
      <c r="D79" s="304" t="s">
        <v>32</v>
      </c>
    </row>
    <row r="80" spans="1:4" ht="36" hidden="1">
      <c r="A80" s="300">
        <v>41</v>
      </c>
      <c r="B80" s="307" t="s">
        <v>126</v>
      </c>
      <c r="C80" s="302" t="s">
        <v>127</v>
      </c>
      <c r="D80" s="304" t="s">
        <v>128</v>
      </c>
    </row>
    <row r="81" spans="1:4" ht="30.75" customHeight="1" hidden="1">
      <c r="A81" s="300">
        <v>42</v>
      </c>
      <c r="B81" s="307" t="s">
        <v>129</v>
      </c>
      <c r="C81" s="302" t="s">
        <v>130</v>
      </c>
      <c r="D81" s="302" t="s">
        <v>37</v>
      </c>
    </row>
    <row r="82" spans="1:4" ht="12" hidden="1">
      <c r="A82" s="924">
        <v>43</v>
      </c>
      <c r="B82" s="935" t="s">
        <v>131</v>
      </c>
      <c r="C82" s="927" t="s">
        <v>132</v>
      </c>
      <c r="D82" s="304" t="s">
        <v>43</v>
      </c>
    </row>
    <row r="83" spans="1:4" ht="12" hidden="1">
      <c r="A83" s="926"/>
      <c r="B83" s="936"/>
      <c r="C83" s="928"/>
      <c r="D83" s="304" t="s">
        <v>32</v>
      </c>
    </row>
    <row r="84" spans="1:4" ht="24" hidden="1">
      <c r="A84" s="925"/>
      <c r="B84" s="937"/>
      <c r="C84" s="929"/>
      <c r="D84" s="302" t="s">
        <v>128</v>
      </c>
    </row>
    <row r="85" spans="1:4" ht="24" hidden="1">
      <c r="A85" s="300">
        <v>44</v>
      </c>
      <c r="B85" s="307" t="s">
        <v>133</v>
      </c>
      <c r="C85" s="302" t="s">
        <v>134</v>
      </c>
      <c r="D85" s="302" t="s">
        <v>135</v>
      </c>
    </row>
    <row r="86" spans="1:4" s="290" customFormat="1" ht="18" customHeight="1" hidden="1">
      <c r="A86" s="316"/>
      <c r="B86" s="317" t="s">
        <v>136</v>
      </c>
      <c r="C86" s="317" t="s">
        <v>137</v>
      </c>
      <c r="D86" s="318"/>
    </row>
    <row r="87" spans="1:4" ht="19.5" customHeight="1" hidden="1">
      <c r="A87" s="300">
        <v>45</v>
      </c>
      <c r="B87" s="307" t="s">
        <v>138</v>
      </c>
      <c r="C87" s="302" t="s">
        <v>139</v>
      </c>
      <c r="D87" s="927" t="s">
        <v>140</v>
      </c>
    </row>
    <row r="88" spans="1:4" ht="16.5" customHeight="1" hidden="1">
      <c r="A88" s="300">
        <v>46</v>
      </c>
      <c r="B88" s="307" t="s">
        <v>141</v>
      </c>
      <c r="C88" s="302" t="s">
        <v>142</v>
      </c>
      <c r="D88" s="928"/>
    </row>
    <row r="89" spans="1:4" ht="27" customHeight="1" hidden="1">
      <c r="A89" s="300">
        <v>47</v>
      </c>
      <c r="B89" s="307" t="s">
        <v>143</v>
      </c>
      <c r="C89" s="302" t="s">
        <v>144</v>
      </c>
      <c r="D89" s="928"/>
    </row>
    <row r="90" spans="1:4" ht="12" hidden="1">
      <c r="A90" s="300">
        <v>48</v>
      </c>
      <c r="B90" s="307" t="s">
        <v>145</v>
      </c>
      <c r="C90" s="302" t="s">
        <v>146</v>
      </c>
      <c r="D90" s="928"/>
    </row>
    <row r="91" spans="1:4" ht="12" hidden="1">
      <c r="A91" s="300">
        <v>49</v>
      </c>
      <c r="B91" s="307" t="s">
        <v>147</v>
      </c>
      <c r="C91" s="302" t="s">
        <v>148</v>
      </c>
      <c r="D91" s="928"/>
    </row>
    <row r="92" spans="1:4" ht="12" hidden="1">
      <c r="A92" s="300">
        <v>50</v>
      </c>
      <c r="B92" s="307" t="s">
        <v>149</v>
      </c>
      <c r="C92" s="302" t="s">
        <v>150</v>
      </c>
      <c r="D92" s="929"/>
    </row>
    <row r="93" spans="1:4" ht="24" hidden="1">
      <c r="A93" s="300">
        <v>51</v>
      </c>
      <c r="B93" s="307" t="s">
        <v>151</v>
      </c>
      <c r="C93" s="302" t="s">
        <v>152</v>
      </c>
      <c r="D93" s="927" t="s">
        <v>140</v>
      </c>
    </row>
    <row r="94" spans="1:4" ht="24" hidden="1">
      <c r="A94" s="300">
        <v>52</v>
      </c>
      <c r="B94" s="307" t="s">
        <v>153</v>
      </c>
      <c r="C94" s="302" t="s">
        <v>154</v>
      </c>
      <c r="D94" s="928"/>
    </row>
    <row r="95" spans="1:4" ht="12" hidden="1">
      <c r="A95" s="300">
        <v>53</v>
      </c>
      <c r="B95" s="307" t="s">
        <v>155</v>
      </c>
      <c r="C95" s="302" t="s">
        <v>156</v>
      </c>
      <c r="D95" s="929"/>
    </row>
    <row r="96" spans="1:4" ht="12" hidden="1">
      <c r="A96" s="297"/>
      <c r="B96" s="298" t="s">
        <v>157</v>
      </c>
      <c r="C96" s="298" t="s">
        <v>158</v>
      </c>
      <c r="D96" s="299"/>
    </row>
    <row r="97" spans="1:4" ht="17.25" customHeight="1" hidden="1">
      <c r="A97" s="319"/>
      <c r="B97" s="319"/>
      <c r="C97" s="320" t="s">
        <v>159</v>
      </c>
      <c r="D97" s="321"/>
    </row>
    <row r="98" spans="1:4" ht="12" hidden="1">
      <c r="A98" s="309">
        <v>54</v>
      </c>
      <c r="B98" s="310" t="s">
        <v>160</v>
      </c>
      <c r="C98" s="311" t="s">
        <v>23</v>
      </c>
      <c r="D98" s="950" t="s">
        <v>161</v>
      </c>
    </row>
    <row r="99" spans="1:4" ht="12" hidden="1">
      <c r="A99" s="309">
        <v>55</v>
      </c>
      <c r="B99" s="310" t="s">
        <v>162</v>
      </c>
      <c r="C99" s="311" t="s">
        <v>163</v>
      </c>
      <c r="D99" s="951"/>
    </row>
    <row r="100" spans="1:4" ht="12" hidden="1">
      <c r="A100" s="309">
        <v>56</v>
      </c>
      <c r="B100" s="310" t="s">
        <v>164</v>
      </c>
      <c r="C100" s="311" t="s">
        <v>165</v>
      </c>
      <c r="D100" s="951"/>
    </row>
    <row r="101" spans="1:4" ht="38.25" customHeight="1" hidden="1">
      <c r="A101" s="309">
        <v>57</v>
      </c>
      <c r="B101" s="310" t="s">
        <v>166</v>
      </c>
      <c r="C101" s="311" t="s">
        <v>167</v>
      </c>
      <c r="D101" s="951"/>
    </row>
    <row r="102" spans="1:4" ht="38.25" customHeight="1" hidden="1">
      <c r="A102" s="309">
        <v>58</v>
      </c>
      <c r="B102" s="310" t="s">
        <v>168</v>
      </c>
      <c r="C102" s="311" t="s">
        <v>169</v>
      </c>
      <c r="D102" s="951"/>
    </row>
    <row r="103" spans="1:4" ht="12" hidden="1">
      <c r="A103" s="309">
        <v>59</v>
      </c>
      <c r="B103" s="310" t="s">
        <v>170</v>
      </c>
      <c r="C103" s="311" t="s">
        <v>171</v>
      </c>
      <c r="D103" s="951"/>
    </row>
    <row r="104" spans="1:4" ht="12" hidden="1">
      <c r="A104" s="309">
        <v>60</v>
      </c>
      <c r="B104" s="310" t="s">
        <v>172</v>
      </c>
      <c r="C104" s="311" t="s">
        <v>173</v>
      </c>
      <c r="D104" s="951"/>
    </row>
    <row r="105" spans="1:4" ht="12" hidden="1">
      <c r="A105" s="309">
        <v>61</v>
      </c>
      <c r="B105" s="310" t="s">
        <v>174</v>
      </c>
      <c r="C105" s="311" t="s">
        <v>175</v>
      </c>
      <c r="D105" s="951"/>
    </row>
    <row r="106" spans="1:4" ht="36" customHeight="1" hidden="1">
      <c r="A106" s="309">
        <v>62</v>
      </c>
      <c r="B106" s="310" t="s">
        <v>176</v>
      </c>
      <c r="C106" s="311" t="s">
        <v>177</v>
      </c>
      <c r="D106" s="951"/>
    </row>
    <row r="107" spans="1:4" ht="36" hidden="1">
      <c r="A107" s="309">
        <v>63</v>
      </c>
      <c r="B107" s="310" t="s">
        <v>178</v>
      </c>
      <c r="C107" s="311" t="s">
        <v>179</v>
      </c>
      <c r="D107" s="951"/>
    </row>
    <row r="108" spans="1:4" ht="36" hidden="1">
      <c r="A108" s="309">
        <v>64</v>
      </c>
      <c r="B108" s="310" t="s">
        <v>180</v>
      </c>
      <c r="C108" s="311" t="s">
        <v>181</v>
      </c>
      <c r="D108" s="951"/>
    </row>
    <row r="109" spans="1:4" ht="36" hidden="1">
      <c r="A109" s="309">
        <v>65</v>
      </c>
      <c r="B109" s="310" t="s">
        <v>182</v>
      </c>
      <c r="C109" s="311" t="s">
        <v>183</v>
      </c>
      <c r="D109" s="952"/>
    </row>
    <row r="110" spans="1:4" ht="12" hidden="1">
      <c r="A110" s="322"/>
      <c r="B110" s="322"/>
      <c r="C110" s="323" t="s">
        <v>184</v>
      </c>
      <c r="D110" s="324"/>
    </row>
    <row r="111" spans="1:4" ht="12" hidden="1">
      <c r="A111" s="300">
        <v>66</v>
      </c>
      <c r="B111" s="307" t="s">
        <v>185</v>
      </c>
      <c r="C111" s="302" t="s">
        <v>23</v>
      </c>
      <c r="D111" s="927" t="s">
        <v>186</v>
      </c>
    </row>
    <row r="112" spans="1:4" ht="39.75" customHeight="1" hidden="1">
      <c r="A112" s="300">
        <v>67</v>
      </c>
      <c r="B112" s="307" t="s">
        <v>187</v>
      </c>
      <c r="C112" s="302" t="s">
        <v>163</v>
      </c>
      <c r="D112" s="929"/>
    </row>
    <row r="113" spans="1:4" ht="18" customHeight="1" hidden="1">
      <c r="A113" s="319"/>
      <c r="B113" s="319"/>
      <c r="C113" s="320" t="s">
        <v>188</v>
      </c>
      <c r="D113" s="321"/>
    </row>
    <row r="114" spans="1:4" ht="12" hidden="1">
      <c r="A114" s="309">
        <v>68</v>
      </c>
      <c r="B114" s="310" t="s">
        <v>189</v>
      </c>
      <c r="C114" s="311" t="s">
        <v>190</v>
      </c>
      <c r="D114" s="950" t="s">
        <v>191</v>
      </c>
    </row>
    <row r="115" spans="1:4" ht="12" hidden="1">
      <c r="A115" s="309">
        <v>69</v>
      </c>
      <c r="B115" s="310" t="s">
        <v>192</v>
      </c>
      <c r="C115" s="311" t="s">
        <v>193</v>
      </c>
      <c r="D115" s="951"/>
    </row>
    <row r="116" spans="1:4" ht="12" hidden="1">
      <c r="A116" s="309">
        <v>70</v>
      </c>
      <c r="B116" s="310" t="s">
        <v>194</v>
      </c>
      <c r="C116" s="311" t="s">
        <v>195</v>
      </c>
      <c r="D116" s="952"/>
    </row>
    <row r="117" spans="1:4" ht="24" hidden="1">
      <c r="A117" s="300">
        <v>71</v>
      </c>
      <c r="B117" s="301" t="s">
        <v>196</v>
      </c>
      <c r="C117" s="302" t="s">
        <v>193</v>
      </c>
      <c r="D117" s="302" t="s">
        <v>197</v>
      </c>
    </row>
    <row r="118" spans="1:4" ht="24" hidden="1">
      <c r="A118" s="309">
        <v>72</v>
      </c>
      <c r="B118" s="310" t="s">
        <v>198</v>
      </c>
      <c r="C118" s="311" t="s">
        <v>199</v>
      </c>
      <c r="D118" s="311" t="s">
        <v>200</v>
      </c>
    </row>
    <row r="119" spans="1:4" ht="19.5" customHeight="1" hidden="1">
      <c r="A119" s="300">
        <v>73</v>
      </c>
      <c r="B119" s="307" t="s">
        <v>201</v>
      </c>
      <c r="C119" s="302" t="s">
        <v>202</v>
      </c>
      <c r="D119" s="927" t="s">
        <v>203</v>
      </c>
    </row>
    <row r="120" spans="1:4" ht="18" customHeight="1" hidden="1">
      <c r="A120" s="300">
        <v>74</v>
      </c>
      <c r="B120" s="307" t="s">
        <v>204</v>
      </c>
      <c r="C120" s="302" t="s">
        <v>193</v>
      </c>
      <c r="D120" s="928"/>
    </row>
    <row r="121" spans="1:4" ht="17.25" customHeight="1" hidden="1">
      <c r="A121" s="300">
        <v>75</v>
      </c>
      <c r="B121" s="307" t="s">
        <v>205</v>
      </c>
      <c r="C121" s="302" t="s">
        <v>206</v>
      </c>
      <c r="D121" s="929"/>
    </row>
    <row r="122" spans="1:4" ht="18.75" customHeight="1">
      <c r="A122" s="297"/>
      <c r="B122" s="298" t="s">
        <v>207</v>
      </c>
      <c r="C122" s="298" t="s">
        <v>208</v>
      </c>
      <c r="D122" s="299"/>
    </row>
    <row r="123" spans="1:4" ht="36">
      <c r="A123" s="300">
        <v>76</v>
      </c>
      <c r="B123" s="307" t="s">
        <v>209</v>
      </c>
      <c r="C123" s="302" t="s">
        <v>210</v>
      </c>
      <c r="D123" s="927" t="s">
        <v>211</v>
      </c>
    </row>
    <row r="124" spans="1:4" ht="24">
      <c r="A124" s="300">
        <v>77</v>
      </c>
      <c r="B124" s="307" t="s">
        <v>212</v>
      </c>
      <c r="C124" s="302" t="s">
        <v>213</v>
      </c>
      <c r="D124" s="929"/>
    </row>
    <row r="125" spans="1:4" ht="19.5" customHeight="1">
      <c r="A125" s="300">
        <v>78</v>
      </c>
      <c r="B125" s="307" t="s">
        <v>214</v>
      </c>
      <c r="C125" s="302" t="s">
        <v>215</v>
      </c>
      <c r="D125" s="953" t="s">
        <v>216</v>
      </c>
    </row>
    <row r="126" spans="1:4" ht="18" customHeight="1">
      <c r="A126" s="300">
        <v>79</v>
      </c>
      <c r="B126" s="307" t="s">
        <v>217</v>
      </c>
      <c r="C126" s="302" t="s">
        <v>218</v>
      </c>
      <c r="D126" s="954"/>
    </row>
    <row r="127" spans="1:4" ht="18" customHeight="1">
      <c r="A127" s="300">
        <v>80</v>
      </c>
      <c r="B127" s="307" t="s">
        <v>219</v>
      </c>
      <c r="C127" s="302" t="s">
        <v>220</v>
      </c>
      <c r="D127" s="955"/>
    </row>
    <row r="128" spans="1:4" ht="20.25" customHeight="1">
      <c r="A128" s="300">
        <v>81</v>
      </c>
      <c r="B128" s="307" t="s">
        <v>221</v>
      </c>
      <c r="C128" s="302" t="s">
        <v>222</v>
      </c>
      <c r="D128" s="953" t="s">
        <v>223</v>
      </c>
    </row>
    <row r="129" spans="1:4" ht="21.75" customHeight="1">
      <c r="A129" s="300">
        <v>82</v>
      </c>
      <c r="B129" s="307" t="s">
        <v>224</v>
      </c>
      <c r="C129" s="302" t="s">
        <v>225</v>
      </c>
      <c r="D129" s="954"/>
    </row>
    <row r="130" spans="1:4" ht="12">
      <c r="A130" s="300">
        <v>83</v>
      </c>
      <c r="B130" s="307" t="s">
        <v>226</v>
      </c>
      <c r="C130" s="302" t="s">
        <v>227</v>
      </c>
      <c r="D130" s="954"/>
    </row>
    <row r="131" spans="1:4" ht="18" customHeight="1">
      <c r="A131" s="300">
        <v>84</v>
      </c>
      <c r="B131" s="307" t="s">
        <v>228</v>
      </c>
      <c r="C131" s="302" t="s">
        <v>229</v>
      </c>
      <c r="D131" s="954"/>
    </row>
    <row r="132" spans="1:4" ht="21" customHeight="1">
      <c r="A132" s="300">
        <v>85</v>
      </c>
      <c r="B132" s="307" t="s">
        <v>230</v>
      </c>
      <c r="C132" s="302" t="s">
        <v>231</v>
      </c>
      <c r="D132" s="954"/>
    </row>
    <row r="133" spans="1:4" ht="24">
      <c r="A133" s="300">
        <v>86</v>
      </c>
      <c r="B133" s="306" t="s">
        <v>232</v>
      </c>
      <c r="C133" s="302" t="s">
        <v>233</v>
      </c>
      <c r="D133" s="955"/>
    </row>
    <row r="134" spans="1:4" ht="24">
      <c r="A134" s="924">
        <v>87</v>
      </c>
      <c r="B134" s="947" t="s">
        <v>234</v>
      </c>
      <c r="C134" s="948" t="s">
        <v>235</v>
      </c>
      <c r="D134" s="304" t="s">
        <v>236</v>
      </c>
    </row>
    <row r="135" spans="1:4" ht="24">
      <c r="A135" s="925"/>
      <c r="B135" s="947"/>
      <c r="C135" s="949"/>
      <c r="D135" s="302" t="s">
        <v>237</v>
      </c>
    </row>
    <row r="136" spans="1:4" ht="24">
      <c r="A136" s="300">
        <v>88</v>
      </c>
      <c r="B136" s="325" t="s">
        <v>238</v>
      </c>
      <c r="C136" s="302" t="s">
        <v>239</v>
      </c>
      <c r="D136" s="302" t="s">
        <v>240</v>
      </c>
    </row>
  </sheetData>
  <sheetProtection/>
  <mergeCells count="63">
    <mergeCell ref="D125:D127"/>
    <mergeCell ref="D128:D133"/>
    <mergeCell ref="C78:C79"/>
    <mergeCell ref="C82:C84"/>
    <mergeCell ref="C134:C135"/>
    <mergeCell ref="D119:D121"/>
    <mergeCell ref="D87:D92"/>
    <mergeCell ref="D93:D95"/>
    <mergeCell ref="D98:D109"/>
    <mergeCell ref="D111:D112"/>
    <mergeCell ref="D114:D116"/>
    <mergeCell ref="D123:D124"/>
    <mergeCell ref="C38:C40"/>
    <mergeCell ref="C41:C43"/>
    <mergeCell ref="C44:C46"/>
    <mergeCell ref="C47:C49"/>
    <mergeCell ref="C60:C62"/>
    <mergeCell ref="C67:C69"/>
    <mergeCell ref="B82:B84"/>
    <mergeCell ref="B134:B135"/>
    <mergeCell ref="C12:C13"/>
    <mergeCell ref="C15:C17"/>
    <mergeCell ref="C18:C21"/>
    <mergeCell ref="C22:C25"/>
    <mergeCell ref="C26:C28"/>
    <mergeCell ref="C29:C31"/>
    <mergeCell ref="C32:C34"/>
    <mergeCell ref="C35:C37"/>
    <mergeCell ref="B41:B43"/>
    <mergeCell ref="B44:B46"/>
    <mergeCell ref="B47:B49"/>
    <mergeCell ref="B60:B62"/>
    <mergeCell ref="B67:B69"/>
    <mergeCell ref="B78:B79"/>
    <mergeCell ref="A134:A135"/>
    <mergeCell ref="B12:B13"/>
    <mergeCell ref="B15:B17"/>
    <mergeCell ref="B18:B21"/>
    <mergeCell ref="B22:B25"/>
    <mergeCell ref="B26:B28"/>
    <mergeCell ref="B29:B31"/>
    <mergeCell ref="B32:B34"/>
    <mergeCell ref="B35:B37"/>
    <mergeCell ref="B38:B40"/>
    <mergeCell ref="A44:A46"/>
    <mergeCell ref="A47:A49"/>
    <mergeCell ref="A60:A62"/>
    <mergeCell ref="A67:A69"/>
    <mergeCell ref="A78:A79"/>
    <mergeCell ref="A82:A84"/>
    <mergeCell ref="A26:A28"/>
    <mergeCell ref="A29:A31"/>
    <mergeCell ref="A32:A34"/>
    <mergeCell ref="A35:A37"/>
    <mergeCell ref="A38:A40"/>
    <mergeCell ref="A41:A43"/>
    <mergeCell ref="B2:D2"/>
    <mergeCell ref="B3:D3"/>
    <mergeCell ref="A12:A13"/>
    <mergeCell ref="A15:A17"/>
    <mergeCell ref="A18:A21"/>
    <mergeCell ref="A22:A25"/>
    <mergeCell ref="D7:D9"/>
  </mergeCells>
  <hyperlinks>
    <hyperlink ref="B12:B13" location="'05'!A1" display="Mẫu biểu số 05:"/>
    <hyperlink ref="B14" location="'06'!A1" display="Mẫu biểu số 06:"/>
    <hyperlink ref="B15:B17" location="'07'!A1" display="Mẫu biểu số 07:"/>
    <hyperlink ref="B29:B31" location="'11.1'!A1" display="Mẫu biểu số 11.1:"/>
    <hyperlink ref="B32:B34" location="'11.2'!A1" display="Mẫu biểu số 11.2:"/>
    <hyperlink ref="B35:B37" location="'12.1'!A1" display="Mẫu biểu số 12.1:"/>
    <hyperlink ref="B38:B40" location="'12.2'!A1" display="Mẫu biểu số 12.2"/>
    <hyperlink ref="B41:B43" location="'12.3'!A1" display="Mẫu biểu số 12.3:"/>
    <hyperlink ref="B44:B46" location="'12.4'!A1" display="Mẫu biểu số 12.4:"/>
    <hyperlink ref="B47:B49" location="'12.5'!A1" display="Mẫu biểu số 12.5:"/>
    <hyperlink ref="B50" location="'13.1'!A1" display="Mẫu biểu số 13.1:"/>
    <hyperlink ref="B51" location="'13.2'!A1" display="Mẫu biểu số 13.2:"/>
    <hyperlink ref="B52" location="'13.3'!A1" display="Mẫu biểu số 13.3:"/>
    <hyperlink ref="B53" location="'13.4'!A1" display="Mẫu biểu số 13.4:"/>
    <hyperlink ref="B54" location="'13.5'!A1" display="Mẫu biểu số 13.5:"/>
    <hyperlink ref="B55" location="'13.6'!A1" display="Mẫu biểu số 13.6:"/>
    <hyperlink ref="B56" location="'13.7'!A1" display="Mẫu biểu số 13.7:"/>
    <hyperlink ref="B57" location="'13.8'!A1" display="Mẫu biểu số 13.8:"/>
    <hyperlink ref="B58" location="'13.9'!A1" display="Mẫu biểu số 13.9:"/>
    <hyperlink ref="B59" location="'13.10'!A1" display="Mẫu biểu số 13.10:"/>
    <hyperlink ref="B60:B62" location="'13.11'!A1" display="Mẫu biểu số 13.11:"/>
    <hyperlink ref="B63" location="'13.12'!A1" display="Mẫu biểu số 13.12:"/>
    <hyperlink ref="B64" location="'14'!A1" display="Mẫu biểu số 14:"/>
    <hyperlink ref="B65" location="'15.1'!A1" display="Mẫu biểu số 15.1:"/>
    <hyperlink ref="B66" location="'15.2'!A1" display="Mẫu biểu số 15.2:"/>
    <hyperlink ref="B71" location="'18'!A1" display="Mẫu biểu số 18:"/>
    <hyperlink ref="B78:B79" location="'23'!A1" display="Mẫu biểu số 23:"/>
    <hyperlink ref="B80" location="'24'!A1" display="Mẫu biểu số 24:"/>
    <hyperlink ref="B81" location="'25'!A1" display="Mẫu biểu số 25:"/>
    <hyperlink ref="B82:B84" location="'26'!A1" display="Mẫu biểu số 26:"/>
    <hyperlink ref="B85" location="'27'!A1" display="Mẫu biểu số 27:"/>
    <hyperlink ref="B87" location="'28'!A1" display="Mẫu biểu số 28:"/>
    <hyperlink ref="B88" location="'29.1'!A1" display="Mẫu biểu số 29.1:"/>
    <hyperlink ref="B89" location="'29.2'!A1" display="Mẫu biểu số 29.2:"/>
    <hyperlink ref="B90" location="'30'!A1" display="Mẫu biểu số 30:"/>
    <hyperlink ref="B91" location="'31'!A1" display="Mẫu biểu số 31:"/>
    <hyperlink ref="B92" location="'32'!A1" display="Mẫu biểu số 32:"/>
    <hyperlink ref="B93" location="'33'!A1" display="Mẫu biểu số 33:"/>
    <hyperlink ref="B94" location="'34'!A1" display="Mẫu biểu số 34:"/>
    <hyperlink ref="B95" location="'35'!A1" display="Mẫu biểu số 35:"/>
    <hyperlink ref="B111" location="'48'!A1" display="Mẫu biểu số 48:"/>
    <hyperlink ref="B112" location="'49'!A1" display="Mẫu biểu số 49:"/>
    <hyperlink ref="B119" location="'55'!A1" display="Mẫu biểu số 55:"/>
    <hyperlink ref="B120" location="'56'!A1" display="Mẫu biểu số 56:"/>
    <hyperlink ref="B121" location="'57'!A1" display="Mẫu biểu số 57:"/>
    <hyperlink ref="B123" location="'58'!A1" display="Mẫu biểu số 58:"/>
    <hyperlink ref="B124" location="'59'!A1" display="Mẫu biểu số 59:"/>
    <hyperlink ref="B125" location="'60'!A1" display="Mẫu biểu số 60:"/>
    <hyperlink ref="B126" location="'61'!A1" display="Mẫu biểu số 61:"/>
    <hyperlink ref="B127" location="'62'!A1" display="Mẫu biểu số 62:"/>
    <hyperlink ref="B128" location="'63'!A1" display="Mẫu biểu số 63:"/>
    <hyperlink ref="B129" location="'64'!A1" display="Mẫu biểu số 64:"/>
    <hyperlink ref="B130" location="'65'!A1" display="Mẫu biểu số 65:"/>
    <hyperlink ref="B131" location="'66'!A1" display="Mẫu biểu số 66:"/>
    <hyperlink ref="B132" location="'67'!A1" display="Mẫu biểu số 67:"/>
    <hyperlink ref="B133" location="'68'!A1" display="Mẫu biểu số 68:"/>
    <hyperlink ref="B134:B135" location="'69'!A1" display="Mẫu biểu số 69:"/>
    <hyperlink ref="B136" location="'70'!A1" display="Mẫu biểu số 70:"/>
    <hyperlink ref="B18:B21" location="'08'!A1" display="Mẫu biểu số 08:"/>
    <hyperlink ref="B22:B25" location="'09'!A1" display="Mẫu biểu số 09:"/>
  </hyperlinks>
  <printOptions/>
  <pageMargins left="0.35" right="0.2" top="0.47" bottom="0.55" header="0.31" footer="0.24"/>
  <pageSetup blackAndWhite="1" horizontalDpi="600" verticalDpi="600" orientation="landscape" paperSize="9" r:id="rId1"/>
  <headerFooter>
    <oddFooter>&amp;R&amp;P</oddFooter>
  </headerFooter>
</worksheet>
</file>

<file path=xl/worksheets/sheet10.xml><?xml version="1.0" encoding="utf-8"?>
<worksheet xmlns="http://schemas.openxmlformats.org/spreadsheetml/2006/main" xmlns:r="http://schemas.openxmlformats.org/officeDocument/2006/relationships">
  <sheetPr>
    <tabColor rgb="FF00B050"/>
  </sheetPr>
  <dimension ref="A1:R55"/>
  <sheetViews>
    <sheetView zoomScalePageLayoutView="0" workbookViewId="0" topLeftCell="A46">
      <selection activeCell="D60" sqref="D60"/>
    </sheetView>
  </sheetViews>
  <sheetFormatPr defaultColWidth="9.33203125" defaultRowHeight="12.75"/>
  <cols>
    <col min="1" max="1" width="4.16015625" style="105" customWidth="1"/>
    <col min="2" max="2" width="44.16015625" style="105" customWidth="1"/>
    <col min="3" max="3" width="17.33203125" style="105" customWidth="1"/>
    <col min="4" max="11" width="12.83203125" style="105" customWidth="1"/>
    <col min="12" max="12" width="16.83203125" style="105" customWidth="1"/>
    <col min="13" max="19" width="0" style="105" hidden="1" customWidth="1"/>
    <col min="20" max="16384" width="9.33203125" style="105" customWidth="1"/>
  </cols>
  <sheetData>
    <row r="1" spans="12:13" ht="18.75" customHeight="1">
      <c r="L1" s="124" t="s">
        <v>653</v>
      </c>
      <c r="M1" s="125"/>
    </row>
    <row r="2" spans="1:12" s="97" customFormat="1" ht="21" customHeight="1">
      <c r="A2" s="1001" t="s">
        <v>654</v>
      </c>
      <c r="B2" s="1001"/>
      <c r="C2" s="1001"/>
      <c r="D2" s="1001"/>
      <c r="E2" s="1001"/>
      <c r="F2" s="1001"/>
      <c r="G2" s="1001"/>
      <c r="H2" s="1001"/>
      <c r="I2" s="1001"/>
      <c r="J2" s="1001"/>
      <c r="K2" s="1001"/>
      <c r="L2" s="1001"/>
    </row>
    <row r="3" spans="1:12" s="97" customFormat="1" ht="20.25" customHeight="1">
      <c r="A3" s="1001" t="s">
        <v>1086</v>
      </c>
      <c r="B3" s="1001"/>
      <c r="C3" s="1001"/>
      <c r="D3" s="1001"/>
      <c r="E3" s="1001"/>
      <c r="F3" s="1001"/>
      <c r="G3" s="1001"/>
      <c r="H3" s="1001"/>
      <c r="I3" s="1001"/>
      <c r="J3" s="1001"/>
      <c r="K3" s="1001"/>
      <c r="L3" s="1001"/>
    </row>
    <row r="4" spans="1:12" s="97" customFormat="1" ht="18" customHeight="1" hidden="1">
      <c r="A4" s="1002" t="s">
        <v>655</v>
      </c>
      <c r="B4" s="1002"/>
      <c r="C4" s="1002"/>
      <c r="D4" s="1002"/>
      <c r="E4" s="1002"/>
      <c r="F4" s="1002"/>
      <c r="G4" s="1002"/>
      <c r="H4" s="1002"/>
      <c r="I4" s="1002"/>
      <c r="J4" s="1002"/>
      <c r="K4" s="1002"/>
      <c r="L4" s="1002"/>
    </row>
    <row r="5" spans="1:8" s="97" customFormat="1" ht="25.5" customHeight="1" hidden="1">
      <c r="A5" s="106"/>
      <c r="B5" s="106"/>
      <c r="C5" s="106"/>
      <c r="D5" s="106"/>
      <c r="E5" s="106"/>
      <c r="F5" s="106"/>
      <c r="G5" s="106"/>
      <c r="H5" s="106"/>
    </row>
    <row r="6" spans="12:15" ht="19.5" customHeight="1">
      <c r="L6" s="126" t="s">
        <v>656</v>
      </c>
      <c r="M6" s="127"/>
      <c r="N6" s="127"/>
      <c r="O6" s="127"/>
    </row>
    <row r="7" spans="1:18" s="683" customFormat="1" ht="27" customHeight="1">
      <c r="A7" s="1009" t="s">
        <v>3</v>
      </c>
      <c r="B7" s="1016" t="s">
        <v>657</v>
      </c>
      <c r="C7" s="1014" t="s">
        <v>869</v>
      </c>
      <c r="D7" s="1003" t="s">
        <v>1087</v>
      </c>
      <c r="E7" s="1004"/>
      <c r="F7" s="1004"/>
      <c r="G7" s="1005"/>
      <c r="H7" s="1003" t="s">
        <v>1088</v>
      </c>
      <c r="I7" s="1004"/>
      <c r="J7" s="1004"/>
      <c r="K7" s="1005"/>
      <c r="L7" s="1009" t="s">
        <v>1089</v>
      </c>
      <c r="O7" s="1006" t="s">
        <v>658</v>
      </c>
      <c r="P7" s="1007"/>
      <c r="Q7" s="1007"/>
      <c r="R7" s="1008"/>
    </row>
    <row r="8" spans="1:12" s="683" customFormat="1" ht="56.25" customHeight="1">
      <c r="A8" s="1010"/>
      <c r="B8" s="1017"/>
      <c r="C8" s="1019"/>
      <c r="D8" s="1012" t="s">
        <v>659</v>
      </c>
      <c r="E8" s="1013"/>
      <c r="F8" s="1014" t="s">
        <v>660</v>
      </c>
      <c r="G8" s="1014" t="s">
        <v>661</v>
      </c>
      <c r="H8" s="1012" t="s">
        <v>659</v>
      </c>
      <c r="I8" s="1013"/>
      <c r="J8" s="1014" t="s">
        <v>660</v>
      </c>
      <c r="K8" s="1014" t="s">
        <v>661</v>
      </c>
      <c r="L8" s="1010"/>
    </row>
    <row r="9" spans="1:12" s="683" customFormat="1" ht="47.25" customHeight="1">
      <c r="A9" s="1010"/>
      <c r="B9" s="1017"/>
      <c r="C9" s="1019"/>
      <c r="D9" s="1014" t="s">
        <v>249</v>
      </c>
      <c r="E9" s="1014" t="s">
        <v>662</v>
      </c>
      <c r="F9" s="1019"/>
      <c r="G9" s="1019"/>
      <c r="H9" s="1014" t="s">
        <v>249</v>
      </c>
      <c r="I9" s="1014" t="s">
        <v>662</v>
      </c>
      <c r="J9" s="1019"/>
      <c r="K9" s="1019"/>
      <c r="L9" s="1010"/>
    </row>
    <row r="10" spans="1:12" s="106" customFormat="1" ht="47.25" customHeight="1">
      <c r="A10" s="1011"/>
      <c r="B10" s="1018"/>
      <c r="C10" s="1015"/>
      <c r="D10" s="1015"/>
      <c r="E10" s="1015"/>
      <c r="F10" s="1015"/>
      <c r="G10" s="1015"/>
      <c r="H10" s="1015"/>
      <c r="I10" s="1015"/>
      <c r="J10" s="1015"/>
      <c r="K10" s="1015"/>
      <c r="L10" s="1011"/>
    </row>
    <row r="11" spans="1:12" s="98" customFormat="1" ht="15.75" customHeight="1">
      <c r="A11" s="107" t="s">
        <v>296</v>
      </c>
      <c r="B11" s="107" t="s">
        <v>297</v>
      </c>
      <c r="C11" s="108">
        <v>1</v>
      </c>
      <c r="D11" s="108">
        <f>C11+1</f>
        <v>2</v>
      </c>
      <c r="E11" s="108">
        <f>D11+1</f>
        <v>3</v>
      </c>
      <c r="F11" s="108">
        <f>E11+1</f>
        <v>4</v>
      </c>
      <c r="G11" s="108" t="s">
        <v>663</v>
      </c>
      <c r="H11" s="108">
        <v>6</v>
      </c>
      <c r="I11" s="108">
        <f>H11+1</f>
        <v>7</v>
      </c>
      <c r="J11" s="108">
        <f>I11+1</f>
        <v>8</v>
      </c>
      <c r="K11" s="108" t="s">
        <v>664</v>
      </c>
      <c r="L11" s="128" t="s">
        <v>665</v>
      </c>
    </row>
    <row r="12" spans="1:14" s="99" customFormat="1" ht="30.75" customHeight="1">
      <c r="A12" s="109" t="s">
        <v>296</v>
      </c>
      <c r="B12" s="470" t="s">
        <v>666</v>
      </c>
      <c r="C12" s="685">
        <f aca="true" t="shared" si="0" ref="C12:L12">SUM(C13:C17)</f>
        <v>1483.675834</v>
      </c>
      <c r="D12" s="685">
        <f t="shared" si="0"/>
        <v>2120</v>
      </c>
      <c r="E12" s="685">
        <f t="shared" si="0"/>
        <v>0</v>
      </c>
      <c r="F12" s="685">
        <f t="shared" si="0"/>
        <v>2702.221274</v>
      </c>
      <c r="G12" s="685">
        <f t="shared" si="0"/>
        <v>-582.221274</v>
      </c>
      <c r="H12" s="685">
        <f t="shared" si="0"/>
        <v>1939.1877690000001</v>
      </c>
      <c r="I12" s="685">
        <f t="shared" si="0"/>
        <v>0</v>
      </c>
      <c r="J12" s="685">
        <f t="shared" si="0"/>
        <v>2499.545274</v>
      </c>
      <c r="K12" s="685">
        <f t="shared" si="0"/>
        <v>-546.7635049999999</v>
      </c>
      <c r="L12" s="685">
        <f t="shared" si="0"/>
        <v>923.3183290000001</v>
      </c>
      <c r="N12" s="416"/>
    </row>
    <row r="13" spans="1:14" s="100" customFormat="1" ht="30.75" customHeight="1">
      <c r="A13" s="110">
        <v>1</v>
      </c>
      <c r="B13" s="111" t="s">
        <v>678</v>
      </c>
      <c r="C13" s="464">
        <v>1000.259</v>
      </c>
      <c r="D13" s="686"/>
      <c r="E13" s="464"/>
      <c r="F13" s="464">
        <v>577.221274</v>
      </c>
      <c r="G13" s="464">
        <f>D13-F13</f>
        <v>-577.221274</v>
      </c>
      <c r="H13" s="686">
        <v>3.90439</v>
      </c>
      <c r="I13" s="464"/>
      <c r="J13" s="464">
        <v>577.221274</v>
      </c>
      <c r="K13" s="687">
        <f>H13-J13</f>
        <v>-573.316884</v>
      </c>
      <c r="L13" s="464">
        <f>C13+H13-J13</f>
        <v>426.94211600000006</v>
      </c>
      <c r="M13" s="100" t="s">
        <v>820</v>
      </c>
      <c r="N13" s="129"/>
    </row>
    <row r="14" spans="1:13" s="100" customFormat="1" ht="30.75" customHeight="1">
      <c r="A14" s="110">
        <v>2</v>
      </c>
      <c r="B14" s="111" t="s">
        <v>668</v>
      </c>
      <c r="C14" s="464">
        <v>35.986999999999995</v>
      </c>
      <c r="D14" s="464"/>
      <c r="E14" s="464"/>
      <c r="F14" s="464">
        <v>5</v>
      </c>
      <c r="G14" s="464">
        <f>D14-F14</f>
        <v>-5</v>
      </c>
      <c r="H14" s="464">
        <v>0.286985</v>
      </c>
      <c r="I14" s="464"/>
      <c r="J14" s="464">
        <v>12</v>
      </c>
      <c r="K14" s="687">
        <f>H14-J14</f>
        <v>-11.713015</v>
      </c>
      <c r="L14" s="464">
        <f>C14+H14-J14</f>
        <v>24.273984999999996</v>
      </c>
      <c r="M14" s="100" t="s">
        <v>820</v>
      </c>
    </row>
    <row r="15" spans="1:18" s="469" customFormat="1" ht="30.75" customHeight="1">
      <c r="A15" s="465">
        <v>3</v>
      </c>
      <c r="B15" s="466" t="s">
        <v>669</v>
      </c>
      <c r="C15" s="688">
        <v>296.87975400000005</v>
      </c>
      <c r="D15" s="112">
        <f>F15</f>
        <v>1600</v>
      </c>
      <c r="E15" s="467"/>
      <c r="F15" s="467">
        <v>1600</v>
      </c>
      <c r="G15" s="688">
        <f>D15-F15</f>
        <v>0</v>
      </c>
      <c r="H15" s="112">
        <v>1497.759739</v>
      </c>
      <c r="I15" s="467"/>
      <c r="J15" s="467">
        <v>1596.73</v>
      </c>
      <c r="K15" s="688">
        <f>H15-J15</f>
        <v>-98.97026099999994</v>
      </c>
      <c r="L15" s="688">
        <f>C15+H15-J15</f>
        <v>197.9094930000001</v>
      </c>
      <c r="M15" s="100" t="s">
        <v>820</v>
      </c>
      <c r="N15" s="468"/>
      <c r="O15" s="468"/>
      <c r="P15" s="468"/>
      <c r="Q15" s="468"/>
      <c r="R15" s="468"/>
    </row>
    <row r="16" spans="1:18" s="469" customFormat="1" ht="30.75" customHeight="1">
      <c r="A16" s="465">
        <v>4</v>
      </c>
      <c r="B16" s="466" t="s">
        <v>670</v>
      </c>
      <c r="C16" s="688">
        <v>90.19007999999997</v>
      </c>
      <c r="D16" s="467">
        <v>500</v>
      </c>
      <c r="E16" s="467"/>
      <c r="F16" s="467">
        <v>500</v>
      </c>
      <c r="G16" s="688">
        <f>D16-F16</f>
        <v>0</v>
      </c>
      <c r="H16" s="467">
        <v>437.236655</v>
      </c>
      <c r="I16" s="467"/>
      <c r="J16" s="467">
        <v>300</v>
      </c>
      <c r="K16" s="688">
        <f>H16-J16</f>
        <v>137.23665499999998</v>
      </c>
      <c r="L16" s="688">
        <f>C16+H16-J16</f>
        <v>227.426735</v>
      </c>
      <c r="M16" s="100" t="s">
        <v>820</v>
      </c>
      <c r="N16" s="468"/>
      <c r="O16" s="468"/>
      <c r="P16" s="468"/>
      <c r="Q16" s="468"/>
      <c r="R16" s="468"/>
    </row>
    <row r="17" spans="1:18" s="469" customFormat="1" ht="30.75" customHeight="1">
      <c r="A17" s="465">
        <v>5</v>
      </c>
      <c r="B17" s="466" t="s">
        <v>773</v>
      </c>
      <c r="C17" s="688">
        <v>60.36</v>
      </c>
      <c r="D17" s="688">
        <v>20</v>
      </c>
      <c r="E17" s="688"/>
      <c r="F17" s="688">
        <v>20</v>
      </c>
      <c r="G17" s="688">
        <f>D17-F17</f>
        <v>0</v>
      </c>
      <c r="H17" s="688"/>
      <c r="I17" s="688"/>
      <c r="J17" s="688">
        <v>13.594</v>
      </c>
      <c r="K17" s="688">
        <v>0</v>
      </c>
      <c r="L17" s="688">
        <f>C17+H17-J17</f>
        <v>46.766</v>
      </c>
      <c r="M17" s="100" t="s">
        <v>820</v>
      </c>
      <c r="N17" s="468"/>
      <c r="O17" s="468"/>
      <c r="P17" s="468"/>
      <c r="Q17" s="468"/>
      <c r="R17" s="468"/>
    </row>
    <row r="18" spans="1:13" s="101" customFormat="1" ht="30.75" customHeight="1">
      <c r="A18" s="113" t="s">
        <v>297</v>
      </c>
      <c r="B18" s="114" t="s">
        <v>671</v>
      </c>
      <c r="C18" s="689">
        <f>C19+C25+C28+C31+C36+C40+C43+C45+C48</f>
        <v>672.6</v>
      </c>
      <c r="D18" s="689">
        <f aca="true" t="shared" si="1" ref="D18:L18">D19+D25+D28+D31+D36+D40+D43+D45+D48</f>
        <v>224.985</v>
      </c>
      <c r="E18" s="689">
        <f t="shared" si="1"/>
        <v>0</v>
      </c>
      <c r="F18" s="689">
        <f t="shared" si="1"/>
        <v>147.077</v>
      </c>
      <c r="G18" s="689">
        <f t="shared" si="1"/>
        <v>117.60000000000001</v>
      </c>
      <c r="H18" s="689">
        <f t="shared" si="1"/>
        <v>247.2099</v>
      </c>
      <c r="I18" s="689">
        <f t="shared" si="1"/>
        <v>0</v>
      </c>
      <c r="J18" s="689">
        <f t="shared" si="1"/>
        <v>157.61700000000002</v>
      </c>
      <c r="K18" s="689">
        <f t="shared" si="1"/>
        <v>89.59289999999999</v>
      </c>
      <c r="L18" s="689">
        <f t="shared" si="1"/>
        <v>762.1928999999999</v>
      </c>
      <c r="M18" s="100" t="s">
        <v>820</v>
      </c>
    </row>
    <row r="19" spans="1:13" s="101" customFormat="1" ht="30.75" customHeight="1">
      <c r="A19" s="417">
        <v>1</v>
      </c>
      <c r="B19" s="418" t="s">
        <v>672</v>
      </c>
      <c r="C19" s="690">
        <f>SUM(C20:C24)</f>
        <v>251.36999999999995</v>
      </c>
      <c r="D19" s="690">
        <f aca="true" t="shared" si="2" ref="D19:L19">SUM(D20:D24)</f>
        <v>128.085</v>
      </c>
      <c r="E19" s="690">
        <f t="shared" si="2"/>
        <v>0</v>
      </c>
      <c r="F19" s="690">
        <f t="shared" si="2"/>
        <v>78.87700000000001</v>
      </c>
      <c r="G19" s="690">
        <f t="shared" si="2"/>
        <v>88.9</v>
      </c>
      <c r="H19" s="690">
        <f t="shared" si="2"/>
        <v>128.085</v>
      </c>
      <c r="I19" s="690">
        <f t="shared" si="2"/>
        <v>0</v>
      </c>
      <c r="J19" s="690">
        <f t="shared" si="2"/>
        <v>78.87700000000001</v>
      </c>
      <c r="K19" s="690">
        <f t="shared" si="2"/>
        <v>49.208</v>
      </c>
      <c r="L19" s="690">
        <f t="shared" si="2"/>
        <v>300.578</v>
      </c>
      <c r="M19" s="101" t="s">
        <v>820</v>
      </c>
    </row>
    <row r="20" spans="1:12" s="100" customFormat="1" ht="30.75" customHeight="1">
      <c r="A20" s="110"/>
      <c r="B20" s="115" t="s">
        <v>774</v>
      </c>
      <c r="C20" s="464">
        <v>58.943999999999996</v>
      </c>
      <c r="D20" s="464">
        <v>38.575</v>
      </c>
      <c r="E20" s="464"/>
      <c r="F20" s="464">
        <v>19.164</v>
      </c>
      <c r="G20" s="464">
        <v>20.29</v>
      </c>
      <c r="H20" s="464">
        <v>38.575</v>
      </c>
      <c r="I20" s="464"/>
      <c r="J20" s="464">
        <v>19.164</v>
      </c>
      <c r="K20" s="464">
        <f>H20-J20</f>
        <v>19.411</v>
      </c>
      <c r="L20" s="464">
        <f>C20+H20-J20</f>
        <v>78.355</v>
      </c>
    </row>
    <row r="21" spans="1:12" s="100" customFormat="1" ht="30.75" customHeight="1">
      <c r="A21" s="110"/>
      <c r="B21" s="115" t="s">
        <v>673</v>
      </c>
      <c r="C21" s="464">
        <v>34.08</v>
      </c>
      <c r="D21" s="464">
        <v>89.017</v>
      </c>
      <c r="E21" s="464"/>
      <c r="F21" s="464">
        <v>11.5</v>
      </c>
      <c r="G21" s="464">
        <v>19.61</v>
      </c>
      <c r="H21" s="464">
        <v>89.017</v>
      </c>
      <c r="I21" s="464"/>
      <c r="J21" s="464">
        <v>11.5</v>
      </c>
      <c r="K21" s="464">
        <f>H21-J21</f>
        <v>77.517</v>
      </c>
      <c r="L21" s="464">
        <f>C21+H21-J21</f>
        <v>111.597</v>
      </c>
    </row>
    <row r="22" spans="1:12" s="100" customFormat="1" ht="30.75" customHeight="1">
      <c r="A22" s="110"/>
      <c r="B22" s="111" t="s">
        <v>674</v>
      </c>
      <c r="C22" s="464">
        <v>93.67199999999998</v>
      </c>
      <c r="D22" s="464">
        <v>0.261</v>
      </c>
      <c r="E22" s="464"/>
      <c r="F22" s="464">
        <v>25.847</v>
      </c>
      <c r="G22" s="464">
        <v>26.85</v>
      </c>
      <c r="H22" s="464">
        <v>0.261</v>
      </c>
      <c r="I22" s="464"/>
      <c r="J22" s="464">
        <v>25.847</v>
      </c>
      <c r="K22" s="464">
        <f>H22-J22</f>
        <v>-25.586000000000002</v>
      </c>
      <c r="L22" s="464">
        <f>C22+H22-J22</f>
        <v>68.08599999999998</v>
      </c>
    </row>
    <row r="23" spans="1:12" s="102" customFormat="1" ht="30.75" customHeight="1">
      <c r="A23" s="110"/>
      <c r="B23" s="111" t="s">
        <v>675</v>
      </c>
      <c r="C23" s="691">
        <v>64.67399999999999</v>
      </c>
      <c r="D23" s="464">
        <v>0.232</v>
      </c>
      <c r="E23" s="464"/>
      <c r="F23" s="464">
        <v>22.366</v>
      </c>
      <c r="G23" s="464">
        <v>22.15</v>
      </c>
      <c r="H23" s="464">
        <v>0.232</v>
      </c>
      <c r="I23" s="464"/>
      <c r="J23" s="464">
        <v>22.366</v>
      </c>
      <c r="K23" s="464">
        <f>H23-J23</f>
        <v>-22.134</v>
      </c>
      <c r="L23" s="464">
        <f>C23+H23-J23</f>
        <v>42.53999999999999</v>
      </c>
    </row>
    <row r="24" spans="1:12" s="102" customFormat="1" ht="30.75" customHeight="1" hidden="1">
      <c r="A24" s="110"/>
      <c r="B24" s="111" t="s">
        <v>668</v>
      </c>
      <c r="C24" s="691">
        <v>0</v>
      </c>
      <c r="D24" s="464"/>
      <c r="E24" s="464"/>
      <c r="F24" s="464"/>
      <c r="G24" s="464">
        <v>0</v>
      </c>
      <c r="H24" s="464"/>
      <c r="I24" s="464"/>
      <c r="J24" s="464"/>
      <c r="K24" s="464">
        <f>H24-J24</f>
        <v>0</v>
      </c>
      <c r="L24" s="464">
        <f>C24+H24-J24</f>
        <v>0</v>
      </c>
    </row>
    <row r="25" spans="1:14" s="103" customFormat="1" ht="30.75" customHeight="1">
      <c r="A25" s="417">
        <v>2</v>
      </c>
      <c r="B25" s="419" t="s">
        <v>676</v>
      </c>
      <c r="C25" s="692">
        <f>SUM(C26:C27)</f>
        <v>69.65700000000002</v>
      </c>
      <c r="D25" s="692">
        <f aca="true" t="shared" si="3" ref="D25:L25">SUM(D26:D27)</f>
        <v>28</v>
      </c>
      <c r="E25" s="692">
        <f t="shared" si="3"/>
        <v>0</v>
      </c>
      <c r="F25" s="692">
        <f t="shared" si="3"/>
        <v>25</v>
      </c>
      <c r="G25" s="692">
        <f t="shared" si="3"/>
        <v>3</v>
      </c>
      <c r="H25" s="692">
        <f t="shared" si="3"/>
        <v>3.1559</v>
      </c>
      <c r="I25" s="692">
        <f t="shared" si="3"/>
        <v>0</v>
      </c>
      <c r="J25" s="692">
        <f t="shared" si="3"/>
        <v>12.690000000000001</v>
      </c>
      <c r="K25" s="692">
        <f t="shared" si="3"/>
        <v>-9.5341</v>
      </c>
      <c r="L25" s="692">
        <f t="shared" si="3"/>
        <v>60.122900000000016</v>
      </c>
      <c r="M25" s="103" t="s">
        <v>820</v>
      </c>
      <c r="N25" s="130" t="s">
        <v>667</v>
      </c>
    </row>
    <row r="26" spans="1:12" s="100" customFormat="1" ht="30.75" customHeight="1">
      <c r="A26" s="110"/>
      <c r="B26" s="115" t="s">
        <v>677</v>
      </c>
      <c r="C26" s="464">
        <v>25.912000000000027</v>
      </c>
      <c r="D26" s="686">
        <v>10</v>
      </c>
      <c r="E26" s="464"/>
      <c r="F26" s="464">
        <v>15</v>
      </c>
      <c r="G26" s="464">
        <f>D26-F26</f>
        <v>-5</v>
      </c>
      <c r="H26" s="464">
        <v>2.336</v>
      </c>
      <c r="I26" s="464"/>
      <c r="J26" s="464">
        <v>2.37</v>
      </c>
      <c r="K26" s="464">
        <f>H26-J26</f>
        <v>-0.03400000000000025</v>
      </c>
      <c r="L26" s="464">
        <f>C26+H26-J26</f>
        <v>25.878000000000025</v>
      </c>
    </row>
    <row r="27" spans="1:12" s="100" customFormat="1" ht="30.75" customHeight="1">
      <c r="A27" s="110"/>
      <c r="B27" s="115" t="s">
        <v>678</v>
      </c>
      <c r="C27" s="464">
        <v>43.745</v>
      </c>
      <c r="D27" s="686">
        <v>18</v>
      </c>
      <c r="E27" s="464"/>
      <c r="F27" s="464">
        <v>10</v>
      </c>
      <c r="G27" s="464">
        <f>D27-F27</f>
        <v>8</v>
      </c>
      <c r="H27" s="464">
        <v>0.8199</v>
      </c>
      <c r="I27" s="464"/>
      <c r="J27" s="464">
        <v>10.32</v>
      </c>
      <c r="K27" s="464">
        <f>H27-J27</f>
        <v>-9.5001</v>
      </c>
      <c r="L27" s="464">
        <f>C27+H27-J27</f>
        <v>34.244899999999994</v>
      </c>
    </row>
    <row r="28" spans="1:13" s="101" customFormat="1" ht="30.75" customHeight="1">
      <c r="A28" s="417">
        <v>3</v>
      </c>
      <c r="B28" s="418" t="s">
        <v>536</v>
      </c>
      <c r="C28" s="690">
        <f>SUM(C29:C30)</f>
        <v>23.074</v>
      </c>
      <c r="D28" s="690">
        <f aca="true" t="shared" si="4" ref="D28:L28">SUM(D29:D30)</f>
        <v>8.9</v>
      </c>
      <c r="E28" s="690">
        <f t="shared" si="4"/>
        <v>0</v>
      </c>
      <c r="F28" s="690">
        <f t="shared" si="4"/>
        <v>7.2</v>
      </c>
      <c r="G28" s="690">
        <f t="shared" si="4"/>
        <v>1.7000000000000002</v>
      </c>
      <c r="H28" s="690">
        <f t="shared" si="4"/>
        <v>3</v>
      </c>
      <c r="I28" s="690">
        <f t="shared" si="4"/>
        <v>0</v>
      </c>
      <c r="J28" s="690">
        <f t="shared" si="4"/>
        <v>2.85</v>
      </c>
      <c r="K28" s="690">
        <f t="shared" si="4"/>
        <v>0.15000000000000002</v>
      </c>
      <c r="L28" s="690">
        <f t="shared" si="4"/>
        <v>23.224</v>
      </c>
      <c r="M28" s="101" t="s">
        <v>820</v>
      </c>
    </row>
    <row r="29" spans="1:14" s="100" customFormat="1" ht="30.75" customHeight="1">
      <c r="A29" s="110"/>
      <c r="B29" s="115" t="s">
        <v>673</v>
      </c>
      <c r="C29" s="464">
        <v>22.224</v>
      </c>
      <c r="D29" s="686">
        <v>8</v>
      </c>
      <c r="E29" s="464"/>
      <c r="F29" s="464">
        <v>6</v>
      </c>
      <c r="G29" s="464">
        <f>D29-F29</f>
        <v>2</v>
      </c>
      <c r="H29" s="464">
        <v>3</v>
      </c>
      <c r="I29" s="464"/>
      <c r="J29" s="464">
        <v>2</v>
      </c>
      <c r="K29" s="464">
        <f>H29-J29</f>
        <v>1</v>
      </c>
      <c r="L29" s="464">
        <f>C29+H29-J29</f>
        <v>23.224</v>
      </c>
      <c r="N29" s="129" t="s">
        <v>667</v>
      </c>
    </row>
    <row r="30" spans="1:12" s="100" customFormat="1" ht="30.75" customHeight="1">
      <c r="A30" s="110"/>
      <c r="B30" s="115" t="s">
        <v>678</v>
      </c>
      <c r="C30" s="464">
        <v>0.8499999999999999</v>
      </c>
      <c r="D30" s="686">
        <v>0.9</v>
      </c>
      <c r="E30" s="464"/>
      <c r="F30" s="464">
        <v>1.2</v>
      </c>
      <c r="G30" s="464">
        <f>D30-F30</f>
        <v>-0.29999999999999993</v>
      </c>
      <c r="H30" s="464"/>
      <c r="I30" s="464"/>
      <c r="J30" s="464">
        <v>0.85</v>
      </c>
      <c r="K30" s="464">
        <f>H30-J30</f>
        <v>-0.85</v>
      </c>
      <c r="L30" s="464">
        <f>C30+H30-J30</f>
        <v>0</v>
      </c>
    </row>
    <row r="31" spans="1:13" s="101" customFormat="1" ht="30.75" customHeight="1">
      <c r="A31" s="417">
        <v>4</v>
      </c>
      <c r="B31" s="418" t="s">
        <v>534</v>
      </c>
      <c r="C31" s="690">
        <f>SUM(C32:C35)</f>
        <v>211.64600000000002</v>
      </c>
      <c r="D31" s="690">
        <f aca="true" t="shared" si="5" ref="D31:L31">SUM(D32:D35)</f>
        <v>0</v>
      </c>
      <c r="E31" s="690">
        <f t="shared" si="5"/>
        <v>0</v>
      </c>
      <c r="F31" s="690">
        <f t="shared" si="5"/>
        <v>0</v>
      </c>
      <c r="G31" s="690">
        <f t="shared" si="5"/>
        <v>0</v>
      </c>
      <c r="H31" s="690">
        <f t="shared" si="5"/>
        <v>0</v>
      </c>
      <c r="I31" s="690">
        <f t="shared" si="5"/>
        <v>0</v>
      </c>
      <c r="J31" s="690">
        <f t="shared" si="5"/>
        <v>0</v>
      </c>
      <c r="K31" s="690">
        <f t="shared" si="5"/>
        <v>0</v>
      </c>
      <c r="L31" s="690">
        <f t="shared" si="5"/>
        <v>211.64600000000002</v>
      </c>
      <c r="M31" s="101" t="s">
        <v>820</v>
      </c>
    </row>
    <row r="32" spans="1:12" s="100" customFormat="1" ht="30.75" customHeight="1">
      <c r="A32" s="110"/>
      <c r="B32" s="115" t="s">
        <v>678</v>
      </c>
      <c r="C32" s="464">
        <v>73.639</v>
      </c>
      <c r="D32" s="464"/>
      <c r="E32" s="464"/>
      <c r="F32" s="464"/>
      <c r="G32" s="464">
        <f>D32-F32</f>
        <v>0</v>
      </c>
      <c r="H32" s="464"/>
      <c r="I32" s="464"/>
      <c r="J32" s="464"/>
      <c r="K32" s="464">
        <f>H32-J32</f>
        <v>0</v>
      </c>
      <c r="L32" s="464">
        <f>C32+H32-J32</f>
        <v>73.639</v>
      </c>
    </row>
    <row r="33" spans="1:12" s="100" customFormat="1" ht="30.75" customHeight="1">
      <c r="A33" s="110"/>
      <c r="B33" s="115" t="s">
        <v>677</v>
      </c>
      <c r="C33" s="464">
        <v>86.79599999999999</v>
      </c>
      <c r="D33" s="464"/>
      <c r="E33" s="464"/>
      <c r="F33" s="464"/>
      <c r="G33" s="464">
        <f>D33-F33</f>
        <v>0</v>
      </c>
      <c r="H33" s="464"/>
      <c r="I33" s="464"/>
      <c r="J33" s="464"/>
      <c r="K33" s="464">
        <f>H33-J33</f>
        <v>0</v>
      </c>
      <c r="L33" s="464">
        <f>C33+H33-J33</f>
        <v>86.79599999999999</v>
      </c>
    </row>
    <row r="34" spans="1:12" s="100" customFormat="1" ht="30.75" customHeight="1">
      <c r="A34" s="110"/>
      <c r="B34" s="115" t="s">
        <v>679</v>
      </c>
      <c r="C34" s="464">
        <v>39.49900000000001</v>
      </c>
      <c r="D34" s="464"/>
      <c r="E34" s="464"/>
      <c r="F34" s="464"/>
      <c r="G34" s="464">
        <f>D34-F34</f>
        <v>0</v>
      </c>
      <c r="H34" s="464"/>
      <c r="I34" s="464"/>
      <c r="J34" s="464"/>
      <c r="K34" s="464">
        <f>H34-J34</f>
        <v>0</v>
      </c>
      <c r="L34" s="464">
        <f>C34+H34-J34</f>
        <v>39.49900000000001</v>
      </c>
    </row>
    <row r="35" spans="1:12" s="100" customFormat="1" ht="30.75" customHeight="1">
      <c r="A35" s="110"/>
      <c r="B35" s="115" t="s">
        <v>680</v>
      </c>
      <c r="C35" s="464">
        <v>11.712000000000002</v>
      </c>
      <c r="D35" s="464"/>
      <c r="E35" s="464"/>
      <c r="F35" s="464"/>
      <c r="G35" s="464">
        <f>D35-F35</f>
        <v>0</v>
      </c>
      <c r="H35" s="464"/>
      <c r="I35" s="464"/>
      <c r="J35" s="464"/>
      <c r="K35" s="464">
        <f>H35-J35</f>
        <v>0</v>
      </c>
      <c r="L35" s="464">
        <f>C35+H35-J35</f>
        <v>11.712000000000002</v>
      </c>
    </row>
    <row r="36" spans="1:13" s="101" customFormat="1" ht="30.75" customHeight="1">
      <c r="A36" s="417">
        <v>5</v>
      </c>
      <c r="B36" s="418" t="s">
        <v>681</v>
      </c>
      <c r="C36" s="690">
        <f>SUM(C37:C39)</f>
        <v>36.099000000000004</v>
      </c>
      <c r="D36" s="690">
        <f aca="true" t="shared" si="6" ref="D36:L36">SUM(D37:D39)</f>
        <v>31</v>
      </c>
      <c r="E36" s="690">
        <f t="shared" si="6"/>
        <v>0</v>
      </c>
      <c r="F36" s="690">
        <f t="shared" si="6"/>
        <v>31</v>
      </c>
      <c r="G36" s="690">
        <f t="shared" si="6"/>
        <v>0</v>
      </c>
      <c r="H36" s="690">
        <f t="shared" si="6"/>
        <v>34.757</v>
      </c>
      <c r="I36" s="690">
        <f t="shared" si="6"/>
        <v>0</v>
      </c>
      <c r="J36" s="690">
        <f t="shared" si="6"/>
        <v>23.75</v>
      </c>
      <c r="K36" s="690">
        <f t="shared" si="6"/>
        <v>11.006999999999998</v>
      </c>
      <c r="L36" s="690">
        <f t="shared" si="6"/>
        <v>47.106</v>
      </c>
      <c r="M36" s="101" t="s">
        <v>820</v>
      </c>
    </row>
    <row r="37" spans="1:12" s="100" customFormat="1" ht="30.75" customHeight="1">
      <c r="A37" s="110"/>
      <c r="B37" s="115" t="s">
        <v>679</v>
      </c>
      <c r="C37" s="464">
        <v>11.072000000000001</v>
      </c>
      <c r="D37" s="464">
        <v>12</v>
      </c>
      <c r="E37" s="464"/>
      <c r="F37" s="464">
        <v>12</v>
      </c>
      <c r="G37" s="464">
        <f>D37-F37</f>
        <v>0</v>
      </c>
      <c r="H37" s="464">
        <v>10.702</v>
      </c>
      <c r="I37" s="464"/>
      <c r="J37" s="464">
        <v>11.31</v>
      </c>
      <c r="K37" s="464">
        <f>H37-J37</f>
        <v>-0.6080000000000005</v>
      </c>
      <c r="L37" s="464">
        <f>C37+H37-J37</f>
        <v>10.464</v>
      </c>
    </row>
    <row r="38" spans="1:12" s="100" customFormat="1" ht="30.75" customHeight="1">
      <c r="A38" s="110"/>
      <c r="B38" s="115" t="s">
        <v>678</v>
      </c>
      <c r="C38" s="464">
        <v>18.567</v>
      </c>
      <c r="D38" s="464">
        <v>9</v>
      </c>
      <c r="E38" s="464"/>
      <c r="F38" s="464">
        <v>10</v>
      </c>
      <c r="G38" s="464">
        <f>D38-F38</f>
        <v>-1</v>
      </c>
      <c r="H38" s="693">
        <v>11.963</v>
      </c>
      <c r="I38" s="694"/>
      <c r="J38" s="694">
        <v>6.44</v>
      </c>
      <c r="K38" s="464">
        <f>H38-J38</f>
        <v>5.522999999999999</v>
      </c>
      <c r="L38" s="464">
        <f>C38+H38-J38</f>
        <v>24.09</v>
      </c>
    </row>
    <row r="39" spans="1:14" s="100" customFormat="1" ht="30.75" customHeight="1">
      <c r="A39" s="110"/>
      <c r="B39" s="115" t="s">
        <v>673</v>
      </c>
      <c r="C39" s="464">
        <v>6.459999999999997</v>
      </c>
      <c r="D39" s="686">
        <v>10</v>
      </c>
      <c r="E39" s="686"/>
      <c r="F39" s="464">
        <v>9</v>
      </c>
      <c r="G39" s="464">
        <f>D39-F39</f>
        <v>1</v>
      </c>
      <c r="H39" s="686">
        <v>12.092</v>
      </c>
      <c r="I39" s="686"/>
      <c r="J39" s="464">
        <v>6</v>
      </c>
      <c r="K39" s="464">
        <f>H39-J39</f>
        <v>6.0920000000000005</v>
      </c>
      <c r="L39" s="464">
        <f>C39+H39-J39</f>
        <v>12.552</v>
      </c>
      <c r="N39" s="100">
        <v>10.14</v>
      </c>
    </row>
    <row r="40" spans="1:13" s="101" customFormat="1" ht="30.75" customHeight="1">
      <c r="A40" s="417">
        <v>6</v>
      </c>
      <c r="B40" s="418" t="s">
        <v>529</v>
      </c>
      <c r="C40" s="690">
        <f>SUM(C41:C42)</f>
        <v>28.601999999999997</v>
      </c>
      <c r="D40" s="690">
        <f aca="true" t="shared" si="7" ref="D40:L40">SUM(D41:D42)</f>
        <v>10</v>
      </c>
      <c r="E40" s="690">
        <f t="shared" si="7"/>
        <v>0</v>
      </c>
      <c r="F40" s="690">
        <f t="shared" si="7"/>
        <v>2</v>
      </c>
      <c r="G40" s="690">
        <f t="shared" si="7"/>
        <v>8</v>
      </c>
      <c r="H40" s="690">
        <f t="shared" si="7"/>
        <v>12.338000000000001</v>
      </c>
      <c r="I40" s="690">
        <f t="shared" si="7"/>
        <v>0</v>
      </c>
      <c r="J40" s="690">
        <f t="shared" si="7"/>
        <v>3.05</v>
      </c>
      <c r="K40" s="690">
        <f t="shared" si="7"/>
        <v>9.288</v>
      </c>
      <c r="L40" s="690">
        <f t="shared" si="7"/>
        <v>37.88999999999999</v>
      </c>
      <c r="M40" s="101" t="s">
        <v>820</v>
      </c>
    </row>
    <row r="41" spans="1:12" s="100" customFormat="1" ht="30.75" customHeight="1">
      <c r="A41" s="110"/>
      <c r="B41" s="115" t="s">
        <v>678</v>
      </c>
      <c r="C41" s="464">
        <v>17.256999999999998</v>
      </c>
      <c r="D41" s="464">
        <v>5</v>
      </c>
      <c r="E41" s="464"/>
      <c r="F41" s="464">
        <v>2</v>
      </c>
      <c r="G41" s="464">
        <f>D41-F41</f>
        <v>3</v>
      </c>
      <c r="H41" s="464">
        <v>4.069</v>
      </c>
      <c r="I41" s="464"/>
      <c r="J41" s="464">
        <v>3.05</v>
      </c>
      <c r="K41" s="464">
        <f>H41-J41</f>
        <v>1.0190000000000001</v>
      </c>
      <c r="L41" s="464">
        <f>C41+H41-J41</f>
        <v>18.275999999999996</v>
      </c>
    </row>
    <row r="42" spans="1:14" s="100" customFormat="1" ht="30.75" customHeight="1">
      <c r="A42" s="110"/>
      <c r="B42" s="115" t="s">
        <v>677</v>
      </c>
      <c r="C42" s="464">
        <v>11.344999999999999</v>
      </c>
      <c r="D42" s="464">
        <v>5</v>
      </c>
      <c r="E42" s="464"/>
      <c r="F42" s="464"/>
      <c r="G42" s="464">
        <f>D42-F42</f>
        <v>5</v>
      </c>
      <c r="H42" s="464">
        <v>8.269</v>
      </c>
      <c r="I42" s="464"/>
      <c r="J42" s="464"/>
      <c r="K42" s="464">
        <f>H42-J42</f>
        <v>8.269</v>
      </c>
      <c r="L42" s="464">
        <f>C42+H42-J42</f>
        <v>19.613999999999997</v>
      </c>
      <c r="N42" s="100">
        <v>11.34</v>
      </c>
    </row>
    <row r="43" spans="1:13" s="101" customFormat="1" ht="30.75" customHeight="1">
      <c r="A43" s="417">
        <v>7</v>
      </c>
      <c r="B43" s="418" t="s">
        <v>530</v>
      </c>
      <c r="C43" s="690">
        <f>SUM(C44)</f>
        <v>0</v>
      </c>
      <c r="D43" s="690">
        <f aca="true" t="shared" si="8" ref="D43:L43">SUM(D44)</f>
        <v>0</v>
      </c>
      <c r="E43" s="690">
        <f t="shared" si="8"/>
        <v>0</v>
      </c>
      <c r="F43" s="690">
        <f t="shared" si="8"/>
        <v>0</v>
      </c>
      <c r="G43" s="690">
        <f t="shared" si="8"/>
        <v>0</v>
      </c>
      <c r="H43" s="690">
        <f t="shared" si="8"/>
        <v>0</v>
      </c>
      <c r="I43" s="690">
        <f t="shared" si="8"/>
        <v>0</v>
      </c>
      <c r="J43" s="690">
        <f t="shared" si="8"/>
        <v>0</v>
      </c>
      <c r="K43" s="690">
        <f t="shared" si="8"/>
        <v>0</v>
      </c>
      <c r="L43" s="690">
        <f t="shared" si="8"/>
        <v>0</v>
      </c>
      <c r="M43" s="101" t="s">
        <v>820</v>
      </c>
    </row>
    <row r="44" spans="1:12" s="100" customFormat="1" ht="30.75" customHeight="1">
      <c r="A44" s="110"/>
      <c r="B44" s="115" t="s">
        <v>673</v>
      </c>
      <c r="C44" s="686">
        <v>0</v>
      </c>
      <c r="D44" s="686"/>
      <c r="E44" s="464"/>
      <c r="F44" s="464"/>
      <c r="G44" s="464">
        <f>D44-F44</f>
        <v>0</v>
      </c>
      <c r="H44" s="686"/>
      <c r="I44" s="464"/>
      <c r="J44" s="464"/>
      <c r="K44" s="464">
        <f>H44-J44</f>
        <v>0</v>
      </c>
      <c r="L44" s="686">
        <f>C44+H44-J44</f>
        <v>0</v>
      </c>
    </row>
    <row r="45" spans="1:13" s="101" customFormat="1" ht="30.75" customHeight="1">
      <c r="A45" s="417">
        <v>8</v>
      </c>
      <c r="B45" s="418" t="s">
        <v>682</v>
      </c>
      <c r="C45" s="695">
        <f>SUM(C46:C47)</f>
        <v>29.608000000000004</v>
      </c>
      <c r="D45" s="695">
        <f aca="true" t="shared" si="9" ref="D45:L45">SUM(D46:D47)</f>
        <v>8</v>
      </c>
      <c r="E45" s="695">
        <f t="shared" si="9"/>
        <v>0</v>
      </c>
      <c r="F45" s="695">
        <f t="shared" si="9"/>
        <v>3</v>
      </c>
      <c r="G45" s="695">
        <f t="shared" si="9"/>
        <v>5</v>
      </c>
      <c r="H45" s="695">
        <f t="shared" si="9"/>
        <v>28.964</v>
      </c>
      <c r="I45" s="695">
        <f t="shared" si="9"/>
        <v>0</v>
      </c>
      <c r="J45" s="695">
        <f t="shared" si="9"/>
        <v>6.4</v>
      </c>
      <c r="K45" s="695">
        <f t="shared" si="9"/>
        <v>22.564</v>
      </c>
      <c r="L45" s="695">
        <f t="shared" si="9"/>
        <v>52.172</v>
      </c>
      <c r="M45" s="101" t="s">
        <v>820</v>
      </c>
    </row>
    <row r="46" spans="1:13" s="100" customFormat="1" ht="30.75" customHeight="1">
      <c r="A46" s="110"/>
      <c r="B46" s="115" t="s">
        <v>677</v>
      </c>
      <c r="C46" s="464">
        <v>26.368000000000002</v>
      </c>
      <c r="D46" s="464">
        <v>5</v>
      </c>
      <c r="E46" s="464"/>
      <c r="F46" s="464">
        <v>3</v>
      </c>
      <c r="G46" s="464">
        <f>D46-F46</f>
        <v>2</v>
      </c>
      <c r="H46" s="464">
        <v>16.229</v>
      </c>
      <c r="I46" s="464"/>
      <c r="J46" s="464"/>
      <c r="K46" s="464">
        <f>H46-J46</f>
        <v>16.229</v>
      </c>
      <c r="L46" s="464">
        <f>C46+H46-J46</f>
        <v>42.597</v>
      </c>
      <c r="M46" s="100">
        <v>8.05</v>
      </c>
    </row>
    <row r="47" spans="1:12" s="100" customFormat="1" ht="30.75" customHeight="1">
      <c r="A47" s="110"/>
      <c r="B47" s="115" t="s">
        <v>678</v>
      </c>
      <c r="C47" s="464">
        <v>3.24</v>
      </c>
      <c r="D47" s="464">
        <v>3</v>
      </c>
      <c r="E47" s="464"/>
      <c r="F47" s="464"/>
      <c r="G47" s="464">
        <f>D47-F47</f>
        <v>3</v>
      </c>
      <c r="H47" s="464">
        <v>12.735</v>
      </c>
      <c r="I47" s="464"/>
      <c r="J47" s="464">
        <v>6.4</v>
      </c>
      <c r="K47" s="464">
        <f>H47-J47</f>
        <v>6.334999999999999</v>
      </c>
      <c r="L47" s="464">
        <f>C47+H47-J47</f>
        <v>9.575</v>
      </c>
    </row>
    <row r="48" spans="1:13" s="101" customFormat="1" ht="30.75" customHeight="1">
      <c r="A48" s="417">
        <v>9</v>
      </c>
      <c r="B48" s="418" t="s">
        <v>532</v>
      </c>
      <c r="C48" s="690">
        <f>SUM(C49:C50)</f>
        <v>22.543999999999997</v>
      </c>
      <c r="D48" s="690">
        <f aca="true" t="shared" si="10" ref="D48:L48">SUM(D49:D50)</f>
        <v>11</v>
      </c>
      <c r="E48" s="690">
        <f t="shared" si="10"/>
        <v>0</v>
      </c>
      <c r="F48" s="690">
        <f t="shared" si="10"/>
        <v>0</v>
      </c>
      <c r="G48" s="690">
        <f t="shared" si="10"/>
        <v>11</v>
      </c>
      <c r="H48" s="690">
        <f t="shared" si="10"/>
        <v>36.91</v>
      </c>
      <c r="I48" s="690">
        <f t="shared" si="10"/>
        <v>0</v>
      </c>
      <c r="J48" s="690">
        <f t="shared" si="10"/>
        <v>30</v>
      </c>
      <c r="K48" s="690">
        <f t="shared" si="10"/>
        <v>6.909999999999999</v>
      </c>
      <c r="L48" s="690">
        <f t="shared" si="10"/>
        <v>29.453999999999997</v>
      </c>
      <c r="M48" s="101" t="s">
        <v>820</v>
      </c>
    </row>
    <row r="49" spans="1:12" s="104" customFormat="1" ht="30.75" customHeight="1">
      <c r="A49" s="116"/>
      <c r="B49" s="115" t="s">
        <v>678</v>
      </c>
      <c r="C49" s="696">
        <v>1.221</v>
      </c>
      <c r="D49" s="697">
        <v>6</v>
      </c>
      <c r="E49" s="696"/>
      <c r="F49" s="696"/>
      <c r="G49" s="696">
        <f>D49-F49</f>
        <v>6</v>
      </c>
      <c r="H49" s="697">
        <v>6.713</v>
      </c>
      <c r="I49" s="696"/>
      <c r="J49" s="696"/>
      <c r="K49" s="464">
        <f>H49-J49</f>
        <v>6.713</v>
      </c>
      <c r="L49" s="696">
        <f>C49+H49-J49</f>
        <v>7.934</v>
      </c>
    </row>
    <row r="50" spans="1:12" s="104" customFormat="1" ht="30.75" customHeight="1">
      <c r="A50" s="116"/>
      <c r="B50" s="117" t="s">
        <v>683</v>
      </c>
      <c r="C50" s="696">
        <v>21.322999999999997</v>
      </c>
      <c r="D50" s="696">
        <v>5</v>
      </c>
      <c r="E50" s="696"/>
      <c r="F50" s="696"/>
      <c r="G50" s="696">
        <f>D50-F50</f>
        <v>5</v>
      </c>
      <c r="H50" s="696">
        <v>30.197</v>
      </c>
      <c r="I50" s="696"/>
      <c r="J50" s="696">
        <v>30</v>
      </c>
      <c r="K50" s="464">
        <f>H50-J50</f>
        <v>0.19699999999999918</v>
      </c>
      <c r="L50" s="696">
        <f>C50+H50-J50</f>
        <v>21.519999999999996</v>
      </c>
    </row>
    <row r="51" spans="1:12" s="101" customFormat="1" ht="30.75" customHeight="1">
      <c r="A51" s="118"/>
      <c r="B51" s="119" t="s">
        <v>684</v>
      </c>
      <c r="C51" s="698">
        <f aca="true" t="shared" si="11" ref="C51:L51">C12+C18</f>
        <v>2156.275834</v>
      </c>
      <c r="D51" s="698">
        <f>D12+D18</f>
        <v>2344.985</v>
      </c>
      <c r="E51" s="698">
        <f t="shared" si="11"/>
        <v>0</v>
      </c>
      <c r="F51" s="698">
        <f t="shared" si="11"/>
        <v>2849.2982739999998</v>
      </c>
      <c r="G51" s="698">
        <f t="shared" si="11"/>
        <v>-464.62127399999997</v>
      </c>
      <c r="H51" s="698">
        <f t="shared" si="11"/>
        <v>2186.397669</v>
      </c>
      <c r="I51" s="698">
        <f t="shared" si="11"/>
        <v>0</v>
      </c>
      <c r="J51" s="698">
        <f t="shared" si="11"/>
        <v>2657.1622740000003</v>
      </c>
      <c r="K51" s="698">
        <f t="shared" si="11"/>
        <v>-457.1706049999999</v>
      </c>
      <c r="L51" s="698">
        <f t="shared" si="11"/>
        <v>1685.511229</v>
      </c>
    </row>
    <row r="52" spans="1:12" s="101" customFormat="1" ht="20.25" customHeight="1">
      <c r="A52" s="120"/>
      <c r="B52" s="121"/>
      <c r="C52" s="122"/>
      <c r="D52" s="122"/>
      <c r="E52" s="122"/>
      <c r="F52" s="122"/>
      <c r="G52" s="122"/>
      <c r="H52" s="122"/>
      <c r="I52" s="122"/>
      <c r="J52" s="122"/>
      <c r="K52" s="122"/>
      <c r="L52" s="122"/>
    </row>
    <row r="53" spans="7:12" ht="18.75">
      <c r="G53" s="1021" t="s">
        <v>1081</v>
      </c>
      <c r="H53" s="1021"/>
      <c r="I53" s="1021"/>
      <c r="J53" s="1021"/>
      <c r="K53" s="1021"/>
      <c r="L53" s="1021"/>
    </row>
    <row r="54" spans="2:12" ht="18.75">
      <c r="B54" s="123"/>
      <c r="G54" s="1020" t="s">
        <v>283</v>
      </c>
      <c r="H54" s="1020"/>
      <c r="I54" s="1020"/>
      <c r="J54" s="1020"/>
      <c r="K54" s="1020"/>
      <c r="L54" s="1020"/>
    </row>
    <row r="55" spans="7:12" ht="18.75">
      <c r="G55" s="1020" t="s">
        <v>286</v>
      </c>
      <c r="H55" s="1020"/>
      <c r="I55" s="1020"/>
      <c r="J55" s="1020"/>
      <c r="K55" s="1020"/>
      <c r="L55" s="1020"/>
    </row>
  </sheetData>
  <sheetProtection/>
  <mergeCells count="23">
    <mergeCell ref="I9:I10"/>
    <mergeCell ref="J8:J10"/>
    <mergeCell ref="K8:K10"/>
    <mergeCell ref="G55:L55"/>
    <mergeCell ref="G8:G10"/>
    <mergeCell ref="G53:L53"/>
    <mergeCell ref="G54:L54"/>
    <mergeCell ref="A7:A10"/>
    <mergeCell ref="B7:B10"/>
    <mergeCell ref="C7:C10"/>
    <mergeCell ref="D9:D10"/>
    <mergeCell ref="E9:E10"/>
    <mergeCell ref="F8:F10"/>
    <mergeCell ref="A2:L2"/>
    <mergeCell ref="A3:L3"/>
    <mergeCell ref="A4:L4"/>
    <mergeCell ref="D7:G7"/>
    <mergeCell ref="H7:K7"/>
    <mergeCell ref="O7:R7"/>
    <mergeCell ref="L7:L10"/>
    <mergeCell ref="D8:E8"/>
    <mergeCell ref="H8:I8"/>
    <mergeCell ref="H9:H10"/>
  </mergeCells>
  <printOptions/>
  <pageMargins left="0.43" right="0.2" top="0.5" bottom="0.49" header="0.3" footer="0.3"/>
  <pageSetup horizontalDpi="600" verticalDpi="600" orientation="landscape" scale="78" r:id="rId1"/>
</worksheet>
</file>

<file path=xl/worksheets/sheet11.xml><?xml version="1.0" encoding="utf-8"?>
<worksheet xmlns="http://schemas.openxmlformats.org/spreadsheetml/2006/main" xmlns:r="http://schemas.openxmlformats.org/officeDocument/2006/relationships">
  <sheetPr>
    <tabColor rgb="FF00B050"/>
  </sheetPr>
  <dimension ref="A1:L130"/>
  <sheetViews>
    <sheetView zoomScalePageLayoutView="0" workbookViewId="0" topLeftCell="A1">
      <selection activeCell="D60" sqref="D60"/>
    </sheetView>
  </sheetViews>
  <sheetFormatPr defaultColWidth="9.33203125" defaultRowHeight="12.75"/>
  <cols>
    <col min="1" max="1" width="6.16015625" style="40" customWidth="1"/>
    <col min="2" max="2" width="50.66015625" style="40" customWidth="1"/>
    <col min="3" max="3" width="17.83203125" style="40" customWidth="1"/>
    <col min="4" max="4" width="19" style="40" customWidth="1"/>
    <col min="5" max="5" width="14.83203125" style="40" customWidth="1"/>
    <col min="6" max="6" width="9.33203125" style="40" customWidth="1"/>
    <col min="7" max="7" width="17.66015625" style="40" bestFit="1" customWidth="1"/>
    <col min="8" max="8" width="21.16015625" style="40" customWidth="1"/>
    <col min="9" max="16384" width="9.33203125" style="40" customWidth="1"/>
  </cols>
  <sheetData>
    <row r="1" spans="1:5" ht="30.75" customHeight="1">
      <c r="A1" s="41"/>
      <c r="B1" s="42"/>
      <c r="D1" s="1022" t="s">
        <v>685</v>
      </c>
      <c r="E1" s="1022"/>
    </row>
    <row r="2" spans="1:5" ht="45.75" customHeight="1">
      <c r="A2" s="1023" t="s">
        <v>1090</v>
      </c>
      <c r="B2" s="1023"/>
      <c r="C2" s="1023"/>
      <c r="D2" s="1023"/>
      <c r="E2" s="1023"/>
    </row>
    <row r="3" spans="1:12" ht="4.5" customHeight="1">
      <c r="A3" s="43"/>
      <c r="B3" s="43"/>
      <c r="C3" s="43"/>
      <c r="D3" s="43"/>
      <c r="E3" s="43"/>
      <c r="F3" s="44"/>
      <c r="G3" s="44"/>
      <c r="H3" s="45"/>
      <c r="I3" s="44"/>
      <c r="J3" s="44"/>
      <c r="K3" s="44"/>
      <c r="L3" s="44"/>
    </row>
    <row r="4" spans="4:8" ht="18.75" customHeight="1">
      <c r="D4" s="46"/>
      <c r="E4" s="47" t="s">
        <v>247</v>
      </c>
      <c r="H4" s="48"/>
    </row>
    <row r="5" spans="1:8" s="36" customFormat="1" ht="44.25" customHeight="1">
      <c r="A5" s="49" t="s">
        <v>3</v>
      </c>
      <c r="B5" s="49" t="s">
        <v>289</v>
      </c>
      <c r="C5" s="50" t="s">
        <v>1087</v>
      </c>
      <c r="D5" s="51" t="s">
        <v>1088</v>
      </c>
      <c r="E5" s="52" t="s">
        <v>686</v>
      </c>
      <c r="H5" s="53"/>
    </row>
    <row r="6" spans="1:8" s="37" customFormat="1" ht="17.25" customHeight="1">
      <c r="A6" s="54" t="s">
        <v>296</v>
      </c>
      <c r="B6" s="54" t="s">
        <v>297</v>
      </c>
      <c r="C6" s="54">
        <v>1</v>
      </c>
      <c r="D6" s="54">
        <v>2</v>
      </c>
      <c r="E6" s="55" t="s">
        <v>687</v>
      </c>
      <c r="F6" s="56"/>
      <c r="H6" s="57"/>
    </row>
    <row r="7" spans="1:8" s="36" customFormat="1" ht="25.5" customHeight="1">
      <c r="A7" s="58"/>
      <c r="B7" s="59" t="s">
        <v>688</v>
      </c>
      <c r="C7" s="60">
        <f>C8</f>
        <v>11120913025</v>
      </c>
      <c r="D7" s="60">
        <f>D8</f>
        <v>10633801847</v>
      </c>
      <c r="E7" s="61">
        <f aca="true" t="shared" si="0" ref="E7:E70">D7/C7*100</f>
        <v>95.61986343293067</v>
      </c>
      <c r="H7" s="62"/>
    </row>
    <row r="8" spans="1:8" s="36" customFormat="1" ht="15.75">
      <c r="A8" s="63" t="s">
        <v>296</v>
      </c>
      <c r="B8" s="64" t="s">
        <v>689</v>
      </c>
      <c r="C8" s="65">
        <f>C9+C11+C20</f>
        <v>11120913025</v>
      </c>
      <c r="D8" s="65">
        <f>D9+D11+D20</f>
        <v>10633801847</v>
      </c>
      <c r="E8" s="443">
        <f t="shared" si="0"/>
        <v>95.61986343293067</v>
      </c>
      <c r="H8" s="62"/>
    </row>
    <row r="9" spans="1:7" s="38" customFormat="1" ht="15.75">
      <c r="A9" s="64" t="s">
        <v>307</v>
      </c>
      <c r="B9" s="66" t="s">
        <v>690</v>
      </c>
      <c r="C9" s="67">
        <f>C10</f>
        <v>1416060000</v>
      </c>
      <c r="D9" s="67">
        <f>D10</f>
        <v>1384794000</v>
      </c>
      <c r="E9" s="485">
        <f t="shared" si="0"/>
        <v>97.79204271005466</v>
      </c>
      <c r="G9" s="486"/>
    </row>
    <row r="10" spans="1:5" s="38" customFormat="1" ht="15.75">
      <c r="A10" s="68">
        <v>1</v>
      </c>
      <c r="B10" s="69" t="s">
        <v>831</v>
      </c>
      <c r="C10" s="70">
        <v>1416060000</v>
      </c>
      <c r="D10" s="70">
        <v>1384794000</v>
      </c>
      <c r="E10" s="71">
        <f t="shared" si="0"/>
        <v>97.79204271005466</v>
      </c>
    </row>
    <row r="11" spans="1:5" s="38" customFormat="1" ht="15.75">
      <c r="A11" s="64" t="s">
        <v>363</v>
      </c>
      <c r="B11" s="66" t="s">
        <v>691</v>
      </c>
      <c r="C11" s="67">
        <f>SUM(C12:C16)</f>
        <v>2288123025</v>
      </c>
      <c r="D11" s="67">
        <f>SUM(D12:D16)</f>
        <v>2323802500</v>
      </c>
      <c r="E11" s="485">
        <f t="shared" si="0"/>
        <v>101.55933376877758</v>
      </c>
    </row>
    <row r="12" spans="1:5" s="38" customFormat="1" ht="15.75">
      <c r="A12" s="68">
        <v>1</v>
      </c>
      <c r="B12" s="69" t="s">
        <v>832</v>
      </c>
      <c r="C12" s="70">
        <v>1249300000</v>
      </c>
      <c r="D12" s="70">
        <v>1300666000</v>
      </c>
      <c r="E12" s="71">
        <f t="shared" si="0"/>
        <v>104.11158248619228</v>
      </c>
    </row>
    <row r="13" spans="1:5" s="38" customFormat="1" ht="15.75">
      <c r="A13" s="72">
        <v>2</v>
      </c>
      <c r="B13" s="73" t="s">
        <v>833</v>
      </c>
      <c r="C13" s="74">
        <v>637200000</v>
      </c>
      <c r="D13" s="74">
        <v>692840000</v>
      </c>
      <c r="E13" s="71">
        <f t="shared" si="0"/>
        <v>108.73195229127433</v>
      </c>
    </row>
    <row r="14" spans="1:5" s="38" customFormat="1" ht="15.75">
      <c r="A14" s="68">
        <v>3</v>
      </c>
      <c r="B14" s="73" t="s">
        <v>834</v>
      </c>
      <c r="C14" s="699">
        <v>94550000</v>
      </c>
      <c r="D14" s="699">
        <v>97384000</v>
      </c>
      <c r="E14" s="71">
        <f t="shared" si="0"/>
        <v>102.99735589635112</v>
      </c>
    </row>
    <row r="15" spans="1:5" s="38" customFormat="1" ht="15.75">
      <c r="A15" s="72">
        <v>4</v>
      </c>
      <c r="B15" s="73" t="s">
        <v>835</v>
      </c>
      <c r="C15" s="699">
        <v>307073025</v>
      </c>
      <c r="D15" s="699">
        <v>232912500</v>
      </c>
      <c r="E15" s="71">
        <f t="shared" si="0"/>
        <v>75.84922185854651</v>
      </c>
    </row>
    <row r="16" spans="1:5" s="38" customFormat="1" ht="15.75" hidden="1">
      <c r="A16" s="68">
        <v>5</v>
      </c>
      <c r="B16" s="73" t="s">
        <v>836</v>
      </c>
      <c r="C16" s="700"/>
      <c r="D16" s="700"/>
      <c r="E16" s="71" t="e">
        <f t="shared" si="0"/>
        <v>#DIV/0!</v>
      </c>
    </row>
    <row r="17" spans="1:5" s="36" customFormat="1" ht="15.75">
      <c r="A17" s="64" t="s">
        <v>381</v>
      </c>
      <c r="B17" s="66" t="s">
        <v>837</v>
      </c>
      <c r="C17" s="487">
        <f>C18+C20</f>
        <v>7421830000</v>
      </c>
      <c r="D17" s="487">
        <f>D18+D20</f>
        <v>6930305347</v>
      </c>
      <c r="E17" s="456">
        <f t="shared" si="0"/>
        <v>93.37731188938577</v>
      </c>
    </row>
    <row r="18" spans="1:5" s="38" customFormat="1" ht="15.75">
      <c r="A18" s="64" t="s">
        <v>822</v>
      </c>
      <c r="B18" s="66" t="s">
        <v>838</v>
      </c>
      <c r="C18" s="487">
        <f>SUM(C19:C19)</f>
        <v>5100000</v>
      </c>
      <c r="D18" s="487">
        <f>SUM(D19:D19)</f>
        <v>5100000</v>
      </c>
      <c r="E18" s="456"/>
    </row>
    <row r="19" spans="1:5" s="38" customFormat="1" ht="15.75">
      <c r="A19" s="68"/>
      <c r="B19" s="73" t="s">
        <v>839</v>
      </c>
      <c r="C19" s="74">
        <v>5100000</v>
      </c>
      <c r="D19" s="74">
        <v>5100000</v>
      </c>
      <c r="E19" s="71"/>
    </row>
    <row r="20" spans="1:8" s="36" customFormat="1" ht="15.75">
      <c r="A20" s="64" t="s">
        <v>822</v>
      </c>
      <c r="B20" s="66" t="s">
        <v>692</v>
      </c>
      <c r="C20" s="414">
        <f>SUM(C21:C23)</f>
        <v>7416730000</v>
      </c>
      <c r="D20" s="414">
        <f>SUM(D21:D23)</f>
        <v>6925205347</v>
      </c>
      <c r="E20" s="415">
        <f t="shared" si="0"/>
        <v>93.3727579000449</v>
      </c>
      <c r="G20" s="488"/>
      <c r="H20" s="488"/>
    </row>
    <row r="21" spans="1:8" s="38" customFormat="1" ht="15.75">
      <c r="A21" s="461" t="s">
        <v>840</v>
      </c>
      <c r="B21" s="462" t="s">
        <v>841</v>
      </c>
      <c r="C21" s="457">
        <f>C25+C29+C33+C37+C41+C45+C49+C53+C57+C61+C65+C69+C72+C75+C78+C81+C84+C87+C90+C93</f>
        <v>1051220000</v>
      </c>
      <c r="D21" s="457">
        <f>D25+D29+D33+D37+D41+D45+D49+D53+D57+D61+D65+D69+D72+D75+D78+D81+D84+D87+D90+D93</f>
        <v>612236365</v>
      </c>
      <c r="E21" s="71">
        <f t="shared" si="0"/>
        <v>58.240555259603134</v>
      </c>
      <c r="H21" s="458"/>
    </row>
    <row r="22" spans="1:8" s="38" customFormat="1" ht="15.75">
      <c r="A22" s="461" t="s">
        <v>840</v>
      </c>
      <c r="B22" s="462" t="s">
        <v>842</v>
      </c>
      <c r="C22" s="457">
        <f>C26+C30+C34+C38+C42+C46+C50+C54+C58+C62+C66+C70+C73+C76+C79+C82+C85+C88+C91+C94</f>
        <v>624170000</v>
      </c>
      <c r="D22" s="457">
        <f>D26+D30+D34+D38+D42+D46+D50+D54+D58+D62+D66+D70+D73+D76+D79+D82+D85+D88+D91+D94</f>
        <v>723825300</v>
      </c>
      <c r="E22" s="71">
        <f t="shared" si="0"/>
        <v>115.96605091561594</v>
      </c>
      <c r="H22" s="458"/>
    </row>
    <row r="23" spans="1:8" s="38" customFormat="1" ht="15.75">
      <c r="A23" s="489" t="s">
        <v>840</v>
      </c>
      <c r="B23" s="490" t="s">
        <v>843</v>
      </c>
      <c r="C23" s="457">
        <f>C27+C31+C35+C39+C43+C47+C51+C55+C59+C63+C67</f>
        <v>5741340000</v>
      </c>
      <c r="D23" s="457">
        <f>D27+D31+D35+D39+D43+D47+D51+D55+D59+D63+D67</f>
        <v>5589143682</v>
      </c>
      <c r="E23" s="71">
        <f t="shared" si="0"/>
        <v>97.34911504979674</v>
      </c>
      <c r="H23" s="458"/>
    </row>
    <row r="24" spans="1:8" ht="15.75">
      <c r="A24" s="459">
        <v>1</v>
      </c>
      <c r="B24" s="460" t="s">
        <v>844</v>
      </c>
      <c r="C24" s="491">
        <f>SUM(C25:C27)</f>
        <v>626770000</v>
      </c>
      <c r="D24" s="491">
        <f>SUM(D25:D27)</f>
        <v>548722000</v>
      </c>
      <c r="E24" s="485">
        <f t="shared" si="0"/>
        <v>87.54758523860427</v>
      </c>
      <c r="H24" s="48"/>
    </row>
    <row r="25" spans="1:8" s="38" customFormat="1" ht="15.75">
      <c r="A25" s="461" t="s">
        <v>840</v>
      </c>
      <c r="B25" s="462" t="s">
        <v>841</v>
      </c>
      <c r="C25" s="492">
        <v>120380000</v>
      </c>
      <c r="D25" s="492">
        <v>53087000</v>
      </c>
      <c r="E25" s="71">
        <f t="shared" si="0"/>
        <v>44.09951819239076</v>
      </c>
      <c r="H25" s="458"/>
    </row>
    <row r="26" spans="1:8" s="38" customFormat="1" ht="15.75">
      <c r="A26" s="461" t="s">
        <v>840</v>
      </c>
      <c r="B26" s="462" t="s">
        <v>842</v>
      </c>
      <c r="C26" s="492">
        <v>7430000</v>
      </c>
      <c r="D26" s="492">
        <v>32885000</v>
      </c>
      <c r="E26" s="71">
        <f t="shared" si="0"/>
        <v>442.5975773889637</v>
      </c>
      <c r="H26" s="458"/>
    </row>
    <row r="27" spans="1:8" s="38" customFormat="1" ht="15.75">
      <c r="A27" s="489" t="s">
        <v>840</v>
      </c>
      <c r="B27" s="490" t="s">
        <v>843</v>
      </c>
      <c r="C27" s="492">
        <v>498960000</v>
      </c>
      <c r="D27" s="492">
        <v>462750000</v>
      </c>
      <c r="E27" s="71">
        <f t="shared" si="0"/>
        <v>92.74290524290524</v>
      </c>
      <c r="H27" s="458"/>
    </row>
    <row r="28" spans="1:8" s="36" customFormat="1" ht="15.75">
      <c r="A28" s="459">
        <v>2</v>
      </c>
      <c r="B28" s="493" t="s">
        <v>693</v>
      </c>
      <c r="C28" s="701">
        <f>SUM(C29:C31)</f>
        <v>1542110000</v>
      </c>
      <c r="D28" s="701">
        <f>SUM(D29:D31)</f>
        <v>1288135477</v>
      </c>
      <c r="E28" s="485">
        <f t="shared" si="0"/>
        <v>83.53071291931185</v>
      </c>
      <c r="H28" s="62"/>
    </row>
    <row r="29" spans="1:8" ht="15.75">
      <c r="A29" s="461" t="s">
        <v>840</v>
      </c>
      <c r="B29" s="490" t="s">
        <v>841</v>
      </c>
      <c r="C29" s="492">
        <v>88320000</v>
      </c>
      <c r="D29" s="492">
        <v>60507000</v>
      </c>
      <c r="E29" s="71">
        <f t="shared" si="0"/>
        <v>68.50883152173914</v>
      </c>
      <c r="H29" s="48"/>
    </row>
    <row r="30" spans="1:8" s="38" customFormat="1" ht="15.75">
      <c r="A30" s="489" t="s">
        <v>840</v>
      </c>
      <c r="B30" s="490" t="s">
        <v>842</v>
      </c>
      <c r="C30" s="492">
        <v>4560000</v>
      </c>
      <c r="D30" s="492">
        <v>4797000</v>
      </c>
      <c r="E30" s="71">
        <f t="shared" si="0"/>
        <v>105.19736842105263</v>
      </c>
      <c r="H30" s="458"/>
    </row>
    <row r="31" spans="1:8" ht="15.75">
      <c r="A31" s="461" t="s">
        <v>840</v>
      </c>
      <c r="B31" s="490" t="s">
        <v>843</v>
      </c>
      <c r="C31" s="492">
        <v>1449230000</v>
      </c>
      <c r="D31" s="492">
        <v>1222831477</v>
      </c>
      <c r="E31" s="71">
        <f t="shared" si="0"/>
        <v>84.37801294480516</v>
      </c>
      <c r="H31" s="48"/>
    </row>
    <row r="32" spans="1:8" s="36" customFormat="1" ht="15.75">
      <c r="A32" s="459">
        <v>3</v>
      </c>
      <c r="B32" s="493" t="s">
        <v>845</v>
      </c>
      <c r="C32" s="491">
        <f>SUM(C33:C35)</f>
        <v>293850000</v>
      </c>
      <c r="D32" s="491">
        <f>SUM(D33:D35)</f>
        <v>143362500</v>
      </c>
      <c r="E32" s="485">
        <f t="shared" si="0"/>
        <v>48.78764675855028</v>
      </c>
      <c r="H32" s="62"/>
    </row>
    <row r="33" spans="1:8" s="38" customFormat="1" ht="15.75">
      <c r="A33" s="489" t="s">
        <v>840</v>
      </c>
      <c r="B33" s="490" t="s">
        <v>841</v>
      </c>
      <c r="C33" s="492">
        <v>40500000</v>
      </c>
      <c r="D33" s="492">
        <v>20362500</v>
      </c>
      <c r="E33" s="71">
        <f t="shared" si="0"/>
        <v>50.27777777777778</v>
      </c>
      <c r="H33" s="458"/>
    </row>
    <row r="34" spans="1:8" s="38" customFormat="1" ht="15.75">
      <c r="A34" s="461" t="s">
        <v>840</v>
      </c>
      <c r="B34" s="490" t="s">
        <v>842</v>
      </c>
      <c r="C34" s="492">
        <v>2250000</v>
      </c>
      <c r="D34" s="492"/>
      <c r="E34" s="71">
        <f t="shared" si="0"/>
        <v>0</v>
      </c>
      <c r="H34" s="458"/>
    </row>
    <row r="35" spans="1:8" s="38" customFormat="1" ht="15.75">
      <c r="A35" s="461" t="s">
        <v>840</v>
      </c>
      <c r="B35" s="490" t="s">
        <v>843</v>
      </c>
      <c r="C35" s="492">
        <v>251100000</v>
      </c>
      <c r="D35" s="492">
        <v>123000000</v>
      </c>
      <c r="E35" s="71">
        <f t="shared" si="0"/>
        <v>48.98446833930705</v>
      </c>
      <c r="H35" s="458"/>
    </row>
    <row r="36" spans="1:8" s="36" customFormat="1" ht="15.75">
      <c r="A36" s="494">
        <v>4</v>
      </c>
      <c r="B36" s="493" t="s">
        <v>697</v>
      </c>
      <c r="C36" s="491">
        <f>SUM(C37:C39)</f>
        <v>420760000</v>
      </c>
      <c r="D36" s="491">
        <f>SUM(D37:D39)</f>
        <v>419997500</v>
      </c>
      <c r="E36" s="485">
        <f t="shared" si="0"/>
        <v>99.8187803023101</v>
      </c>
      <c r="H36" s="62"/>
    </row>
    <row r="37" spans="1:8" s="38" customFormat="1" ht="15.75">
      <c r="A37" s="461" t="s">
        <v>840</v>
      </c>
      <c r="B37" s="490" t="s">
        <v>841</v>
      </c>
      <c r="C37" s="492">
        <v>50270000</v>
      </c>
      <c r="D37" s="492">
        <v>32105000</v>
      </c>
      <c r="E37" s="71">
        <f t="shared" si="0"/>
        <v>63.86512830714144</v>
      </c>
      <c r="H37" s="458"/>
    </row>
    <row r="38" spans="1:8" s="38" customFormat="1" ht="15.75">
      <c r="A38" s="461" t="s">
        <v>840</v>
      </c>
      <c r="B38" s="490" t="s">
        <v>842</v>
      </c>
      <c r="C38" s="492">
        <v>32990000</v>
      </c>
      <c r="D38" s="492">
        <v>54737500</v>
      </c>
      <c r="E38" s="71">
        <f t="shared" si="0"/>
        <v>165.92149136101847</v>
      </c>
      <c r="H38" s="458"/>
    </row>
    <row r="39" spans="1:8" s="38" customFormat="1" ht="15.75">
      <c r="A39" s="489" t="s">
        <v>840</v>
      </c>
      <c r="B39" s="490" t="s">
        <v>843</v>
      </c>
      <c r="C39" s="492">
        <v>337500000</v>
      </c>
      <c r="D39" s="492">
        <v>333155000</v>
      </c>
      <c r="E39" s="71">
        <f t="shared" si="0"/>
        <v>98.7125925925926</v>
      </c>
      <c r="H39" s="458"/>
    </row>
    <row r="40" spans="1:8" s="36" customFormat="1" ht="15.75">
      <c r="A40" s="459">
        <v>5</v>
      </c>
      <c r="B40" s="493" t="s">
        <v>846</v>
      </c>
      <c r="C40" s="491">
        <f>SUM(C41:C43)</f>
        <v>157050000</v>
      </c>
      <c r="D40" s="491">
        <f>SUM(D41:D43)</f>
        <v>100120000</v>
      </c>
      <c r="E40" s="485">
        <f t="shared" si="0"/>
        <v>63.750397962432345</v>
      </c>
      <c r="H40" s="62"/>
    </row>
    <row r="41" spans="1:8" ht="15.75">
      <c r="A41" s="461" t="s">
        <v>840</v>
      </c>
      <c r="B41" s="490" t="s">
        <v>841</v>
      </c>
      <c r="C41" s="492">
        <v>18290000</v>
      </c>
      <c r="D41" s="492">
        <v>4567500</v>
      </c>
      <c r="E41" s="71">
        <f t="shared" si="0"/>
        <v>24.97266265718972</v>
      </c>
      <c r="H41" s="48"/>
    </row>
    <row r="42" spans="1:8" s="38" customFormat="1" ht="15.75">
      <c r="A42" s="489" t="s">
        <v>840</v>
      </c>
      <c r="B42" s="490" t="s">
        <v>842</v>
      </c>
      <c r="C42" s="492">
        <v>60230000</v>
      </c>
      <c r="D42" s="492">
        <v>62152500</v>
      </c>
      <c r="E42" s="71">
        <f t="shared" si="0"/>
        <v>103.19193093142951</v>
      </c>
      <c r="H42" s="458"/>
    </row>
    <row r="43" spans="1:8" ht="15.75">
      <c r="A43" s="461" t="s">
        <v>840</v>
      </c>
      <c r="B43" s="490" t="s">
        <v>843</v>
      </c>
      <c r="C43" s="492">
        <v>78530000</v>
      </c>
      <c r="D43" s="492">
        <v>33400000</v>
      </c>
      <c r="E43" s="71">
        <f t="shared" si="0"/>
        <v>42.53151661785305</v>
      </c>
      <c r="H43" s="48"/>
    </row>
    <row r="44" spans="1:8" s="36" customFormat="1" ht="15.75">
      <c r="A44" s="459">
        <v>6</v>
      </c>
      <c r="B44" s="493" t="s">
        <v>847</v>
      </c>
      <c r="C44" s="491">
        <f>SUM(C45:C47)</f>
        <v>99900000</v>
      </c>
      <c r="D44" s="491">
        <f>SUM(D45:D47)</f>
        <v>85605000</v>
      </c>
      <c r="E44" s="485">
        <f t="shared" si="0"/>
        <v>85.6906906906907</v>
      </c>
      <c r="H44" s="62"/>
    </row>
    <row r="45" spans="1:8" s="38" customFormat="1" ht="15.75">
      <c r="A45" s="489" t="s">
        <v>840</v>
      </c>
      <c r="B45" s="490" t="s">
        <v>841</v>
      </c>
      <c r="C45" s="492">
        <v>30490000</v>
      </c>
      <c r="D45" s="492">
        <v>16195000</v>
      </c>
      <c r="E45" s="71">
        <f t="shared" si="0"/>
        <v>53.115775664152174</v>
      </c>
      <c r="H45" s="458"/>
    </row>
    <row r="46" spans="1:5" s="38" customFormat="1" ht="15.75">
      <c r="A46" s="461" t="s">
        <v>840</v>
      </c>
      <c r="B46" s="490" t="s">
        <v>842</v>
      </c>
      <c r="C46" s="492">
        <v>69410000</v>
      </c>
      <c r="D46" s="492">
        <v>69410000</v>
      </c>
      <c r="E46" s="71">
        <f t="shared" si="0"/>
        <v>100</v>
      </c>
    </row>
    <row r="47" spans="1:5" s="38" customFormat="1" ht="15.75">
      <c r="A47" s="461" t="s">
        <v>840</v>
      </c>
      <c r="B47" s="490" t="s">
        <v>843</v>
      </c>
      <c r="C47" s="495"/>
      <c r="D47" s="495"/>
      <c r="E47" s="71"/>
    </row>
    <row r="48" spans="1:5" s="36" customFormat="1" ht="15.75">
      <c r="A48" s="494">
        <v>7</v>
      </c>
      <c r="B48" s="493" t="s">
        <v>848</v>
      </c>
      <c r="C48" s="491">
        <f>SUM(C49:C51)</f>
        <v>156960000</v>
      </c>
      <c r="D48" s="491">
        <f>SUM(D49:D51)</f>
        <v>182952500</v>
      </c>
      <c r="E48" s="485">
        <f t="shared" si="0"/>
        <v>116.5599515800204</v>
      </c>
    </row>
    <row r="49" spans="1:8" ht="15.75">
      <c r="A49" s="461" t="s">
        <v>840</v>
      </c>
      <c r="B49" s="490" t="s">
        <v>841</v>
      </c>
      <c r="C49" s="492">
        <v>35440000</v>
      </c>
      <c r="D49" s="492">
        <v>23787500</v>
      </c>
      <c r="E49" s="71">
        <f t="shared" si="0"/>
        <v>67.12048532731377</v>
      </c>
      <c r="H49" s="48"/>
    </row>
    <row r="50" spans="1:5" s="496" customFormat="1" ht="16.5">
      <c r="A50" s="461" t="s">
        <v>840</v>
      </c>
      <c r="B50" s="490" t="s">
        <v>842</v>
      </c>
      <c r="C50" s="492">
        <v>80210000</v>
      </c>
      <c r="D50" s="492">
        <v>85345000</v>
      </c>
      <c r="E50" s="71">
        <f t="shared" si="0"/>
        <v>106.40194489465154</v>
      </c>
    </row>
    <row r="51" spans="1:7" s="497" customFormat="1" ht="16.5">
      <c r="A51" s="489" t="s">
        <v>840</v>
      </c>
      <c r="B51" s="490" t="s">
        <v>843</v>
      </c>
      <c r="C51" s="492">
        <v>41310000</v>
      </c>
      <c r="D51" s="492">
        <v>73820000</v>
      </c>
      <c r="E51" s="71">
        <f t="shared" si="0"/>
        <v>178.69765190026627</v>
      </c>
      <c r="G51" s="498"/>
    </row>
    <row r="52" spans="1:5" s="36" customFormat="1" ht="15.75">
      <c r="A52" s="459">
        <v>8</v>
      </c>
      <c r="B52" s="493" t="s">
        <v>849</v>
      </c>
      <c r="C52" s="491">
        <f>SUM(C53:C55)</f>
        <v>59630000</v>
      </c>
      <c r="D52" s="491">
        <f>SUM(D53:D55)</f>
        <v>78865000</v>
      </c>
      <c r="E52" s="485">
        <f t="shared" si="0"/>
        <v>132.25725306054</v>
      </c>
    </row>
    <row r="53" spans="1:5" s="39" customFormat="1" ht="15.75">
      <c r="A53" s="461" t="s">
        <v>840</v>
      </c>
      <c r="B53" s="490" t="s">
        <v>841</v>
      </c>
      <c r="C53" s="702">
        <v>16070000</v>
      </c>
      <c r="D53" s="702">
        <f>5850000+7365000</f>
        <v>13215000</v>
      </c>
      <c r="E53" s="71">
        <f t="shared" si="0"/>
        <v>82.23397635345364</v>
      </c>
    </row>
    <row r="54" spans="1:5" s="38" customFormat="1" ht="15.75">
      <c r="A54" s="489" t="s">
        <v>840</v>
      </c>
      <c r="B54" s="490" t="s">
        <v>842</v>
      </c>
      <c r="C54" s="702">
        <v>43560000</v>
      </c>
      <c r="D54" s="702">
        <f>48310000</f>
        <v>48310000</v>
      </c>
      <c r="E54" s="71">
        <f t="shared" si="0"/>
        <v>110.90449954086317</v>
      </c>
    </row>
    <row r="55" spans="1:5" ht="15.75">
      <c r="A55" s="461" t="s">
        <v>840</v>
      </c>
      <c r="B55" s="490" t="s">
        <v>843</v>
      </c>
      <c r="C55" s="702">
        <v>0</v>
      </c>
      <c r="D55" s="702">
        <f>17340000</f>
        <v>17340000</v>
      </c>
      <c r="E55" s="71"/>
    </row>
    <row r="56" spans="1:5" s="36" customFormat="1" ht="15.75">
      <c r="A56" s="459">
        <v>9</v>
      </c>
      <c r="B56" s="493" t="s">
        <v>696</v>
      </c>
      <c r="C56" s="491">
        <f>SUM(C57:C59)</f>
        <v>389030000</v>
      </c>
      <c r="D56" s="491">
        <f>SUM(D57:D59)</f>
        <v>503627500</v>
      </c>
      <c r="E56" s="485">
        <f t="shared" si="0"/>
        <v>129.45723980155773</v>
      </c>
    </row>
    <row r="57" spans="1:5" s="38" customFormat="1" ht="15.75">
      <c r="A57" s="489" t="s">
        <v>840</v>
      </c>
      <c r="B57" s="490" t="s">
        <v>841</v>
      </c>
      <c r="C57" s="492">
        <v>54680000</v>
      </c>
      <c r="D57" s="492">
        <v>63490000</v>
      </c>
      <c r="E57" s="71">
        <f t="shared" si="0"/>
        <v>116.11192392099487</v>
      </c>
    </row>
    <row r="58" spans="1:5" ht="15.75">
      <c r="A58" s="461" t="s">
        <v>840</v>
      </c>
      <c r="B58" s="490" t="s">
        <v>842</v>
      </c>
      <c r="C58" s="492">
        <v>1350000</v>
      </c>
      <c r="D58" s="492">
        <v>5662500</v>
      </c>
      <c r="E58" s="71">
        <f t="shared" si="0"/>
        <v>419.44444444444446</v>
      </c>
    </row>
    <row r="59" spans="1:5" ht="15.75">
      <c r="A59" s="461" t="s">
        <v>840</v>
      </c>
      <c r="B59" s="490" t="s">
        <v>843</v>
      </c>
      <c r="C59" s="492">
        <v>333000000</v>
      </c>
      <c r="D59" s="492">
        <v>434475000</v>
      </c>
      <c r="E59" s="71">
        <f t="shared" si="0"/>
        <v>130.47297297297297</v>
      </c>
    </row>
    <row r="60" spans="1:5" s="36" customFormat="1" ht="15.75">
      <c r="A60" s="494">
        <v>10</v>
      </c>
      <c r="B60" s="493" t="s">
        <v>850</v>
      </c>
      <c r="C60" s="491">
        <f>SUM(C61:C63)</f>
        <v>72690000</v>
      </c>
      <c r="D60" s="491">
        <f>SUM(D61:D63)</f>
        <v>74675500</v>
      </c>
      <c r="E60" s="485">
        <f t="shared" si="0"/>
        <v>102.73146237446691</v>
      </c>
    </row>
    <row r="61" spans="1:5" ht="15.75">
      <c r="A61" s="461" t="s">
        <v>840</v>
      </c>
      <c r="B61" s="490" t="s">
        <v>841</v>
      </c>
      <c r="C61" s="492">
        <v>20800000</v>
      </c>
      <c r="D61" s="492">
        <v>17378000</v>
      </c>
      <c r="E61" s="71"/>
    </row>
    <row r="62" spans="1:5" ht="15.75">
      <c r="A62" s="461" t="s">
        <v>840</v>
      </c>
      <c r="B62" s="490" t="s">
        <v>842</v>
      </c>
      <c r="C62" s="492">
        <v>51890000</v>
      </c>
      <c r="D62" s="492">
        <v>57297500</v>
      </c>
      <c r="E62" s="71">
        <f t="shared" si="0"/>
        <v>110.4210830603199</v>
      </c>
    </row>
    <row r="63" spans="1:5" s="38" customFormat="1" ht="15.75">
      <c r="A63" s="489" t="s">
        <v>840</v>
      </c>
      <c r="B63" s="499" t="s">
        <v>843</v>
      </c>
      <c r="C63" s="492"/>
      <c r="D63" s="492"/>
      <c r="E63" s="71"/>
    </row>
    <row r="64" spans="1:5" s="36" customFormat="1" ht="15.75">
      <c r="A64" s="459">
        <v>11</v>
      </c>
      <c r="B64" s="493" t="s">
        <v>695</v>
      </c>
      <c r="C64" s="491">
        <f>SUM(C65:C67)</f>
        <v>2918570000</v>
      </c>
      <c r="D64" s="491">
        <f>SUM(D65:D67)</f>
        <v>2961760570</v>
      </c>
      <c r="E64" s="485">
        <f t="shared" si="0"/>
        <v>101.47985383252758</v>
      </c>
    </row>
    <row r="65" spans="1:5" ht="15.75">
      <c r="A65" s="461" t="s">
        <v>840</v>
      </c>
      <c r="B65" s="490" t="s">
        <v>841</v>
      </c>
      <c r="C65" s="492">
        <v>166320000</v>
      </c>
      <c r="D65" s="492">
        <v>72728365</v>
      </c>
      <c r="E65" s="71">
        <f t="shared" si="0"/>
        <v>43.72797318422318</v>
      </c>
    </row>
    <row r="66" spans="1:5" s="38" customFormat="1" ht="15.75">
      <c r="A66" s="461" t="s">
        <v>840</v>
      </c>
      <c r="B66" s="490" t="s">
        <v>842</v>
      </c>
      <c r="C66" s="492">
        <v>540000</v>
      </c>
      <c r="D66" s="492">
        <v>660000</v>
      </c>
      <c r="E66" s="71">
        <f t="shared" si="0"/>
        <v>122.22222222222223</v>
      </c>
    </row>
    <row r="67" spans="1:5" ht="15.75">
      <c r="A67" s="461" t="s">
        <v>840</v>
      </c>
      <c r="B67" s="490" t="s">
        <v>843</v>
      </c>
      <c r="C67" s="492">
        <v>2751710000</v>
      </c>
      <c r="D67" s="492">
        <v>2888372205</v>
      </c>
      <c r="E67" s="71">
        <f t="shared" si="0"/>
        <v>104.96644650053966</v>
      </c>
    </row>
    <row r="68" spans="1:5" s="36" customFormat="1" ht="15.75">
      <c r="A68" s="459">
        <v>12</v>
      </c>
      <c r="B68" s="493" t="s">
        <v>851</v>
      </c>
      <c r="C68" s="500">
        <f>SUM(C69:C70)</f>
        <v>53010000</v>
      </c>
      <c r="D68" s="500">
        <f>SUM(D69:D70)</f>
        <v>54575000</v>
      </c>
      <c r="E68" s="485">
        <f t="shared" si="0"/>
        <v>102.9522731560083</v>
      </c>
    </row>
    <row r="69" spans="1:5" s="38" customFormat="1" ht="15.75">
      <c r="A69" s="489" t="s">
        <v>840</v>
      </c>
      <c r="B69" s="490" t="s">
        <v>841</v>
      </c>
      <c r="C69" s="492">
        <v>8160000</v>
      </c>
      <c r="D69" s="492">
        <v>6543000</v>
      </c>
      <c r="E69" s="71">
        <f t="shared" si="0"/>
        <v>80.18382352941177</v>
      </c>
    </row>
    <row r="70" spans="1:5" ht="15.75">
      <c r="A70" s="461" t="s">
        <v>840</v>
      </c>
      <c r="B70" s="490" t="s">
        <v>842</v>
      </c>
      <c r="C70" s="492">
        <v>44850000</v>
      </c>
      <c r="D70" s="492">
        <v>48032000</v>
      </c>
      <c r="E70" s="71">
        <f t="shared" si="0"/>
        <v>107.09476031215162</v>
      </c>
    </row>
    <row r="71" spans="1:5" s="36" customFormat="1" ht="15.75">
      <c r="A71" s="459">
        <v>13</v>
      </c>
      <c r="B71" s="493" t="s">
        <v>852</v>
      </c>
      <c r="C71" s="500">
        <f>SUM(C72:C73)</f>
        <v>40700000</v>
      </c>
      <c r="D71" s="500">
        <f>SUM(D72:D73)</f>
        <v>41656000</v>
      </c>
      <c r="E71" s="485">
        <f aca="true" t="shared" si="1" ref="E71:E94">D71/C71*100</f>
        <v>102.34889434889436</v>
      </c>
    </row>
    <row r="72" spans="1:5" s="38" customFormat="1" ht="15.75">
      <c r="A72" s="489" t="s">
        <v>840</v>
      </c>
      <c r="B72" s="490" t="s">
        <v>841</v>
      </c>
      <c r="C72" s="492">
        <v>6660000</v>
      </c>
      <c r="D72" s="492">
        <v>5556000</v>
      </c>
      <c r="E72" s="71">
        <f t="shared" si="1"/>
        <v>83.42342342342343</v>
      </c>
    </row>
    <row r="73" spans="1:5" ht="15.75">
      <c r="A73" s="461" t="s">
        <v>840</v>
      </c>
      <c r="B73" s="490" t="s">
        <v>842</v>
      </c>
      <c r="C73" s="492">
        <v>34040000</v>
      </c>
      <c r="D73" s="492">
        <v>36100000</v>
      </c>
      <c r="E73" s="71">
        <f t="shared" si="1"/>
        <v>106.05170387779084</v>
      </c>
    </row>
    <row r="74" spans="1:5" s="36" customFormat="1" ht="15.75">
      <c r="A74" s="459">
        <v>14</v>
      </c>
      <c r="B74" s="493" t="s">
        <v>853</v>
      </c>
      <c r="C74" s="500">
        <f>SUM(C75:C76)</f>
        <v>223350000</v>
      </c>
      <c r="D74" s="500">
        <f>SUM(D75:D76)</f>
        <v>118347500</v>
      </c>
      <c r="E74" s="485">
        <f t="shared" si="1"/>
        <v>52.987463622117744</v>
      </c>
    </row>
    <row r="75" spans="1:5" s="38" customFormat="1" ht="15.75">
      <c r="A75" s="489" t="s">
        <v>840</v>
      </c>
      <c r="B75" s="490" t="s">
        <v>841</v>
      </c>
      <c r="C75" s="492">
        <v>215150000</v>
      </c>
      <c r="D75" s="492">
        <v>107940000</v>
      </c>
      <c r="E75" s="71">
        <f t="shared" si="1"/>
        <v>50.1696490820358</v>
      </c>
    </row>
    <row r="76" spans="1:5" ht="15.75">
      <c r="A76" s="461" t="s">
        <v>840</v>
      </c>
      <c r="B76" s="490" t="s">
        <v>842</v>
      </c>
      <c r="C76" s="492">
        <v>8200000</v>
      </c>
      <c r="D76" s="492">
        <v>10407500</v>
      </c>
      <c r="E76" s="71">
        <f t="shared" si="1"/>
        <v>126.92073170731707</v>
      </c>
    </row>
    <row r="77" spans="1:5" s="36" customFormat="1" ht="15.75">
      <c r="A77" s="459">
        <v>15</v>
      </c>
      <c r="B77" s="493" t="s">
        <v>702</v>
      </c>
      <c r="C77" s="500">
        <f>SUM(C78:C79)</f>
        <v>104310000</v>
      </c>
      <c r="D77" s="500">
        <f>SUM(D78:D79)</f>
        <v>79676500</v>
      </c>
      <c r="E77" s="485">
        <f t="shared" si="1"/>
        <v>76.38433515482696</v>
      </c>
    </row>
    <row r="78" spans="1:5" s="38" customFormat="1" ht="15.75">
      <c r="A78" s="489" t="s">
        <v>840</v>
      </c>
      <c r="B78" s="490" t="s">
        <v>841</v>
      </c>
      <c r="C78" s="492">
        <v>97470000</v>
      </c>
      <c r="D78" s="492">
        <v>57002000</v>
      </c>
      <c r="E78" s="71">
        <f t="shared" si="1"/>
        <v>58.48158407715195</v>
      </c>
    </row>
    <row r="79" spans="1:5" ht="15.75">
      <c r="A79" s="461" t="s">
        <v>840</v>
      </c>
      <c r="B79" s="490" t="s">
        <v>842</v>
      </c>
      <c r="C79" s="492">
        <v>6840000</v>
      </c>
      <c r="D79" s="492">
        <v>22674500</v>
      </c>
      <c r="E79" s="71">
        <f t="shared" si="1"/>
        <v>331.49853801169587</v>
      </c>
    </row>
    <row r="80" spans="1:5" s="36" customFormat="1" ht="15.75">
      <c r="A80" s="459">
        <v>16</v>
      </c>
      <c r="B80" s="493" t="s">
        <v>854</v>
      </c>
      <c r="C80" s="500">
        <f>SUM(C81:C82)</f>
        <v>46680000</v>
      </c>
      <c r="D80" s="500">
        <f>SUM(D81:D82)</f>
        <v>28503500</v>
      </c>
      <c r="E80" s="485">
        <f t="shared" si="1"/>
        <v>61.061482433590406</v>
      </c>
    </row>
    <row r="81" spans="1:5" s="38" customFormat="1" ht="15.75">
      <c r="A81" s="489" t="s">
        <v>840</v>
      </c>
      <c r="B81" s="490" t="s">
        <v>841</v>
      </c>
      <c r="C81" s="492">
        <v>42640000</v>
      </c>
      <c r="D81" s="492">
        <v>23554000</v>
      </c>
      <c r="E81" s="71">
        <f t="shared" si="1"/>
        <v>55.23921200750469</v>
      </c>
    </row>
    <row r="82" spans="1:5" ht="15.75">
      <c r="A82" s="461" t="s">
        <v>840</v>
      </c>
      <c r="B82" s="490" t="s">
        <v>842</v>
      </c>
      <c r="C82" s="492">
        <v>4040000</v>
      </c>
      <c r="D82" s="492">
        <v>4949500</v>
      </c>
      <c r="E82" s="71">
        <f t="shared" si="1"/>
        <v>122.51237623762377</v>
      </c>
    </row>
    <row r="83" spans="1:5" s="36" customFormat="1" ht="15.75">
      <c r="A83" s="459">
        <v>17</v>
      </c>
      <c r="B83" s="493" t="s">
        <v>703</v>
      </c>
      <c r="C83" s="500">
        <f>SUM(C84:C85)</f>
        <v>54550000</v>
      </c>
      <c r="D83" s="500">
        <f>SUM(D84:D85)</f>
        <v>59921500</v>
      </c>
      <c r="E83" s="485">
        <f t="shared" si="1"/>
        <v>109.84692942254813</v>
      </c>
    </row>
    <row r="84" spans="1:5" s="38" customFormat="1" ht="15.75">
      <c r="A84" s="489" t="s">
        <v>840</v>
      </c>
      <c r="B84" s="490" t="s">
        <v>841</v>
      </c>
      <c r="C84" s="492">
        <v>20840000</v>
      </c>
      <c r="D84" s="492">
        <v>22771000</v>
      </c>
      <c r="E84" s="71">
        <f t="shared" si="1"/>
        <v>109.26583493282149</v>
      </c>
    </row>
    <row r="85" spans="1:5" s="38" customFormat="1" ht="15.75">
      <c r="A85" s="461" t="s">
        <v>840</v>
      </c>
      <c r="B85" s="490" t="s">
        <v>842</v>
      </c>
      <c r="C85" s="492">
        <v>33710000</v>
      </c>
      <c r="D85" s="492">
        <v>37150500</v>
      </c>
      <c r="E85" s="71">
        <f t="shared" si="1"/>
        <v>110.20617027588253</v>
      </c>
    </row>
    <row r="86" spans="1:5" s="503" customFormat="1" ht="15.75">
      <c r="A86" s="501">
        <v>18</v>
      </c>
      <c r="B86" s="502" t="s">
        <v>855</v>
      </c>
      <c r="C86" s="500">
        <f>SUM(C87:C88)</f>
        <v>35230000</v>
      </c>
      <c r="D86" s="500">
        <f>SUM(D87:D88)</f>
        <v>36822000</v>
      </c>
      <c r="E86" s="485">
        <f t="shared" si="1"/>
        <v>104.51887595799035</v>
      </c>
    </row>
    <row r="87" spans="1:5" s="38" customFormat="1" ht="15.75">
      <c r="A87" s="489" t="s">
        <v>840</v>
      </c>
      <c r="B87" s="490" t="s">
        <v>841</v>
      </c>
      <c r="C87" s="492">
        <v>5170000</v>
      </c>
      <c r="D87" s="492">
        <v>3230000</v>
      </c>
      <c r="E87" s="71">
        <f t="shared" si="1"/>
        <v>62.475822050290134</v>
      </c>
    </row>
    <row r="88" spans="1:5" ht="15.75">
      <c r="A88" s="461" t="s">
        <v>840</v>
      </c>
      <c r="B88" s="490" t="s">
        <v>842</v>
      </c>
      <c r="C88" s="492">
        <v>30060000</v>
      </c>
      <c r="D88" s="492">
        <v>33592000</v>
      </c>
      <c r="E88" s="71">
        <f t="shared" si="1"/>
        <v>111.74983366600134</v>
      </c>
    </row>
    <row r="89" spans="1:5" s="36" customFormat="1" ht="15.75">
      <c r="A89" s="459">
        <v>19</v>
      </c>
      <c r="B89" s="493" t="s">
        <v>856</v>
      </c>
      <c r="C89" s="500">
        <f>SUM(C90:C91)</f>
        <v>51300000</v>
      </c>
      <c r="D89" s="500">
        <f>SUM(D90:D91)</f>
        <v>46762800</v>
      </c>
      <c r="E89" s="485">
        <f t="shared" si="1"/>
        <v>91.15555555555555</v>
      </c>
    </row>
    <row r="90" spans="1:5" s="38" customFormat="1" ht="15.75">
      <c r="A90" s="489" t="s">
        <v>840</v>
      </c>
      <c r="B90" s="490" t="s">
        <v>841</v>
      </c>
      <c r="C90" s="492">
        <v>5050000</v>
      </c>
      <c r="D90" s="492"/>
      <c r="E90" s="71">
        <f t="shared" si="1"/>
        <v>0</v>
      </c>
    </row>
    <row r="91" spans="1:5" ht="15.75">
      <c r="A91" s="461" t="s">
        <v>840</v>
      </c>
      <c r="B91" s="490" t="s">
        <v>842</v>
      </c>
      <c r="C91" s="492">
        <v>46250000</v>
      </c>
      <c r="D91" s="492">
        <v>46762800</v>
      </c>
      <c r="E91" s="71">
        <f t="shared" si="1"/>
        <v>101.10875675675675</v>
      </c>
    </row>
    <row r="92" spans="1:5" s="36" customFormat="1" ht="15.75">
      <c r="A92" s="459">
        <v>20</v>
      </c>
      <c r="B92" s="493" t="s">
        <v>857</v>
      </c>
      <c r="C92" s="703">
        <f>SUM(C93:C94)</f>
        <v>70280000</v>
      </c>
      <c r="D92" s="703">
        <f>SUM(D93:D94)</f>
        <v>71117000</v>
      </c>
      <c r="E92" s="485">
        <f t="shared" si="1"/>
        <v>101.19095048377918</v>
      </c>
    </row>
    <row r="93" spans="1:5" s="38" customFormat="1" ht="15.75">
      <c r="A93" s="489" t="s">
        <v>840</v>
      </c>
      <c r="B93" s="490" t="s">
        <v>841</v>
      </c>
      <c r="C93" s="492">
        <v>8520000</v>
      </c>
      <c r="D93" s="492">
        <v>8217500</v>
      </c>
      <c r="E93" s="71">
        <f t="shared" si="1"/>
        <v>96.44953051643192</v>
      </c>
    </row>
    <row r="94" spans="1:5" ht="15.75">
      <c r="A94" s="504" t="s">
        <v>840</v>
      </c>
      <c r="B94" s="505" t="s">
        <v>842</v>
      </c>
      <c r="C94" s="506">
        <v>61760000</v>
      </c>
      <c r="D94" s="506">
        <v>62899500</v>
      </c>
      <c r="E94" s="507">
        <f t="shared" si="1"/>
        <v>101.84504533678755</v>
      </c>
    </row>
    <row r="95" spans="1:5" ht="18.75" customHeight="1" hidden="1">
      <c r="A95" s="79"/>
      <c r="B95" s="80" t="s">
        <v>701</v>
      </c>
      <c r="C95" s="81"/>
      <c r="D95" s="81"/>
      <c r="E95" s="78"/>
    </row>
    <row r="96" spans="1:5" ht="19.5" customHeight="1" hidden="1">
      <c r="A96" s="329" t="s">
        <v>698</v>
      </c>
      <c r="B96" s="82" t="s">
        <v>704</v>
      </c>
      <c r="C96" s="77">
        <f>SUM(C97:C98)</f>
        <v>6000000</v>
      </c>
      <c r="D96" s="77">
        <f>SUM(D97:D98)</f>
        <v>4035600</v>
      </c>
      <c r="E96" s="78"/>
    </row>
    <row r="97" spans="1:5" ht="56.25" customHeight="1" hidden="1">
      <c r="A97" s="79"/>
      <c r="B97" s="80" t="s">
        <v>694</v>
      </c>
      <c r="C97" s="81">
        <v>6000000</v>
      </c>
      <c r="D97" s="81">
        <v>4035600</v>
      </c>
      <c r="E97" s="78">
        <f>D97/C97</f>
        <v>0.6726</v>
      </c>
    </row>
    <row r="98" spans="1:5" ht="15.75" customHeight="1" hidden="1">
      <c r="A98" s="79"/>
      <c r="B98" s="80" t="s">
        <v>701</v>
      </c>
      <c r="C98" s="81"/>
      <c r="D98" s="81"/>
      <c r="E98" s="78"/>
    </row>
    <row r="99" spans="1:5" ht="15.75" customHeight="1" hidden="1">
      <c r="A99" s="329" t="s">
        <v>699</v>
      </c>
      <c r="B99" s="76" t="s">
        <v>705</v>
      </c>
      <c r="C99" s="77">
        <f>SUM(C100:C101)</f>
        <v>3000000</v>
      </c>
      <c r="D99" s="77">
        <f>SUM(D100:D101)</f>
        <v>11647000</v>
      </c>
      <c r="E99" s="78"/>
    </row>
    <row r="100" spans="1:5" ht="15.75" customHeight="1" hidden="1">
      <c r="A100" s="79"/>
      <c r="B100" s="80" t="s">
        <v>694</v>
      </c>
      <c r="C100" s="81">
        <v>3000000</v>
      </c>
      <c r="D100" s="81">
        <v>11647000</v>
      </c>
      <c r="E100" s="78">
        <f>D100/C100</f>
        <v>3.8823333333333334</v>
      </c>
    </row>
    <row r="101" spans="1:5" ht="18.75" customHeight="1" hidden="1">
      <c r="A101" s="79"/>
      <c r="B101" s="80" t="s">
        <v>701</v>
      </c>
      <c r="C101" s="81"/>
      <c r="D101" s="81"/>
      <c r="E101" s="78"/>
    </row>
    <row r="102" spans="1:5" ht="18.75" customHeight="1" hidden="1">
      <c r="A102" s="329" t="s">
        <v>700</v>
      </c>
      <c r="B102" s="76" t="s">
        <v>706</v>
      </c>
      <c r="C102" s="77">
        <f>SUM(C103:C104)</f>
        <v>7000000</v>
      </c>
      <c r="D102" s="77">
        <f>SUM(D103:D104)</f>
        <v>4628400</v>
      </c>
      <c r="E102" s="78"/>
    </row>
    <row r="103" spans="1:5" ht="18.75" customHeight="1" hidden="1">
      <c r="A103" s="79"/>
      <c r="B103" s="80" t="s">
        <v>694</v>
      </c>
      <c r="C103" s="81">
        <v>7000000</v>
      </c>
      <c r="D103" s="83">
        <f>4628400</f>
        <v>4628400</v>
      </c>
      <c r="E103" s="78">
        <f>D103/C103</f>
        <v>0.6612</v>
      </c>
    </row>
    <row r="104" spans="1:5" ht="18.75" customHeight="1" hidden="1">
      <c r="A104" s="79"/>
      <c r="B104" s="80" t="s">
        <v>701</v>
      </c>
      <c r="C104" s="81"/>
      <c r="D104" s="81"/>
      <c r="E104" s="78"/>
    </row>
    <row r="105" spans="1:5" ht="18.75" hidden="1">
      <c r="A105" s="84"/>
      <c r="B105" s="330" t="s">
        <v>707</v>
      </c>
      <c r="C105" s="508"/>
      <c r="D105" s="508"/>
      <c r="E105" s="509"/>
    </row>
    <row r="106" spans="1:5" ht="18.75" hidden="1">
      <c r="A106" s="86">
        <v>1</v>
      </c>
      <c r="B106" s="87" t="s">
        <v>708</v>
      </c>
      <c r="C106" s="88"/>
      <c r="D106" s="88"/>
      <c r="E106" s="89"/>
    </row>
    <row r="107" spans="1:5" ht="18.75" hidden="1">
      <c r="A107" s="84"/>
      <c r="B107" s="85" t="s">
        <v>709</v>
      </c>
      <c r="C107" s="508"/>
      <c r="D107" s="508"/>
      <c r="E107" s="509"/>
    </row>
    <row r="108" spans="1:5" ht="18.75" hidden="1">
      <c r="A108" s="84"/>
      <c r="B108" s="330" t="s">
        <v>710</v>
      </c>
      <c r="C108" s="508"/>
      <c r="D108" s="508"/>
      <c r="E108" s="509"/>
    </row>
    <row r="109" spans="1:5" ht="18.75" hidden="1">
      <c r="A109" s="84"/>
      <c r="B109" s="330" t="s">
        <v>711</v>
      </c>
      <c r="C109" s="508"/>
      <c r="D109" s="508"/>
      <c r="E109" s="509"/>
    </row>
    <row r="110" spans="1:5" ht="18.75" hidden="1">
      <c r="A110" s="84"/>
      <c r="B110" s="330" t="s">
        <v>707</v>
      </c>
      <c r="C110" s="508"/>
      <c r="D110" s="508"/>
      <c r="E110" s="509"/>
    </row>
    <row r="111" spans="1:5" ht="18.75" hidden="1">
      <c r="A111" s="86">
        <v>2</v>
      </c>
      <c r="B111" s="87" t="s">
        <v>712</v>
      </c>
      <c r="C111" s="90"/>
      <c r="D111" s="90"/>
      <c r="E111" s="91"/>
    </row>
    <row r="112" spans="1:5" ht="18.75" hidden="1">
      <c r="A112" s="84"/>
      <c r="B112" s="85" t="s">
        <v>709</v>
      </c>
      <c r="C112" s="90"/>
      <c r="D112" s="90"/>
      <c r="E112" s="91"/>
    </row>
    <row r="113" spans="1:5" ht="18.75" hidden="1">
      <c r="A113" s="84"/>
      <c r="B113" s="330" t="s">
        <v>710</v>
      </c>
      <c r="C113" s="90"/>
      <c r="D113" s="90"/>
      <c r="E113" s="91"/>
    </row>
    <row r="114" spans="1:5" ht="18.75" hidden="1">
      <c r="A114" s="84"/>
      <c r="B114" s="330" t="s">
        <v>711</v>
      </c>
      <c r="C114" s="90"/>
      <c r="D114" s="90"/>
      <c r="E114" s="91"/>
    </row>
    <row r="115" spans="1:5" ht="18.75" hidden="1">
      <c r="A115" s="84"/>
      <c r="B115" s="330" t="s">
        <v>707</v>
      </c>
      <c r="C115" s="508"/>
      <c r="D115" s="508"/>
      <c r="E115" s="509"/>
    </row>
    <row r="116" spans="1:5" ht="18.75" hidden="1">
      <c r="A116" s="86">
        <v>3</v>
      </c>
      <c r="B116" s="87" t="s">
        <v>713</v>
      </c>
      <c r="C116" s="90"/>
      <c r="D116" s="90"/>
      <c r="E116" s="91"/>
    </row>
    <row r="117" spans="1:5" ht="18.75" hidden="1">
      <c r="A117" s="84"/>
      <c r="B117" s="85" t="s">
        <v>709</v>
      </c>
      <c r="C117" s="90"/>
      <c r="D117" s="90"/>
      <c r="E117" s="91"/>
    </row>
    <row r="118" spans="1:5" ht="18.75" hidden="1">
      <c r="A118" s="84"/>
      <c r="B118" s="330" t="s">
        <v>710</v>
      </c>
      <c r="C118" s="90"/>
      <c r="D118" s="90"/>
      <c r="E118" s="91"/>
    </row>
    <row r="119" spans="1:5" ht="18.75" hidden="1">
      <c r="A119" s="84"/>
      <c r="B119" s="330" t="s">
        <v>711</v>
      </c>
      <c r="C119" s="90"/>
      <c r="D119" s="90"/>
      <c r="E119" s="91"/>
    </row>
    <row r="120" spans="1:5" ht="18.75" hidden="1">
      <c r="A120" s="84"/>
      <c r="B120" s="330" t="s">
        <v>707</v>
      </c>
      <c r="C120" s="508"/>
      <c r="D120" s="508"/>
      <c r="E120" s="509"/>
    </row>
    <row r="121" spans="1:5" ht="19.5" hidden="1" thickBot="1">
      <c r="A121" s="92"/>
      <c r="B121" s="93"/>
      <c r="C121" s="94"/>
      <c r="D121" s="94"/>
      <c r="E121" s="95"/>
    </row>
    <row r="122" ht="15.75" hidden="1"/>
    <row r="123" ht="15.75" hidden="1"/>
    <row r="124" ht="15.75" hidden="1"/>
    <row r="125" ht="15.75" hidden="1"/>
    <row r="126" ht="15.75" hidden="1"/>
    <row r="128" spans="2:8" ht="18.75">
      <c r="B128" s="1021" t="s">
        <v>1091</v>
      </c>
      <c r="C128" s="1021"/>
      <c r="D128" s="1021"/>
      <c r="E128" s="1021"/>
      <c r="F128" s="704"/>
      <c r="G128" s="704"/>
      <c r="H128" s="704"/>
    </row>
    <row r="129" spans="2:7" ht="18.75">
      <c r="B129" s="1020" t="s">
        <v>714</v>
      </c>
      <c r="C129" s="1020"/>
      <c r="D129" s="1020"/>
      <c r="E129" s="1020"/>
      <c r="F129" s="705"/>
      <c r="G129" s="705"/>
    </row>
    <row r="130" spans="2:7" ht="18.75">
      <c r="B130" s="1020" t="s">
        <v>715</v>
      </c>
      <c r="C130" s="1020"/>
      <c r="D130" s="1020"/>
      <c r="E130" s="1020"/>
      <c r="F130" s="705"/>
      <c r="G130" s="705"/>
    </row>
  </sheetData>
  <sheetProtection/>
  <mergeCells count="5">
    <mergeCell ref="B130:E130"/>
    <mergeCell ref="D1:E1"/>
    <mergeCell ref="A2:E2"/>
    <mergeCell ref="B129:E129"/>
    <mergeCell ref="B128:E128"/>
  </mergeCells>
  <printOptions/>
  <pageMargins left="0.54" right="0.26"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rgb="FFFF0000"/>
  </sheetPr>
  <dimension ref="A1:K368"/>
  <sheetViews>
    <sheetView zoomScalePageLayoutView="0" workbookViewId="0" topLeftCell="A1">
      <selection activeCell="D60" sqref="D60"/>
    </sheetView>
  </sheetViews>
  <sheetFormatPr defaultColWidth="9.33203125" defaultRowHeight="12.75"/>
  <cols>
    <col min="1" max="1" width="8.16015625" style="444" customWidth="1"/>
    <col min="2" max="2" width="72" style="281" customWidth="1"/>
    <col min="3" max="3" width="10" style="281" customWidth="1"/>
    <col min="4" max="4" width="5.33203125" style="281" bestFit="1" customWidth="1"/>
    <col min="5" max="5" width="7" style="281" bestFit="1" customWidth="1"/>
    <col min="6" max="6" width="10.5" style="281" customWidth="1"/>
    <col min="7" max="7" width="11.16015625" style="281" customWidth="1"/>
    <col min="8" max="8" width="17.16015625" style="210" customWidth="1"/>
    <col min="9" max="9" width="9.33203125" style="281" customWidth="1"/>
    <col min="10" max="10" width="18.33203125" style="281" customWidth="1"/>
    <col min="11" max="11" width="19" style="281" customWidth="1"/>
    <col min="12" max="12" width="20" style="281" customWidth="1"/>
    <col min="13" max="13" width="17.66015625" style="281" bestFit="1" customWidth="1"/>
    <col min="14" max="16384" width="9.33203125" style="281" customWidth="1"/>
  </cols>
  <sheetData>
    <row r="1" ht="12.75">
      <c r="H1" s="339" t="s">
        <v>517</v>
      </c>
    </row>
    <row r="3" spans="1:8" ht="12.75">
      <c r="A3" s="1026" t="s">
        <v>1057</v>
      </c>
      <c r="B3" s="1026"/>
      <c r="C3" s="1026"/>
      <c r="D3" s="1026"/>
      <c r="E3" s="1026"/>
      <c r="F3" s="1026"/>
      <c r="G3" s="1026"/>
      <c r="H3" s="1026"/>
    </row>
    <row r="4" spans="1:8" ht="12.75" hidden="1">
      <c r="A4" s="1027" t="s">
        <v>496</v>
      </c>
      <c r="B4" s="1027"/>
      <c r="C4" s="1027"/>
      <c r="D4" s="1027"/>
      <c r="E4" s="1027"/>
      <c r="F4" s="1027"/>
      <c r="G4" s="1027"/>
      <c r="H4" s="1027"/>
    </row>
    <row r="5" ht="12.75">
      <c r="H5" s="212" t="s">
        <v>247</v>
      </c>
    </row>
    <row r="6" spans="1:8" ht="36" customHeight="1">
      <c r="A6" s="445" t="s">
        <v>518</v>
      </c>
      <c r="B6" s="445" t="s">
        <v>519</v>
      </c>
      <c r="C6" s="445" t="s">
        <v>498</v>
      </c>
      <c r="D6" s="445" t="s">
        <v>514</v>
      </c>
      <c r="E6" s="445" t="s">
        <v>515</v>
      </c>
      <c r="F6" s="445" t="s">
        <v>499</v>
      </c>
      <c r="G6" s="445" t="s">
        <v>500</v>
      </c>
      <c r="H6" s="340" t="s">
        <v>516</v>
      </c>
    </row>
    <row r="7" spans="1:10" s="446" customFormat="1" ht="12.75" customHeight="1">
      <c r="A7" s="1028" t="s">
        <v>520</v>
      </c>
      <c r="B7" s="1029"/>
      <c r="C7" s="341"/>
      <c r="D7" s="341"/>
      <c r="E7" s="341"/>
      <c r="F7" s="341"/>
      <c r="G7" s="341"/>
      <c r="H7" s="342">
        <f>H8+H157+H317</f>
        <v>30727651472</v>
      </c>
      <c r="J7" s="447"/>
    </row>
    <row r="8" spans="1:11" s="446" customFormat="1" ht="12.75">
      <c r="A8" s="343" t="s">
        <v>296</v>
      </c>
      <c r="B8" s="344" t="s">
        <v>521</v>
      </c>
      <c r="C8" s="345"/>
      <c r="D8" s="345"/>
      <c r="E8" s="345"/>
      <c r="F8" s="345"/>
      <c r="G8" s="345"/>
      <c r="H8" s="346">
        <f>H9+H135</f>
        <v>10667887360</v>
      </c>
      <c r="J8" s="447"/>
      <c r="K8" s="447"/>
    </row>
    <row r="9" spans="1:11" s="446" customFormat="1" ht="15.75" customHeight="1">
      <c r="A9" s="343" t="s">
        <v>307</v>
      </c>
      <c r="B9" s="344" t="s">
        <v>522</v>
      </c>
      <c r="C9" s="345"/>
      <c r="D9" s="345"/>
      <c r="E9" s="345"/>
      <c r="F9" s="345"/>
      <c r="G9" s="345"/>
      <c r="H9" s="346">
        <f>H10+H33+H53+H72+H81+H91+H108+H121</f>
        <v>10128660000</v>
      </c>
      <c r="J9" s="447"/>
      <c r="K9" s="448"/>
    </row>
    <row r="10" spans="1:11" s="217" customFormat="1" ht="15.75" customHeight="1">
      <c r="A10" s="347">
        <v>1</v>
      </c>
      <c r="B10" s="348" t="s">
        <v>533</v>
      </c>
      <c r="C10" s="347"/>
      <c r="D10" s="347"/>
      <c r="E10" s="347"/>
      <c r="F10" s="347"/>
      <c r="G10" s="347"/>
      <c r="H10" s="349">
        <f>H11+H13+H15+H17+H19+H21+H25+H27+H29+H31</f>
        <v>878000000</v>
      </c>
      <c r="J10" s="449"/>
      <c r="K10" s="207"/>
    </row>
    <row r="11" spans="1:10" s="217" customFormat="1" ht="26.25" customHeight="1">
      <c r="A11" s="350" t="s">
        <v>366</v>
      </c>
      <c r="B11" s="571" t="s">
        <v>903</v>
      </c>
      <c r="C11" s="350"/>
      <c r="D11" s="356"/>
      <c r="E11" s="356"/>
      <c r="F11" s="350"/>
      <c r="G11" s="350"/>
      <c r="H11" s="354">
        <f>SUM(H12:H12)</f>
        <v>177000000</v>
      </c>
      <c r="J11" s="449"/>
    </row>
    <row r="12" spans="1:10" s="217" customFormat="1" ht="15.75" customHeight="1">
      <c r="A12" s="353" t="s">
        <v>904</v>
      </c>
      <c r="B12" s="355"/>
      <c r="C12" s="351">
        <v>799</v>
      </c>
      <c r="D12" s="353">
        <v>280</v>
      </c>
      <c r="E12" s="353">
        <v>292</v>
      </c>
      <c r="F12" s="351">
        <v>9300</v>
      </c>
      <c r="G12" s="351">
        <v>9301</v>
      </c>
      <c r="H12" s="352">
        <v>177000000</v>
      </c>
      <c r="J12" s="449"/>
    </row>
    <row r="13" spans="1:10" s="217" customFormat="1" ht="26.25" customHeight="1">
      <c r="A13" s="350" t="s">
        <v>368</v>
      </c>
      <c r="B13" s="571" t="s">
        <v>905</v>
      </c>
      <c r="C13" s="350"/>
      <c r="D13" s="356"/>
      <c r="E13" s="356"/>
      <c r="F13" s="350"/>
      <c r="G13" s="350"/>
      <c r="H13" s="354">
        <f>H14</f>
        <v>84000000</v>
      </c>
      <c r="J13" s="572"/>
    </row>
    <row r="14" spans="1:8" s="217" customFormat="1" ht="15.75" customHeight="1">
      <c r="A14" s="353" t="s">
        <v>904</v>
      </c>
      <c r="B14" s="355"/>
      <c r="C14" s="351">
        <v>799</v>
      </c>
      <c r="D14" s="353">
        <v>280</v>
      </c>
      <c r="E14" s="353">
        <v>292</v>
      </c>
      <c r="F14" s="351">
        <v>9300</v>
      </c>
      <c r="G14" s="351">
        <v>9301</v>
      </c>
      <c r="H14" s="352">
        <v>84000000</v>
      </c>
    </row>
    <row r="15" spans="1:8" s="217" customFormat="1" ht="15.75" customHeight="1">
      <c r="A15" s="350" t="s">
        <v>370</v>
      </c>
      <c r="B15" s="571" t="s">
        <v>906</v>
      </c>
      <c r="C15" s="350"/>
      <c r="D15" s="356"/>
      <c r="E15" s="356"/>
      <c r="F15" s="350"/>
      <c r="G15" s="350"/>
      <c r="H15" s="354">
        <f>H16</f>
        <v>50000000</v>
      </c>
    </row>
    <row r="16" spans="1:8" s="217" customFormat="1" ht="15.75" customHeight="1">
      <c r="A16" s="353" t="s">
        <v>904</v>
      </c>
      <c r="B16" s="355"/>
      <c r="C16" s="351">
        <v>799</v>
      </c>
      <c r="D16" s="353">
        <v>280</v>
      </c>
      <c r="E16" s="353">
        <v>292</v>
      </c>
      <c r="F16" s="351">
        <v>9300</v>
      </c>
      <c r="G16" s="351">
        <v>9301</v>
      </c>
      <c r="H16" s="352">
        <v>50000000</v>
      </c>
    </row>
    <row r="17" spans="1:8" s="217" customFormat="1" ht="28.5" customHeight="1">
      <c r="A17" s="350" t="s">
        <v>372</v>
      </c>
      <c r="B17" s="571" t="s">
        <v>907</v>
      </c>
      <c r="C17" s="350"/>
      <c r="D17" s="356"/>
      <c r="E17" s="356"/>
      <c r="F17" s="350"/>
      <c r="G17" s="350"/>
      <c r="H17" s="354">
        <f>H18</f>
        <v>159000000</v>
      </c>
    </row>
    <row r="18" spans="1:8" s="217" customFormat="1" ht="15.75" customHeight="1">
      <c r="A18" s="353" t="s">
        <v>904</v>
      </c>
      <c r="B18" s="355"/>
      <c r="C18" s="351">
        <v>799</v>
      </c>
      <c r="D18" s="353">
        <v>280</v>
      </c>
      <c r="E18" s="353">
        <v>292</v>
      </c>
      <c r="F18" s="351">
        <v>9300</v>
      </c>
      <c r="G18" s="351">
        <v>9301</v>
      </c>
      <c r="H18" s="352">
        <v>159000000</v>
      </c>
    </row>
    <row r="19" spans="1:8" s="217" customFormat="1" ht="26.25" customHeight="1">
      <c r="A19" s="350" t="s">
        <v>374</v>
      </c>
      <c r="B19" s="571" t="s">
        <v>908</v>
      </c>
      <c r="C19" s="350"/>
      <c r="D19" s="356"/>
      <c r="E19" s="356"/>
      <c r="F19" s="350"/>
      <c r="G19" s="350"/>
      <c r="H19" s="354">
        <f>H20</f>
        <v>36000000</v>
      </c>
    </row>
    <row r="20" spans="1:8" s="217" customFormat="1" ht="15.75" customHeight="1">
      <c r="A20" s="353" t="s">
        <v>904</v>
      </c>
      <c r="B20" s="355"/>
      <c r="C20" s="351">
        <v>799</v>
      </c>
      <c r="D20" s="353">
        <v>280</v>
      </c>
      <c r="E20" s="353">
        <v>292</v>
      </c>
      <c r="F20" s="351">
        <v>9300</v>
      </c>
      <c r="G20" s="351">
        <v>9301</v>
      </c>
      <c r="H20" s="352">
        <v>36000000</v>
      </c>
    </row>
    <row r="21" spans="1:8" s="217" customFormat="1" ht="15.75" customHeight="1">
      <c r="A21" s="350" t="s">
        <v>376</v>
      </c>
      <c r="B21" s="571" t="s">
        <v>909</v>
      </c>
      <c r="C21" s="350"/>
      <c r="D21" s="356"/>
      <c r="E21" s="356"/>
      <c r="F21" s="350"/>
      <c r="G21" s="350"/>
      <c r="H21" s="354">
        <f>SUM(H22:H24)</f>
        <v>292000000</v>
      </c>
    </row>
    <row r="22" spans="1:8" s="217" customFormat="1" ht="15.75" customHeight="1">
      <c r="A22" s="353" t="s">
        <v>904</v>
      </c>
      <c r="B22" s="355"/>
      <c r="C22" s="351">
        <v>799</v>
      </c>
      <c r="D22" s="353">
        <v>160</v>
      </c>
      <c r="E22" s="353">
        <v>161</v>
      </c>
      <c r="F22" s="351">
        <v>9300</v>
      </c>
      <c r="G22" s="351">
        <v>9301</v>
      </c>
      <c r="H22" s="352">
        <v>217585000</v>
      </c>
    </row>
    <row r="23" spans="1:8" s="217" customFormat="1" ht="15.75" customHeight="1">
      <c r="A23" s="353" t="s">
        <v>904</v>
      </c>
      <c r="B23" s="355"/>
      <c r="C23" s="351">
        <v>799</v>
      </c>
      <c r="D23" s="353">
        <v>160</v>
      </c>
      <c r="E23" s="353">
        <v>161</v>
      </c>
      <c r="F23" s="351">
        <v>9400</v>
      </c>
      <c r="G23" s="351">
        <v>9401</v>
      </c>
      <c r="H23" s="352">
        <v>18256000</v>
      </c>
    </row>
    <row r="24" spans="1:8" s="217" customFormat="1" ht="15.75" customHeight="1">
      <c r="A24" s="353" t="s">
        <v>904</v>
      </c>
      <c r="B24" s="355"/>
      <c r="C24" s="351">
        <v>799</v>
      </c>
      <c r="D24" s="353">
        <v>160</v>
      </c>
      <c r="E24" s="353">
        <v>161</v>
      </c>
      <c r="F24" s="351">
        <v>9400</v>
      </c>
      <c r="G24" s="351">
        <v>9402</v>
      </c>
      <c r="H24" s="352">
        <v>56159000</v>
      </c>
    </row>
    <row r="25" spans="1:8" s="217" customFormat="1" ht="28.5" customHeight="1">
      <c r="A25" s="350" t="s">
        <v>449</v>
      </c>
      <c r="B25" s="571" t="s">
        <v>910</v>
      </c>
      <c r="C25" s="350"/>
      <c r="D25" s="356"/>
      <c r="E25" s="356"/>
      <c r="F25" s="350"/>
      <c r="G25" s="350"/>
      <c r="H25" s="354">
        <f>H26</f>
        <v>10000000</v>
      </c>
    </row>
    <row r="26" spans="1:8" s="217" customFormat="1" ht="15.75" customHeight="1">
      <c r="A26" s="353" t="s">
        <v>904</v>
      </c>
      <c r="B26" s="355"/>
      <c r="C26" s="351">
        <v>799</v>
      </c>
      <c r="D26" s="353">
        <v>160</v>
      </c>
      <c r="E26" s="353">
        <v>161</v>
      </c>
      <c r="F26" s="351">
        <v>9300</v>
      </c>
      <c r="G26" s="351">
        <v>9301</v>
      </c>
      <c r="H26" s="352">
        <v>10000000</v>
      </c>
    </row>
    <row r="27" spans="1:8" s="217" customFormat="1" ht="25.5" customHeight="1">
      <c r="A27" s="350" t="s">
        <v>451</v>
      </c>
      <c r="B27" s="571" t="s">
        <v>911</v>
      </c>
      <c r="C27" s="350"/>
      <c r="D27" s="356"/>
      <c r="E27" s="356"/>
      <c r="F27" s="350"/>
      <c r="G27" s="350"/>
      <c r="H27" s="354">
        <f>H28</f>
        <v>10000000</v>
      </c>
    </row>
    <row r="28" spans="1:8" s="217" customFormat="1" ht="15.75" customHeight="1">
      <c r="A28" s="353" t="s">
        <v>904</v>
      </c>
      <c r="B28" s="355"/>
      <c r="C28" s="351">
        <v>799</v>
      </c>
      <c r="D28" s="353">
        <v>160</v>
      </c>
      <c r="E28" s="353">
        <v>161</v>
      </c>
      <c r="F28" s="351">
        <v>9300</v>
      </c>
      <c r="G28" s="351">
        <v>9301</v>
      </c>
      <c r="H28" s="352">
        <v>10000000</v>
      </c>
    </row>
    <row r="29" spans="1:8" s="217" customFormat="1" ht="24.75" customHeight="1">
      <c r="A29" s="350" t="s">
        <v>453</v>
      </c>
      <c r="B29" s="571" t="s">
        <v>912</v>
      </c>
      <c r="C29" s="350"/>
      <c r="D29" s="356"/>
      <c r="E29" s="356"/>
      <c r="F29" s="350"/>
      <c r="G29" s="350"/>
      <c r="H29" s="354">
        <f>H30</f>
        <v>10000000</v>
      </c>
    </row>
    <row r="30" spans="1:8" s="217" customFormat="1" ht="15.75" customHeight="1">
      <c r="A30" s="353" t="s">
        <v>904</v>
      </c>
      <c r="B30" s="355"/>
      <c r="C30" s="351">
        <v>799</v>
      </c>
      <c r="D30" s="353">
        <v>160</v>
      </c>
      <c r="E30" s="353">
        <v>161</v>
      </c>
      <c r="F30" s="351">
        <v>9300</v>
      </c>
      <c r="G30" s="351">
        <v>9301</v>
      </c>
      <c r="H30" s="352">
        <v>10000000</v>
      </c>
    </row>
    <row r="31" spans="1:8" s="217" customFormat="1" ht="15.75" customHeight="1">
      <c r="A31" s="350">
        <v>10</v>
      </c>
      <c r="B31" s="571" t="s">
        <v>913</v>
      </c>
      <c r="C31" s="350"/>
      <c r="D31" s="356"/>
      <c r="E31" s="356"/>
      <c r="F31" s="350"/>
      <c r="G31" s="350"/>
      <c r="H31" s="354">
        <f>H32</f>
        <v>50000000</v>
      </c>
    </row>
    <row r="32" spans="1:8" s="217" customFormat="1" ht="15.75" customHeight="1">
      <c r="A32" s="353" t="s">
        <v>904</v>
      </c>
      <c r="B32" s="355"/>
      <c r="C32" s="351">
        <v>799</v>
      </c>
      <c r="D32" s="353">
        <v>160</v>
      </c>
      <c r="E32" s="353">
        <v>161</v>
      </c>
      <c r="F32" s="351">
        <v>9350</v>
      </c>
      <c r="G32" s="351">
        <v>9351</v>
      </c>
      <c r="H32" s="352">
        <v>50000000</v>
      </c>
    </row>
    <row r="33" spans="1:8" s="217" customFormat="1" ht="15.75" customHeight="1">
      <c r="A33" s="347">
        <v>2</v>
      </c>
      <c r="B33" s="348" t="s">
        <v>536</v>
      </c>
      <c r="C33" s="351"/>
      <c r="D33" s="351"/>
      <c r="E33" s="353"/>
      <c r="F33" s="351"/>
      <c r="G33" s="351"/>
      <c r="H33" s="349">
        <f>H34+H37+H41+H43+H45+H47+H49+H51</f>
        <v>1706000000</v>
      </c>
    </row>
    <row r="34" spans="1:8" s="217" customFormat="1" ht="22.5" customHeight="1">
      <c r="A34" s="350" t="s">
        <v>401</v>
      </c>
      <c r="B34" s="571" t="s">
        <v>914</v>
      </c>
      <c r="C34" s="351"/>
      <c r="D34" s="351"/>
      <c r="E34" s="351"/>
      <c r="F34" s="351"/>
      <c r="G34" s="351"/>
      <c r="H34" s="332">
        <f>SUM(H35:H36)</f>
        <v>383200000</v>
      </c>
    </row>
    <row r="35" spans="1:8" s="217" customFormat="1" ht="15.75" customHeight="1">
      <c r="A35" s="353" t="s">
        <v>904</v>
      </c>
      <c r="B35" s="355"/>
      <c r="C35" s="351">
        <v>799</v>
      </c>
      <c r="D35" s="353">
        <v>280</v>
      </c>
      <c r="E35" s="353">
        <v>292</v>
      </c>
      <c r="F35" s="351">
        <v>9300</v>
      </c>
      <c r="G35" s="351">
        <v>9301</v>
      </c>
      <c r="H35" s="352">
        <v>379475000</v>
      </c>
    </row>
    <row r="36" spans="1:8" s="217" customFormat="1" ht="15.75" customHeight="1">
      <c r="A36" s="353" t="s">
        <v>904</v>
      </c>
      <c r="B36" s="355"/>
      <c r="C36" s="351">
        <v>799</v>
      </c>
      <c r="D36" s="353">
        <v>280</v>
      </c>
      <c r="E36" s="353">
        <v>292</v>
      </c>
      <c r="F36" s="351">
        <v>9400</v>
      </c>
      <c r="G36" s="351">
        <v>9401</v>
      </c>
      <c r="H36" s="352">
        <v>3725000</v>
      </c>
    </row>
    <row r="37" spans="1:8" s="217" customFormat="1" ht="15.75" customHeight="1">
      <c r="A37" s="350" t="s">
        <v>403</v>
      </c>
      <c r="B37" s="571" t="s">
        <v>915</v>
      </c>
      <c r="C37" s="351"/>
      <c r="D37" s="351"/>
      <c r="E37" s="353"/>
      <c r="F37" s="351"/>
      <c r="G37" s="351"/>
      <c r="H37" s="332">
        <f>SUM(H38:H40)</f>
        <v>609200000</v>
      </c>
    </row>
    <row r="38" spans="1:8" s="217" customFormat="1" ht="15.75" customHeight="1">
      <c r="A38" s="353" t="s">
        <v>904</v>
      </c>
      <c r="B38" s="355"/>
      <c r="C38" s="351">
        <v>799</v>
      </c>
      <c r="D38" s="353">
        <v>280</v>
      </c>
      <c r="E38" s="353">
        <v>292</v>
      </c>
      <c r="F38" s="351">
        <v>9300</v>
      </c>
      <c r="G38" s="351">
        <v>9301</v>
      </c>
      <c r="H38" s="352">
        <v>598983000</v>
      </c>
    </row>
    <row r="39" spans="1:8" s="217" customFormat="1" ht="15.75" customHeight="1">
      <c r="A39" s="353" t="s">
        <v>904</v>
      </c>
      <c r="B39" s="355"/>
      <c r="C39" s="351">
        <v>799</v>
      </c>
      <c r="D39" s="353">
        <v>280</v>
      </c>
      <c r="E39" s="353">
        <v>292</v>
      </c>
      <c r="F39" s="351">
        <v>9400</v>
      </c>
      <c r="G39" s="351">
        <v>9401</v>
      </c>
      <c r="H39" s="352">
        <v>4500000</v>
      </c>
    </row>
    <row r="40" spans="1:8" s="217" customFormat="1" ht="15.75" customHeight="1">
      <c r="A40" s="353" t="s">
        <v>904</v>
      </c>
      <c r="B40" s="355"/>
      <c r="C40" s="351">
        <v>799</v>
      </c>
      <c r="D40" s="353">
        <v>280</v>
      </c>
      <c r="E40" s="353">
        <v>292</v>
      </c>
      <c r="F40" s="351">
        <v>9400</v>
      </c>
      <c r="G40" s="351">
        <v>9449</v>
      </c>
      <c r="H40" s="352">
        <v>5717000</v>
      </c>
    </row>
    <row r="41" spans="1:8" s="217" customFormat="1" ht="24.75" customHeight="1">
      <c r="A41" s="350" t="s">
        <v>465</v>
      </c>
      <c r="B41" s="571" t="s">
        <v>916</v>
      </c>
      <c r="C41" s="350"/>
      <c r="D41" s="350"/>
      <c r="E41" s="356"/>
      <c r="F41" s="350"/>
      <c r="G41" s="350"/>
      <c r="H41" s="332">
        <f>SUM(H42:H42)</f>
        <v>35000000</v>
      </c>
    </row>
    <row r="42" spans="1:8" s="217" customFormat="1" ht="15.75" customHeight="1">
      <c r="A42" s="353" t="s">
        <v>904</v>
      </c>
      <c r="B42" s="355"/>
      <c r="C42" s="351">
        <v>799</v>
      </c>
      <c r="D42" s="353">
        <v>220</v>
      </c>
      <c r="E42" s="353">
        <v>221</v>
      </c>
      <c r="F42" s="351">
        <v>9300</v>
      </c>
      <c r="G42" s="351">
        <v>9301</v>
      </c>
      <c r="H42" s="352">
        <v>35000000</v>
      </c>
    </row>
    <row r="43" spans="1:8" s="217" customFormat="1" ht="21" customHeight="1">
      <c r="A43" s="350" t="s">
        <v>466</v>
      </c>
      <c r="B43" s="571" t="s">
        <v>917</v>
      </c>
      <c r="C43" s="351"/>
      <c r="D43" s="353"/>
      <c r="E43" s="353"/>
      <c r="F43" s="351"/>
      <c r="G43" s="351"/>
      <c r="H43" s="332">
        <f>SUM(H44:H44)</f>
        <v>100600000</v>
      </c>
    </row>
    <row r="44" spans="1:8" s="217" customFormat="1" ht="15.75" customHeight="1">
      <c r="A44" s="353" t="s">
        <v>904</v>
      </c>
      <c r="B44" s="331"/>
      <c r="C44" s="351">
        <v>799</v>
      </c>
      <c r="D44" s="353" t="s">
        <v>769</v>
      </c>
      <c r="E44" s="353" t="s">
        <v>918</v>
      </c>
      <c r="F44" s="351">
        <v>9300</v>
      </c>
      <c r="G44" s="351">
        <v>9301</v>
      </c>
      <c r="H44" s="333">
        <v>100600000</v>
      </c>
    </row>
    <row r="45" spans="1:8" s="217" customFormat="1" ht="27" customHeight="1">
      <c r="A45" s="350" t="s">
        <v>467</v>
      </c>
      <c r="B45" s="571" t="s">
        <v>919</v>
      </c>
      <c r="C45" s="350"/>
      <c r="D45" s="356"/>
      <c r="E45" s="356"/>
      <c r="F45" s="350"/>
      <c r="G45" s="350"/>
      <c r="H45" s="332">
        <f>SUM(H46:H46)</f>
        <v>171000000</v>
      </c>
    </row>
    <row r="46" spans="1:8" s="217" customFormat="1" ht="15.75" customHeight="1">
      <c r="A46" s="353" t="s">
        <v>904</v>
      </c>
      <c r="B46" s="331"/>
      <c r="C46" s="351">
        <v>799</v>
      </c>
      <c r="D46" s="353" t="s">
        <v>769</v>
      </c>
      <c r="E46" s="353" t="s">
        <v>920</v>
      </c>
      <c r="F46" s="351">
        <v>9300</v>
      </c>
      <c r="G46" s="351">
        <v>9301</v>
      </c>
      <c r="H46" s="333">
        <v>171000000</v>
      </c>
    </row>
    <row r="47" spans="1:8" s="217" customFormat="1" ht="15.75" customHeight="1">
      <c r="A47" s="350" t="s">
        <v>468</v>
      </c>
      <c r="B47" s="571" t="s">
        <v>921</v>
      </c>
      <c r="C47" s="350"/>
      <c r="D47" s="350"/>
      <c r="E47" s="356"/>
      <c r="F47" s="350"/>
      <c r="G47" s="350"/>
      <c r="H47" s="332">
        <f>H48</f>
        <v>102200000</v>
      </c>
    </row>
    <row r="48" spans="1:8" s="217" customFormat="1" ht="15.75" customHeight="1">
      <c r="A48" s="353" t="s">
        <v>904</v>
      </c>
      <c r="B48" s="331"/>
      <c r="C48" s="351">
        <v>799</v>
      </c>
      <c r="D48" s="353" t="s">
        <v>769</v>
      </c>
      <c r="E48" s="353" t="s">
        <v>920</v>
      </c>
      <c r="F48" s="351">
        <v>9300</v>
      </c>
      <c r="G48" s="351">
        <v>9301</v>
      </c>
      <c r="H48" s="333">
        <v>102200000</v>
      </c>
    </row>
    <row r="49" spans="1:8" s="217" customFormat="1" ht="15.75" customHeight="1">
      <c r="A49" s="350" t="s">
        <v>469</v>
      </c>
      <c r="B49" s="571" t="s">
        <v>922</v>
      </c>
      <c r="C49" s="350"/>
      <c r="D49" s="350"/>
      <c r="E49" s="356"/>
      <c r="F49" s="350"/>
      <c r="G49" s="350"/>
      <c r="H49" s="332">
        <f>H50</f>
        <v>152400000</v>
      </c>
    </row>
    <row r="50" spans="1:8" s="217" customFormat="1" ht="15.75" customHeight="1">
      <c r="A50" s="353" t="s">
        <v>904</v>
      </c>
      <c r="B50" s="331"/>
      <c r="C50" s="351">
        <v>799</v>
      </c>
      <c r="D50" s="353" t="s">
        <v>769</v>
      </c>
      <c r="E50" s="353" t="s">
        <v>920</v>
      </c>
      <c r="F50" s="351">
        <v>9300</v>
      </c>
      <c r="G50" s="351">
        <v>9301</v>
      </c>
      <c r="H50" s="333">
        <v>152400000</v>
      </c>
    </row>
    <row r="51" spans="1:8" s="217" customFormat="1" ht="15.75" customHeight="1">
      <c r="A51" s="350" t="s">
        <v>470</v>
      </c>
      <c r="B51" s="571" t="s">
        <v>923</v>
      </c>
      <c r="C51" s="350"/>
      <c r="D51" s="350"/>
      <c r="E51" s="356"/>
      <c r="F51" s="350"/>
      <c r="G51" s="350"/>
      <c r="H51" s="332">
        <f>H52</f>
        <v>152400000</v>
      </c>
    </row>
    <row r="52" spans="1:8" s="217" customFormat="1" ht="15.75" customHeight="1">
      <c r="A52" s="353" t="s">
        <v>904</v>
      </c>
      <c r="B52" s="331"/>
      <c r="C52" s="351">
        <v>799</v>
      </c>
      <c r="D52" s="353" t="s">
        <v>769</v>
      </c>
      <c r="E52" s="353" t="s">
        <v>920</v>
      </c>
      <c r="F52" s="351">
        <v>9300</v>
      </c>
      <c r="G52" s="351">
        <v>9301</v>
      </c>
      <c r="H52" s="333">
        <v>152400000</v>
      </c>
    </row>
    <row r="53" spans="1:8" s="217" customFormat="1" ht="15.75" customHeight="1">
      <c r="A53" s="347">
        <v>3</v>
      </c>
      <c r="B53" s="348" t="s">
        <v>534</v>
      </c>
      <c r="C53" s="347"/>
      <c r="D53" s="347"/>
      <c r="E53" s="347"/>
      <c r="F53" s="347"/>
      <c r="G53" s="347"/>
      <c r="H53" s="349">
        <f>H54+H56+H60+H64+H68</f>
        <v>879000000</v>
      </c>
    </row>
    <row r="54" spans="1:8" s="217" customFormat="1" ht="27.75" customHeight="1">
      <c r="A54" s="350" t="s">
        <v>523</v>
      </c>
      <c r="B54" s="571" t="s">
        <v>924</v>
      </c>
      <c r="C54" s="351"/>
      <c r="D54" s="351"/>
      <c r="E54" s="351"/>
      <c r="F54" s="351"/>
      <c r="G54" s="351"/>
      <c r="H54" s="332">
        <f>SUM(H55:H55)</f>
        <v>102300000</v>
      </c>
    </row>
    <row r="55" spans="1:8" s="217" customFormat="1" ht="15.75" customHeight="1">
      <c r="A55" s="353" t="s">
        <v>904</v>
      </c>
      <c r="B55" s="355"/>
      <c r="C55" s="351">
        <v>799</v>
      </c>
      <c r="D55" s="353">
        <v>280</v>
      </c>
      <c r="E55" s="353">
        <v>292</v>
      </c>
      <c r="F55" s="351">
        <v>9300</v>
      </c>
      <c r="G55" s="351">
        <v>9301</v>
      </c>
      <c r="H55" s="352">
        <v>102300000</v>
      </c>
    </row>
    <row r="56" spans="1:8" s="217" customFormat="1" ht="15.75" customHeight="1">
      <c r="A56" s="350" t="s">
        <v>524</v>
      </c>
      <c r="B56" s="571" t="s">
        <v>925</v>
      </c>
      <c r="C56" s="351"/>
      <c r="D56" s="351"/>
      <c r="E56" s="351"/>
      <c r="F56" s="351"/>
      <c r="G56" s="351"/>
      <c r="H56" s="332">
        <f>SUM(H57:H59)</f>
        <v>240100000</v>
      </c>
    </row>
    <row r="57" spans="1:8" s="217" customFormat="1" ht="15.75" customHeight="1">
      <c r="A57" s="353" t="s">
        <v>904</v>
      </c>
      <c r="B57" s="355"/>
      <c r="C57" s="351">
        <v>799</v>
      </c>
      <c r="D57" s="353">
        <v>280</v>
      </c>
      <c r="E57" s="353">
        <v>292</v>
      </c>
      <c r="F57" s="351">
        <v>9300</v>
      </c>
      <c r="G57" s="351">
        <v>9301</v>
      </c>
      <c r="H57" s="352">
        <v>176134000</v>
      </c>
    </row>
    <row r="58" spans="1:8" s="217" customFormat="1" ht="15.75" customHeight="1">
      <c r="A58" s="353" t="s">
        <v>904</v>
      </c>
      <c r="B58" s="355"/>
      <c r="C58" s="351">
        <v>799</v>
      </c>
      <c r="D58" s="353">
        <v>280</v>
      </c>
      <c r="E58" s="353">
        <v>292</v>
      </c>
      <c r="F58" s="351">
        <v>9400</v>
      </c>
      <c r="G58" s="351">
        <v>9401</v>
      </c>
      <c r="H58" s="352">
        <v>12505000</v>
      </c>
    </row>
    <row r="59" spans="1:8" s="217" customFormat="1" ht="15.75" customHeight="1">
      <c r="A59" s="353" t="s">
        <v>904</v>
      </c>
      <c r="B59" s="355"/>
      <c r="C59" s="351">
        <v>799</v>
      </c>
      <c r="D59" s="353">
        <v>280</v>
      </c>
      <c r="E59" s="353">
        <v>292</v>
      </c>
      <c r="F59" s="351">
        <v>9400</v>
      </c>
      <c r="G59" s="351">
        <v>9402</v>
      </c>
      <c r="H59" s="352">
        <v>51461000</v>
      </c>
    </row>
    <row r="60" spans="1:8" s="217" customFormat="1" ht="15.75" customHeight="1">
      <c r="A60" s="350" t="s">
        <v>537</v>
      </c>
      <c r="B60" s="571" t="s">
        <v>926</v>
      </c>
      <c r="C60" s="350"/>
      <c r="D60" s="356"/>
      <c r="E60" s="356"/>
      <c r="F60" s="350"/>
      <c r="G60" s="350"/>
      <c r="H60" s="332">
        <f>SUM(H61:H63)</f>
        <v>184800000</v>
      </c>
    </row>
    <row r="61" spans="1:8" s="217" customFormat="1" ht="15.75" customHeight="1">
      <c r="A61" s="353" t="s">
        <v>904</v>
      </c>
      <c r="B61" s="355"/>
      <c r="C61" s="351">
        <v>799</v>
      </c>
      <c r="D61" s="353">
        <v>280</v>
      </c>
      <c r="E61" s="353">
        <v>292</v>
      </c>
      <c r="F61" s="351">
        <v>9300</v>
      </c>
      <c r="G61" s="351">
        <v>9301</v>
      </c>
      <c r="H61" s="352">
        <v>130500000</v>
      </c>
    </row>
    <row r="62" spans="1:8" s="217" customFormat="1" ht="15.75" customHeight="1">
      <c r="A62" s="353" t="s">
        <v>904</v>
      </c>
      <c r="B62" s="355"/>
      <c r="C62" s="351">
        <v>799</v>
      </c>
      <c r="D62" s="353">
        <v>280</v>
      </c>
      <c r="E62" s="353">
        <v>292</v>
      </c>
      <c r="F62" s="351">
        <v>9400</v>
      </c>
      <c r="G62" s="351">
        <v>9401</v>
      </c>
      <c r="H62" s="352">
        <v>9469000</v>
      </c>
    </row>
    <row r="63" spans="1:8" s="217" customFormat="1" ht="15.75" customHeight="1">
      <c r="A63" s="353" t="s">
        <v>904</v>
      </c>
      <c r="B63" s="355"/>
      <c r="C63" s="351">
        <v>799</v>
      </c>
      <c r="D63" s="353">
        <v>280</v>
      </c>
      <c r="E63" s="353">
        <v>292</v>
      </c>
      <c r="F63" s="351">
        <v>9400</v>
      </c>
      <c r="G63" s="351">
        <v>9402</v>
      </c>
      <c r="H63" s="352">
        <v>44831000</v>
      </c>
    </row>
    <row r="64" spans="1:8" s="217" customFormat="1" ht="15.75" customHeight="1">
      <c r="A64" s="350" t="s">
        <v>927</v>
      </c>
      <c r="B64" s="571" t="s">
        <v>928</v>
      </c>
      <c r="C64" s="350"/>
      <c r="D64" s="356"/>
      <c r="E64" s="356"/>
      <c r="F64" s="350"/>
      <c r="G64" s="350"/>
      <c r="H64" s="332">
        <f>SUM(H65:H67)</f>
        <v>198800000</v>
      </c>
    </row>
    <row r="65" spans="1:8" s="217" customFormat="1" ht="15.75" customHeight="1">
      <c r="A65" s="353" t="s">
        <v>904</v>
      </c>
      <c r="B65" s="355"/>
      <c r="C65" s="351">
        <v>799</v>
      </c>
      <c r="D65" s="353">
        <v>160</v>
      </c>
      <c r="E65" s="353">
        <v>161</v>
      </c>
      <c r="F65" s="351">
        <v>9300</v>
      </c>
      <c r="G65" s="351">
        <v>9301</v>
      </c>
      <c r="H65" s="352">
        <v>152634000</v>
      </c>
    </row>
    <row r="66" spans="1:8" s="217" customFormat="1" ht="15.75" customHeight="1">
      <c r="A66" s="353" t="s">
        <v>904</v>
      </c>
      <c r="B66" s="355"/>
      <c r="C66" s="351">
        <v>799</v>
      </c>
      <c r="D66" s="353">
        <v>160</v>
      </c>
      <c r="E66" s="353">
        <v>161</v>
      </c>
      <c r="F66" s="351">
        <v>9400</v>
      </c>
      <c r="G66" s="351">
        <v>9401</v>
      </c>
      <c r="H66" s="352">
        <v>12024000</v>
      </c>
    </row>
    <row r="67" spans="1:8" s="217" customFormat="1" ht="15.75" customHeight="1">
      <c r="A67" s="353" t="s">
        <v>904</v>
      </c>
      <c r="B67" s="355"/>
      <c r="C67" s="351">
        <v>799</v>
      </c>
      <c r="D67" s="353">
        <v>160</v>
      </c>
      <c r="E67" s="353">
        <v>161</v>
      </c>
      <c r="F67" s="351">
        <v>9400</v>
      </c>
      <c r="G67" s="351">
        <v>9402</v>
      </c>
      <c r="H67" s="352">
        <v>34142000</v>
      </c>
    </row>
    <row r="68" spans="1:8" s="217" customFormat="1" ht="15.75" customHeight="1">
      <c r="A68" s="350" t="s">
        <v>929</v>
      </c>
      <c r="B68" s="571" t="s">
        <v>930</v>
      </c>
      <c r="C68" s="350"/>
      <c r="D68" s="356"/>
      <c r="E68" s="356"/>
      <c r="F68" s="350"/>
      <c r="G68" s="350"/>
      <c r="H68" s="332">
        <f>SUM(H69:H71)</f>
        <v>153000000</v>
      </c>
    </row>
    <row r="69" spans="1:8" s="217" customFormat="1" ht="15.75" customHeight="1">
      <c r="A69" s="353" t="s">
        <v>904</v>
      </c>
      <c r="B69" s="355"/>
      <c r="C69" s="351">
        <v>799</v>
      </c>
      <c r="D69" s="353">
        <v>160</v>
      </c>
      <c r="E69" s="353">
        <v>161</v>
      </c>
      <c r="F69" s="351">
        <v>9300</v>
      </c>
      <c r="G69" s="351">
        <v>9301</v>
      </c>
      <c r="H69" s="352">
        <v>117467000</v>
      </c>
    </row>
    <row r="70" spans="1:8" s="217" customFormat="1" ht="15.75" customHeight="1">
      <c r="A70" s="353" t="s">
        <v>904</v>
      </c>
      <c r="B70" s="355"/>
      <c r="C70" s="351">
        <v>799</v>
      </c>
      <c r="D70" s="353">
        <v>160</v>
      </c>
      <c r="E70" s="353">
        <v>161</v>
      </c>
      <c r="F70" s="351">
        <v>9400</v>
      </c>
      <c r="G70" s="351">
        <v>9401</v>
      </c>
      <c r="H70" s="352">
        <v>9255000</v>
      </c>
    </row>
    <row r="71" spans="1:8" s="217" customFormat="1" ht="15.75" customHeight="1">
      <c r="A71" s="353" t="s">
        <v>904</v>
      </c>
      <c r="B71" s="355"/>
      <c r="C71" s="351">
        <v>799</v>
      </c>
      <c r="D71" s="353">
        <v>160</v>
      </c>
      <c r="E71" s="353">
        <v>161</v>
      </c>
      <c r="F71" s="351">
        <v>9400</v>
      </c>
      <c r="G71" s="351">
        <v>9402</v>
      </c>
      <c r="H71" s="352">
        <v>26278000</v>
      </c>
    </row>
    <row r="72" spans="1:8" s="217" customFormat="1" ht="15.75" customHeight="1">
      <c r="A72" s="347">
        <v>4</v>
      </c>
      <c r="B72" s="348" t="s">
        <v>535</v>
      </c>
      <c r="C72" s="347"/>
      <c r="D72" s="347"/>
      <c r="E72" s="347"/>
      <c r="F72" s="347"/>
      <c r="G72" s="347"/>
      <c r="H72" s="349">
        <f>H73+H77+H79</f>
        <v>878000000</v>
      </c>
    </row>
    <row r="73" spans="1:8" s="217" customFormat="1" ht="26.25" customHeight="1">
      <c r="A73" s="350" t="s">
        <v>525</v>
      </c>
      <c r="B73" s="571" t="s">
        <v>931</v>
      </c>
      <c r="C73" s="351"/>
      <c r="D73" s="351"/>
      <c r="E73" s="351"/>
      <c r="F73" s="351"/>
      <c r="G73" s="351"/>
      <c r="H73" s="354">
        <f>SUM(H74:H76)</f>
        <v>425000000</v>
      </c>
    </row>
    <row r="74" spans="1:8" s="217" customFormat="1" ht="15.75" customHeight="1">
      <c r="A74" s="353" t="s">
        <v>904</v>
      </c>
      <c r="B74" s="355"/>
      <c r="C74" s="351">
        <v>799</v>
      </c>
      <c r="D74" s="353">
        <v>280</v>
      </c>
      <c r="E74" s="353">
        <v>292</v>
      </c>
      <c r="F74" s="351">
        <v>9300</v>
      </c>
      <c r="G74" s="351">
        <v>9301</v>
      </c>
      <c r="H74" s="352">
        <v>315457000</v>
      </c>
    </row>
    <row r="75" spans="1:8" s="217" customFormat="1" ht="15.75" customHeight="1">
      <c r="A75" s="353" t="s">
        <v>904</v>
      </c>
      <c r="B75" s="355"/>
      <c r="C75" s="351">
        <v>799</v>
      </c>
      <c r="D75" s="353">
        <v>280</v>
      </c>
      <c r="E75" s="353">
        <v>292</v>
      </c>
      <c r="F75" s="351">
        <v>9400</v>
      </c>
      <c r="G75" s="351">
        <v>9401</v>
      </c>
      <c r="H75" s="352">
        <v>22252000</v>
      </c>
    </row>
    <row r="76" spans="1:8" s="217" customFormat="1" ht="15.75" customHeight="1">
      <c r="A76" s="353" t="s">
        <v>904</v>
      </c>
      <c r="B76" s="355"/>
      <c r="C76" s="351">
        <v>799</v>
      </c>
      <c r="D76" s="353">
        <v>280</v>
      </c>
      <c r="E76" s="353">
        <v>292</v>
      </c>
      <c r="F76" s="351">
        <v>9400</v>
      </c>
      <c r="G76" s="351">
        <v>9402</v>
      </c>
      <c r="H76" s="352">
        <v>87291000</v>
      </c>
    </row>
    <row r="77" spans="1:8" s="217" customFormat="1" ht="26.25" customHeight="1">
      <c r="A77" s="350" t="s">
        <v>526</v>
      </c>
      <c r="B77" s="571" t="s">
        <v>932</v>
      </c>
      <c r="C77" s="350"/>
      <c r="D77" s="350"/>
      <c r="E77" s="356"/>
      <c r="F77" s="350"/>
      <c r="G77" s="350"/>
      <c r="H77" s="354">
        <f>SUM(H78:H78)</f>
        <v>139000000</v>
      </c>
    </row>
    <row r="78" spans="1:8" s="217" customFormat="1" ht="15.75" customHeight="1">
      <c r="A78" s="353" t="s">
        <v>904</v>
      </c>
      <c r="B78" s="355"/>
      <c r="C78" s="351">
        <v>799</v>
      </c>
      <c r="D78" s="353">
        <v>280</v>
      </c>
      <c r="E78" s="353">
        <v>292</v>
      </c>
      <c r="F78" s="351">
        <v>9300</v>
      </c>
      <c r="G78" s="351">
        <v>9301</v>
      </c>
      <c r="H78" s="352">
        <v>139000000</v>
      </c>
    </row>
    <row r="79" spans="1:8" s="217" customFormat="1" ht="15.75" customHeight="1">
      <c r="A79" s="350" t="s">
        <v>933</v>
      </c>
      <c r="B79" s="571" t="s">
        <v>934</v>
      </c>
      <c r="C79" s="350"/>
      <c r="D79" s="350"/>
      <c r="E79" s="356"/>
      <c r="F79" s="350"/>
      <c r="G79" s="350"/>
      <c r="H79" s="354">
        <f>H80</f>
        <v>314000000</v>
      </c>
    </row>
    <row r="80" spans="1:8" s="217" customFormat="1" ht="15.75" customHeight="1">
      <c r="A80" s="353" t="s">
        <v>904</v>
      </c>
      <c r="B80" s="355"/>
      <c r="C80" s="351">
        <v>799</v>
      </c>
      <c r="D80" s="353">
        <v>280</v>
      </c>
      <c r="E80" s="353">
        <v>292</v>
      </c>
      <c r="F80" s="351">
        <v>9300</v>
      </c>
      <c r="G80" s="351">
        <v>9301</v>
      </c>
      <c r="H80" s="352">
        <v>314000000</v>
      </c>
    </row>
    <row r="81" spans="1:8" s="217" customFormat="1" ht="15.75" customHeight="1">
      <c r="A81" s="347">
        <v>5</v>
      </c>
      <c r="B81" s="573" t="s">
        <v>529</v>
      </c>
      <c r="C81" s="347"/>
      <c r="D81" s="347"/>
      <c r="E81" s="574"/>
      <c r="F81" s="347"/>
      <c r="G81" s="347"/>
      <c r="H81" s="349">
        <f>H82+H84+H86+H88</f>
        <v>1706000000</v>
      </c>
    </row>
    <row r="82" spans="1:8" s="217" customFormat="1" ht="24.75" customHeight="1">
      <c r="A82" s="356" t="s">
        <v>527</v>
      </c>
      <c r="B82" s="571" t="s">
        <v>935</v>
      </c>
      <c r="C82" s="350"/>
      <c r="D82" s="350"/>
      <c r="E82" s="356"/>
      <c r="F82" s="350"/>
      <c r="G82" s="350"/>
      <c r="H82" s="354">
        <f>H83</f>
        <v>379100000</v>
      </c>
    </row>
    <row r="83" spans="1:8" s="217" customFormat="1" ht="15.75" customHeight="1">
      <c r="A83" s="353" t="s">
        <v>904</v>
      </c>
      <c r="B83" s="355"/>
      <c r="C83" s="351">
        <v>799</v>
      </c>
      <c r="D83" s="353">
        <v>280</v>
      </c>
      <c r="E83" s="353">
        <v>292</v>
      </c>
      <c r="F83" s="351">
        <v>9300</v>
      </c>
      <c r="G83" s="351">
        <v>9301</v>
      </c>
      <c r="H83" s="352">
        <v>379100000</v>
      </c>
    </row>
    <row r="84" spans="1:8" s="217" customFormat="1" ht="31.5" customHeight="1">
      <c r="A84" s="350" t="s">
        <v>936</v>
      </c>
      <c r="B84" s="571" t="s">
        <v>937</v>
      </c>
      <c r="C84" s="350"/>
      <c r="D84" s="350"/>
      <c r="E84" s="356"/>
      <c r="F84" s="350"/>
      <c r="G84" s="350"/>
      <c r="H84" s="354">
        <f>H85</f>
        <v>305100000</v>
      </c>
    </row>
    <row r="85" spans="1:8" s="217" customFormat="1" ht="15.75" customHeight="1">
      <c r="A85" s="353" t="s">
        <v>904</v>
      </c>
      <c r="B85" s="355"/>
      <c r="C85" s="351">
        <v>799</v>
      </c>
      <c r="D85" s="353">
        <v>280</v>
      </c>
      <c r="E85" s="353">
        <v>292</v>
      </c>
      <c r="F85" s="351">
        <v>9300</v>
      </c>
      <c r="G85" s="351">
        <v>9301</v>
      </c>
      <c r="H85" s="352">
        <v>305100000</v>
      </c>
    </row>
    <row r="86" spans="1:8" s="217" customFormat="1" ht="25.5" customHeight="1">
      <c r="A86" s="350" t="s">
        <v>938</v>
      </c>
      <c r="B86" s="571" t="s">
        <v>939</v>
      </c>
      <c r="C86" s="350"/>
      <c r="D86" s="350"/>
      <c r="E86" s="356"/>
      <c r="F86" s="350"/>
      <c r="G86" s="350"/>
      <c r="H86" s="354">
        <f>H87</f>
        <v>512000000</v>
      </c>
    </row>
    <row r="87" spans="1:8" s="217" customFormat="1" ht="15.75" customHeight="1">
      <c r="A87" s="353" t="s">
        <v>904</v>
      </c>
      <c r="B87" s="355"/>
      <c r="C87" s="351">
        <v>799</v>
      </c>
      <c r="D87" s="353">
        <v>280</v>
      </c>
      <c r="E87" s="353">
        <v>292</v>
      </c>
      <c r="F87" s="351">
        <v>9300</v>
      </c>
      <c r="G87" s="351">
        <v>9301</v>
      </c>
      <c r="H87" s="352">
        <v>512000000</v>
      </c>
    </row>
    <row r="88" spans="1:8" s="217" customFormat="1" ht="15.75" customHeight="1">
      <c r="A88" s="350" t="s">
        <v>940</v>
      </c>
      <c r="B88" s="571" t="s">
        <v>941</v>
      </c>
      <c r="C88" s="350"/>
      <c r="D88" s="350"/>
      <c r="E88" s="356"/>
      <c r="F88" s="350"/>
      <c r="G88" s="350"/>
      <c r="H88" s="354">
        <f>SUM(H89:H90)</f>
        <v>509800000</v>
      </c>
    </row>
    <row r="89" spans="1:8" s="217" customFormat="1" ht="15.75" customHeight="1">
      <c r="A89" s="353" t="s">
        <v>904</v>
      </c>
      <c r="B89" s="355"/>
      <c r="C89" s="351">
        <v>799</v>
      </c>
      <c r="D89" s="353" t="s">
        <v>769</v>
      </c>
      <c r="E89" s="353" t="s">
        <v>770</v>
      </c>
      <c r="F89" s="351">
        <v>9300</v>
      </c>
      <c r="G89" s="351">
        <v>9301</v>
      </c>
      <c r="H89" s="352">
        <v>451114000</v>
      </c>
    </row>
    <row r="90" spans="1:8" s="217" customFormat="1" ht="15.75" customHeight="1">
      <c r="A90" s="353" t="s">
        <v>904</v>
      </c>
      <c r="B90" s="355"/>
      <c r="C90" s="351">
        <v>799</v>
      </c>
      <c r="D90" s="353" t="s">
        <v>769</v>
      </c>
      <c r="E90" s="353" t="s">
        <v>770</v>
      </c>
      <c r="F90" s="351">
        <v>9400</v>
      </c>
      <c r="G90" s="351">
        <v>9402</v>
      </c>
      <c r="H90" s="352">
        <v>58686000</v>
      </c>
    </row>
    <row r="91" spans="1:8" s="217" customFormat="1" ht="15.75" customHeight="1">
      <c r="A91" s="347">
        <v>6</v>
      </c>
      <c r="B91" s="348" t="s">
        <v>530</v>
      </c>
      <c r="C91" s="347"/>
      <c r="D91" s="347"/>
      <c r="E91" s="347"/>
      <c r="F91" s="347"/>
      <c r="G91" s="347"/>
      <c r="H91" s="349">
        <f>H92+H94+H96+H98+H100+H102+H104+H106</f>
        <v>1443393000</v>
      </c>
    </row>
    <row r="92" spans="1:8" s="217" customFormat="1" ht="24.75" customHeight="1">
      <c r="A92" s="350" t="s">
        <v>942</v>
      </c>
      <c r="B92" s="571" t="s">
        <v>943</v>
      </c>
      <c r="C92" s="351"/>
      <c r="D92" s="351"/>
      <c r="E92" s="351"/>
      <c r="F92" s="351"/>
      <c r="G92" s="351"/>
      <c r="H92" s="332">
        <f>SUM(H93:H93)</f>
        <v>390500000</v>
      </c>
    </row>
    <row r="93" spans="1:8" s="217" customFormat="1" ht="15.75" customHeight="1">
      <c r="A93" s="353" t="s">
        <v>904</v>
      </c>
      <c r="B93" s="355"/>
      <c r="C93" s="351">
        <v>799</v>
      </c>
      <c r="D93" s="353">
        <v>280</v>
      </c>
      <c r="E93" s="353">
        <v>292</v>
      </c>
      <c r="F93" s="351">
        <v>9300</v>
      </c>
      <c r="G93" s="351">
        <v>9301</v>
      </c>
      <c r="H93" s="352">
        <v>390500000</v>
      </c>
    </row>
    <row r="94" spans="1:8" s="217" customFormat="1" ht="27" customHeight="1">
      <c r="A94" s="350" t="s">
        <v>944</v>
      </c>
      <c r="B94" s="571" t="s">
        <v>945</v>
      </c>
      <c r="C94" s="350"/>
      <c r="D94" s="350"/>
      <c r="E94" s="350"/>
      <c r="F94" s="350"/>
      <c r="G94" s="350"/>
      <c r="H94" s="332">
        <f>H95</f>
        <v>482675000</v>
      </c>
    </row>
    <row r="95" spans="1:8" s="217" customFormat="1" ht="15.75" customHeight="1">
      <c r="A95" s="353" t="s">
        <v>904</v>
      </c>
      <c r="B95" s="355"/>
      <c r="C95" s="351">
        <v>799</v>
      </c>
      <c r="D95" s="353">
        <v>280</v>
      </c>
      <c r="E95" s="353">
        <v>292</v>
      </c>
      <c r="F95" s="351">
        <v>9300</v>
      </c>
      <c r="G95" s="351">
        <v>9301</v>
      </c>
      <c r="H95" s="352">
        <v>482675000</v>
      </c>
    </row>
    <row r="96" spans="1:8" s="217" customFormat="1" ht="15.75" customHeight="1">
      <c r="A96" s="350" t="s">
        <v>946</v>
      </c>
      <c r="B96" s="571" t="s">
        <v>947</v>
      </c>
      <c r="C96" s="350"/>
      <c r="D96" s="350"/>
      <c r="E96" s="350"/>
      <c r="F96" s="350"/>
      <c r="G96" s="350"/>
      <c r="H96" s="332">
        <f>H97</f>
        <v>512500000</v>
      </c>
    </row>
    <row r="97" spans="1:8" s="217" customFormat="1" ht="15.75" customHeight="1">
      <c r="A97" s="353" t="s">
        <v>904</v>
      </c>
      <c r="B97" s="355"/>
      <c r="C97" s="351">
        <v>799</v>
      </c>
      <c r="D97" s="353">
        <v>280</v>
      </c>
      <c r="E97" s="353">
        <v>292</v>
      </c>
      <c r="F97" s="351">
        <v>9300</v>
      </c>
      <c r="G97" s="351">
        <v>9301</v>
      </c>
      <c r="H97" s="352">
        <v>512500000</v>
      </c>
    </row>
    <row r="98" spans="1:8" s="217" customFormat="1" ht="15.75" customHeight="1">
      <c r="A98" s="350" t="s">
        <v>948</v>
      </c>
      <c r="B98" s="571" t="s">
        <v>949</v>
      </c>
      <c r="C98" s="350"/>
      <c r="D98" s="350"/>
      <c r="E98" s="350"/>
      <c r="F98" s="350"/>
      <c r="G98" s="350"/>
      <c r="H98" s="332">
        <f>H99</f>
        <v>10000000</v>
      </c>
    </row>
    <row r="99" spans="1:8" s="217" customFormat="1" ht="15.75" customHeight="1">
      <c r="A99" s="353" t="s">
        <v>904</v>
      </c>
      <c r="B99" s="355"/>
      <c r="C99" s="351">
        <v>799</v>
      </c>
      <c r="D99" s="353">
        <v>160</v>
      </c>
      <c r="E99" s="353">
        <v>161</v>
      </c>
      <c r="F99" s="351">
        <v>9300</v>
      </c>
      <c r="G99" s="351">
        <v>9301</v>
      </c>
      <c r="H99" s="352">
        <v>10000000</v>
      </c>
    </row>
    <row r="100" spans="1:8" s="217" customFormat="1" ht="15.75" customHeight="1">
      <c r="A100" s="350" t="s">
        <v>950</v>
      </c>
      <c r="B100" s="571" t="s">
        <v>951</v>
      </c>
      <c r="C100" s="350"/>
      <c r="D100" s="350"/>
      <c r="E100" s="350"/>
      <c r="F100" s="350"/>
      <c r="G100" s="350"/>
      <c r="H100" s="332">
        <f>H101</f>
        <v>10000000</v>
      </c>
    </row>
    <row r="101" spans="1:8" s="217" customFormat="1" ht="15.75" customHeight="1">
      <c r="A101" s="353" t="s">
        <v>904</v>
      </c>
      <c r="B101" s="355"/>
      <c r="C101" s="351">
        <v>799</v>
      </c>
      <c r="D101" s="353">
        <v>160</v>
      </c>
      <c r="E101" s="353">
        <v>161</v>
      </c>
      <c r="F101" s="351">
        <v>9300</v>
      </c>
      <c r="G101" s="351">
        <v>9301</v>
      </c>
      <c r="H101" s="333">
        <v>10000000</v>
      </c>
    </row>
    <row r="102" spans="1:8" s="217" customFormat="1" ht="15.75" customHeight="1">
      <c r="A102" s="350" t="s">
        <v>952</v>
      </c>
      <c r="B102" s="571" t="s">
        <v>953</v>
      </c>
      <c r="C102" s="350"/>
      <c r="D102" s="350"/>
      <c r="E102" s="350"/>
      <c r="F102" s="350"/>
      <c r="G102" s="350"/>
      <c r="H102" s="332">
        <f>H103</f>
        <v>7718000</v>
      </c>
    </row>
    <row r="103" spans="1:8" s="217" customFormat="1" ht="15.75" customHeight="1">
      <c r="A103" s="353" t="s">
        <v>904</v>
      </c>
      <c r="B103" s="355"/>
      <c r="C103" s="351">
        <v>799</v>
      </c>
      <c r="D103" s="353">
        <v>220</v>
      </c>
      <c r="E103" s="353">
        <v>221</v>
      </c>
      <c r="F103" s="351">
        <v>9300</v>
      </c>
      <c r="G103" s="351">
        <v>9301</v>
      </c>
      <c r="H103" s="333">
        <v>7718000</v>
      </c>
    </row>
    <row r="104" spans="1:8" s="217" customFormat="1" ht="15.75" customHeight="1">
      <c r="A104" s="350" t="s">
        <v>954</v>
      </c>
      <c r="B104" s="571" t="s">
        <v>955</v>
      </c>
      <c r="C104" s="350"/>
      <c r="D104" s="350"/>
      <c r="E104" s="350"/>
      <c r="F104" s="350"/>
      <c r="G104" s="350"/>
      <c r="H104" s="332">
        <f>H105</f>
        <v>15000000</v>
      </c>
    </row>
    <row r="105" spans="1:8" s="217" customFormat="1" ht="15.75" customHeight="1">
      <c r="A105" s="353" t="s">
        <v>904</v>
      </c>
      <c r="B105" s="355"/>
      <c r="C105" s="351">
        <v>799</v>
      </c>
      <c r="D105" s="353">
        <v>220</v>
      </c>
      <c r="E105" s="353">
        <v>221</v>
      </c>
      <c r="F105" s="351">
        <v>9300</v>
      </c>
      <c r="G105" s="351">
        <v>9301</v>
      </c>
      <c r="H105" s="333">
        <v>15000000</v>
      </c>
    </row>
    <row r="106" spans="1:8" s="217" customFormat="1" ht="15.75" customHeight="1">
      <c r="A106" s="350" t="s">
        <v>956</v>
      </c>
      <c r="B106" s="571" t="s">
        <v>957</v>
      </c>
      <c r="C106" s="350"/>
      <c r="D106" s="350"/>
      <c r="E106" s="350"/>
      <c r="F106" s="350"/>
      <c r="G106" s="350"/>
      <c r="H106" s="332">
        <f>H107</f>
        <v>15000000</v>
      </c>
    </row>
    <row r="107" spans="1:8" s="217" customFormat="1" ht="15.75" customHeight="1">
      <c r="A107" s="353" t="s">
        <v>904</v>
      </c>
      <c r="B107" s="355"/>
      <c r="C107" s="351">
        <v>799</v>
      </c>
      <c r="D107" s="353">
        <v>220</v>
      </c>
      <c r="E107" s="353">
        <v>221</v>
      </c>
      <c r="F107" s="351">
        <v>9300</v>
      </c>
      <c r="G107" s="351">
        <v>9301</v>
      </c>
      <c r="H107" s="333">
        <v>15000000</v>
      </c>
    </row>
    <row r="108" spans="1:8" s="217" customFormat="1" ht="15.75" customHeight="1">
      <c r="A108" s="347">
        <v>7</v>
      </c>
      <c r="B108" s="575" t="s">
        <v>531</v>
      </c>
      <c r="C108" s="347"/>
      <c r="D108" s="347"/>
      <c r="E108" s="347"/>
      <c r="F108" s="347"/>
      <c r="G108" s="347"/>
      <c r="H108" s="576">
        <f>H109+H111+H114+H117+H119</f>
        <v>1040127000</v>
      </c>
    </row>
    <row r="109" spans="1:8" s="217" customFormat="1" ht="15.75" customHeight="1">
      <c r="A109" s="350" t="s">
        <v>958</v>
      </c>
      <c r="B109" s="571" t="s">
        <v>959</v>
      </c>
      <c r="C109" s="350"/>
      <c r="D109" s="350"/>
      <c r="E109" s="350"/>
      <c r="F109" s="350"/>
      <c r="G109" s="350"/>
      <c r="H109" s="332">
        <f>H110</f>
        <v>70968000</v>
      </c>
    </row>
    <row r="110" spans="1:8" s="217" customFormat="1" ht="15.75" customHeight="1">
      <c r="A110" s="353" t="s">
        <v>904</v>
      </c>
      <c r="B110" s="355"/>
      <c r="C110" s="351">
        <v>799</v>
      </c>
      <c r="D110" s="353">
        <v>280</v>
      </c>
      <c r="E110" s="353">
        <v>292</v>
      </c>
      <c r="F110" s="351">
        <v>9400</v>
      </c>
      <c r="G110" s="351">
        <v>9402</v>
      </c>
      <c r="H110" s="352">
        <v>70968000</v>
      </c>
    </row>
    <row r="111" spans="1:8" s="217" customFormat="1" ht="15.75" customHeight="1">
      <c r="A111" s="350" t="s">
        <v>960</v>
      </c>
      <c r="B111" s="571" t="s">
        <v>961</v>
      </c>
      <c r="C111" s="350"/>
      <c r="D111" s="350"/>
      <c r="E111" s="350"/>
      <c r="F111" s="350"/>
      <c r="G111" s="350"/>
      <c r="H111" s="332">
        <f>SUM(H112:H113)</f>
        <v>174400000</v>
      </c>
    </row>
    <row r="112" spans="1:8" s="217" customFormat="1" ht="15.75" customHeight="1">
      <c r="A112" s="353" t="s">
        <v>904</v>
      </c>
      <c r="B112" s="355"/>
      <c r="C112" s="351">
        <v>799</v>
      </c>
      <c r="D112" s="353">
        <v>280</v>
      </c>
      <c r="E112" s="353">
        <v>292</v>
      </c>
      <c r="F112" s="351">
        <v>9300</v>
      </c>
      <c r="G112" s="351">
        <v>9301</v>
      </c>
      <c r="H112" s="352">
        <v>148294000</v>
      </c>
    </row>
    <row r="113" spans="1:8" s="217" customFormat="1" ht="15.75" customHeight="1">
      <c r="A113" s="353" t="s">
        <v>904</v>
      </c>
      <c r="B113" s="355"/>
      <c r="C113" s="351">
        <v>799</v>
      </c>
      <c r="D113" s="353">
        <v>280</v>
      </c>
      <c r="E113" s="353">
        <v>292</v>
      </c>
      <c r="F113" s="351">
        <v>9400</v>
      </c>
      <c r="G113" s="351">
        <v>9402</v>
      </c>
      <c r="H113" s="352">
        <v>26106000</v>
      </c>
    </row>
    <row r="114" spans="1:8" s="217" customFormat="1" ht="15.75" customHeight="1">
      <c r="A114" s="350" t="s">
        <v>962</v>
      </c>
      <c r="B114" s="571" t="s">
        <v>963</v>
      </c>
      <c r="C114" s="350"/>
      <c r="D114" s="350"/>
      <c r="E114" s="350"/>
      <c r="F114" s="350"/>
      <c r="G114" s="350"/>
      <c r="H114" s="332">
        <f>SUM(H115:H116)</f>
        <v>208100000</v>
      </c>
    </row>
    <row r="115" spans="1:8" s="217" customFormat="1" ht="15.75" customHeight="1">
      <c r="A115" s="353" t="s">
        <v>904</v>
      </c>
      <c r="B115" s="355"/>
      <c r="C115" s="351">
        <v>799</v>
      </c>
      <c r="D115" s="353">
        <v>280</v>
      </c>
      <c r="E115" s="353">
        <v>292</v>
      </c>
      <c r="F115" s="351">
        <v>9300</v>
      </c>
      <c r="G115" s="351">
        <v>9301</v>
      </c>
      <c r="H115" s="352">
        <v>179901000</v>
      </c>
    </row>
    <row r="116" spans="1:8" s="217" customFormat="1" ht="15.75" customHeight="1">
      <c r="A116" s="353" t="s">
        <v>904</v>
      </c>
      <c r="B116" s="355"/>
      <c r="C116" s="351">
        <v>799</v>
      </c>
      <c r="D116" s="353">
        <v>280</v>
      </c>
      <c r="E116" s="353">
        <v>292</v>
      </c>
      <c r="F116" s="351">
        <v>9400</v>
      </c>
      <c r="G116" s="351">
        <v>9402</v>
      </c>
      <c r="H116" s="352">
        <v>28199000</v>
      </c>
    </row>
    <row r="117" spans="1:8" s="217" customFormat="1" ht="15.75" customHeight="1">
      <c r="A117" s="350" t="s">
        <v>964</v>
      </c>
      <c r="B117" s="577" t="s">
        <v>965</v>
      </c>
      <c r="C117" s="350"/>
      <c r="D117" s="350"/>
      <c r="E117" s="350"/>
      <c r="F117" s="350"/>
      <c r="G117" s="350"/>
      <c r="H117" s="332">
        <f>H118</f>
        <v>305700000</v>
      </c>
    </row>
    <row r="118" spans="1:8" s="217" customFormat="1" ht="15.75" customHeight="1">
      <c r="A118" s="353" t="s">
        <v>904</v>
      </c>
      <c r="B118" s="355"/>
      <c r="C118" s="351">
        <v>799</v>
      </c>
      <c r="D118" s="353">
        <v>280</v>
      </c>
      <c r="E118" s="353">
        <v>292</v>
      </c>
      <c r="F118" s="351">
        <v>9300</v>
      </c>
      <c r="G118" s="351">
        <v>9301</v>
      </c>
      <c r="H118" s="352">
        <v>305700000</v>
      </c>
    </row>
    <row r="119" spans="1:8" s="217" customFormat="1" ht="41.25" customHeight="1">
      <c r="A119" s="350" t="s">
        <v>966</v>
      </c>
      <c r="B119" s="571" t="s">
        <v>967</v>
      </c>
      <c r="C119" s="350"/>
      <c r="D119" s="350"/>
      <c r="E119" s="350"/>
      <c r="F119" s="350"/>
      <c r="G119" s="350"/>
      <c r="H119" s="332">
        <f>H120</f>
        <v>280959000</v>
      </c>
    </row>
    <row r="120" spans="1:8" s="217" customFormat="1" ht="15.75" customHeight="1">
      <c r="A120" s="353" t="s">
        <v>904</v>
      </c>
      <c r="B120" s="355"/>
      <c r="C120" s="351">
        <v>799</v>
      </c>
      <c r="D120" s="353">
        <v>280</v>
      </c>
      <c r="E120" s="353">
        <v>292</v>
      </c>
      <c r="F120" s="351">
        <v>9300</v>
      </c>
      <c r="G120" s="351">
        <v>9301</v>
      </c>
      <c r="H120" s="352">
        <v>280959000</v>
      </c>
    </row>
    <row r="121" spans="1:8" s="217" customFormat="1" ht="24" customHeight="1">
      <c r="A121" s="574">
        <v>8</v>
      </c>
      <c r="B121" s="578" t="s">
        <v>532</v>
      </c>
      <c r="C121" s="347"/>
      <c r="D121" s="574"/>
      <c r="E121" s="574"/>
      <c r="F121" s="347"/>
      <c r="G121" s="347"/>
      <c r="H121" s="349">
        <f>H122+H124+H128+H131</f>
        <v>1598140000</v>
      </c>
    </row>
    <row r="122" spans="1:8" s="217" customFormat="1" ht="33" customHeight="1">
      <c r="A122" s="356" t="s">
        <v>968</v>
      </c>
      <c r="B122" s="571" t="s">
        <v>969</v>
      </c>
      <c r="C122" s="350"/>
      <c r="D122" s="356"/>
      <c r="E122" s="356"/>
      <c r="F122" s="350"/>
      <c r="G122" s="350"/>
      <c r="H122" s="354">
        <f>H123</f>
        <v>29840000</v>
      </c>
    </row>
    <row r="123" spans="1:8" s="217" customFormat="1" ht="15.75" customHeight="1">
      <c r="A123" s="353" t="s">
        <v>904</v>
      </c>
      <c r="B123" s="355"/>
      <c r="C123" s="351">
        <v>799</v>
      </c>
      <c r="D123" s="353">
        <v>280</v>
      </c>
      <c r="E123" s="353">
        <v>292</v>
      </c>
      <c r="F123" s="351">
        <v>9300</v>
      </c>
      <c r="G123" s="351">
        <v>9301</v>
      </c>
      <c r="H123" s="352">
        <v>29840000</v>
      </c>
    </row>
    <row r="124" spans="1:8" s="217" customFormat="1" ht="15.75" customHeight="1">
      <c r="A124" s="350" t="s">
        <v>970</v>
      </c>
      <c r="B124" s="571" t="s">
        <v>971</v>
      </c>
      <c r="C124" s="350"/>
      <c r="D124" s="350"/>
      <c r="E124" s="350"/>
      <c r="F124" s="350"/>
      <c r="G124" s="350"/>
      <c r="H124" s="332">
        <f>SUM(H125:H127)</f>
        <v>538000000</v>
      </c>
    </row>
    <row r="125" spans="1:8" s="217" customFormat="1" ht="15.75" customHeight="1">
      <c r="A125" s="353" t="s">
        <v>904</v>
      </c>
      <c r="B125" s="355"/>
      <c r="C125" s="351">
        <v>799</v>
      </c>
      <c r="D125" s="353">
        <v>280</v>
      </c>
      <c r="E125" s="353">
        <v>292</v>
      </c>
      <c r="F125" s="351">
        <v>9300</v>
      </c>
      <c r="G125" s="351">
        <v>9301</v>
      </c>
      <c r="H125" s="352">
        <v>479976000</v>
      </c>
    </row>
    <row r="126" spans="1:8" s="217" customFormat="1" ht="15.75" customHeight="1">
      <c r="A126" s="353" t="s">
        <v>904</v>
      </c>
      <c r="B126" s="355"/>
      <c r="C126" s="351">
        <v>799</v>
      </c>
      <c r="D126" s="353">
        <v>280</v>
      </c>
      <c r="E126" s="353">
        <v>292</v>
      </c>
      <c r="F126" s="351">
        <v>9400</v>
      </c>
      <c r="G126" s="351">
        <v>9401</v>
      </c>
      <c r="H126" s="352">
        <v>28178000</v>
      </c>
    </row>
    <row r="127" spans="1:8" s="217" customFormat="1" ht="15.75" customHeight="1">
      <c r="A127" s="353" t="s">
        <v>904</v>
      </c>
      <c r="B127" s="355"/>
      <c r="C127" s="351">
        <v>799</v>
      </c>
      <c r="D127" s="353">
        <v>280</v>
      </c>
      <c r="E127" s="353">
        <v>292</v>
      </c>
      <c r="F127" s="351">
        <v>9400</v>
      </c>
      <c r="G127" s="351">
        <v>9402</v>
      </c>
      <c r="H127" s="352">
        <v>29846000</v>
      </c>
    </row>
    <row r="128" spans="1:8" s="217" customFormat="1" ht="15.75" customHeight="1">
      <c r="A128" s="350" t="s">
        <v>972</v>
      </c>
      <c r="B128" s="571" t="s">
        <v>973</v>
      </c>
      <c r="C128" s="350"/>
      <c r="D128" s="350"/>
      <c r="E128" s="350"/>
      <c r="F128" s="350"/>
      <c r="G128" s="350"/>
      <c r="H128" s="332">
        <f>SUM(H129:H130)</f>
        <v>569700000</v>
      </c>
    </row>
    <row r="129" spans="1:8" s="217" customFormat="1" ht="15.75" customHeight="1">
      <c r="A129" s="353" t="s">
        <v>904</v>
      </c>
      <c r="B129" s="355"/>
      <c r="C129" s="351">
        <v>799</v>
      </c>
      <c r="D129" s="353">
        <v>280</v>
      </c>
      <c r="E129" s="353">
        <v>292</v>
      </c>
      <c r="F129" s="351">
        <v>9300</v>
      </c>
      <c r="G129" s="351">
        <v>9301</v>
      </c>
      <c r="H129" s="352">
        <v>454707000</v>
      </c>
    </row>
    <row r="130" spans="1:8" s="217" customFormat="1" ht="15.75" customHeight="1">
      <c r="A130" s="353" t="s">
        <v>904</v>
      </c>
      <c r="B130" s="355"/>
      <c r="C130" s="351">
        <v>799</v>
      </c>
      <c r="D130" s="353">
        <v>280</v>
      </c>
      <c r="E130" s="353">
        <v>292</v>
      </c>
      <c r="F130" s="351">
        <v>9400</v>
      </c>
      <c r="G130" s="351">
        <v>9402</v>
      </c>
      <c r="H130" s="352">
        <v>114993000</v>
      </c>
    </row>
    <row r="131" spans="1:8" s="217" customFormat="1" ht="15.75" customHeight="1">
      <c r="A131" s="350" t="s">
        <v>974</v>
      </c>
      <c r="B131" s="571" t="s">
        <v>975</v>
      </c>
      <c r="C131" s="350"/>
      <c r="D131" s="350"/>
      <c r="E131" s="350"/>
      <c r="F131" s="350"/>
      <c r="G131" s="350"/>
      <c r="H131" s="332">
        <f>SUM(H132:H134)</f>
        <v>460600000</v>
      </c>
    </row>
    <row r="132" spans="1:8" s="217" customFormat="1" ht="15.75" customHeight="1">
      <c r="A132" s="353" t="s">
        <v>904</v>
      </c>
      <c r="B132" s="355"/>
      <c r="C132" s="351">
        <v>799</v>
      </c>
      <c r="D132" s="353">
        <v>280</v>
      </c>
      <c r="E132" s="353">
        <v>283</v>
      </c>
      <c r="F132" s="351">
        <v>9300</v>
      </c>
      <c r="G132" s="351">
        <v>9301</v>
      </c>
      <c r="H132" s="352">
        <v>350507000</v>
      </c>
    </row>
    <row r="133" spans="1:8" s="217" customFormat="1" ht="15.75" customHeight="1">
      <c r="A133" s="353" t="s">
        <v>904</v>
      </c>
      <c r="B133" s="355"/>
      <c r="C133" s="351">
        <v>799</v>
      </c>
      <c r="D133" s="353">
        <v>280</v>
      </c>
      <c r="E133" s="353">
        <v>283</v>
      </c>
      <c r="F133" s="351">
        <v>9400</v>
      </c>
      <c r="G133" s="351">
        <v>9401</v>
      </c>
      <c r="H133" s="352">
        <v>23516000</v>
      </c>
    </row>
    <row r="134" spans="1:8" s="217" customFormat="1" ht="15.75" customHeight="1">
      <c r="A134" s="353" t="s">
        <v>904</v>
      </c>
      <c r="B134" s="355"/>
      <c r="C134" s="351">
        <v>799</v>
      </c>
      <c r="D134" s="353">
        <v>280</v>
      </c>
      <c r="E134" s="353">
        <v>283</v>
      </c>
      <c r="F134" s="351">
        <v>9400</v>
      </c>
      <c r="G134" s="351">
        <v>9402</v>
      </c>
      <c r="H134" s="352">
        <v>86577000</v>
      </c>
    </row>
    <row r="135" spans="1:11" s="446" customFormat="1" ht="15.75" customHeight="1">
      <c r="A135" s="345" t="s">
        <v>363</v>
      </c>
      <c r="B135" s="344" t="s">
        <v>528</v>
      </c>
      <c r="C135" s="345"/>
      <c r="D135" s="345"/>
      <c r="E135" s="345"/>
      <c r="F135" s="345"/>
      <c r="G135" s="345"/>
      <c r="H135" s="357">
        <f>H136+H141+H146</f>
        <v>539227360</v>
      </c>
      <c r="J135" s="447"/>
      <c r="K135" s="447"/>
    </row>
    <row r="136" spans="1:8" s="450" customFormat="1" ht="15.75" customHeight="1">
      <c r="A136" s="345">
        <v>1</v>
      </c>
      <c r="B136" s="344" t="s">
        <v>976</v>
      </c>
      <c r="C136" s="358"/>
      <c r="D136" s="358"/>
      <c r="E136" s="358"/>
      <c r="F136" s="358"/>
      <c r="G136" s="358"/>
      <c r="H136" s="357">
        <f>H137+H139</f>
        <v>500000000</v>
      </c>
    </row>
    <row r="137" spans="1:8" s="450" customFormat="1" ht="15.75" customHeight="1">
      <c r="A137" s="358" t="s">
        <v>366</v>
      </c>
      <c r="B137" s="452" t="s">
        <v>533</v>
      </c>
      <c r="C137" s="345"/>
      <c r="D137" s="345"/>
      <c r="E137" s="345"/>
      <c r="F137" s="345"/>
      <c r="G137" s="345"/>
      <c r="H137" s="359">
        <f>SUM(H138:H138)</f>
        <v>300000000</v>
      </c>
    </row>
    <row r="138" spans="1:8" s="450" customFormat="1" ht="15.75" customHeight="1">
      <c r="A138" s="579" t="s">
        <v>977</v>
      </c>
      <c r="B138" s="453"/>
      <c r="C138" s="360">
        <v>799</v>
      </c>
      <c r="D138" s="360">
        <v>280</v>
      </c>
      <c r="E138" s="360">
        <v>281</v>
      </c>
      <c r="F138" s="360">
        <v>7100</v>
      </c>
      <c r="G138" s="360">
        <v>7149</v>
      </c>
      <c r="H138" s="361">
        <v>300000000</v>
      </c>
    </row>
    <row r="139" spans="1:8" s="450" customFormat="1" ht="15.75" customHeight="1">
      <c r="A139" s="358" t="s">
        <v>368</v>
      </c>
      <c r="B139" s="452" t="s">
        <v>535</v>
      </c>
      <c r="C139" s="345"/>
      <c r="D139" s="345"/>
      <c r="E139" s="345"/>
      <c r="F139" s="345"/>
      <c r="G139" s="345"/>
      <c r="H139" s="359">
        <f>H140</f>
        <v>200000000</v>
      </c>
    </row>
    <row r="140" spans="1:8" s="450" customFormat="1" ht="15.75" customHeight="1">
      <c r="A140" s="579" t="s">
        <v>977</v>
      </c>
      <c r="B140" s="453"/>
      <c r="C140" s="360">
        <v>799</v>
      </c>
      <c r="D140" s="360">
        <v>280</v>
      </c>
      <c r="E140" s="360">
        <v>281</v>
      </c>
      <c r="F140" s="360">
        <v>7100</v>
      </c>
      <c r="G140" s="360">
        <v>7149</v>
      </c>
      <c r="H140" s="361">
        <v>200000000</v>
      </c>
    </row>
    <row r="141" spans="1:8" s="446" customFormat="1" ht="15.75" customHeight="1">
      <c r="A141" s="345">
        <v>2</v>
      </c>
      <c r="B141" s="344" t="s">
        <v>978</v>
      </c>
      <c r="C141" s="345"/>
      <c r="D141" s="345"/>
      <c r="E141" s="345"/>
      <c r="F141" s="345"/>
      <c r="G141" s="345"/>
      <c r="H141" s="357">
        <f>H142+H144</f>
        <v>15000000</v>
      </c>
    </row>
    <row r="142" spans="1:8" ht="15.75" customHeight="1">
      <c r="A142" s="358" t="s">
        <v>401</v>
      </c>
      <c r="B142" s="452" t="s">
        <v>979</v>
      </c>
      <c r="C142" s="358"/>
      <c r="D142" s="358"/>
      <c r="E142" s="358"/>
      <c r="F142" s="358"/>
      <c r="G142" s="358"/>
      <c r="H142" s="359">
        <f>H143</f>
        <v>10000000</v>
      </c>
    </row>
    <row r="143" spans="1:8" s="450" customFormat="1" ht="15.75" customHeight="1">
      <c r="A143" s="579" t="s">
        <v>980</v>
      </c>
      <c r="B143" s="453"/>
      <c r="C143" s="360">
        <v>612</v>
      </c>
      <c r="D143" s="360">
        <v>160</v>
      </c>
      <c r="E143" s="360">
        <v>171</v>
      </c>
      <c r="F143" s="360">
        <v>6600</v>
      </c>
      <c r="G143" s="360">
        <v>6606</v>
      </c>
      <c r="H143" s="361">
        <v>10000000</v>
      </c>
    </row>
    <row r="144" spans="1:8" ht="15.75" customHeight="1">
      <c r="A144" s="358" t="s">
        <v>403</v>
      </c>
      <c r="B144" s="452" t="s">
        <v>534</v>
      </c>
      <c r="C144" s="358"/>
      <c r="D144" s="358"/>
      <c r="E144" s="358"/>
      <c r="F144" s="358"/>
      <c r="G144" s="358"/>
      <c r="H144" s="359">
        <f>H145</f>
        <v>5000000</v>
      </c>
    </row>
    <row r="145" spans="1:8" s="450" customFormat="1" ht="15.75" customHeight="1">
      <c r="A145" s="579" t="s">
        <v>980</v>
      </c>
      <c r="B145" s="453"/>
      <c r="C145" s="360">
        <v>799</v>
      </c>
      <c r="D145" s="360">
        <v>160</v>
      </c>
      <c r="E145" s="360">
        <v>171</v>
      </c>
      <c r="F145" s="360">
        <v>6600</v>
      </c>
      <c r="G145" s="360">
        <v>6606</v>
      </c>
      <c r="H145" s="361">
        <v>5000000</v>
      </c>
    </row>
    <row r="146" spans="1:8" s="446" customFormat="1" ht="15.75" customHeight="1">
      <c r="A146" s="345">
        <v>3</v>
      </c>
      <c r="B146" s="344" t="s">
        <v>981</v>
      </c>
      <c r="C146" s="345"/>
      <c r="D146" s="345"/>
      <c r="E146" s="345"/>
      <c r="F146" s="345"/>
      <c r="G146" s="345"/>
      <c r="H146" s="357">
        <f>H147+H151+H154</f>
        <v>24227360</v>
      </c>
    </row>
    <row r="147" spans="1:8" ht="15.75" customHeight="1">
      <c r="A147" s="358" t="s">
        <v>523</v>
      </c>
      <c r="B147" s="452" t="s">
        <v>534</v>
      </c>
      <c r="C147" s="358"/>
      <c r="D147" s="358"/>
      <c r="E147" s="358"/>
      <c r="F147" s="358"/>
      <c r="G147" s="358"/>
      <c r="H147" s="359">
        <f>SUM(H148:H150)</f>
        <v>7380000</v>
      </c>
    </row>
    <row r="148" spans="1:8" s="450" customFormat="1" ht="15.75" customHeight="1">
      <c r="A148" s="579" t="s">
        <v>980</v>
      </c>
      <c r="B148" s="453"/>
      <c r="C148" s="360">
        <v>799</v>
      </c>
      <c r="D148" s="360">
        <v>340</v>
      </c>
      <c r="E148" s="360">
        <v>341</v>
      </c>
      <c r="F148" s="360">
        <v>6550</v>
      </c>
      <c r="G148" s="360">
        <v>6551</v>
      </c>
      <c r="H148" s="361">
        <v>6000000</v>
      </c>
    </row>
    <row r="149" spans="1:8" s="450" customFormat="1" ht="15.75" customHeight="1">
      <c r="A149" s="579" t="s">
        <v>980</v>
      </c>
      <c r="B149" s="453"/>
      <c r="C149" s="360">
        <v>799</v>
      </c>
      <c r="D149" s="360">
        <v>340</v>
      </c>
      <c r="E149" s="360">
        <v>341</v>
      </c>
      <c r="F149" s="360">
        <v>6700</v>
      </c>
      <c r="G149" s="360">
        <v>6701</v>
      </c>
      <c r="H149" s="361">
        <v>180000</v>
      </c>
    </row>
    <row r="150" spans="1:8" s="450" customFormat="1" ht="15.75" customHeight="1">
      <c r="A150" s="579" t="s">
        <v>980</v>
      </c>
      <c r="B150" s="453"/>
      <c r="C150" s="360">
        <v>799</v>
      </c>
      <c r="D150" s="360">
        <v>340</v>
      </c>
      <c r="E150" s="360">
        <v>341</v>
      </c>
      <c r="F150" s="360">
        <v>6700</v>
      </c>
      <c r="G150" s="360">
        <v>6702</v>
      </c>
      <c r="H150" s="361">
        <v>1200000</v>
      </c>
    </row>
    <row r="151" spans="1:8" ht="15.75" customHeight="1">
      <c r="A151" s="358" t="s">
        <v>524</v>
      </c>
      <c r="B151" s="452" t="s">
        <v>535</v>
      </c>
      <c r="C151" s="358"/>
      <c r="D151" s="358"/>
      <c r="E151" s="358"/>
      <c r="F151" s="358"/>
      <c r="G151" s="358"/>
      <c r="H151" s="359">
        <f>SUM(H152:H153)</f>
        <v>15047360</v>
      </c>
    </row>
    <row r="152" spans="1:8" s="450" customFormat="1" ht="15.75" customHeight="1">
      <c r="A152" s="579" t="s">
        <v>980</v>
      </c>
      <c r="B152" s="453"/>
      <c r="C152" s="360">
        <v>799</v>
      </c>
      <c r="D152" s="360">
        <v>340</v>
      </c>
      <c r="E152" s="360">
        <v>341</v>
      </c>
      <c r="F152" s="360">
        <v>6500</v>
      </c>
      <c r="G152" s="360">
        <v>6503</v>
      </c>
      <c r="H152" s="361">
        <v>8001480</v>
      </c>
    </row>
    <row r="153" spans="1:8" s="450" customFormat="1" ht="15.75" customHeight="1">
      <c r="A153" s="579" t="s">
        <v>980</v>
      </c>
      <c r="B153" s="453"/>
      <c r="C153" s="360">
        <v>799</v>
      </c>
      <c r="D153" s="360">
        <v>340</v>
      </c>
      <c r="E153" s="360">
        <v>341</v>
      </c>
      <c r="F153" s="360">
        <v>6550</v>
      </c>
      <c r="G153" s="360">
        <v>6551</v>
      </c>
      <c r="H153" s="361">
        <v>7045880</v>
      </c>
    </row>
    <row r="154" spans="1:8" ht="15.75" customHeight="1">
      <c r="A154" s="358" t="s">
        <v>524</v>
      </c>
      <c r="B154" s="452" t="s">
        <v>529</v>
      </c>
      <c r="C154" s="358"/>
      <c r="D154" s="358"/>
      <c r="E154" s="358"/>
      <c r="F154" s="358"/>
      <c r="G154" s="358"/>
      <c r="H154" s="359">
        <f>SUM(H155:H156)</f>
        <v>1800000</v>
      </c>
    </row>
    <row r="155" spans="1:8" s="450" customFormat="1" ht="15.75" customHeight="1">
      <c r="A155" s="579" t="s">
        <v>980</v>
      </c>
      <c r="B155" s="453"/>
      <c r="C155" s="360">
        <v>799</v>
      </c>
      <c r="D155" s="360">
        <v>340</v>
      </c>
      <c r="E155" s="360">
        <v>341</v>
      </c>
      <c r="F155" s="360">
        <v>6700</v>
      </c>
      <c r="G155" s="360">
        <v>6702</v>
      </c>
      <c r="H155" s="361">
        <v>400000</v>
      </c>
    </row>
    <row r="156" spans="1:8" s="450" customFormat="1" ht="15.75" customHeight="1">
      <c r="A156" s="579" t="s">
        <v>980</v>
      </c>
      <c r="B156" s="453"/>
      <c r="C156" s="360">
        <v>799</v>
      </c>
      <c r="D156" s="360">
        <v>340</v>
      </c>
      <c r="E156" s="360">
        <v>341</v>
      </c>
      <c r="F156" s="360">
        <v>6700</v>
      </c>
      <c r="G156" s="360">
        <v>6703</v>
      </c>
      <c r="H156" s="361">
        <v>1400000</v>
      </c>
    </row>
    <row r="157" spans="1:10" s="451" customFormat="1" ht="18.75" customHeight="1">
      <c r="A157" s="345" t="s">
        <v>297</v>
      </c>
      <c r="B157" s="344" t="s">
        <v>982</v>
      </c>
      <c r="C157" s="345"/>
      <c r="D157" s="345"/>
      <c r="E157" s="345"/>
      <c r="F157" s="345"/>
      <c r="G157" s="345"/>
      <c r="H157" s="346">
        <f>H158+H240</f>
        <v>19855634487</v>
      </c>
      <c r="J157" s="580"/>
    </row>
    <row r="158" spans="1:11" s="217" customFormat="1" ht="18.75" customHeight="1">
      <c r="A158" s="347" t="s">
        <v>307</v>
      </c>
      <c r="B158" s="334" t="s">
        <v>522</v>
      </c>
      <c r="C158" s="347"/>
      <c r="D158" s="347"/>
      <c r="E158" s="347"/>
      <c r="F158" s="347"/>
      <c r="G158" s="347"/>
      <c r="H158" s="362">
        <f>H159+H163+H178+H187+H194+H206+H220+H225</f>
        <v>15508950000</v>
      </c>
      <c r="J158" s="581"/>
      <c r="K158" s="449"/>
    </row>
    <row r="159" spans="1:10" s="454" customFormat="1" ht="18.75" customHeight="1">
      <c r="A159" s="347">
        <v>1</v>
      </c>
      <c r="B159" s="363" t="s">
        <v>983</v>
      </c>
      <c r="C159" s="347"/>
      <c r="D159" s="347"/>
      <c r="E159" s="347"/>
      <c r="F159" s="347"/>
      <c r="G159" s="347"/>
      <c r="H159" s="365">
        <f>H160</f>
        <v>1193287000</v>
      </c>
      <c r="J159" s="582"/>
    </row>
    <row r="160" spans="1:10" s="454" customFormat="1" ht="13.5">
      <c r="A160" s="350" t="s">
        <v>366</v>
      </c>
      <c r="B160" s="571" t="s">
        <v>984</v>
      </c>
      <c r="C160" s="351"/>
      <c r="D160" s="351"/>
      <c r="E160" s="351"/>
      <c r="F160" s="351"/>
      <c r="G160" s="351"/>
      <c r="H160" s="332">
        <f>SUM(H161:H162)</f>
        <v>1193287000</v>
      </c>
      <c r="J160" s="583"/>
    </row>
    <row r="161" spans="1:8" s="217" customFormat="1" ht="12.75">
      <c r="A161" s="353" t="s">
        <v>985</v>
      </c>
      <c r="B161" s="364"/>
      <c r="C161" s="351">
        <v>683</v>
      </c>
      <c r="D161" s="351">
        <v>280</v>
      </c>
      <c r="E161" s="351">
        <v>311</v>
      </c>
      <c r="F161" s="351">
        <v>9300</v>
      </c>
      <c r="G161" s="351">
        <v>9301</v>
      </c>
      <c r="H161" s="333">
        <v>1186277000</v>
      </c>
    </row>
    <row r="162" spans="1:8" s="217" customFormat="1" ht="12.75">
      <c r="A162" s="353" t="s">
        <v>985</v>
      </c>
      <c r="B162" s="364"/>
      <c r="C162" s="351">
        <v>683</v>
      </c>
      <c r="D162" s="351">
        <v>280</v>
      </c>
      <c r="E162" s="351">
        <v>311</v>
      </c>
      <c r="F162" s="351">
        <v>9400</v>
      </c>
      <c r="G162" s="351">
        <v>9402</v>
      </c>
      <c r="H162" s="333">
        <v>7010000</v>
      </c>
    </row>
    <row r="163" spans="1:8" s="217" customFormat="1" ht="12.75">
      <c r="A163" s="347">
        <v>2</v>
      </c>
      <c r="B163" s="584" t="s">
        <v>986</v>
      </c>
      <c r="C163" s="347"/>
      <c r="D163" s="347"/>
      <c r="E163" s="347"/>
      <c r="F163" s="347"/>
      <c r="G163" s="347"/>
      <c r="H163" s="365">
        <f>H164+H166+H168+H173</f>
        <v>5016995000</v>
      </c>
    </row>
    <row r="164" spans="1:8" s="217" customFormat="1" ht="12.75">
      <c r="A164" s="350" t="s">
        <v>401</v>
      </c>
      <c r="B164" s="571" t="s">
        <v>987</v>
      </c>
      <c r="C164" s="350"/>
      <c r="D164" s="350"/>
      <c r="E164" s="350"/>
      <c r="F164" s="350"/>
      <c r="G164" s="350"/>
      <c r="H164" s="332">
        <f>SUM(H165:H165)</f>
        <v>987000000</v>
      </c>
    </row>
    <row r="165" spans="1:8" s="455" customFormat="1" ht="12.75">
      <c r="A165" s="353" t="s">
        <v>988</v>
      </c>
      <c r="B165" s="335"/>
      <c r="C165" s="351">
        <v>799</v>
      </c>
      <c r="D165" s="351">
        <v>280</v>
      </c>
      <c r="E165" s="351">
        <v>285</v>
      </c>
      <c r="F165" s="351">
        <v>9400</v>
      </c>
      <c r="G165" s="351">
        <v>9402</v>
      </c>
      <c r="H165" s="333">
        <v>987000000</v>
      </c>
    </row>
    <row r="166" spans="1:8" s="217" customFormat="1" ht="12.75">
      <c r="A166" s="350" t="s">
        <v>403</v>
      </c>
      <c r="B166" s="571" t="s">
        <v>989</v>
      </c>
      <c r="C166" s="350"/>
      <c r="D166" s="350"/>
      <c r="E166" s="350"/>
      <c r="F166" s="350"/>
      <c r="G166" s="350"/>
      <c r="H166" s="332">
        <f>SUM(H167:H167)</f>
        <v>507995000</v>
      </c>
    </row>
    <row r="167" spans="1:8" s="455" customFormat="1" ht="12.75">
      <c r="A167" s="353" t="s">
        <v>990</v>
      </c>
      <c r="B167" s="366"/>
      <c r="C167" s="351">
        <v>799</v>
      </c>
      <c r="D167" s="351">
        <v>280</v>
      </c>
      <c r="E167" s="351">
        <v>292</v>
      </c>
      <c r="F167" s="351">
        <v>9400</v>
      </c>
      <c r="G167" s="351">
        <v>9402</v>
      </c>
      <c r="H167" s="367">
        <v>507995000</v>
      </c>
    </row>
    <row r="168" spans="1:8" s="131" customFormat="1" ht="12.75">
      <c r="A168" s="350" t="s">
        <v>465</v>
      </c>
      <c r="B168" s="571" t="s">
        <v>991</v>
      </c>
      <c r="C168" s="350"/>
      <c r="D168" s="350"/>
      <c r="E168" s="350"/>
      <c r="F168" s="350"/>
      <c r="G168" s="350"/>
      <c r="H168" s="585">
        <f>SUM(H169:H172)</f>
        <v>746000000</v>
      </c>
    </row>
    <row r="169" spans="1:8" s="455" customFormat="1" ht="12.75">
      <c r="A169" s="353" t="s">
        <v>990</v>
      </c>
      <c r="B169" s="366"/>
      <c r="C169" s="351">
        <v>799</v>
      </c>
      <c r="D169" s="351">
        <v>280</v>
      </c>
      <c r="E169" s="351">
        <v>321</v>
      </c>
      <c r="F169" s="351">
        <v>9300</v>
      </c>
      <c r="G169" s="351">
        <v>9301</v>
      </c>
      <c r="H169" s="367">
        <v>652160000</v>
      </c>
    </row>
    <row r="170" spans="1:8" s="455" customFormat="1" ht="12.75">
      <c r="A170" s="353" t="s">
        <v>990</v>
      </c>
      <c r="B170" s="366"/>
      <c r="C170" s="351">
        <v>799</v>
      </c>
      <c r="D170" s="351">
        <v>280</v>
      </c>
      <c r="E170" s="351">
        <v>321</v>
      </c>
      <c r="F170" s="351">
        <v>9400</v>
      </c>
      <c r="G170" s="351">
        <v>9401</v>
      </c>
      <c r="H170" s="367">
        <v>23037000</v>
      </c>
    </row>
    <row r="171" spans="1:8" s="455" customFormat="1" ht="12.75">
      <c r="A171" s="353" t="s">
        <v>990</v>
      </c>
      <c r="B171" s="366"/>
      <c r="C171" s="351">
        <v>799</v>
      </c>
      <c r="D171" s="351">
        <v>280</v>
      </c>
      <c r="E171" s="351">
        <v>321</v>
      </c>
      <c r="F171" s="351">
        <v>9400</v>
      </c>
      <c r="G171" s="351">
        <v>9402</v>
      </c>
      <c r="H171" s="367">
        <v>70649000</v>
      </c>
    </row>
    <row r="172" spans="1:8" s="455" customFormat="1" ht="12.75">
      <c r="A172" s="353" t="s">
        <v>990</v>
      </c>
      <c r="B172" s="366"/>
      <c r="C172" s="351">
        <v>799</v>
      </c>
      <c r="D172" s="351">
        <v>280</v>
      </c>
      <c r="E172" s="351">
        <v>321</v>
      </c>
      <c r="F172" s="351">
        <v>9400</v>
      </c>
      <c r="G172" s="351">
        <v>9449</v>
      </c>
      <c r="H172" s="367">
        <v>154000</v>
      </c>
    </row>
    <row r="173" spans="1:8" s="131" customFormat="1" ht="12.75">
      <c r="A173" s="350" t="s">
        <v>466</v>
      </c>
      <c r="B173" s="571" t="s">
        <v>992</v>
      </c>
      <c r="C173" s="350"/>
      <c r="D173" s="350"/>
      <c r="E173" s="350"/>
      <c r="F173" s="350"/>
      <c r="G173" s="350"/>
      <c r="H173" s="585">
        <f>SUM(H174:H177)</f>
        <v>2776000000</v>
      </c>
    </row>
    <row r="174" spans="1:8" s="455" customFormat="1" ht="12.75">
      <c r="A174" s="353" t="s">
        <v>993</v>
      </c>
      <c r="B174" s="366"/>
      <c r="C174" s="351">
        <v>799</v>
      </c>
      <c r="D174" s="353" t="s">
        <v>769</v>
      </c>
      <c r="E174" s="353" t="s">
        <v>918</v>
      </c>
      <c r="F174" s="351">
        <v>9300</v>
      </c>
      <c r="G174" s="351">
        <v>9301</v>
      </c>
      <c r="H174" s="367">
        <v>2492382000</v>
      </c>
    </row>
    <row r="175" spans="1:8" s="455" customFormat="1" ht="12.75">
      <c r="A175" s="353" t="s">
        <v>993</v>
      </c>
      <c r="B175" s="366"/>
      <c r="C175" s="351">
        <v>799</v>
      </c>
      <c r="D175" s="353" t="s">
        <v>769</v>
      </c>
      <c r="E175" s="353" t="s">
        <v>918</v>
      </c>
      <c r="F175" s="351">
        <v>9400</v>
      </c>
      <c r="G175" s="351">
        <v>9401</v>
      </c>
      <c r="H175" s="367">
        <v>115092000</v>
      </c>
    </row>
    <row r="176" spans="1:8" s="455" customFormat="1" ht="12.75">
      <c r="A176" s="353" t="s">
        <v>993</v>
      </c>
      <c r="B176" s="366"/>
      <c r="C176" s="351">
        <v>799</v>
      </c>
      <c r="D176" s="353" t="s">
        <v>769</v>
      </c>
      <c r="E176" s="353" t="s">
        <v>918</v>
      </c>
      <c r="F176" s="351">
        <v>9400</v>
      </c>
      <c r="G176" s="351">
        <v>9402</v>
      </c>
      <c r="H176" s="367">
        <v>163332000</v>
      </c>
    </row>
    <row r="177" spans="1:8" s="455" customFormat="1" ht="12.75">
      <c r="A177" s="353" t="s">
        <v>993</v>
      </c>
      <c r="B177" s="366"/>
      <c r="C177" s="351">
        <v>799</v>
      </c>
      <c r="D177" s="353" t="s">
        <v>769</v>
      </c>
      <c r="E177" s="353" t="s">
        <v>918</v>
      </c>
      <c r="F177" s="351">
        <v>9400</v>
      </c>
      <c r="G177" s="351">
        <v>9449</v>
      </c>
      <c r="H177" s="367">
        <v>5194000</v>
      </c>
    </row>
    <row r="178" spans="1:8" s="217" customFormat="1" ht="12.75">
      <c r="A178" s="347">
        <v>3</v>
      </c>
      <c r="B178" s="363" t="s">
        <v>536</v>
      </c>
      <c r="C178" s="351"/>
      <c r="D178" s="351"/>
      <c r="E178" s="351"/>
      <c r="F178" s="351"/>
      <c r="G178" s="351"/>
      <c r="H178" s="365">
        <f>H179+H182+H185</f>
        <v>1928620000</v>
      </c>
    </row>
    <row r="179" spans="1:8" s="455" customFormat="1" ht="12.75">
      <c r="A179" s="350" t="s">
        <v>523</v>
      </c>
      <c r="B179" s="571" t="s">
        <v>994</v>
      </c>
      <c r="C179" s="351"/>
      <c r="D179" s="351"/>
      <c r="E179" s="351"/>
      <c r="F179" s="351"/>
      <c r="G179" s="351"/>
      <c r="H179" s="332">
        <f>SUM(H180:H181)</f>
        <v>996200000</v>
      </c>
    </row>
    <row r="180" spans="1:8" s="455" customFormat="1" ht="12.75">
      <c r="A180" s="353" t="s">
        <v>990</v>
      </c>
      <c r="B180" s="335"/>
      <c r="C180" s="351">
        <v>799</v>
      </c>
      <c r="D180" s="351">
        <v>280</v>
      </c>
      <c r="E180" s="351">
        <v>292</v>
      </c>
      <c r="F180" s="351">
        <v>9300</v>
      </c>
      <c r="G180" s="351">
        <v>9301</v>
      </c>
      <c r="H180" s="333">
        <v>945491000</v>
      </c>
    </row>
    <row r="181" spans="1:8" s="455" customFormat="1" ht="12.75">
      <c r="A181" s="353" t="s">
        <v>990</v>
      </c>
      <c r="B181" s="335"/>
      <c r="C181" s="351">
        <v>799</v>
      </c>
      <c r="D181" s="351">
        <v>280</v>
      </c>
      <c r="E181" s="351">
        <v>292</v>
      </c>
      <c r="F181" s="351">
        <v>9400</v>
      </c>
      <c r="G181" s="351">
        <v>9402</v>
      </c>
      <c r="H181" s="333">
        <v>50709000</v>
      </c>
    </row>
    <row r="182" spans="1:8" s="455" customFormat="1" ht="12.75">
      <c r="A182" s="350" t="s">
        <v>524</v>
      </c>
      <c r="B182" s="571" t="s">
        <v>995</v>
      </c>
      <c r="C182" s="351"/>
      <c r="D182" s="351"/>
      <c r="E182" s="351"/>
      <c r="F182" s="351"/>
      <c r="G182" s="351"/>
      <c r="H182" s="332">
        <f>SUM(H183:H184)</f>
        <v>891000000</v>
      </c>
    </row>
    <row r="183" spans="1:8" s="455" customFormat="1" ht="12.75">
      <c r="A183" s="353" t="s">
        <v>990</v>
      </c>
      <c r="B183" s="335"/>
      <c r="C183" s="351">
        <v>799</v>
      </c>
      <c r="D183" s="351">
        <v>280</v>
      </c>
      <c r="E183" s="351">
        <v>292</v>
      </c>
      <c r="F183" s="351">
        <v>9300</v>
      </c>
      <c r="G183" s="351">
        <v>9301</v>
      </c>
      <c r="H183" s="333">
        <v>850180000</v>
      </c>
    </row>
    <row r="184" spans="1:8" s="455" customFormat="1" ht="12.75">
      <c r="A184" s="353" t="s">
        <v>990</v>
      </c>
      <c r="B184" s="335"/>
      <c r="C184" s="351">
        <v>799</v>
      </c>
      <c r="D184" s="351">
        <v>280</v>
      </c>
      <c r="E184" s="351">
        <v>292</v>
      </c>
      <c r="F184" s="351">
        <v>9400</v>
      </c>
      <c r="G184" s="351">
        <v>9402</v>
      </c>
      <c r="H184" s="333">
        <v>40820000</v>
      </c>
    </row>
    <row r="185" spans="1:8" s="131" customFormat="1" ht="12.75">
      <c r="A185" s="350" t="s">
        <v>537</v>
      </c>
      <c r="B185" s="571" t="s">
        <v>996</v>
      </c>
      <c r="C185" s="350"/>
      <c r="D185" s="350"/>
      <c r="E185" s="350"/>
      <c r="F185" s="350"/>
      <c r="G185" s="350"/>
      <c r="H185" s="332">
        <f>H186</f>
        <v>41420000</v>
      </c>
    </row>
    <row r="186" spans="1:8" s="455" customFormat="1" ht="12.75">
      <c r="A186" s="353" t="s">
        <v>997</v>
      </c>
      <c r="B186" s="335"/>
      <c r="C186" s="351">
        <v>799</v>
      </c>
      <c r="D186" s="351">
        <v>220</v>
      </c>
      <c r="E186" s="351">
        <v>221</v>
      </c>
      <c r="F186" s="351">
        <v>9300</v>
      </c>
      <c r="G186" s="351">
        <v>9301</v>
      </c>
      <c r="H186" s="333">
        <v>41420000</v>
      </c>
    </row>
    <row r="187" spans="1:8" s="217" customFormat="1" ht="12.75">
      <c r="A187" s="347">
        <v>4</v>
      </c>
      <c r="B187" s="586" t="s">
        <v>535</v>
      </c>
      <c r="C187" s="347"/>
      <c r="D187" s="347"/>
      <c r="E187" s="347"/>
      <c r="F187" s="347"/>
      <c r="G187" s="347"/>
      <c r="H187" s="576">
        <f>H188+H190</f>
        <v>278000000</v>
      </c>
    </row>
    <row r="188" spans="1:8" s="131" customFormat="1" ht="12.75">
      <c r="A188" s="350" t="s">
        <v>525</v>
      </c>
      <c r="B188" s="571" t="s">
        <v>998</v>
      </c>
      <c r="C188" s="350"/>
      <c r="D188" s="350"/>
      <c r="E188" s="350"/>
      <c r="F188" s="350"/>
      <c r="G188" s="350"/>
      <c r="H188" s="332">
        <f>H189</f>
        <v>78000000</v>
      </c>
    </row>
    <row r="189" spans="1:8" s="455" customFormat="1" ht="12.75">
      <c r="A189" s="353" t="s">
        <v>990</v>
      </c>
      <c r="B189" s="335"/>
      <c r="C189" s="351">
        <v>799</v>
      </c>
      <c r="D189" s="351">
        <v>280</v>
      </c>
      <c r="E189" s="351">
        <v>292</v>
      </c>
      <c r="F189" s="351">
        <v>9300</v>
      </c>
      <c r="G189" s="351">
        <v>9301</v>
      </c>
      <c r="H189" s="333">
        <v>78000000</v>
      </c>
    </row>
    <row r="190" spans="1:8" s="131" customFormat="1" ht="12.75">
      <c r="A190" s="350" t="s">
        <v>526</v>
      </c>
      <c r="B190" s="571" t="s">
        <v>999</v>
      </c>
      <c r="C190" s="350"/>
      <c r="D190" s="350"/>
      <c r="E190" s="350"/>
      <c r="F190" s="350"/>
      <c r="G190" s="350"/>
      <c r="H190" s="332">
        <f>SUM(H191:H193)</f>
        <v>200000000</v>
      </c>
    </row>
    <row r="191" spans="1:8" s="455" customFormat="1" ht="12.75">
      <c r="A191" s="353" t="s">
        <v>990</v>
      </c>
      <c r="B191" s="335"/>
      <c r="C191" s="351">
        <v>799</v>
      </c>
      <c r="D191" s="351">
        <v>160</v>
      </c>
      <c r="E191" s="351">
        <v>161</v>
      </c>
      <c r="F191" s="351">
        <v>9300</v>
      </c>
      <c r="G191" s="351">
        <v>9301</v>
      </c>
      <c r="H191" s="333">
        <v>165660000</v>
      </c>
    </row>
    <row r="192" spans="1:8" s="455" customFormat="1" ht="12.75">
      <c r="A192" s="353" t="s">
        <v>990</v>
      </c>
      <c r="B192" s="335"/>
      <c r="C192" s="351">
        <v>799</v>
      </c>
      <c r="D192" s="351">
        <v>160</v>
      </c>
      <c r="E192" s="351">
        <v>161</v>
      </c>
      <c r="F192" s="351">
        <v>9400</v>
      </c>
      <c r="G192" s="351">
        <v>9401</v>
      </c>
      <c r="H192" s="333">
        <v>8944000</v>
      </c>
    </row>
    <row r="193" spans="1:8" s="455" customFormat="1" ht="12.75">
      <c r="A193" s="353" t="s">
        <v>990</v>
      </c>
      <c r="B193" s="335"/>
      <c r="C193" s="351">
        <v>799</v>
      </c>
      <c r="D193" s="351">
        <v>160</v>
      </c>
      <c r="E193" s="351">
        <v>161</v>
      </c>
      <c r="F193" s="351">
        <v>9400</v>
      </c>
      <c r="G193" s="351">
        <v>9402</v>
      </c>
      <c r="H193" s="333">
        <v>25396000</v>
      </c>
    </row>
    <row r="194" spans="1:8" s="217" customFormat="1" ht="19.5" customHeight="1">
      <c r="A194" s="347">
        <v>5</v>
      </c>
      <c r="B194" s="586" t="s">
        <v>529</v>
      </c>
      <c r="C194" s="347"/>
      <c r="D194" s="347"/>
      <c r="E194" s="347"/>
      <c r="F194" s="347"/>
      <c r="G194" s="347"/>
      <c r="H194" s="576">
        <f>H195+H198+H202</f>
        <v>2055090000</v>
      </c>
    </row>
    <row r="195" spans="1:8" s="131" customFormat="1" ht="16.5" customHeight="1">
      <c r="A195" s="350" t="s">
        <v>527</v>
      </c>
      <c r="B195" s="571" t="s">
        <v>1000</v>
      </c>
      <c r="C195" s="350"/>
      <c r="D195" s="350"/>
      <c r="E195" s="350"/>
      <c r="F195" s="350"/>
      <c r="G195" s="350"/>
      <c r="H195" s="332">
        <f>SUM(H196:H197)</f>
        <v>937100000</v>
      </c>
    </row>
    <row r="196" spans="1:8" s="455" customFormat="1" ht="12.75">
      <c r="A196" s="353" t="s">
        <v>990</v>
      </c>
      <c r="B196" s="335"/>
      <c r="C196" s="351">
        <v>799</v>
      </c>
      <c r="D196" s="353" t="s">
        <v>769</v>
      </c>
      <c r="E196" s="353" t="s">
        <v>770</v>
      </c>
      <c r="F196" s="351">
        <v>9300</v>
      </c>
      <c r="G196" s="351">
        <v>9301</v>
      </c>
      <c r="H196" s="333">
        <v>877952000</v>
      </c>
    </row>
    <row r="197" spans="1:8" s="455" customFormat="1" ht="12.75">
      <c r="A197" s="353" t="s">
        <v>990</v>
      </c>
      <c r="B197" s="335"/>
      <c r="C197" s="351">
        <v>799</v>
      </c>
      <c r="D197" s="353" t="s">
        <v>769</v>
      </c>
      <c r="E197" s="353" t="s">
        <v>770</v>
      </c>
      <c r="F197" s="351">
        <v>9400</v>
      </c>
      <c r="G197" s="351">
        <v>9402</v>
      </c>
      <c r="H197" s="333">
        <v>59148000</v>
      </c>
    </row>
    <row r="198" spans="1:8" s="131" customFormat="1" ht="19.5" customHeight="1">
      <c r="A198" s="350" t="s">
        <v>936</v>
      </c>
      <c r="B198" s="571" t="s">
        <v>1001</v>
      </c>
      <c r="C198" s="350"/>
      <c r="D198" s="350"/>
      <c r="E198" s="350"/>
      <c r="F198" s="350"/>
      <c r="G198" s="350"/>
      <c r="H198" s="332">
        <f>SUM(H199:H201)</f>
        <v>956200000</v>
      </c>
    </row>
    <row r="199" spans="1:8" s="455" customFormat="1" ht="12.75">
      <c r="A199" s="353" t="s">
        <v>990</v>
      </c>
      <c r="B199" s="335"/>
      <c r="C199" s="351">
        <v>799</v>
      </c>
      <c r="D199" s="353">
        <v>280</v>
      </c>
      <c r="E199" s="353">
        <v>292</v>
      </c>
      <c r="F199" s="351">
        <v>9300</v>
      </c>
      <c r="G199" s="351">
        <v>9301</v>
      </c>
      <c r="H199" s="333">
        <v>824949000</v>
      </c>
    </row>
    <row r="200" spans="1:8" s="455" customFormat="1" ht="12.75">
      <c r="A200" s="353" t="s">
        <v>990</v>
      </c>
      <c r="B200" s="335"/>
      <c r="C200" s="351">
        <v>799</v>
      </c>
      <c r="D200" s="353">
        <v>280</v>
      </c>
      <c r="E200" s="353">
        <v>292</v>
      </c>
      <c r="F200" s="351">
        <v>9400</v>
      </c>
      <c r="G200" s="351">
        <v>9401</v>
      </c>
      <c r="H200" s="333">
        <v>27600000</v>
      </c>
    </row>
    <row r="201" spans="1:8" s="455" customFormat="1" ht="12.75">
      <c r="A201" s="353" t="s">
        <v>990</v>
      </c>
      <c r="B201" s="335"/>
      <c r="C201" s="351">
        <v>799</v>
      </c>
      <c r="D201" s="353">
        <v>280</v>
      </c>
      <c r="E201" s="353">
        <v>292</v>
      </c>
      <c r="F201" s="351">
        <v>9400</v>
      </c>
      <c r="G201" s="351">
        <v>9402</v>
      </c>
      <c r="H201" s="333">
        <v>103651000</v>
      </c>
    </row>
    <row r="202" spans="1:8" s="131" customFormat="1" ht="12.75">
      <c r="A202" s="350" t="s">
        <v>938</v>
      </c>
      <c r="B202" s="571" t="s">
        <v>1002</v>
      </c>
      <c r="C202" s="350"/>
      <c r="D202" s="350"/>
      <c r="E202" s="350"/>
      <c r="F202" s="350"/>
      <c r="G202" s="350"/>
      <c r="H202" s="332">
        <f>SUM(H203:H205)</f>
        <v>161790000</v>
      </c>
    </row>
    <row r="203" spans="1:8" s="455" customFormat="1" ht="12.75">
      <c r="A203" s="353" t="s">
        <v>997</v>
      </c>
      <c r="B203" s="335"/>
      <c r="C203" s="351">
        <v>799</v>
      </c>
      <c r="D203" s="353">
        <v>220</v>
      </c>
      <c r="E203" s="353">
        <v>221</v>
      </c>
      <c r="F203" s="351">
        <v>9300</v>
      </c>
      <c r="G203" s="351">
        <v>9301</v>
      </c>
      <c r="H203" s="333">
        <v>140358000</v>
      </c>
    </row>
    <row r="204" spans="1:8" s="455" customFormat="1" ht="12.75">
      <c r="A204" s="353" t="s">
        <v>997</v>
      </c>
      <c r="B204" s="335"/>
      <c r="C204" s="351">
        <v>799</v>
      </c>
      <c r="D204" s="353">
        <v>220</v>
      </c>
      <c r="E204" s="353">
        <v>221</v>
      </c>
      <c r="F204" s="351">
        <v>9400</v>
      </c>
      <c r="G204" s="351">
        <v>9401</v>
      </c>
      <c r="H204" s="333">
        <v>5614000</v>
      </c>
    </row>
    <row r="205" spans="1:8" s="455" customFormat="1" ht="12.75">
      <c r="A205" s="353" t="s">
        <v>997</v>
      </c>
      <c r="B205" s="335"/>
      <c r="C205" s="351">
        <v>799</v>
      </c>
      <c r="D205" s="353">
        <v>220</v>
      </c>
      <c r="E205" s="353">
        <v>221</v>
      </c>
      <c r="F205" s="351">
        <v>9400</v>
      </c>
      <c r="G205" s="351">
        <v>9402</v>
      </c>
      <c r="H205" s="333">
        <v>15818000</v>
      </c>
    </row>
    <row r="206" spans="1:8" s="217" customFormat="1" ht="12.75">
      <c r="A206" s="347">
        <v>6</v>
      </c>
      <c r="B206" s="586" t="s">
        <v>530</v>
      </c>
      <c r="C206" s="347"/>
      <c r="D206" s="347"/>
      <c r="E206" s="347"/>
      <c r="F206" s="347"/>
      <c r="G206" s="347"/>
      <c r="H206" s="576">
        <f>H207+H211+H213+H216</f>
        <v>1993533000</v>
      </c>
    </row>
    <row r="207" spans="1:8" s="131" customFormat="1" ht="25.5">
      <c r="A207" s="350" t="s">
        <v>942</v>
      </c>
      <c r="B207" s="571" t="s">
        <v>1003</v>
      </c>
      <c r="C207" s="350"/>
      <c r="D207" s="350"/>
      <c r="E207" s="350"/>
      <c r="F207" s="350"/>
      <c r="G207" s="350"/>
      <c r="H207" s="332">
        <f>SUM(H208:H210)</f>
        <v>756000000</v>
      </c>
    </row>
    <row r="208" spans="1:8" s="455" customFormat="1" ht="12.75">
      <c r="A208" s="353" t="s">
        <v>990</v>
      </c>
      <c r="B208" s="335"/>
      <c r="C208" s="351">
        <v>799</v>
      </c>
      <c r="D208" s="353">
        <v>280</v>
      </c>
      <c r="E208" s="353">
        <v>292</v>
      </c>
      <c r="F208" s="351">
        <v>9300</v>
      </c>
      <c r="G208" s="351">
        <v>9301</v>
      </c>
      <c r="H208" s="333">
        <v>647006000</v>
      </c>
    </row>
    <row r="209" spans="1:8" s="455" customFormat="1" ht="12.75">
      <c r="A209" s="353" t="s">
        <v>990</v>
      </c>
      <c r="B209" s="335"/>
      <c r="C209" s="351">
        <v>799</v>
      </c>
      <c r="D209" s="353">
        <v>280</v>
      </c>
      <c r="E209" s="353">
        <v>292</v>
      </c>
      <c r="F209" s="351">
        <v>9400</v>
      </c>
      <c r="G209" s="351">
        <v>9401</v>
      </c>
      <c r="H209" s="333">
        <v>21948000</v>
      </c>
    </row>
    <row r="210" spans="1:8" s="455" customFormat="1" ht="12.75">
      <c r="A210" s="353" t="s">
        <v>990</v>
      </c>
      <c r="B210" s="335"/>
      <c r="C210" s="351">
        <v>799</v>
      </c>
      <c r="D210" s="353">
        <v>280</v>
      </c>
      <c r="E210" s="353">
        <v>292</v>
      </c>
      <c r="F210" s="351">
        <v>9400</v>
      </c>
      <c r="G210" s="351">
        <v>9402</v>
      </c>
      <c r="H210" s="333">
        <v>87046000</v>
      </c>
    </row>
    <row r="211" spans="1:8" s="131" customFormat="1" ht="12.75">
      <c r="A211" s="587" t="s">
        <v>944</v>
      </c>
      <c r="B211" s="571" t="s">
        <v>1004</v>
      </c>
      <c r="C211" s="587"/>
      <c r="D211" s="587"/>
      <c r="E211" s="587"/>
      <c r="F211" s="587"/>
      <c r="G211" s="587"/>
      <c r="H211" s="588">
        <f>H212</f>
        <v>408000000</v>
      </c>
    </row>
    <row r="212" spans="1:8" s="455" customFormat="1" ht="12.75">
      <c r="A212" s="353" t="s">
        <v>990</v>
      </c>
      <c r="B212" s="335"/>
      <c r="C212" s="351">
        <v>799</v>
      </c>
      <c r="D212" s="353">
        <v>280</v>
      </c>
      <c r="E212" s="353">
        <v>292</v>
      </c>
      <c r="F212" s="351">
        <v>9300</v>
      </c>
      <c r="G212" s="351">
        <v>9301</v>
      </c>
      <c r="H212" s="333">
        <v>408000000</v>
      </c>
    </row>
    <row r="213" spans="1:8" s="131" customFormat="1" ht="12.75">
      <c r="A213" s="356" t="s">
        <v>946</v>
      </c>
      <c r="B213" s="571" t="s">
        <v>1005</v>
      </c>
      <c r="C213" s="350"/>
      <c r="D213" s="356"/>
      <c r="E213" s="356"/>
      <c r="F213" s="350"/>
      <c r="G213" s="350"/>
      <c r="H213" s="332">
        <f>SUM(H214:H215)</f>
        <v>667743000</v>
      </c>
    </row>
    <row r="214" spans="1:8" s="455" customFormat="1" ht="12.75">
      <c r="A214" s="353" t="s">
        <v>990</v>
      </c>
      <c r="B214" s="335"/>
      <c r="C214" s="351">
        <v>799</v>
      </c>
      <c r="D214" s="353">
        <v>280</v>
      </c>
      <c r="E214" s="353">
        <v>292</v>
      </c>
      <c r="F214" s="351">
        <v>9300</v>
      </c>
      <c r="G214" s="351">
        <v>9301</v>
      </c>
      <c r="H214" s="333">
        <v>647062000</v>
      </c>
    </row>
    <row r="215" spans="1:8" s="455" customFormat="1" ht="12.75">
      <c r="A215" s="353" t="s">
        <v>990</v>
      </c>
      <c r="B215" s="335"/>
      <c r="C215" s="351">
        <v>799</v>
      </c>
      <c r="D215" s="353">
        <v>280</v>
      </c>
      <c r="E215" s="353">
        <v>292</v>
      </c>
      <c r="F215" s="351">
        <v>9400</v>
      </c>
      <c r="G215" s="351">
        <v>9402</v>
      </c>
      <c r="H215" s="333">
        <v>20681000</v>
      </c>
    </row>
    <row r="216" spans="1:8" s="131" customFormat="1" ht="12.75">
      <c r="A216" s="587" t="s">
        <v>948</v>
      </c>
      <c r="B216" s="571" t="s">
        <v>1006</v>
      </c>
      <c r="C216" s="587"/>
      <c r="D216" s="587"/>
      <c r="E216" s="587"/>
      <c r="F216" s="587"/>
      <c r="G216" s="587"/>
      <c r="H216" s="332">
        <f>SUM(H217:H219)</f>
        <v>161790000</v>
      </c>
    </row>
    <row r="217" spans="1:8" s="455" customFormat="1" ht="12.75">
      <c r="A217" s="353" t="s">
        <v>997</v>
      </c>
      <c r="B217" s="335"/>
      <c r="C217" s="351">
        <v>799</v>
      </c>
      <c r="D217" s="353">
        <v>220</v>
      </c>
      <c r="E217" s="353">
        <v>221</v>
      </c>
      <c r="F217" s="351">
        <v>9300</v>
      </c>
      <c r="G217" s="351">
        <v>9301</v>
      </c>
      <c r="H217" s="333">
        <v>140069000</v>
      </c>
    </row>
    <row r="218" spans="1:8" s="455" customFormat="1" ht="12.75">
      <c r="A218" s="353" t="s">
        <v>997</v>
      </c>
      <c r="B218" s="335"/>
      <c r="C218" s="351">
        <v>799</v>
      </c>
      <c r="D218" s="353">
        <v>220</v>
      </c>
      <c r="E218" s="353">
        <v>221</v>
      </c>
      <c r="F218" s="351">
        <v>9400</v>
      </c>
      <c r="G218" s="351">
        <v>9401</v>
      </c>
      <c r="H218" s="333">
        <v>5657000</v>
      </c>
    </row>
    <row r="219" spans="1:8" s="455" customFormat="1" ht="12.75">
      <c r="A219" s="353" t="s">
        <v>997</v>
      </c>
      <c r="B219" s="335"/>
      <c r="C219" s="351">
        <v>799</v>
      </c>
      <c r="D219" s="353">
        <v>220</v>
      </c>
      <c r="E219" s="353">
        <v>221</v>
      </c>
      <c r="F219" s="351">
        <v>9400</v>
      </c>
      <c r="G219" s="351">
        <v>9402</v>
      </c>
      <c r="H219" s="333">
        <v>16064000</v>
      </c>
    </row>
    <row r="220" spans="1:8" s="217" customFormat="1" ht="18.75" customHeight="1">
      <c r="A220" s="589">
        <v>7</v>
      </c>
      <c r="B220" s="590" t="s">
        <v>531</v>
      </c>
      <c r="C220" s="589"/>
      <c r="D220" s="589"/>
      <c r="E220" s="589"/>
      <c r="F220" s="589"/>
      <c r="G220" s="589"/>
      <c r="H220" s="591">
        <f>H221+H223</f>
        <v>1165890000</v>
      </c>
    </row>
    <row r="221" spans="1:8" s="131" customFormat="1" ht="25.5">
      <c r="A221" s="587" t="s">
        <v>958</v>
      </c>
      <c r="B221" s="571" t="s">
        <v>1007</v>
      </c>
      <c r="C221" s="587"/>
      <c r="D221" s="587"/>
      <c r="E221" s="587"/>
      <c r="F221" s="587"/>
      <c r="G221" s="587"/>
      <c r="H221" s="588">
        <f>H222</f>
        <v>375060000</v>
      </c>
    </row>
    <row r="222" spans="1:8" s="455" customFormat="1" ht="12.75">
      <c r="A222" s="353" t="s">
        <v>990</v>
      </c>
      <c r="B222" s="335"/>
      <c r="C222" s="351">
        <v>799</v>
      </c>
      <c r="D222" s="353">
        <v>280</v>
      </c>
      <c r="E222" s="353">
        <v>292</v>
      </c>
      <c r="F222" s="351">
        <v>9300</v>
      </c>
      <c r="G222" s="351">
        <v>9301</v>
      </c>
      <c r="H222" s="333">
        <v>375060000</v>
      </c>
    </row>
    <row r="223" spans="1:8" s="131" customFormat="1" ht="38.25">
      <c r="A223" s="356" t="s">
        <v>960</v>
      </c>
      <c r="B223" s="571" t="s">
        <v>1008</v>
      </c>
      <c r="C223" s="350"/>
      <c r="D223" s="356"/>
      <c r="E223" s="356"/>
      <c r="F223" s="350"/>
      <c r="G223" s="350"/>
      <c r="H223" s="332">
        <f>H224</f>
        <v>790830000</v>
      </c>
    </row>
    <row r="224" spans="1:8" s="455" customFormat="1" ht="12.75">
      <c r="A224" s="353" t="s">
        <v>990</v>
      </c>
      <c r="B224" s="335"/>
      <c r="C224" s="351">
        <v>799</v>
      </c>
      <c r="D224" s="353">
        <v>280</v>
      </c>
      <c r="E224" s="353">
        <v>292</v>
      </c>
      <c r="F224" s="351">
        <v>9300</v>
      </c>
      <c r="G224" s="351">
        <v>9301</v>
      </c>
      <c r="H224" s="333">
        <v>790830000</v>
      </c>
    </row>
    <row r="225" spans="1:8" s="217" customFormat="1" ht="12.75">
      <c r="A225" s="574">
        <v>8</v>
      </c>
      <c r="B225" s="592" t="s">
        <v>532</v>
      </c>
      <c r="C225" s="347"/>
      <c r="D225" s="574"/>
      <c r="E225" s="574"/>
      <c r="F225" s="347"/>
      <c r="G225" s="347"/>
      <c r="H225" s="576">
        <f>H226+H228+H230+H232+H236</f>
        <v>1877535000</v>
      </c>
    </row>
    <row r="226" spans="1:8" s="131" customFormat="1" ht="25.5">
      <c r="A226" s="356" t="s">
        <v>968</v>
      </c>
      <c r="B226" s="571" t="s">
        <v>1009</v>
      </c>
      <c r="C226" s="350"/>
      <c r="D226" s="356"/>
      <c r="E226" s="356"/>
      <c r="F226" s="350"/>
      <c r="G226" s="350"/>
      <c r="H226" s="332">
        <f>H227</f>
        <v>184467000</v>
      </c>
    </row>
    <row r="227" spans="1:8" s="455" customFormat="1" ht="12.75">
      <c r="A227" s="353" t="s">
        <v>990</v>
      </c>
      <c r="B227" s="335"/>
      <c r="C227" s="351">
        <v>799</v>
      </c>
      <c r="D227" s="353">
        <v>280</v>
      </c>
      <c r="E227" s="353">
        <v>292</v>
      </c>
      <c r="F227" s="351">
        <v>9300</v>
      </c>
      <c r="G227" s="351">
        <v>9301</v>
      </c>
      <c r="H227" s="333">
        <v>184467000</v>
      </c>
    </row>
    <row r="228" spans="1:8" s="131" customFormat="1" ht="12.75">
      <c r="A228" s="356" t="s">
        <v>970</v>
      </c>
      <c r="B228" s="571" t="s">
        <v>1010</v>
      </c>
      <c r="C228" s="350"/>
      <c r="D228" s="356"/>
      <c r="E228" s="356"/>
      <c r="F228" s="350"/>
      <c r="G228" s="350"/>
      <c r="H228" s="332">
        <f>H229</f>
        <v>136276000</v>
      </c>
    </row>
    <row r="229" spans="1:8" s="455" customFormat="1" ht="12.75">
      <c r="A229" s="353" t="s">
        <v>990</v>
      </c>
      <c r="B229" s="335"/>
      <c r="C229" s="351">
        <v>799</v>
      </c>
      <c r="D229" s="353">
        <v>280</v>
      </c>
      <c r="E229" s="353">
        <v>292</v>
      </c>
      <c r="F229" s="351">
        <v>9300</v>
      </c>
      <c r="G229" s="351">
        <v>9301</v>
      </c>
      <c r="H229" s="333">
        <v>136276000</v>
      </c>
    </row>
    <row r="230" spans="1:8" s="131" customFormat="1" ht="25.5">
      <c r="A230" s="356" t="s">
        <v>972</v>
      </c>
      <c r="B230" s="571" t="s">
        <v>1011</v>
      </c>
      <c r="C230" s="350"/>
      <c r="D230" s="356"/>
      <c r="E230" s="356"/>
      <c r="F230" s="350"/>
      <c r="G230" s="350"/>
      <c r="H230" s="332">
        <f>H231</f>
        <v>113546000</v>
      </c>
    </row>
    <row r="231" spans="1:8" s="455" customFormat="1" ht="12.75">
      <c r="A231" s="353" t="s">
        <v>990</v>
      </c>
      <c r="B231" s="335"/>
      <c r="C231" s="351">
        <v>799</v>
      </c>
      <c r="D231" s="353">
        <v>280</v>
      </c>
      <c r="E231" s="353">
        <v>292</v>
      </c>
      <c r="F231" s="351">
        <v>9300</v>
      </c>
      <c r="G231" s="351">
        <v>9301</v>
      </c>
      <c r="H231" s="333">
        <v>113546000</v>
      </c>
    </row>
    <row r="232" spans="1:8" s="131" customFormat="1" ht="25.5">
      <c r="A232" s="356" t="s">
        <v>974</v>
      </c>
      <c r="B232" s="571" t="s">
        <v>1012</v>
      </c>
      <c r="C232" s="350"/>
      <c r="D232" s="356"/>
      <c r="E232" s="356"/>
      <c r="F232" s="350"/>
      <c r="G232" s="350"/>
      <c r="H232" s="332">
        <f>SUM(H233:H235)</f>
        <v>599946000</v>
      </c>
    </row>
    <row r="233" spans="1:8" s="455" customFormat="1" ht="12.75">
      <c r="A233" s="353" t="s">
        <v>990</v>
      </c>
      <c r="B233" s="335"/>
      <c r="C233" s="351">
        <v>799</v>
      </c>
      <c r="D233" s="353">
        <v>280</v>
      </c>
      <c r="E233" s="353">
        <v>292</v>
      </c>
      <c r="F233" s="351">
        <v>9300</v>
      </c>
      <c r="G233" s="351">
        <v>9301</v>
      </c>
      <c r="H233" s="333">
        <v>509313000</v>
      </c>
    </row>
    <row r="234" spans="1:8" s="455" customFormat="1" ht="12.75">
      <c r="A234" s="353" t="s">
        <v>990</v>
      </c>
      <c r="B234" s="335"/>
      <c r="C234" s="351">
        <v>799</v>
      </c>
      <c r="D234" s="353">
        <v>280</v>
      </c>
      <c r="E234" s="353">
        <v>292</v>
      </c>
      <c r="F234" s="351">
        <v>9400</v>
      </c>
      <c r="G234" s="351">
        <v>9401</v>
      </c>
      <c r="H234" s="333">
        <v>17557000</v>
      </c>
    </row>
    <row r="235" spans="1:8" s="455" customFormat="1" ht="12.75">
      <c r="A235" s="353" t="s">
        <v>990</v>
      </c>
      <c r="B235" s="335"/>
      <c r="C235" s="351">
        <v>799</v>
      </c>
      <c r="D235" s="353">
        <v>280</v>
      </c>
      <c r="E235" s="353">
        <v>292</v>
      </c>
      <c r="F235" s="351">
        <v>9400</v>
      </c>
      <c r="G235" s="351">
        <v>9402</v>
      </c>
      <c r="H235" s="333">
        <v>73076000</v>
      </c>
    </row>
    <row r="236" spans="1:8" s="455" customFormat="1" ht="25.5">
      <c r="A236" s="593" t="s">
        <v>1013</v>
      </c>
      <c r="B236" s="571" t="s">
        <v>1014</v>
      </c>
      <c r="C236" s="593"/>
      <c r="D236" s="593"/>
      <c r="E236" s="593"/>
      <c r="F236" s="593"/>
      <c r="G236" s="593"/>
      <c r="H236" s="332">
        <f>SUM(H237:H239)</f>
        <v>843300000</v>
      </c>
    </row>
    <row r="237" spans="1:8" s="455" customFormat="1" ht="12.75">
      <c r="A237" s="353" t="s">
        <v>990</v>
      </c>
      <c r="B237" s="335"/>
      <c r="C237" s="351">
        <v>799</v>
      </c>
      <c r="D237" s="353">
        <v>280</v>
      </c>
      <c r="E237" s="353">
        <v>292</v>
      </c>
      <c r="F237" s="351">
        <v>9300</v>
      </c>
      <c r="G237" s="351">
        <v>9301</v>
      </c>
      <c r="H237" s="333">
        <v>719986000</v>
      </c>
    </row>
    <row r="238" spans="1:8" s="455" customFormat="1" ht="12.75">
      <c r="A238" s="353" t="s">
        <v>990</v>
      </c>
      <c r="B238" s="335"/>
      <c r="C238" s="351">
        <v>799</v>
      </c>
      <c r="D238" s="353">
        <v>280</v>
      </c>
      <c r="E238" s="353">
        <v>292</v>
      </c>
      <c r="F238" s="351">
        <v>9400</v>
      </c>
      <c r="G238" s="351">
        <v>9401</v>
      </c>
      <c r="H238" s="333">
        <v>24792000</v>
      </c>
    </row>
    <row r="239" spans="1:8" s="455" customFormat="1" ht="12.75">
      <c r="A239" s="353" t="s">
        <v>990</v>
      </c>
      <c r="B239" s="335"/>
      <c r="C239" s="351">
        <v>799</v>
      </c>
      <c r="D239" s="353">
        <v>280</v>
      </c>
      <c r="E239" s="353">
        <v>292</v>
      </c>
      <c r="F239" s="351">
        <v>9400</v>
      </c>
      <c r="G239" s="351">
        <v>9402</v>
      </c>
      <c r="H239" s="333">
        <v>98522000</v>
      </c>
    </row>
    <row r="240" spans="1:10" s="217" customFormat="1" ht="18.75" customHeight="1">
      <c r="A240" s="589" t="s">
        <v>363</v>
      </c>
      <c r="B240" s="590" t="s">
        <v>528</v>
      </c>
      <c r="C240" s="589"/>
      <c r="D240" s="589"/>
      <c r="E240" s="589"/>
      <c r="F240" s="589"/>
      <c r="G240" s="589"/>
      <c r="H240" s="591">
        <f>H241+H250+H269+H272+H282+H285+H297+H304</f>
        <v>4346684487</v>
      </c>
      <c r="J240" s="594"/>
    </row>
    <row r="241" spans="1:8" s="217" customFormat="1" ht="12.75">
      <c r="A241" s="589">
        <v>1</v>
      </c>
      <c r="B241" s="590" t="s">
        <v>1015</v>
      </c>
      <c r="C241" s="589"/>
      <c r="D241" s="589"/>
      <c r="E241" s="589"/>
      <c r="F241" s="589"/>
      <c r="G241" s="589"/>
      <c r="H241" s="591">
        <f>H242+H244+H246+H248</f>
        <v>216000000</v>
      </c>
    </row>
    <row r="242" spans="1:8" s="131" customFormat="1" ht="12.75">
      <c r="A242" s="587" t="s">
        <v>366</v>
      </c>
      <c r="B242" s="595" t="s">
        <v>536</v>
      </c>
      <c r="C242" s="587"/>
      <c r="D242" s="587"/>
      <c r="E242" s="587"/>
      <c r="F242" s="587"/>
      <c r="G242" s="587"/>
      <c r="H242" s="588">
        <f>H243</f>
        <v>84000000</v>
      </c>
    </row>
    <row r="243" spans="1:8" s="455" customFormat="1" ht="12.75">
      <c r="A243" s="596" t="s">
        <v>985</v>
      </c>
      <c r="B243" s="571"/>
      <c r="C243" s="593">
        <v>799</v>
      </c>
      <c r="D243" s="593">
        <v>280</v>
      </c>
      <c r="E243" s="593">
        <v>338</v>
      </c>
      <c r="F243" s="593">
        <v>7100</v>
      </c>
      <c r="G243" s="593">
        <v>7149</v>
      </c>
      <c r="H243" s="597">
        <v>84000000</v>
      </c>
    </row>
    <row r="244" spans="1:8" s="131" customFormat="1" ht="12.75">
      <c r="A244" s="587" t="s">
        <v>368</v>
      </c>
      <c r="B244" s="595" t="s">
        <v>529</v>
      </c>
      <c r="C244" s="587"/>
      <c r="D244" s="587"/>
      <c r="E244" s="587"/>
      <c r="F244" s="587"/>
      <c r="G244" s="587"/>
      <c r="H244" s="588">
        <f>H245</f>
        <v>84000000</v>
      </c>
    </row>
    <row r="245" spans="1:8" s="455" customFormat="1" ht="12.75">
      <c r="A245" s="596" t="s">
        <v>985</v>
      </c>
      <c r="B245" s="571"/>
      <c r="C245" s="593">
        <v>799</v>
      </c>
      <c r="D245" s="593">
        <v>280</v>
      </c>
      <c r="E245" s="593">
        <v>338</v>
      </c>
      <c r="F245" s="593">
        <v>7100</v>
      </c>
      <c r="G245" s="593">
        <v>7149</v>
      </c>
      <c r="H245" s="597">
        <v>84000000</v>
      </c>
    </row>
    <row r="246" spans="1:8" s="131" customFormat="1" ht="12.75">
      <c r="A246" s="587" t="s">
        <v>370</v>
      </c>
      <c r="B246" s="595" t="s">
        <v>531</v>
      </c>
      <c r="C246" s="587"/>
      <c r="D246" s="587"/>
      <c r="E246" s="587"/>
      <c r="F246" s="587"/>
      <c r="G246" s="587"/>
      <c r="H246" s="588">
        <f>H247</f>
        <v>24000000</v>
      </c>
    </row>
    <row r="247" spans="1:8" s="455" customFormat="1" ht="12.75">
      <c r="A247" s="596" t="s">
        <v>985</v>
      </c>
      <c r="B247" s="571"/>
      <c r="C247" s="593">
        <v>799</v>
      </c>
      <c r="D247" s="593">
        <v>280</v>
      </c>
      <c r="E247" s="593">
        <v>338</v>
      </c>
      <c r="F247" s="593">
        <v>7100</v>
      </c>
      <c r="G247" s="593">
        <v>7149</v>
      </c>
      <c r="H247" s="597">
        <v>24000000</v>
      </c>
    </row>
    <row r="248" spans="1:8" s="131" customFormat="1" ht="12.75">
      <c r="A248" s="587" t="s">
        <v>372</v>
      </c>
      <c r="B248" s="595" t="s">
        <v>532</v>
      </c>
      <c r="C248" s="587"/>
      <c r="D248" s="587"/>
      <c r="E248" s="587"/>
      <c r="F248" s="587"/>
      <c r="G248" s="587"/>
      <c r="H248" s="588">
        <f>H249</f>
        <v>24000000</v>
      </c>
    </row>
    <row r="249" spans="1:8" s="455" customFormat="1" ht="12.75">
      <c r="A249" s="596" t="s">
        <v>985</v>
      </c>
      <c r="B249" s="571"/>
      <c r="C249" s="593">
        <v>799</v>
      </c>
      <c r="D249" s="593">
        <v>280</v>
      </c>
      <c r="E249" s="593">
        <v>338</v>
      </c>
      <c r="F249" s="593">
        <v>7100</v>
      </c>
      <c r="G249" s="593">
        <v>7149</v>
      </c>
      <c r="H249" s="597">
        <v>24000000</v>
      </c>
    </row>
    <row r="250" spans="1:8" s="217" customFormat="1" ht="12.75">
      <c r="A250" s="589">
        <v>2</v>
      </c>
      <c r="B250" s="590" t="s">
        <v>1016</v>
      </c>
      <c r="C250" s="589"/>
      <c r="D250" s="589"/>
      <c r="E250" s="589"/>
      <c r="F250" s="589"/>
      <c r="G250" s="589"/>
      <c r="H250" s="591">
        <f>H251+H256</f>
        <v>3140596000</v>
      </c>
    </row>
    <row r="251" spans="1:8" s="454" customFormat="1" ht="13.5">
      <c r="A251" s="598" t="s">
        <v>401</v>
      </c>
      <c r="B251" s="599" t="s">
        <v>1017</v>
      </c>
      <c r="C251" s="598"/>
      <c r="D251" s="598"/>
      <c r="E251" s="598"/>
      <c r="F251" s="598"/>
      <c r="G251" s="598"/>
      <c r="H251" s="600">
        <f>H252+H254</f>
        <v>1809896000</v>
      </c>
    </row>
    <row r="252" spans="1:8" s="131" customFormat="1" ht="12.75">
      <c r="A252" s="587" t="s">
        <v>1018</v>
      </c>
      <c r="B252" s="595" t="s">
        <v>979</v>
      </c>
      <c r="C252" s="587"/>
      <c r="D252" s="587"/>
      <c r="E252" s="587"/>
      <c r="F252" s="587"/>
      <c r="G252" s="587"/>
      <c r="H252" s="588">
        <f>H253</f>
        <v>1798896000</v>
      </c>
    </row>
    <row r="253" spans="1:8" s="455" customFormat="1" ht="12.75">
      <c r="A253" s="596" t="s">
        <v>1019</v>
      </c>
      <c r="B253" s="595"/>
      <c r="C253" s="593">
        <v>612</v>
      </c>
      <c r="D253" s="593">
        <v>280</v>
      </c>
      <c r="E253" s="593">
        <v>282</v>
      </c>
      <c r="F253" s="593">
        <v>7000</v>
      </c>
      <c r="G253" s="593">
        <v>7049</v>
      </c>
      <c r="H253" s="597">
        <v>1798896000</v>
      </c>
    </row>
    <row r="254" spans="1:8" s="131" customFormat="1" ht="12.75">
      <c r="A254" s="587" t="s">
        <v>1020</v>
      </c>
      <c r="B254" s="595" t="s">
        <v>536</v>
      </c>
      <c r="C254" s="587"/>
      <c r="D254" s="587"/>
      <c r="E254" s="587"/>
      <c r="F254" s="587"/>
      <c r="G254" s="587"/>
      <c r="H254" s="588">
        <f>H255</f>
        <v>11000000</v>
      </c>
    </row>
    <row r="255" spans="1:8" s="455" customFormat="1" ht="12.75">
      <c r="A255" s="596" t="s">
        <v>1019</v>
      </c>
      <c r="B255" s="595"/>
      <c r="C255" s="593">
        <v>799</v>
      </c>
      <c r="D255" s="593">
        <v>280</v>
      </c>
      <c r="E255" s="593">
        <v>282</v>
      </c>
      <c r="F255" s="593">
        <v>7100</v>
      </c>
      <c r="G255" s="593">
        <v>7149</v>
      </c>
      <c r="H255" s="597">
        <v>11000000</v>
      </c>
    </row>
    <row r="256" spans="1:8" s="454" customFormat="1" ht="13.5">
      <c r="A256" s="598" t="s">
        <v>403</v>
      </c>
      <c r="B256" s="599" t="s">
        <v>1021</v>
      </c>
      <c r="C256" s="598"/>
      <c r="D256" s="598"/>
      <c r="E256" s="598"/>
      <c r="F256" s="598"/>
      <c r="G256" s="598"/>
      <c r="H256" s="600">
        <f>H257+H259+H261+H263+H265+H267</f>
        <v>1330700000</v>
      </c>
    </row>
    <row r="257" spans="1:8" s="131" customFormat="1" ht="12.75">
      <c r="A257" s="587" t="s">
        <v>1022</v>
      </c>
      <c r="B257" s="595" t="s">
        <v>536</v>
      </c>
      <c r="C257" s="587"/>
      <c r="D257" s="587"/>
      <c r="E257" s="587"/>
      <c r="F257" s="587"/>
      <c r="G257" s="587"/>
      <c r="H257" s="588">
        <f>H258</f>
        <v>220000000</v>
      </c>
    </row>
    <row r="258" spans="1:8" s="455" customFormat="1" ht="12.75">
      <c r="A258" s="596" t="s">
        <v>1019</v>
      </c>
      <c r="B258" s="595"/>
      <c r="C258" s="593">
        <v>799</v>
      </c>
      <c r="D258" s="593">
        <v>280</v>
      </c>
      <c r="E258" s="593">
        <v>281</v>
      </c>
      <c r="F258" s="593">
        <v>7100</v>
      </c>
      <c r="G258" s="593">
        <v>7149</v>
      </c>
      <c r="H258" s="597">
        <v>220000000</v>
      </c>
    </row>
    <row r="259" spans="1:8" s="131" customFormat="1" ht="12.75">
      <c r="A259" s="587" t="s">
        <v>1023</v>
      </c>
      <c r="B259" s="595" t="s">
        <v>535</v>
      </c>
      <c r="C259" s="587"/>
      <c r="D259" s="587"/>
      <c r="E259" s="587"/>
      <c r="F259" s="587"/>
      <c r="G259" s="587"/>
      <c r="H259" s="588">
        <f>H260</f>
        <v>77000000</v>
      </c>
    </row>
    <row r="260" spans="1:8" s="455" customFormat="1" ht="12.75">
      <c r="A260" s="596" t="s">
        <v>1019</v>
      </c>
      <c r="B260" s="595"/>
      <c r="C260" s="593">
        <v>799</v>
      </c>
      <c r="D260" s="593">
        <v>280</v>
      </c>
      <c r="E260" s="593">
        <v>281</v>
      </c>
      <c r="F260" s="593">
        <v>7100</v>
      </c>
      <c r="G260" s="593">
        <v>7149</v>
      </c>
      <c r="H260" s="597">
        <v>77000000</v>
      </c>
    </row>
    <row r="261" spans="1:8" s="131" customFormat="1" ht="12.75">
      <c r="A261" s="587" t="s">
        <v>1024</v>
      </c>
      <c r="B261" s="595" t="s">
        <v>529</v>
      </c>
      <c r="C261" s="587"/>
      <c r="D261" s="587"/>
      <c r="E261" s="587"/>
      <c r="F261" s="587"/>
      <c r="G261" s="587"/>
      <c r="H261" s="588">
        <f>H262</f>
        <v>155000000</v>
      </c>
    </row>
    <row r="262" spans="1:8" s="455" customFormat="1" ht="12.75">
      <c r="A262" s="596" t="s">
        <v>1019</v>
      </c>
      <c r="B262" s="595"/>
      <c r="C262" s="593">
        <v>799</v>
      </c>
      <c r="D262" s="593">
        <v>280</v>
      </c>
      <c r="E262" s="593">
        <v>281</v>
      </c>
      <c r="F262" s="593">
        <v>7100</v>
      </c>
      <c r="G262" s="593">
        <v>7149</v>
      </c>
      <c r="H262" s="597">
        <v>155000000</v>
      </c>
    </row>
    <row r="263" spans="1:8" s="131" customFormat="1" ht="12.75">
      <c r="A263" s="587" t="s">
        <v>1025</v>
      </c>
      <c r="B263" s="595" t="s">
        <v>530</v>
      </c>
      <c r="C263" s="587"/>
      <c r="D263" s="587"/>
      <c r="E263" s="587"/>
      <c r="F263" s="587"/>
      <c r="G263" s="587"/>
      <c r="H263" s="588">
        <f>H264</f>
        <v>260100000</v>
      </c>
    </row>
    <row r="264" spans="1:8" s="455" customFormat="1" ht="12.75">
      <c r="A264" s="596" t="s">
        <v>1019</v>
      </c>
      <c r="B264" s="595"/>
      <c r="C264" s="593">
        <v>799</v>
      </c>
      <c r="D264" s="593">
        <v>280</v>
      </c>
      <c r="E264" s="593">
        <v>281</v>
      </c>
      <c r="F264" s="593">
        <v>7100</v>
      </c>
      <c r="G264" s="593">
        <v>7149</v>
      </c>
      <c r="H264" s="597">
        <v>260100000</v>
      </c>
    </row>
    <row r="265" spans="1:8" s="131" customFormat="1" ht="12.75">
      <c r="A265" s="587" t="s">
        <v>1025</v>
      </c>
      <c r="B265" s="595" t="s">
        <v>531</v>
      </c>
      <c r="C265" s="587"/>
      <c r="D265" s="587"/>
      <c r="E265" s="587"/>
      <c r="F265" s="587"/>
      <c r="G265" s="587"/>
      <c r="H265" s="588">
        <f>H266</f>
        <v>314000000</v>
      </c>
    </row>
    <row r="266" spans="1:8" s="455" customFormat="1" ht="12.75">
      <c r="A266" s="596" t="s">
        <v>1019</v>
      </c>
      <c r="B266" s="595"/>
      <c r="C266" s="593">
        <v>799</v>
      </c>
      <c r="D266" s="593">
        <v>280</v>
      </c>
      <c r="E266" s="593">
        <v>281</v>
      </c>
      <c r="F266" s="593">
        <v>7100</v>
      </c>
      <c r="G266" s="593">
        <v>7149</v>
      </c>
      <c r="H266" s="597">
        <v>314000000</v>
      </c>
    </row>
    <row r="267" spans="1:8" s="131" customFormat="1" ht="12.75">
      <c r="A267" s="587" t="s">
        <v>1026</v>
      </c>
      <c r="B267" s="595" t="s">
        <v>532</v>
      </c>
      <c r="C267" s="587"/>
      <c r="D267" s="587"/>
      <c r="E267" s="587"/>
      <c r="F267" s="587"/>
      <c r="G267" s="587"/>
      <c r="H267" s="588">
        <f>H268</f>
        <v>304600000</v>
      </c>
    </row>
    <row r="268" spans="1:8" s="455" customFormat="1" ht="12.75">
      <c r="A268" s="596" t="s">
        <v>1019</v>
      </c>
      <c r="B268" s="595"/>
      <c r="C268" s="593">
        <v>799</v>
      </c>
      <c r="D268" s="593">
        <v>280</v>
      </c>
      <c r="E268" s="593">
        <v>281</v>
      </c>
      <c r="F268" s="593">
        <v>7100</v>
      </c>
      <c r="G268" s="593">
        <v>7149</v>
      </c>
      <c r="H268" s="597">
        <v>304600000</v>
      </c>
    </row>
    <row r="269" spans="1:8" s="217" customFormat="1" ht="12.75">
      <c r="A269" s="589">
        <v>3</v>
      </c>
      <c r="B269" s="590" t="s">
        <v>1027</v>
      </c>
      <c r="C269" s="589"/>
      <c r="D269" s="589"/>
      <c r="E269" s="589"/>
      <c r="F269" s="589"/>
      <c r="G269" s="589"/>
      <c r="H269" s="591">
        <f>H270</f>
        <v>19000000</v>
      </c>
    </row>
    <row r="270" spans="1:8" s="131" customFormat="1" ht="12.75">
      <c r="A270" s="587" t="s">
        <v>1023</v>
      </c>
      <c r="B270" s="595" t="s">
        <v>535</v>
      </c>
      <c r="C270" s="587"/>
      <c r="D270" s="587"/>
      <c r="E270" s="587"/>
      <c r="F270" s="587"/>
      <c r="G270" s="587"/>
      <c r="H270" s="588">
        <f>H271</f>
        <v>19000000</v>
      </c>
    </row>
    <row r="271" spans="1:8" s="455" customFormat="1" ht="12.75">
      <c r="A271" s="596" t="s">
        <v>990</v>
      </c>
      <c r="B271" s="595"/>
      <c r="C271" s="593">
        <v>799</v>
      </c>
      <c r="D271" s="593">
        <v>280</v>
      </c>
      <c r="E271" s="593">
        <v>292</v>
      </c>
      <c r="F271" s="593">
        <v>6900</v>
      </c>
      <c r="G271" s="593">
        <v>6922</v>
      </c>
      <c r="H271" s="597">
        <v>19000000</v>
      </c>
    </row>
    <row r="272" spans="1:8" s="217" customFormat="1" ht="12.75">
      <c r="A272" s="589">
        <v>4</v>
      </c>
      <c r="B272" s="590" t="s">
        <v>1028</v>
      </c>
      <c r="C272" s="589"/>
      <c r="D272" s="589"/>
      <c r="E272" s="589"/>
      <c r="F272" s="589"/>
      <c r="G272" s="589"/>
      <c r="H272" s="591">
        <f>H273+H275</f>
        <v>597026691</v>
      </c>
    </row>
    <row r="273" spans="1:8" s="454" customFormat="1" ht="13.5">
      <c r="A273" s="598" t="s">
        <v>525</v>
      </c>
      <c r="B273" s="599" t="s">
        <v>1029</v>
      </c>
      <c r="C273" s="598"/>
      <c r="D273" s="598"/>
      <c r="E273" s="598"/>
      <c r="F273" s="598"/>
      <c r="G273" s="598"/>
      <c r="H273" s="600">
        <f>H274</f>
        <v>513611291</v>
      </c>
    </row>
    <row r="274" spans="1:8" s="455" customFormat="1" ht="12.75">
      <c r="A274" s="596" t="s">
        <v>993</v>
      </c>
      <c r="B274" s="595" t="s">
        <v>1030</v>
      </c>
      <c r="C274" s="593">
        <v>622</v>
      </c>
      <c r="D274" s="596" t="s">
        <v>769</v>
      </c>
      <c r="E274" s="596" t="s">
        <v>1031</v>
      </c>
      <c r="F274" s="593">
        <v>8000</v>
      </c>
      <c r="G274" s="593">
        <v>8008</v>
      </c>
      <c r="H274" s="597">
        <v>513611291</v>
      </c>
    </row>
    <row r="275" spans="1:8" s="454" customFormat="1" ht="13.5">
      <c r="A275" s="598" t="s">
        <v>526</v>
      </c>
      <c r="B275" s="599" t="s">
        <v>1032</v>
      </c>
      <c r="C275" s="598"/>
      <c r="D275" s="598"/>
      <c r="E275" s="598"/>
      <c r="F275" s="598"/>
      <c r="G275" s="598"/>
      <c r="H275" s="600">
        <f>H276</f>
        <v>83415400</v>
      </c>
    </row>
    <row r="276" spans="1:8" s="455" customFormat="1" ht="12.75">
      <c r="A276" s="596"/>
      <c r="B276" s="595" t="s">
        <v>983</v>
      </c>
      <c r="C276" s="593"/>
      <c r="D276" s="593"/>
      <c r="E276" s="593"/>
      <c r="F276" s="593"/>
      <c r="G276" s="593"/>
      <c r="H276" s="597">
        <f>SUM(H277:H281)</f>
        <v>83415400</v>
      </c>
    </row>
    <row r="277" spans="1:8" s="455" customFormat="1" ht="12.75">
      <c r="A277" s="596" t="s">
        <v>993</v>
      </c>
      <c r="B277" s="595"/>
      <c r="C277" s="593">
        <v>683</v>
      </c>
      <c r="D277" s="596" t="s">
        <v>769</v>
      </c>
      <c r="E277" s="596" t="s">
        <v>1033</v>
      </c>
      <c r="F277" s="593">
        <v>6650</v>
      </c>
      <c r="G277" s="593">
        <v>6651</v>
      </c>
      <c r="H277" s="597">
        <v>11431000</v>
      </c>
    </row>
    <row r="278" spans="1:8" s="455" customFormat="1" ht="12.75">
      <c r="A278" s="593"/>
      <c r="B278" s="595"/>
      <c r="C278" s="593">
        <v>683</v>
      </c>
      <c r="D278" s="596" t="s">
        <v>769</v>
      </c>
      <c r="E278" s="596" t="s">
        <v>1033</v>
      </c>
      <c r="F278" s="593">
        <v>6650</v>
      </c>
      <c r="G278" s="593">
        <v>6652</v>
      </c>
      <c r="H278" s="597">
        <v>4800000</v>
      </c>
    </row>
    <row r="279" spans="1:8" s="455" customFormat="1" ht="12.75">
      <c r="A279" s="593"/>
      <c r="B279" s="595"/>
      <c r="C279" s="593">
        <v>683</v>
      </c>
      <c r="D279" s="596" t="s">
        <v>769</v>
      </c>
      <c r="E279" s="596" t="s">
        <v>1033</v>
      </c>
      <c r="F279" s="593">
        <v>6650</v>
      </c>
      <c r="G279" s="593">
        <v>6655</v>
      </c>
      <c r="H279" s="597">
        <v>8000000</v>
      </c>
    </row>
    <row r="280" spans="1:8" s="455" customFormat="1" ht="12.75">
      <c r="A280" s="593"/>
      <c r="B280" s="595"/>
      <c r="C280" s="593">
        <v>683</v>
      </c>
      <c r="D280" s="596" t="s">
        <v>769</v>
      </c>
      <c r="E280" s="596" t="s">
        <v>1033</v>
      </c>
      <c r="F280" s="593">
        <v>6650</v>
      </c>
      <c r="G280" s="593">
        <v>6658</v>
      </c>
      <c r="H280" s="597">
        <v>20000000</v>
      </c>
    </row>
    <row r="281" spans="1:8" s="455" customFormat="1" ht="12.75">
      <c r="A281" s="593"/>
      <c r="B281" s="595"/>
      <c r="C281" s="593">
        <v>683</v>
      </c>
      <c r="D281" s="596" t="s">
        <v>769</v>
      </c>
      <c r="E281" s="596" t="s">
        <v>1033</v>
      </c>
      <c r="F281" s="593">
        <v>6650</v>
      </c>
      <c r="G281" s="593">
        <v>6699</v>
      </c>
      <c r="H281" s="597">
        <v>39184400</v>
      </c>
    </row>
    <row r="282" spans="1:8" s="217" customFormat="1" ht="12.75">
      <c r="A282" s="589">
        <v>5</v>
      </c>
      <c r="B282" s="590" t="s">
        <v>1034</v>
      </c>
      <c r="C282" s="589"/>
      <c r="D282" s="589"/>
      <c r="E282" s="589"/>
      <c r="F282" s="589"/>
      <c r="G282" s="589"/>
      <c r="H282" s="591">
        <f>H283</f>
        <v>83000000</v>
      </c>
    </row>
    <row r="283" spans="1:8" s="455" customFormat="1" ht="12.75">
      <c r="A283" s="596"/>
      <c r="B283" s="595" t="s">
        <v>1035</v>
      </c>
      <c r="C283" s="593"/>
      <c r="D283" s="593"/>
      <c r="E283" s="593"/>
      <c r="F283" s="593"/>
      <c r="G283" s="593"/>
      <c r="H283" s="597">
        <f>H284</f>
        <v>83000000</v>
      </c>
    </row>
    <row r="284" spans="1:8" s="455" customFormat="1" ht="12.75">
      <c r="A284" s="596" t="s">
        <v>997</v>
      </c>
      <c r="B284" s="595"/>
      <c r="C284" s="593">
        <v>625</v>
      </c>
      <c r="D284" s="593">
        <v>160</v>
      </c>
      <c r="E284" s="593">
        <v>161</v>
      </c>
      <c r="F284" s="593">
        <v>7000</v>
      </c>
      <c r="G284" s="593">
        <v>7049</v>
      </c>
      <c r="H284" s="597">
        <v>83000000</v>
      </c>
    </row>
    <row r="285" spans="1:8" s="217" customFormat="1" ht="12.75">
      <c r="A285" s="589">
        <v>6</v>
      </c>
      <c r="B285" s="590" t="s">
        <v>1036</v>
      </c>
      <c r="C285" s="589"/>
      <c r="D285" s="589"/>
      <c r="E285" s="589"/>
      <c r="F285" s="589"/>
      <c r="G285" s="589"/>
      <c r="H285" s="591">
        <f>H286</f>
        <v>130988153</v>
      </c>
    </row>
    <row r="286" spans="1:8" s="455" customFormat="1" ht="12.75">
      <c r="A286" s="593"/>
      <c r="B286" s="595" t="s">
        <v>1037</v>
      </c>
      <c r="C286" s="593"/>
      <c r="D286" s="593"/>
      <c r="E286" s="593"/>
      <c r="F286" s="593"/>
      <c r="G286" s="593"/>
      <c r="H286" s="597">
        <f>SUM(H287:H296)</f>
        <v>130988153</v>
      </c>
    </row>
    <row r="287" spans="1:8" s="455" customFormat="1" ht="12.75">
      <c r="A287" s="596" t="s">
        <v>1038</v>
      </c>
      <c r="B287" s="595"/>
      <c r="C287" s="593">
        <v>712</v>
      </c>
      <c r="D287" s="593">
        <v>160</v>
      </c>
      <c r="E287" s="593">
        <v>171</v>
      </c>
      <c r="F287" s="593">
        <v>6650</v>
      </c>
      <c r="G287" s="593">
        <v>6651</v>
      </c>
      <c r="H287" s="597">
        <v>1809080</v>
      </c>
    </row>
    <row r="288" spans="1:8" s="455" customFormat="1" ht="12.75">
      <c r="A288" s="596" t="s">
        <v>1038</v>
      </c>
      <c r="B288" s="595"/>
      <c r="C288" s="593">
        <v>712</v>
      </c>
      <c r="D288" s="593">
        <v>160</v>
      </c>
      <c r="E288" s="593">
        <v>171</v>
      </c>
      <c r="F288" s="593">
        <v>6650</v>
      </c>
      <c r="G288" s="593">
        <v>6652</v>
      </c>
      <c r="H288" s="597">
        <v>4800000</v>
      </c>
    </row>
    <row r="289" spans="1:8" s="455" customFormat="1" ht="12.75">
      <c r="A289" s="596" t="s">
        <v>1038</v>
      </c>
      <c r="B289" s="595"/>
      <c r="C289" s="593">
        <v>712</v>
      </c>
      <c r="D289" s="593">
        <v>160</v>
      </c>
      <c r="E289" s="593">
        <v>171</v>
      </c>
      <c r="F289" s="593">
        <v>6650</v>
      </c>
      <c r="G289" s="593">
        <v>6654</v>
      </c>
      <c r="H289" s="597">
        <v>5600000</v>
      </c>
    </row>
    <row r="290" spans="1:8" s="455" customFormat="1" ht="12.75">
      <c r="A290" s="596" t="s">
        <v>1038</v>
      </c>
      <c r="B290" s="595"/>
      <c r="C290" s="593">
        <v>712</v>
      </c>
      <c r="D290" s="593">
        <v>160</v>
      </c>
      <c r="E290" s="593">
        <v>171</v>
      </c>
      <c r="F290" s="593">
        <v>6650</v>
      </c>
      <c r="G290" s="593">
        <v>6655</v>
      </c>
      <c r="H290" s="597">
        <v>8000000</v>
      </c>
    </row>
    <row r="291" spans="1:8" s="455" customFormat="1" ht="12.75">
      <c r="A291" s="596" t="s">
        <v>1038</v>
      </c>
      <c r="B291" s="595"/>
      <c r="C291" s="593">
        <v>712</v>
      </c>
      <c r="D291" s="593">
        <v>160</v>
      </c>
      <c r="E291" s="593">
        <v>171</v>
      </c>
      <c r="F291" s="593">
        <v>6650</v>
      </c>
      <c r="G291" s="593">
        <v>6699</v>
      </c>
      <c r="H291" s="597">
        <v>33265753</v>
      </c>
    </row>
    <row r="292" spans="1:8" s="455" customFormat="1" ht="12.75">
      <c r="A292" s="596" t="s">
        <v>1038</v>
      </c>
      <c r="B292" s="595"/>
      <c r="C292" s="593">
        <v>712</v>
      </c>
      <c r="D292" s="593">
        <v>160</v>
      </c>
      <c r="E292" s="593">
        <v>171</v>
      </c>
      <c r="F292" s="593">
        <v>6700</v>
      </c>
      <c r="G292" s="593">
        <v>6702</v>
      </c>
      <c r="H292" s="597">
        <v>2400000</v>
      </c>
    </row>
    <row r="293" spans="1:8" s="455" customFormat="1" ht="12.75">
      <c r="A293" s="596" t="s">
        <v>1038</v>
      </c>
      <c r="B293" s="595"/>
      <c r="C293" s="593">
        <v>712</v>
      </c>
      <c r="D293" s="593">
        <v>370</v>
      </c>
      <c r="E293" s="593">
        <v>398</v>
      </c>
      <c r="F293" s="593">
        <v>6700</v>
      </c>
      <c r="G293" s="593">
        <v>6702</v>
      </c>
      <c r="H293" s="597">
        <v>2000000</v>
      </c>
    </row>
    <row r="294" spans="1:8" s="455" customFormat="1" ht="12.75">
      <c r="A294" s="596" t="s">
        <v>1038</v>
      </c>
      <c r="B294" s="595"/>
      <c r="C294" s="593">
        <v>712</v>
      </c>
      <c r="D294" s="593">
        <v>160</v>
      </c>
      <c r="E294" s="593">
        <v>171</v>
      </c>
      <c r="F294" s="593">
        <v>7000</v>
      </c>
      <c r="G294" s="593">
        <v>7049</v>
      </c>
      <c r="H294" s="597">
        <v>39838400</v>
      </c>
    </row>
    <row r="295" spans="1:8" s="455" customFormat="1" ht="12.75">
      <c r="A295" s="596" t="s">
        <v>1038</v>
      </c>
      <c r="B295" s="595"/>
      <c r="C295" s="593">
        <v>712</v>
      </c>
      <c r="D295" s="593">
        <v>370</v>
      </c>
      <c r="E295" s="593">
        <v>398</v>
      </c>
      <c r="F295" s="593">
        <v>7000</v>
      </c>
      <c r="G295" s="593">
        <v>7049</v>
      </c>
      <c r="H295" s="597">
        <v>21994920</v>
      </c>
    </row>
    <row r="296" spans="1:8" s="455" customFormat="1" ht="12.75">
      <c r="A296" s="596" t="s">
        <v>1038</v>
      </c>
      <c r="B296" s="595"/>
      <c r="C296" s="593">
        <v>712</v>
      </c>
      <c r="D296" s="593">
        <v>160</v>
      </c>
      <c r="E296" s="593">
        <v>171</v>
      </c>
      <c r="F296" s="593">
        <v>7750</v>
      </c>
      <c r="G296" s="593">
        <v>7799</v>
      </c>
      <c r="H296" s="597">
        <v>11280000</v>
      </c>
    </row>
    <row r="297" spans="1:8" s="217" customFormat="1" ht="12.75" customHeight="1">
      <c r="A297" s="589">
        <v>7</v>
      </c>
      <c r="B297" s="590" t="s">
        <v>1039</v>
      </c>
      <c r="C297" s="589"/>
      <c r="D297" s="589"/>
      <c r="E297" s="589"/>
      <c r="F297" s="589"/>
      <c r="G297" s="589"/>
      <c r="H297" s="591">
        <f>H298</f>
        <v>54463200</v>
      </c>
    </row>
    <row r="298" spans="1:8" s="455" customFormat="1" ht="12.75" customHeight="1">
      <c r="A298" s="593"/>
      <c r="B298" s="595" t="s">
        <v>983</v>
      </c>
      <c r="C298" s="593"/>
      <c r="D298" s="593"/>
      <c r="E298" s="593"/>
      <c r="F298" s="593"/>
      <c r="G298" s="593"/>
      <c r="H298" s="597">
        <f>SUM(H299:H303)</f>
        <v>54463200</v>
      </c>
    </row>
    <row r="299" spans="1:8" s="455" customFormat="1" ht="12.75">
      <c r="A299" s="596" t="s">
        <v>1040</v>
      </c>
      <c r="B299" s="595"/>
      <c r="C299" s="593">
        <v>683</v>
      </c>
      <c r="D299" s="593">
        <v>160</v>
      </c>
      <c r="E299" s="593">
        <v>171</v>
      </c>
      <c r="F299" s="593">
        <v>6600</v>
      </c>
      <c r="G299" s="593">
        <v>6608</v>
      </c>
      <c r="H299" s="597">
        <v>12226200</v>
      </c>
    </row>
    <row r="300" spans="1:8" s="455" customFormat="1" ht="12.75">
      <c r="A300" s="596" t="s">
        <v>1040</v>
      </c>
      <c r="B300" s="595"/>
      <c r="C300" s="593">
        <v>683</v>
      </c>
      <c r="D300" s="593">
        <v>160</v>
      </c>
      <c r="E300" s="593">
        <v>171</v>
      </c>
      <c r="F300" s="593">
        <v>6650</v>
      </c>
      <c r="G300" s="593">
        <v>6652</v>
      </c>
      <c r="H300" s="597">
        <v>7200000</v>
      </c>
    </row>
    <row r="301" spans="1:8" s="455" customFormat="1" ht="12.75">
      <c r="A301" s="596" t="s">
        <v>1040</v>
      </c>
      <c r="B301" s="595"/>
      <c r="C301" s="593">
        <v>683</v>
      </c>
      <c r="D301" s="593">
        <v>160</v>
      </c>
      <c r="E301" s="593">
        <v>171</v>
      </c>
      <c r="F301" s="593">
        <v>6654</v>
      </c>
      <c r="G301" s="593">
        <v>6654</v>
      </c>
      <c r="H301" s="597">
        <v>7200000</v>
      </c>
    </row>
    <row r="302" spans="1:8" s="455" customFormat="1" ht="12.75">
      <c r="A302" s="596" t="s">
        <v>1040</v>
      </c>
      <c r="B302" s="595"/>
      <c r="C302" s="593">
        <v>683</v>
      </c>
      <c r="D302" s="593">
        <v>160</v>
      </c>
      <c r="E302" s="593">
        <v>171</v>
      </c>
      <c r="F302" s="593">
        <v>6650</v>
      </c>
      <c r="G302" s="593">
        <v>6655</v>
      </c>
      <c r="H302" s="597">
        <v>6000000</v>
      </c>
    </row>
    <row r="303" spans="1:8" s="455" customFormat="1" ht="12.75">
      <c r="A303" s="596" t="s">
        <v>1040</v>
      </c>
      <c r="B303" s="595"/>
      <c r="C303" s="593">
        <v>683</v>
      </c>
      <c r="D303" s="593">
        <v>160</v>
      </c>
      <c r="E303" s="593">
        <v>171</v>
      </c>
      <c r="F303" s="593">
        <v>6650</v>
      </c>
      <c r="G303" s="593">
        <v>6699</v>
      </c>
      <c r="H303" s="597">
        <v>21837000</v>
      </c>
    </row>
    <row r="304" spans="1:8" s="217" customFormat="1" ht="12.75">
      <c r="A304" s="589">
        <v>8</v>
      </c>
      <c r="B304" s="590" t="s">
        <v>1041</v>
      </c>
      <c r="C304" s="589"/>
      <c r="D304" s="589"/>
      <c r="E304" s="589"/>
      <c r="F304" s="589"/>
      <c r="G304" s="589"/>
      <c r="H304" s="591">
        <f>H305+H308</f>
        <v>105610443</v>
      </c>
    </row>
    <row r="305" spans="1:8" s="454" customFormat="1" ht="13.5">
      <c r="A305" s="598" t="s">
        <v>968</v>
      </c>
      <c r="B305" s="599" t="s">
        <v>1017</v>
      </c>
      <c r="C305" s="598"/>
      <c r="D305" s="598"/>
      <c r="E305" s="598"/>
      <c r="F305" s="598"/>
      <c r="G305" s="598"/>
      <c r="H305" s="600">
        <f>H306</f>
        <v>74100000</v>
      </c>
    </row>
    <row r="306" spans="1:8" s="455" customFormat="1" ht="12.75">
      <c r="A306" s="593"/>
      <c r="B306" s="595" t="s">
        <v>983</v>
      </c>
      <c r="C306" s="593"/>
      <c r="D306" s="593"/>
      <c r="E306" s="593"/>
      <c r="F306" s="593"/>
      <c r="G306" s="593"/>
      <c r="H306" s="597">
        <f>H307</f>
        <v>74100000</v>
      </c>
    </row>
    <row r="307" spans="1:8" s="455" customFormat="1" ht="12.75">
      <c r="A307" s="596" t="s">
        <v>1042</v>
      </c>
      <c r="B307" s="595"/>
      <c r="C307" s="593">
        <v>683</v>
      </c>
      <c r="D307" s="593">
        <v>340</v>
      </c>
      <c r="E307" s="593">
        <v>341</v>
      </c>
      <c r="F307" s="593">
        <v>7100</v>
      </c>
      <c r="G307" s="593">
        <v>7149</v>
      </c>
      <c r="H307" s="597">
        <v>74100000</v>
      </c>
    </row>
    <row r="308" spans="1:8" s="454" customFormat="1" ht="13.5">
      <c r="A308" s="598" t="s">
        <v>970</v>
      </c>
      <c r="B308" s="599" t="s">
        <v>1029</v>
      </c>
      <c r="C308" s="598"/>
      <c r="D308" s="598"/>
      <c r="E308" s="598"/>
      <c r="F308" s="598"/>
      <c r="G308" s="598"/>
      <c r="H308" s="600">
        <f>H309</f>
        <v>31510443</v>
      </c>
    </row>
    <row r="309" spans="1:8" s="455" customFormat="1" ht="12.75">
      <c r="A309" s="593"/>
      <c r="B309" s="595" t="s">
        <v>983</v>
      </c>
      <c r="C309" s="593"/>
      <c r="D309" s="593"/>
      <c r="E309" s="593"/>
      <c r="F309" s="593"/>
      <c r="G309" s="593"/>
      <c r="H309" s="597">
        <f>SUM(H310:H316)</f>
        <v>31510443</v>
      </c>
    </row>
    <row r="310" spans="1:8" s="455" customFormat="1" ht="14.25" customHeight="1">
      <c r="A310" s="596" t="s">
        <v>1042</v>
      </c>
      <c r="B310" s="595"/>
      <c r="C310" s="593">
        <v>683</v>
      </c>
      <c r="D310" s="593">
        <v>340</v>
      </c>
      <c r="E310" s="593">
        <v>341</v>
      </c>
      <c r="F310" s="593">
        <v>6100</v>
      </c>
      <c r="G310" s="593">
        <v>6105</v>
      </c>
      <c r="H310" s="597">
        <v>10406803</v>
      </c>
    </row>
    <row r="311" spans="1:8" s="455" customFormat="1" ht="12.75">
      <c r="A311" s="596" t="s">
        <v>1042</v>
      </c>
      <c r="B311" s="595"/>
      <c r="C311" s="593">
        <v>683</v>
      </c>
      <c r="D311" s="593">
        <v>340</v>
      </c>
      <c r="E311" s="593">
        <v>341</v>
      </c>
      <c r="F311" s="593">
        <v>6550</v>
      </c>
      <c r="G311" s="593">
        <v>6551</v>
      </c>
      <c r="H311" s="597">
        <v>1397200</v>
      </c>
    </row>
    <row r="312" spans="1:8" s="455" customFormat="1" ht="12.75">
      <c r="A312" s="596" t="s">
        <v>1042</v>
      </c>
      <c r="B312" s="595"/>
      <c r="C312" s="593">
        <v>683</v>
      </c>
      <c r="D312" s="593">
        <v>340</v>
      </c>
      <c r="E312" s="593">
        <v>341</v>
      </c>
      <c r="F312" s="593">
        <v>6650</v>
      </c>
      <c r="G312" s="593">
        <v>6651</v>
      </c>
      <c r="H312" s="597">
        <v>5427240</v>
      </c>
    </row>
    <row r="313" spans="1:8" s="455" customFormat="1" ht="12.75">
      <c r="A313" s="596" t="s">
        <v>1042</v>
      </c>
      <c r="B313" s="595"/>
      <c r="C313" s="593">
        <v>683</v>
      </c>
      <c r="D313" s="593">
        <v>340</v>
      </c>
      <c r="E313" s="593">
        <v>341</v>
      </c>
      <c r="F313" s="593">
        <v>6650</v>
      </c>
      <c r="G313" s="593">
        <v>6699</v>
      </c>
      <c r="H313" s="597">
        <v>3600000</v>
      </c>
    </row>
    <row r="314" spans="1:8" s="455" customFormat="1" ht="12.75">
      <c r="A314" s="596" t="s">
        <v>1042</v>
      </c>
      <c r="B314" s="595"/>
      <c r="C314" s="593">
        <v>683</v>
      </c>
      <c r="D314" s="593">
        <v>340</v>
      </c>
      <c r="E314" s="593">
        <v>341</v>
      </c>
      <c r="F314" s="593">
        <v>6700</v>
      </c>
      <c r="G314" s="593">
        <v>6701</v>
      </c>
      <c r="H314" s="597">
        <v>4579200</v>
      </c>
    </row>
    <row r="315" spans="1:8" s="455" customFormat="1" ht="12.75">
      <c r="A315" s="593"/>
      <c r="B315" s="595"/>
      <c r="C315" s="593">
        <v>683</v>
      </c>
      <c r="D315" s="593">
        <v>340</v>
      </c>
      <c r="E315" s="593">
        <v>341</v>
      </c>
      <c r="F315" s="593">
        <v>6700</v>
      </c>
      <c r="G315" s="593">
        <v>6702</v>
      </c>
      <c r="H315" s="597">
        <v>5400000</v>
      </c>
    </row>
    <row r="316" spans="1:8" s="455" customFormat="1" ht="12.75">
      <c r="A316" s="593"/>
      <c r="B316" s="595"/>
      <c r="C316" s="593">
        <v>683</v>
      </c>
      <c r="D316" s="593">
        <v>340</v>
      </c>
      <c r="E316" s="593">
        <v>341</v>
      </c>
      <c r="F316" s="593">
        <v>6900</v>
      </c>
      <c r="G316" s="593">
        <v>6912</v>
      </c>
      <c r="H316" s="597">
        <v>700000</v>
      </c>
    </row>
    <row r="317" spans="1:8" s="217" customFormat="1" ht="14.25" customHeight="1">
      <c r="A317" s="589" t="s">
        <v>411</v>
      </c>
      <c r="B317" s="590" t="s">
        <v>1043</v>
      </c>
      <c r="C317" s="589"/>
      <c r="D317" s="589"/>
      <c r="E317" s="589"/>
      <c r="F317" s="589"/>
      <c r="G317" s="589"/>
      <c r="H317" s="591">
        <f>H318+H319</f>
        <v>204129625</v>
      </c>
    </row>
    <row r="318" spans="1:8" s="217" customFormat="1" ht="12.75">
      <c r="A318" s="589" t="s">
        <v>307</v>
      </c>
      <c r="B318" s="590" t="s">
        <v>522</v>
      </c>
      <c r="C318" s="589"/>
      <c r="D318" s="589"/>
      <c r="E318" s="589"/>
      <c r="F318" s="589"/>
      <c r="G318" s="589"/>
      <c r="H318" s="591"/>
    </row>
    <row r="319" spans="1:8" s="217" customFormat="1" ht="12.75">
      <c r="A319" s="589" t="s">
        <v>363</v>
      </c>
      <c r="B319" s="590" t="s">
        <v>528</v>
      </c>
      <c r="C319" s="589"/>
      <c r="D319" s="589"/>
      <c r="E319" s="589"/>
      <c r="F319" s="589"/>
      <c r="G319" s="589"/>
      <c r="H319" s="591">
        <f>H320+H324+H344</f>
        <v>204129625</v>
      </c>
    </row>
    <row r="320" spans="1:8" s="217" customFormat="1" ht="12.75">
      <c r="A320" s="589">
        <v>1</v>
      </c>
      <c r="B320" s="590" t="s">
        <v>1027</v>
      </c>
      <c r="C320" s="589"/>
      <c r="D320" s="589"/>
      <c r="E320" s="589"/>
      <c r="F320" s="589"/>
      <c r="G320" s="589"/>
      <c r="H320" s="591">
        <f>H321</f>
        <v>138030849</v>
      </c>
    </row>
    <row r="321" spans="1:8" s="454" customFormat="1" ht="13.5">
      <c r="A321" s="598" t="s">
        <v>366</v>
      </c>
      <c r="B321" s="599" t="s">
        <v>1017</v>
      </c>
      <c r="C321" s="598"/>
      <c r="D321" s="598"/>
      <c r="E321" s="598"/>
      <c r="F321" s="598"/>
      <c r="G321" s="598"/>
      <c r="H321" s="600">
        <f>H322</f>
        <v>138030849</v>
      </c>
    </row>
    <row r="322" spans="1:8" s="131" customFormat="1" ht="12.75">
      <c r="A322" s="587"/>
      <c r="B322" s="595" t="s">
        <v>1030</v>
      </c>
      <c r="C322" s="587"/>
      <c r="D322" s="587"/>
      <c r="E322" s="587"/>
      <c r="F322" s="587"/>
      <c r="G322" s="587"/>
      <c r="H322" s="588">
        <f>H323</f>
        <v>138030849</v>
      </c>
    </row>
    <row r="323" spans="1:8" s="455" customFormat="1" ht="12.75">
      <c r="A323" s="596" t="s">
        <v>1044</v>
      </c>
      <c r="B323" s="601"/>
      <c r="C323" s="593">
        <v>622</v>
      </c>
      <c r="D323" s="596" t="s">
        <v>769</v>
      </c>
      <c r="E323" s="596" t="s">
        <v>1031</v>
      </c>
      <c r="F323" s="593">
        <v>8000</v>
      </c>
      <c r="G323" s="593">
        <v>8008</v>
      </c>
      <c r="H323" s="597">
        <v>138030849</v>
      </c>
    </row>
    <row r="324" spans="1:8" s="217" customFormat="1" ht="12.75">
      <c r="A324" s="589">
        <v>2</v>
      </c>
      <c r="B324" s="590" t="s">
        <v>1034</v>
      </c>
      <c r="C324" s="589"/>
      <c r="D324" s="589"/>
      <c r="E324" s="589"/>
      <c r="F324" s="589"/>
      <c r="G324" s="589"/>
      <c r="H324" s="591">
        <f>H325+H336</f>
        <v>14388400</v>
      </c>
    </row>
    <row r="325" spans="1:8" s="454" customFormat="1" ht="13.5">
      <c r="A325" s="598" t="s">
        <v>401</v>
      </c>
      <c r="B325" s="599" t="s">
        <v>1017</v>
      </c>
      <c r="C325" s="598"/>
      <c r="D325" s="598"/>
      <c r="E325" s="598"/>
      <c r="F325" s="598"/>
      <c r="G325" s="598"/>
      <c r="H325" s="600">
        <f>H326+H328+H332+H334</f>
        <v>10192000</v>
      </c>
    </row>
    <row r="326" spans="1:8" s="131" customFormat="1" ht="12.75">
      <c r="A326" s="587" t="s">
        <v>1018</v>
      </c>
      <c r="B326" s="595" t="s">
        <v>1035</v>
      </c>
      <c r="C326" s="587"/>
      <c r="D326" s="587"/>
      <c r="E326" s="587"/>
      <c r="F326" s="587"/>
      <c r="G326" s="587"/>
      <c r="H326" s="588">
        <f>H327</f>
        <v>6294000</v>
      </c>
    </row>
    <row r="327" spans="1:8" s="455" customFormat="1" ht="12.75">
      <c r="A327" s="596" t="s">
        <v>1045</v>
      </c>
      <c r="B327" s="601"/>
      <c r="C327" s="593">
        <v>625</v>
      </c>
      <c r="D327" s="593">
        <v>160</v>
      </c>
      <c r="E327" s="593">
        <v>161</v>
      </c>
      <c r="F327" s="593">
        <v>7000</v>
      </c>
      <c r="G327" s="593">
        <v>7049</v>
      </c>
      <c r="H327" s="597">
        <v>6294000</v>
      </c>
    </row>
    <row r="328" spans="1:8" s="606" customFormat="1" ht="12.75">
      <c r="A328" s="602" t="s">
        <v>1020</v>
      </c>
      <c r="B328" s="603" t="s">
        <v>533</v>
      </c>
      <c r="C328" s="604"/>
      <c r="D328" s="604"/>
      <c r="E328" s="604"/>
      <c r="F328" s="604"/>
      <c r="G328" s="604"/>
      <c r="H328" s="605">
        <f>SUM(H329:H331)</f>
        <v>1400000</v>
      </c>
    </row>
    <row r="329" spans="1:8" s="611" customFormat="1" ht="12.75">
      <c r="A329" s="607" t="s">
        <v>1045</v>
      </c>
      <c r="B329" s="608"/>
      <c r="C329" s="609">
        <v>799</v>
      </c>
      <c r="D329" s="609">
        <v>160</v>
      </c>
      <c r="E329" s="609">
        <v>171</v>
      </c>
      <c r="F329" s="609">
        <v>6650</v>
      </c>
      <c r="G329" s="609">
        <v>6651</v>
      </c>
      <c r="H329" s="610">
        <v>72000</v>
      </c>
    </row>
    <row r="330" spans="1:8" s="611" customFormat="1" ht="12.75">
      <c r="A330" s="607" t="s">
        <v>1045</v>
      </c>
      <c r="B330" s="608"/>
      <c r="C330" s="609">
        <v>799</v>
      </c>
      <c r="D330" s="609">
        <v>160</v>
      </c>
      <c r="E330" s="609">
        <v>171</v>
      </c>
      <c r="F330" s="609">
        <v>6650</v>
      </c>
      <c r="G330" s="609">
        <v>6652</v>
      </c>
      <c r="H330" s="610">
        <v>600000</v>
      </c>
    </row>
    <row r="331" spans="1:8" s="611" customFormat="1" ht="12.75">
      <c r="A331" s="607" t="s">
        <v>1045</v>
      </c>
      <c r="B331" s="608"/>
      <c r="C331" s="609">
        <v>799</v>
      </c>
      <c r="D331" s="609">
        <v>160</v>
      </c>
      <c r="E331" s="609">
        <v>171</v>
      </c>
      <c r="F331" s="609">
        <v>6650</v>
      </c>
      <c r="G331" s="609">
        <v>6699</v>
      </c>
      <c r="H331" s="610">
        <v>728000</v>
      </c>
    </row>
    <row r="332" spans="1:8" s="131" customFormat="1" ht="12.75">
      <c r="A332" s="612" t="s">
        <v>1046</v>
      </c>
      <c r="B332" s="595" t="s">
        <v>535</v>
      </c>
      <c r="C332" s="587"/>
      <c r="D332" s="587"/>
      <c r="E332" s="587"/>
      <c r="F332" s="587"/>
      <c r="G332" s="587"/>
      <c r="H332" s="588">
        <f>H333</f>
        <v>1200000</v>
      </c>
    </row>
    <row r="333" spans="1:8" s="455" customFormat="1" ht="12.75">
      <c r="A333" s="596" t="s">
        <v>1045</v>
      </c>
      <c r="B333" s="601"/>
      <c r="C333" s="593">
        <v>799</v>
      </c>
      <c r="D333" s="593">
        <v>160</v>
      </c>
      <c r="E333" s="593">
        <v>171</v>
      </c>
      <c r="F333" s="593">
        <v>6600</v>
      </c>
      <c r="G333" s="593">
        <v>6606</v>
      </c>
      <c r="H333" s="597">
        <v>1200000</v>
      </c>
    </row>
    <row r="334" spans="1:8" s="131" customFormat="1" ht="12.75">
      <c r="A334" s="612" t="s">
        <v>1047</v>
      </c>
      <c r="B334" s="595" t="s">
        <v>1048</v>
      </c>
      <c r="C334" s="587"/>
      <c r="D334" s="587"/>
      <c r="E334" s="587"/>
      <c r="F334" s="587"/>
      <c r="G334" s="587"/>
      <c r="H334" s="588">
        <f>H335</f>
        <v>1298000</v>
      </c>
    </row>
    <row r="335" spans="1:8" s="455" customFormat="1" ht="12.75">
      <c r="A335" s="596" t="s">
        <v>1045</v>
      </c>
      <c r="B335" s="601"/>
      <c r="C335" s="593">
        <v>799</v>
      </c>
      <c r="D335" s="593">
        <v>160</v>
      </c>
      <c r="E335" s="593">
        <v>171</v>
      </c>
      <c r="F335" s="593">
        <v>7000</v>
      </c>
      <c r="G335" s="593">
        <v>7049</v>
      </c>
      <c r="H335" s="597">
        <v>1298000</v>
      </c>
    </row>
    <row r="336" spans="1:8" s="454" customFormat="1" ht="13.5">
      <c r="A336" s="598" t="s">
        <v>403</v>
      </c>
      <c r="B336" s="599" t="s">
        <v>1021</v>
      </c>
      <c r="C336" s="598"/>
      <c r="D336" s="598"/>
      <c r="E336" s="598"/>
      <c r="F336" s="598"/>
      <c r="G336" s="598"/>
      <c r="H336" s="600">
        <f>H337+H340+H342</f>
        <v>4196400</v>
      </c>
    </row>
    <row r="337" spans="1:8" s="606" customFormat="1" ht="12.75">
      <c r="A337" s="602" t="s">
        <v>1022</v>
      </c>
      <c r="B337" s="603" t="s">
        <v>533</v>
      </c>
      <c r="C337" s="604"/>
      <c r="D337" s="604"/>
      <c r="E337" s="604"/>
      <c r="F337" s="604"/>
      <c r="G337" s="604"/>
      <c r="H337" s="605">
        <f>SUM(H338:H339)</f>
        <v>1500000</v>
      </c>
    </row>
    <row r="338" spans="1:8" s="611" customFormat="1" ht="12.75">
      <c r="A338" s="607" t="s">
        <v>1045</v>
      </c>
      <c r="B338" s="608"/>
      <c r="C338" s="609">
        <v>799</v>
      </c>
      <c r="D338" s="609">
        <v>160</v>
      </c>
      <c r="E338" s="609">
        <v>171</v>
      </c>
      <c r="F338" s="609">
        <v>6650</v>
      </c>
      <c r="G338" s="609">
        <v>6652</v>
      </c>
      <c r="H338" s="610">
        <v>600000</v>
      </c>
    </row>
    <row r="339" spans="1:8" s="611" customFormat="1" ht="12.75">
      <c r="A339" s="607" t="s">
        <v>1045</v>
      </c>
      <c r="B339" s="608"/>
      <c r="C339" s="609">
        <v>799</v>
      </c>
      <c r="D339" s="609">
        <v>160</v>
      </c>
      <c r="E339" s="609">
        <v>171</v>
      </c>
      <c r="F339" s="609">
        <v>6650</v>
      </c>
      <c r="G339" s="609">
        <v>6699</v>
      </c>
      <c r="H339" s="610">
        <v>900000</v>
      </c>
    </row>
    <row r="340" spans="1:8" s="606" customFormat="1" ht="12.75">
      <c r="A340" s="602" t="s">
        <v>1023</v>
      </c>
      <c r="B340" s="603" t="s">
        <v>535</v>
      </c>
      <c r="C340" s="604"/>
      <c r="D340" s="604"/>
      <c r="E340" s="604"/>
      <c r="F340" s="604"/>
      <c r="G340" s="604"/>
      <c r="H340" s="605">
        <f>H341</f>
        <v>1300000</v>
      </c>
    </row>
    <row r="341" spans="1:8" s="611" customFormat="1" ht="12.75">
      <c r="A341" s="607" t="s">
        <v>1045</v>
      </c>
      <c r="B341" s="608"/>
      <c r="C341" s="609">
        <v>799</v>
      </c>
      <c r="D341" s="609">
        <v>160</v>
      </c>
      <c r="E341" s="609">
        <v>171</v>
      </c>
      <c r="F341" s="609">
        <v>6600</v>
      </c>
      <c r="G341" s="609">
        <v>6606</v>
      </c>
      <c r="H341" s="610">
        <v>1300000</v>
      </c>
    </row>
    <row r="342" spans="1:8" s="606" customFormat="1" ht="12.75">
      <c r="A342" s="602" t="s">
        <v>1024</v>
      </c>
      <c r="B342" s="603" t="s">
        <v>1048</v>
      </c>
      <c r="C342" s="604"/>
      <c r="D342" s="604"/>
      <c r="E342" s="604"/>
      <c r="F342" s="604"/>
      <c r="G342" s="604"/>
      <c r="H342" s="605">
        <f>H343</f>
        <v>1396400</v>
      </c>
    </row>
    <row r="343" spans="1:8" s="455" customFormat="1" ht="12.75">
      <c r="A343" s="596" t="s">
        <v>1045</v>
      </c>
      <c r="B343" s="601"/>
      <c r="C343" s="593">
        <v>799</v>
      </c>
      <c r="D343" s="593">
        <v>160</v>
      </c>
      <c r="E343" s="593">
        <v>171</v>
      </c>
      <c r="F343" s="593">
        <v>7000</v>
      </c>
      <c r="G343" s="593">
        <v>7049</v>
      </c>
      <c r="H343" s="597">
        <v>1396400</v>
      </c>
    </row>
    <row r="344" spans="1:8" s="217" customFormat="1" ht="12.75">
      <c r="A344" s="589">
        <v>3</v>
      </c>
      <c r="B344" s="590" t="s">
        <v>1049</v>
      </c>
      <c r="C344" s="589"/>
      <c r="D344" s="589"/>
      <c r="E344" s="589"/>
      <c r="F344" s="589"/>
      <c r="G344" s="589"/>
      <c r="H344" s="591">
        <f>H345+H355</f>
        <v>51710376</v>
      </c>
    </row>
    <row r="345" spans="1:8" s="454" customFormat="1" ht="13.5">
      <c r="A345" s="598" t="s">
        <v>523</v>
      </c>
      <c r="B345" s="599" t="s">
        <v>1017</v>
      </c>
      <c r="C345" s="598"/>
      <c r="D345" s="598"/>
      <c r="E345" s="598"/>
      <c r="F345" s="598"/>
      <c r="G345" s="598"/>
      <c r="H345" s="600">
        <f>H346+H350+H352</f>
        <v>32297376</v>
      </c>
    </row>
    <row r="346" spans="1:8" s="606" customFormat="1" ht="12.75">
      <c r="A346" s="602" t="s">
        <v>1050</v>
      </c>
      <c r="B346" s="603" t="s">
        <v>533</v>
      </c>
      <c r="C346" s="604"/>
      <c r="D346" s="604"/>
      <c r="E346" s="604"/>
      <c r="F346" s="604"/>
      <c r="G346" s="604"/>
      <c r="H346" s="605">
        <f>SUM(H347:H349)</f>
        <v>11500000</v>
      </c>
    </row>
    <row r="347" spans="1:8" s="611" customFormat="1" ht="12.75">
      <c r="A347" s="613" t="s">
        <v>1051</v>
      </c>
      <c r="B347" s="608"/>
      <c r="C347" s="609">
        <v>799</v>
      </c>
      <c r="D347" s="609">
        <v>340</v>
      </c>
      <c r="E347" s="609">
        <v>341</v>
      </c>
      <c r="F347" s="609">
        <v>6650</v>
      </c>
      <c r="G347" s="609">
        <v>6651</v>
      </c>
      <c r="H347" s="610">
        <v>400000</v>
      </c>
    </row>
    <row r="348" spans="1:8" s="611" customFormat="1" ht="12.75">
      <c r="A348" s="613" t="s">
        <v>1051</v>
      </c>
      <c r="B348" s="608"/>
      <c r="C348" s="609">
        <v>799</v>
      </c>
      <c r="D348" s="609">
        <v>340</v>
      </c>
      <c r="E348" s="609">
        <v>341</v>
      </c>
      <c r="F348" s="609">
        <v>6650</v>
      </c>
      <c r="G348" s="609">
        <v>6652</v>
      </c>
      <c r="H348" s="610">
        <v>2400000</v>
      </c>
    </row>
    <row r="349" spans="1:8" s="611" customFormat="1" ht="12.75">
      <c r="A349" s="613" t="s">
        <v>1051</v>
      </c>
      <c r="B349" s="608"/>
      <c r="C349" s="609">
        <v>799</v>
      </c>
      <c r="D349" s="609">
        <v>340</v>
      </c>
      <c r="E349" s="609">
        <v>341</v>
      </c>
      <c r="F349" s="609">
        <v>6650</v>
      </c>
      <c r="G349" s="609">
        <v>6699</v>
      </c>
      <c r="H349" s="610">
        <v>8700000</v>
      </c>
    </row>
    <row r="350" spans="1:8" s="131" customFormat="1" ht="12.75">
      <c r="A350" s="356" t="s">
        <v>1052</v>
      </c>
      <c r="B350" s="335" t="s">
        <v>535</v>
      </c>
      <c r="C350" s="350"/>
      <c r="D350" s="350"/>
      <c r="E350" s="350"/>
      <c r="F350" s="350"/>
      <c r="G350" s="350"/>
      <c r="H350" s="332">
        <f>H351</f>
        <v>9900000</v>
      </c>
    </row>
    <row r="351" spans="1:8" s="455" customFormat="1" ht="12.75">
      <c r="A351" s="353" t="s">
        <v>1051</v>
      </c>
      <c r="B351" s="614"/>
      <c r="C351" s="351">
        <v>799</v>
      </c>
      <c r="D351" s="351">
        <v>340</v>
      </c>
      <c r="E351" s="351">
        <v>341</v>
      </c>
      <c r="F351" s="351">
        <v>6650</v>
      </c>
      <c r="G351" s="351">
        <v>6699</v>
      </c>
      <c r="H351" s="333">
        <v>9900000</v>
      </c>
    </row>
    <row r="352" spans="1:10" s="606" customFormat="1" ht="12.75">
      <c r="A352" s="615" t="s">
        <v>1053</v>
      </c>
      <c r="B352" s="616" t="s">
        <v>1048</v>
      </c>
      <c r="C352" s="617"/>
      <c r="D352" s="617"/>
      <c r="E352" s="617"/>
      <c r="F352" s="617"/>
      <c r="G352" s="617"/>
      <c r="H352" s="618">
        <f>SUM(H353:H354)</f>
        <v>10897376</v>
      </c>
      <c r="J352" s="619"/>
    </row>
    <row r="353" spans="1:8" s="611" customFormat="1" ht="12.75">
      <c r="A353" s="613" t="s">
        <v>1051</v>
      </c>
      <c r="B353" s="620"/>
      <c r="C353" s="621">
        <v>799</v>
      </c>
      <c r="D353" s="621">
        <v>340</v>
      </c>
      <c r="E353" s="621">
        <v>341</v>
      </c>
      <c r="F353" s="621">
        <v>6650</v>
      </c>
      <c r="G353" s="621">
        <v>6699</v>
      </c>
      <c r="H353" s="622">
        <v>8497376</v>
      </c>
    </row>
    <row r="354" spans="1:8" s="611" customFormat="1" ht="12.75">
      <c r="A354" s="607"/>
      <c r="B354" s="608"/>
      <c r="C354" s="621">
        <v>799</v>
      </c>
      <c r="D354" s="621">
        <v>340</v>
      </c>
      <c r="E354" s="621">
        <v>341</v>
      </c>
      <c r="F354" s="609">
        <v>6750</v>
      </c>
      <c r="G354" s="609">
        <v>6757</v>
      </c>
      <c r="H354" s="610">
        <v>2400000</v>
      </c>
    </row>
    <row r="355" spans="1:8" s="626" customFormat="1" ht="13.5">
      <c r="A355" s="623" t="s">
        <v>524</v>
      </c>
      <c r="B355" s="624" t="s">
        <v>1021</v>
      </c>
      <c r="C355" s="623"/>
      <c r="D355" s="623"/>
      <c r="E355" s="623"/>
      <c r="F355" s="623"/>
      <c r="G355" s="623"/>
      <c r="H355" s="625">
        <f>H356+H359+H361</f>
        <v>19413000</v>
      </c>
    </row>
    <row r="356" spans="1:8" s="606" customFormat="1" ht="12.75">
      <c r="A356" s="602" t="s">
        <v>1054</v>
      </c>
      <c r="B356" s="603" t="s">
        <v>533</v>
      </c>
      <c r="C356" s="604"/>
      <c r="D356" s="604"/>
      <c r="E356" s="604"/>
      <c r="F356" s="604"/>
      <c r="G356" s="604"/>
      <c r="H356" s="605">
        <f>SUM(H357:H358)</f>
        <v>5813000</v>
      </c>
    </row>
    <row r="357" spans="1:8" s="611" customFormat="1" ht="12.75">
      <c r="A357" s="613" t="s">
        <v>1051</v>
      </c>
      <c r="B357" s="608"/>
      <c r="C357" s="609">
        <v>799</v>
      </c>
      <c r="D357" s="609">
        <v>340</v>
      </c>
      <c r="E357" s="609">
        <v>341</v>
      </c>
      <c r="F357" s="609">
        <v>6650</v>
      </c>
      <c r="G357" s="609">
        <v>6651</v>
      </c>
      <c r="H357" s="610">
        <v>1800000</v>
      </c>
    </row>
    <row r="358" spans="1:8" s="611" customFormat="1" ht="12.75">
      <c r="A358" s="613" t="s">
        <v>1051</v>
      </c>
      <c r="B358" s="608"/>
      <c r="C358" s="609">
        <v>799</v>
      </c>
      <c r="D358" s="609">
        <v>340</v>
      </c>
      <c r="E358" s="609">
        <v>341</v>
      </c>
      <c r="F358" s="609">
        <v>6650</v>
      </c>
      <c r="G358" s="609">
        <v>6699</v>
      </c>
      <c r="H358" s="610">
        <v>4013000</v>
      </c>
    </row>
    <row r="359" spans="1:8" s="131" customFormat="1" ht="12.75">
      <c r="A359" s="356" t="s">
        <v>1055</v>
      </c>
      <c r="B359" s="335" t="s">
        <v>535</v>
      </c>
      <c r="C359" s="350"/>
      <c r="D359" s="350"/>
      <c r="E359" s="350"/>
      <c r="F359" s="350"/>
      <c r="G359" s="350"/>
      <c r="H359" s="332">
        <f>H360</f>
        <v>7800000</v>
      </c>
    </row>
    <row r="360" spans="1:8" s="455" customFormat="1" ht="12.75">
      <c r="A360" s="353" t="s">
        <v>1051</v>
      </c>
      <c r="B360" s="614"/>
      <c r="C360" s="351">
        <v>799</v>
      </c>
      <c r="D360" s="351">
        <v>340</v>
      </c>
      <c r="E360" s="351">
        <v>341</v>
      </c>
      <c r="F360" s="351">
        <v>7000</v>
      </c>
      <c r="G360" s="351">
        <v>7001</v>
      </c>
      <c r="H360" s="333">
        <v>7800000</v>
      </c>
    </row>
    <row r="361" spans="1:8" s="606" customFormat="1" ht="12.75">
      <c r="A361" s="615" t="s">
        <v>1056</v>
      </c>
      <c r="B361" s="616" t="s">
        <v>1048</v>
      </c>
      <c r="C361" s="617"/>
      <c r="D361" s="617"/>
      <c r="E361" s="617"/>
      <c r="F361" s="617"/>
      <c r="G361" s="617"/>
      <c r="H361" s="618">
        <f>SUM(H362:H363)</f>
        <v>5800000</v>
      </c>
    </row>
    <row r="362" spans="1:8" s="611" customFormat="1" ht="12.75">
      <c r="A362" s="613" t="s">
        <v>1051</v>
      </c>
      <c r="B362" s="620"/>
      <c r="C362" s="621">
        <v>799</v>
      </c>
      <c r="D362" s="621">
        <v>340</v>
      </c>
      <c r="E362" s="621">
        <v>341</v>
      </c>
      <c r="F362" s="621">
        <v>6650</v>
      </c>
      <c r="G362" s="621">
        <v>6699</v>
      </c>
      <c r="H362" s="622">
        <v>5370000</v>
      </c>
    </row>
    <row r="363" spans="1:8" s="611" customFormat="1" ht="12.75">
      <c r="A363" s="613" t="s">
        <v>1051</v>
      </c>
      <c r="B363" s="620"/>
      <c r="C363" s="621">
        <v>799</v>
      </c>
      <c r="D363" s="621">
        <v>340</v>
      </c>
      <c r="E363" s="621">
        <v>341</v>
      </c>
      <c r="F363" s="621">
        <v>7000</v>
      </c>
      <c r="G363" s="621">
        <v>7049</v>
      </c>
      <c r="H363" s="622">
        <v>430000</v>
      </c>
    </row>
    <row r="364" spans="1:8" s="455" customFormat="1" ht="12.75">
      <c r="A364" s="627"/>
      <c r="B364" s="628"/>
      <c r="C364" s="629"/>
      <c r="D364" s="629"/>
      <c r="E364" s="629"/>
      <c r="F364" s="629"/>
      <c r="G364" s="629"/>
      <c r="H364" s="630"/>
    </row>
    <row r="365" spans="1:8" s="455" customFormat="1" ht="12.75">
      <c r="A365" s="631"/>
      <c r="C365" s="632"/>
      <c r="D365" s="632"/>
      <c r="E365" s="632"/>
      <c r="F365" s="632"/>
      <c r="G365" s="632"/>
      <c r="H365" s="281"/>
    </row>
    <row r="366" spans="1:8" s="455" customFormat="1" ht="12.75">
      <c r="A366" s="631"/>
      <c r="C366" s="1025" t="s">
        <v>1058</v>
      </c>
      <c r="D366" s="1025"/>
      <c r="E366" s="1025"/>
      <c r="F366" s="1025"/>
      <c r="G366" s="1025"/>
      <c r="H366" s="1025"/>
    </row>
    <row r="367" spans="2:8" ht="15.75">
      <c r="B367" s="455"/>
      <c r="C367" s="1024" t="s">
        <v>282</v>
      </c>
      <c r="D367" s="1024"/>
      <c r="E367" s="1024"/>
      <c r="F367" s="1024"/>
      <c r="G367" s="1024"/>
      <c r="H367" s="1024"/>
    </row>
    <row r="368" spans="3:8" ht="15.75">
      <c r="C368" s="1024" t="s">
        <v>285</v>
      </c>
      <c r="D368" s="1024"/>
      <c r="E368" s="1024"/>
      <c r="F368" s="1024"/>
      <c r="G368" s="1024"/>
      <c r="H368" s="1024"/>
    </row>
  </sheetData>
  <sheetProtection/>
  <mergeCells count="6">
    <mergeCell ref="C368:H368"/>
    <mergeCell ref="C366:H366"/>
    <mergeCell ref="A3:H3"/>
    <mergeCell ref="A4:H4"/>
    <mergeCell ref="A7:B7"/>
    <mergeCell ref="C367:H367"/>
  </mergeCells>
  <printOptions/>
  <pageMargins left="0.59" right="0.24" top="0.6" bottom="0.47" header="0.28" footer="0.31"/>
  <pageSetup blackAndWhite="1" horizontalDpi="600" verticalDpi="600" orientation="landscape" r:id="rId2"/>
  <drawing r:id="rId1"/>
</worksheet>
</file>

<file path=xl/worksheets/sheet13.xml><?xml version="1.0" encoding="utf-8"?>
<worksheet xmlns="http://schemas.openxmlformats.org/spreadsheetml/2006/main" xmlns:r="http://schemas.openxmlformats.org/officeDocument/2006/relationships">
  <sheetPr>
    <tabColor rgb="FFFF0000"/>
  </sheetPr>
  <dimension ref="A1:R37"/>
  <sheetViews>
    <sheetView zoomScalePageLayoutView="0" workbookViewId="0" topLeftCell="A1">
      <selection activeCell="D60" sqref="D60"/>
    </sheetView>
  </sheetViews>
  <sheetFormatPr defaultColWidth="9.33203125" defaultRowHeight="12.75"/>
  <cols>
    <col min="1" max="1" width="7.16015625" style="0" customWidth="1"/>
    <col min="2" max="2" width="45.16015625" style="0" customWidth="1"/>
    <col min="3" max="3" width="17.66015625" style="188" customWidth="1"/>
    <col min="4" max="4" width="16.16015625" style="188" customWidth="1"/>
    <col min="5" max="5" width="17.16015625" style="188" customWidth="1"/>
    <col min="6" max="6" width="17.5" style="188" customWidth="1"/>
    <col min="7" max="7" width="33" style="0" customWidth="1"/>
    <col min="8" max="8" width="15.5" style="204" customWidth="1"/>
    <col min="9" max="9" width="15.33203125" style="204" customWidth="1"/>
    <col min="10" max="10" width="16.16015625" style="204" customWidth="1"/>
    <col min="11" max="11" width="16.33203125" style="204" customWidth="1"/>
    <col min="12" max="13" width="17" style="205" customWidth="1"/>
    <col min="14" max="18" width="9.33203125" style="205" customWidth="1"/>
  </cols>
  <sheetData>
    <row r="1" ht="12.75">
      <c r="G1" s="518" t="s">
        <v>871</v>
      </c>
    </row>
    <row r="2" ht="12.75"/>
    <row r="3" spans="1:7" ht="12.75">
      <c r="A3" s="1034" t="s">
        <v>889</v>
      </c>
      <c r="B3" s="1034"/>
      <c r="C3" s="1034"/>
      <c r="D3" s="1034"/>
      <c r="E3" s="1034"/>
      <c r="F3" s="1034"/>
      <c r="G3" s="1034"/>
    </row>
    <row r="4" spans="1:7" ht="12.75" hidden="1">
      <c r="A4" s="963" t="s">
        <v>496</v>
      </c>
      <c r="B4" s="963"/>
      <c r="C4" s="963"/>
      <c r="D4" s="963"/>
      <c r="E4" s="963"/>
      <c r="F4" s="963"/>
      <c r="G4" s="963"/>
    </row>
    <row r="5" ht="12.75"/>
    <row r="6" ht="12.75">
      <c r="G6" s="206" t="s">
        <v>247</v>
      </c>
    </row>
    <row r="7" spans="1:7" ht="18" customHeight="1">
      <c r="A7" s="985" t="s">
        <v>3</v>
      </c>
      <c r="B7" s="978" t="s">
        <v>289</v>
      </c>
      <c r="C7" s="977" t="s">
        <v>249</v>
      </c>
      <c r="D7" s="977" t="s">
        <v>538</v>
      </c>
      <c r="E7" s="977"/>
      <c r="F7" s="977"/>
      <c r="G7" s="978" t="s">
        <v>539</v>
      </c>
    </row>
    <row r="8" spans="1:12" ht="25.5" customHeight="1">
      <c r="A8" s="985"/>
      <c r="B8" s="978"/>
      <c r="C8" s="977"/>
      <c r="D8" s="520" t="s">
        <v>503</v>
      </c>
      <c r="E8" s="520" t="s">
        <v>504</v>
      </c>
      <c r="F8" s="520" t="s">
        <v>505</v>
      </c>
      <c r="G8" s="978"/>
      <c r="H8" s="1030" t="s">
        <v>872</v>
      </c>
      <c r="I8" s="1031"/>
      <c r="J8" s="1031"/>
      <c r="K8" s="1031"/>
      <c r="L8" s="1031"/>
    </row>
    <row r="9" spans="1:13" ht="12.75">
      <c r="A9" s="23" t="s">
        <v>296</v>
      </c>
      <c r="B9" s="23" t="s">
        <v>297</v>
      </c>
      <c r="C9" s="134" t="s">
        <v>540</v>
      </c>
      <c r="D9" s="134">
        <v>2</v>
      </c>
      <c r="E9" s="134">
        <v>3</v>
      </c>
      <c r="F9" s="134">
        <v>4</v>
      </c>
      <c r="G9" s="23">
        <v>5</v>
      </c>
      <c r="H9" s="1032" t="s">
        <v>873</v>
      </c>
      <c r="I9" s="1033"/>
      <c r="J9" s="1033" t="s">
        <v>874</v>
      </c>
      <c r="K9" s="1033"/>
      <c r="L9" s="1033" t="s">
        <v>875</v>
      </c>
      <c r="M9" s="1033"/>
    </row>
    <row r="10" spans="1:13" ht="25.5">
      <c r="A10" s="26"/>
      <c r="B10" s="25" t="s">
        <v>876</v>
      </c>
      <c r="C10" s="176">
        <f>+C11+C14+C21+C25+C28</f>
        <v>364938000</v>
      </c>
      <c r="D10" s="176">
        <f>+D11+D14+D21+D25+D28</f>
        <v>0</v>
      </c>
      <c r="E10" s="176">
        <f>+E11+E14+E21+E25+E28</f>
        <v>0</v>
      </c>
      <c r="F10" s="176">
        <f>+F11+F14+F21+F25+F28</f>
        <v>364938000</v>
      </c>
      <c r="G10" s="26"/>
      <c r="H10" s="524" t="s">
        <v>541</v>
      </c>
      <c r="I10" s="524" t="s">
        <v>542</v>
      </c>
      <c r="J10" s="524" t="s">
        <v>541</v>
      </c>
      <c r="K10" s="524" t="s">
        <v>542</v>
      </c>
      <c r="L10" s="524" t="s">
        <v>541</v>
      </c>
      <c r="M10" s="524" t="s">
        <v>542</v>
      </c>
    </row>
    <row r="11" spans="1:18" s="202" customFormat="1" ht="12.75">
      <c r="A11" s="29">
        <v>1</v>
      </c>
      <c r="B11" s="519" t="s">
        <v>877</v>
      </c>
      <c r="C11" s="176"/>
      <c r="D11" s="176"/>
      <c r="E11" s="176"/>
      <c r="F11" s="176"/>
      <c r="G11" s="29"/>
      <c r="H11" s="207">
        <f>'62-H-N'!C44-I11</f>
        <v>27760660000</v>
      </c>
      <c r="I11" s="207">
        <f>31684340000+747000000</f>
        <v>32431340000</v>
      </c>
      <c r="J11" s="207">
        <f>'62-H-N'!Q44</f>
        <v>28529278243</v>
      </c>
      <c r="K11" s="207">
        <f>'62-H-N'!R44+747+267000000</f>
        <v>34420819714</v>
      </c>
      <c r="L11" s="525">
        <f>J11-H11</f>
        <v>768618243</v>
      </c>
      <c r="M11" s="525">
        <f>K11-I11</f>
        <v>1989479714</v>
      </c>
      <c r="N11" s="525"/>
      <c r="O11" s="525"/>
      <c r="P11" s="525"/>
      <c r="Q11" s="525"/>
      <c r="R11" s="525"/>
    </row>
    <row r="12" spans="1:7" ht="12.75" hidden="1">
      <c r="A12" s="517"/>
      <c r="B12" s="28"/>
      <c r="C12" s="183">
        <f>SUM(D12:F12)</f>
        <v>0</v>
      </c>
      <c r="D12" s="521"/>
      <c r="E12" s="521"/>
      <c r="F12" s="521"/>
      <c r="G12" s="517"/>
    </row>
    <row r="13" spans="1:7" ht="12.75" hidden="1">
      <c r="A13" s="517"/>
      <c r="B13" s="28"/>
      <c r="C13" s="183">
        <f>SUM(D13:F13)</f>
        <v>0</v>
      </c>
      <c r="D13" s="521"/>
      <c r="E13" s="521"/>
      <c r="F13" s="521"/>
      <c r="G13" s="517"/>
    </row>
    <row r="14" spans="1:18" s="202" customFormat="1" ht="25.5">
      <c r="A14" s="29">
        <v>2</v>
      </c>
      <c r="B14" s="519" t="s">
        <v>878</v>
      </c>
      <c r="C14" s="176">
        <f>SUM(C15:C20)</f>
        <v>364938000</v>
      </c>
      <c r="D14" s="176">
        <f>SUM(D15:D20)</f>
        <v>0</v>
      </c>
      <c r="E14" s="176">
        <f>SUM(E15:E20)</f>
        <v>0</v>
      </c>
      <c r="F14" s="176">
        <f>SUM(F15:F20)</f>
        <v>364938000</v>
      </c>
      <c r="G14" s="29"/>
      <c r="H14" s="207"/>
      <c r="I14" s="207"/>
      <c r="J14" s="207"/>
      <c r="K14" s="207"/>
      <c r="L14" s="525">
        <f>E10-L11</f>
        <v>-768618243</v>
      </c>
      <c r="M14" s="525">
        <f>F10-M11</f>
        <v>-1624541714</v>
      </c>
      <c r="N14" s="525"/>
      <c r="O14" s="525"/>
      <c r="P14" s="525"/>
      <c r="Q14" s="525"/>
      <c r="R14" s="525"/>
    </row>
    <row r="15" spans="1:7" ht="12.75">
      <c r="A15" s="517"/>
      <c r="B15" s="28" t="s">
        <v>879</v>
      </c>
      <c r="C15" s="521">
        <f aca="true" t="shared" si="0" ref="C15:C30">SUM(D15:F15)</f>
        <v>18000000</v>
      </c>
      <c r="D15" s="521"/>
      <c r="E15" s="521"/>
      <c r="F15" s="521">
        <v>18000000</v>
      </c>
      <c r="G15" s="517"/>
    </row>
    <row r="16" spans="1:7" ht="25.5">
      <c r="A16" s="517"/>
      <c r="B16" s="28" t="s">
        <v>1085</v>
      </c>
      <c r="C16" s="521">
        <f t="shared" si="0"/>
        <v>346938000</v>
      </c>
      <c r="D16" s="521"/>
      <c r="E16" s="521"/>
      <c r="F16" s="521">
        <v>346938000</v>
      </c>
      <c r="G16" s="517"/>
    </row>
    <row r="17" spans="1:7" ht="12.75" hidden="1">
      <c r="A17" s="517"/>
      <c r="B17" s="28"/>
      <c r="C17" s="521"/>
      <c r="D17" s="521"/>
      <c r="E17" s="521"/>
      <c r="F17" s="521"/>
      <c r="G17" s="517"/>
    </row>
    <row r="18" spans="1:7" ht="12.75" hidden="1">
      <c r="A18" s="517"/>
      <c r="B18" s="28"/>
      <c r="C18" s="521"/>
      <c r="D18" s="521"/>
      <c r="E18" s="183"/>
      <c r="F18" s="521"/>
      <c r="G18" s="517"/>
    </row>
    <row r="19" spans="1:7" ht="12.75" hidden="1">
      <c r="A19" s="517"/>
      <c r="B19" s="28"/>
      <c r="C19" s="521">
        <f t="shared" si="0"/>
        <v>0</v>
      </c>
      <c r="D19" s="521"/>
      <c r="E19" s="521"/>
      <c r="F19" s="521"/>
      <c r="G19" s="517"/>
    </row>
    <row r="20" spans="1:7" ht="12.75" hidden="1">
      <c r="A20" s="517"/>
      <c r="B20" s="28"/>
      <c r="C20" s="521">
        <f t="shared" si="0"/>
        <v>0</v>
      </c>
      <c r="D20" s="521"/>
      <c r="E20" s="521"/>
      <c r="F20" s="521"/>
      <c r="G20" s="517"/>
    </row>
    <row r="21" spans="1:18" s="202" customFormat="1" ht="12.75">
      <c r="A21" s="29">
        <v>3</v>
      </c>
      <c r="B21" s="519" t="s">
        <v>880</v>
      </c>
      <c r="C21" s="155">
        <f t="shared" si="0"/>
        <v>0</v>
      </c>
      <c r="D21" s="155"/>
      <c r="E21" s="155"/>
      <c r="F21" s="155"/>
      <c r="G21" s="29"/>
      <c r="H21" s="207"/>
      <c r="I21" s="207"/>
      <c r="J21" s="207"/>
      <c r="K21" s="207"/>
      <c r="L21" s="525"/>
      <c r="M21" s="525"/>
      <c r="N21" s="525"/>
      <c r="O21" s="525"/>
      <c r="P21" s="525"/>
      <c r="Q21" s="525"/>
      <c r="R21" s="525"/>
    </row>
    <row r="22" spans="1:18" s="203" customFormat="1" ht="15.75" customHeight="1" hidden="1">
      <c r="A22" s="517"/>
      <c r="B22" s="161" t="s">
        <v>881</v>
      </c>
      <c r="C22" s="521"/>
      <c r="D22" s="521"/>
      <c r="E22" s="521"/>
      <c r="F22" s="521"/>
      <c r="G22" s="517"/>
      <c r="H22" s="204"/>
      <c r="I22" s="204"/>
      <c r="J22" s="204"/>
      <c r="K22" s="204"/>
      <c r="L22" s="526"/>
      <c r="M22" s="526"/>
      <c r="N22" s="526"/>
      <c r="O22" s="526"/>
      <c r="P22" s="526"/>
      <c r="Q22" s="526"/>
      <c r="R22" s="526"/>
    </row>
    <row r="23" spans="1:7" ht="12.75">
      <c r="A23" s="517"/>
      <c r="B23" s="161" t="s">
        <v>882</v>
      </c>
      <c r="C23" s="521">
        <f t="shared" si="0"/>
        <v>0</v>
      </c>
      <c r="D23" s="521"/>
      <c r="E23" s="521"/>
      <c r="F23" s="521"/>
      <c r="G23" s="517"/>
    </row>
    <row r="24" spans="1:7" ht="12.75">
      <c r="A24" s="517"/>
      <c r="B24" s="161" t="s">
        <v>883</v>
      </c>
      <c r="C24" s="521">
        <f t="shared" si="0"/>
        <v>0</v>
      </c>
      <c r="D24" s="521"/>
      <c r="E24" s="521"/>
      <c r="F24" s="521"/>
      <c r="G24" s="517"/>
    </row>
    <row r="25" spans="1:18" s="202" customFormat="1" ht="25.5">
      <c r="A25" s="29" t="s">
        <v>299</v>
      </c>
      <c r="B25" s="519" t="s">
        <v>884</v>
      </c>
      <c r="C25" s="155">
        <f t="shared" si="0"/>
        <v>0</v>
      </c>
      <c r="D25" s="155"/>
      <c r="E25" s="155"/>
      <c r="F25" s="155"/>
      <c r="G25" s="29"/>
      <c r="H25" s="207"/>
      <c r="I25" s="207"/>
      <c r="J25" s="207"/>
      <c r="K25" s="207"/>
      <c r="L25" s="525"/>
      <c r="M25" s="525"/>
      <c r="N25" s="525"/>
      <c r="O25" s="525"/>
      <c r="P25" s="525"/>
      <c r="Q25" s="525"/>
      <c r="R25" s="525"/>
    </row>
    <row r="26" spans="1:7" ht="12.75">
      <c r="A26" s="1035"/>
      <c r="B26" s="161" t="s">
        <v>885</v>
      </c>
      <c r="C26" s="521">
        <f t="shared" si="0"/>
        <v>0</v>
      </c>
      <c r="D26" s="521"/>
      <c r="E26" s="521"/>
      <c r="F26" s="521"/>
      <c r="G26" s="517"/>
    </row>
    <row r="27" spans="1:7" ht="12.75">
      <c r="A27" s="1035"/>
      <c r="B27" s="161" t="s">
        <v>886</v>
      </c>
      <c r="C27" s="521">
        <f t="shared" si="0"/>
        <v>0</v>
      </c>
      <c r="D27" s="521"/>
      <c r="E27" s="521"/>
      <c r="F27" s="155"/>
      <c r="G27" s="517"/>
    </row>
    <row r="28" spans="1:18" s="202" customFormat="1" ht="12.75">
      <c r="A28" s="29">
        <v>5</v>
      </c>
      <c r="B28" s="519" t="s">
        <v>887</v>
      </c>
      <c r="C28" s="155">
        <f>SUM(C29:C30)</f>
        <v>0</v>
      </c>
      <c r="D28" s="155">
        <f>SUM(D29:D30)</f>
        <v>0</v>
      </c>
      <c r="E28" s="155">
        <f>SUM(E29:E30)</f>
        <v>0</v>
      </c>
      <c r="F28" s="155">
        <f>SUM(F29:F30)</f>
        <v>0</v>
      </c>
      <c r="G28" s="29"/>
      <c r="H28" s="207"/>
      <c r="I28" s="207"/>
      <c r="J28" s="207"/>
      <c r="K28" s="207"/>
      <c r="L28" s="525"/>
      <c r="M28" s="525"/>
      <c r="N28" s="525"/>
      <c r="O28" s="525"/>
      <c r="P28" s="525"/>
      <c r="Q28" s="525"/>
      <c r="R28" s="525"/>
    </row>
    <row r="29" spans="1:18" s="203" customFormat="1" ht="12.75">
      <c r="A29" s="517"/>
      <c r="B29" s="28"/>
      <c r="C29" s="521">
        <f>SUM(D29:F29)</f>
        <v>0</v>
      </c>
      <c r="D29" s="521"/>
      <c r="E29" s="521"/>
      <c r="F29" s="521"/>
      <c r="G29" s="517"/>
      <c r="H29" s="204"/>
      <c r="I29" s="204"/>
      <c r="J29" s="204"/>
      <c r="K29" s="204"/>
      <c r="L29" s="526"/>
      <c r="M29" s="526"/>
      <c r="N29" s="526"/>
      <c r="O29" s="526"/>
      <c r="P29" s="526"/>
      <c r="Q29" s="526"/>
      <c r="R29" s="526"/>
    </row>
    <row r="30" spans="1:18" s="203" customFormat="1" ht="12.75">
      <c r="A30" s="517"/>
      <c r="B30" s="28"/>
      <c r="C30" s="521">
        <f t="shared" si="0"/>
        <v>0</v>
      </c>
      <c r="D30" s="521"/>
      <c r="E30" s="521"/>
      <c r="F30" s="521"/>
      <c r="G30" s="517"/>
      <c r="H30" s="204"/>
      <c r="I30" s="204"/>
      <c r="J30" s="204"/>
      <c r="K30" s="204"/>
      <c r="L30" s="526"/>
      <c r="M30" s="526"/>
      <c r="N30" s="526"/>
      <c r="O30" s="526"/>
      <c r="P30" s="526"/>
      <c r="Q30" s="526"/>
      <c r="R30" s="526"/>
    </row>
    <row r="31" spans="1:7" ht="12.75">
      <c r="A31" s="208"/>
      <c r="B31" s="208"/>
      <c r="C31" s="527"/>
      <c r="D31" s="527"/>
      <c r="E31" s="527"/>
      <c r="F31" s="527"/>
      <c r="G31" s="208"/>
    </row>
    <row r="33" spans="1:7" ht="12.75" hidden="1">
      <c r="A33" s="33" t="s">
        <v>888</v>
      </c>
      <c r="F33" s="962"/>
      <c r="G33" s="962"/>
    </row>
    <row r="34" spans="6:7" ht="12.75">
      <c r="F34" s="999"/>
      <c r="G34" s="999"/>
    </row>
    <row r="35" spans="3:9" ht="15">
      <c r="C35" s="973" t="s">
        <v>1081</v>
      </c>
      <c r="D35" s="973"/>
      <c r="E35" s="973"/>
      <c r="F35" s="973"/>
      <c r="G35" s="973"/>
      <c r="H35" s="528"/>
      <c r="I35" s="528"/>
    </row>
    <row r="36" spans="3:9" ht="15.75">
      <c r="C36" s="960" t="s">
        <v>282</v>
      </c>
      <c r="D36" s="960"/>
      <c r="E36" s="960"/>
      <c r="F36" s="960"/>
      <c r="G36" s="960"/>
      <c r="H36" s="529"/>
      <c r="I36" s="529"/>
    </row>
    <row r="37" spans="3:9" ht="15.75">
      <c r="C37" s="960" t="s">
        <v>285</v>
      </c>
      <c r="D37" s="960"/>
      <c r="E37" s="960"/>
      <c r="F37" s="960"/>
      <c r="G37" s="960"/>
      <c r="H37" s="530"/>
      <c r="I37" s="530"/>
    </row>
  </sheetData>
  <sheetProtection/>
  <mergeCells count="17">
    <mergeCell ref="C36:G36"/>
    <mergeCell ref="C37:G37"/>
    <mergeCell ref="J9:K9"/>
    <mergeCell ref="L9:M9"/>
    <mergeCell ref="A26:A27"/>
    <mergeCell ref="F33:G33"/>
    <mergeCell ref="F34:G34"/>
    <mergeCell ref="C35:G35"/>
    <mergeCell ref="H8:L8"/>
    <mergeCell ref="H9:I9"/>
    <mergeCell ref="A3:G3"/>
    <mergeCell ref="A4:G4"/>
    <mergeCell ref="A7:A8"/>
    <mergeCell ref="B7:B8"/>
    <mergeCell ref="C7:C8"/>
    <mergeCell ref="D7:F7"/>
    <mergeCell ref="G7:G8"/>
  </mergeCells>
  <printOptions/>
  <pageMargins left="0.36" right="0.2" top="0.41" bottom="0.34" header="0.3" footer="0.3"/>
  <pageSetup blackAndWhite="1" horizontalDpi="600" verticalDpi="600" orientation="landscape" scale="95" r:id="rId4"/>
  <drawing r:id="rId3"/>
  <legacyDrawing r:id="rId2"/>
</worksheet>
</file>

<file path=xl/worksheets/sheet14.xml><?xml version="1.0" encoding="utf-8"?>
<worksheet xmlns="http://schemas.openxmlformats.org/spreadsheetml/2006/main" xmlns:r="http://schemas.openxmlformats.org/officeDocument/2006/relationships">
  <sheetPr>
    <tabColor rgb="FFFF0000"/>
  </sheetPr>
  <dimension ref="A1:K41"/>
  <sheetViews>
    <sheetView zoomScalePageLayoutView="0" workbookViewId="0" topLeftCell="A4">
      <pane xSplit="2" ySplit="4" topLeftCell="C8" activePane="bottomRight" state="frozen"/>
      <selection pane="topLeft" activeCell="D60" sqref="D60"/>
      <selection pane="topRight" activeCell="D60" sqref="D60"/>
      <selection pane="bottomLeft" activeCell="D60" sqref="D60"/>
      <selection pane="bottomRight" activeCell="D60" sqref="D60"/>
    </sheetView>
  </sheetViews>
  <sheetFormatPr defaultColWidth="9.33203125" defaultRowHeight="12.75"/>
  <cols>
    <col min="1" max="1" width="7.83203125" style="0" customWidth="1"/>
    <col min="2" max="2" width="44.83203125" style="0" customWidth="1"/>
    <col min="3" max="3" width="18" style="188" customWidth="1"/>
    <col min="4" max="4" width="18.66015625" style="0" customWidth="1"/>
    <col min="5" max="5" width="17" style="188" customWidth="1"/>
    <col min="6" max="6" width="16.66015625" style="0" customWidth="1"/>
    <col min="7" max="7" width="14.33203125" style="0" bestFit="1" customWidth="1"/>
    <col min="8" max="8" width="16.5" style="0" customWidth="1"/>
    <col min="10" max="10" width="12.33203125" style="0" customWidth="1"/>
  </cols>
  <sheetData>
    <row r="1" ht="12.75">
      <c r="F1" s="20" t="s">
        <v>543</v>
      </c>
    </row>
    <row r="2" ht="12.75"/>
    <row r="3" spans="1:6" ht="12.75">
      <c r="A3" s="1036" t="s">
        <v>544</v>
      </c>
      <c r="B3" s="1036"/>
      <c r="C3" s="1036"/>
      <c r="D3" s="1036"/>
      <c r="E3" s="1036"/>
      <c r="F3" s="1036"/>
    </row>
    <row r="4" spans="1:6" ht="12.75">
      <c r="A4" s="1036" t="s">
        <v>1092</v>
      </c>
      <c r="B4" s="1036"/>
      <c r="C4" s="1036"/>
      <c r="D4" s="1036"/>
      <c r="E4" s="1036"/>
      <c r="F4" s="1036"/>
    </row>
    <row r="5" spans="1:6" ht="12.75" hidden="1">
      <c r="A5" s="1037" t="s">
        <v>496</v>
      </c>
      <c r="B5" s="1037"/>
      <c r="C5" s="1037"/>
      <c r="D5" s="1037"/>
      <c r="E5" s="1037"/>
      <c r="F5" s="1037"/>
    </row>
    <row r="6" spans="1:6" ht="12.75">
      <c r="A6" s="203"/>
      <c r="B6" s="203"/>
      <c r="D6" s="203"/>
      <c r="F6" s="189" t="s">
        <v>247</v>
      </c>
    </row>
    <row r="7" spans="1:8" ht="36" customHeight="1">
      <c r="A7" s="4" t="s">
        <v>3</v>
      </c>
      <c r="B7" s="4" t="s">
        <v>289</v>
      </c>
      <c r="C7" s="190" t="s">
        <v>249</v>
      </c>
      <c r="D7" s="4" t="s">
        <v>868</v>
      </c>
      <c r="E7" s="190" t="s">
        <v>504</v>
      </c>
      <c r="F7" s="4" t="s">
        <v>505</v>
      </c>
      <c r="H7" t="s">
        <v>1432</v>
      </c>
    </row>
    <row r="8" spans="1:6" ht="12.75">
      <c r="A8" s="5" t="s">
        <v>296</v>
      </c>
      <c r="B8" s="5" t="s">
        <v>297</v>
      </c>
      <c r="C8" s="191">
        <v>1</v>
      </c>
      <c r="D8" s="5">
        <v>2</v>
      </c>
      <c r="E8" s="191">
        <v>3</v>
      </c>
      <c r="F8" s="5">
        <v>4</v>
      </c>
    </row>
    <row r="9" spans="1:6" ht="12.75">
      <c r="A9" s="6" t="s">
        <v>296</v>
      </c>
      <c r="B9" s="7" t="s">
        <v>545</v>
      </c>
      <c r="C9" s="192"/>
      <c r="D9" s="8"/>
      <c r="E9" s="192"/>
      <c r="F9" s="8"/>
    </row>
    <row r="10" spans="1:6" ht="12.75">
      <c r="A10" s="11" t="s">
        <v>307</v>
      </c>
      <c r="B10" s="12" t="s">
        <v>546</v>
      </c>
      <c r="C10" s="193">
        <f>SUM(C11:C14)</f>
        <v>1668200000</v>
      </c>
      <c r="D10" s="193">
        <f>SUM(D11:D14)</f>
        <v>0</v>
      </c>
      <c r="E10" s="193">
        <f>SUM(E11:E14)</f>
        <v>1668200000</v>
      </c>
      <c r="F10" s="193">
        <f>SUM(F11:F14)</f>
        <v>0</v>
      </c>
    </row>
    <row r="11" spans="1:11" ht="12.75">
      <c r="A11" s="9">
        <v>1</v>
      </c>
      <c r="B11" s="10" t="s">
        <v>867</v>
      </c>
      <c r="C11" s="194">
        <f>SUM(D11:F11)</f>
        <v>0</v>
      </c>
      <c r="D11" s="194"/>
      <c r="E11" s="194"/>
      <c r="F11" s="194"/>
      <c r="H11" s="196"/>
      <c r="I11" s="131"/>
      <c r="J11" s="131"/>
      <c r="K11" s="131"/>
    </row>
    <row r="12" spans="1:7" ht="12.75">
      <c r="A12" s="9">
        <v>2</v>
      </c>
      <c r="B12" s="10" t="s">
        <v>547</v>
      </c>
      <c r="C12" s="194">
        <f aca="true" t="shared" si="0" ref="C12:C19">SUM(D12:F12)</f>
        <v>0</v>
      </c>
      <c r="D12" s="194"/>
      <c r="E12" s="194"/>
      <c r="F12" s="9"/>
      <c r="G12" s="148"/>
    </row>
    <row r="13" spans="1:7" ht="25.5">
      <c r="A13" s="9">
        <v>3</v>
      </c>
      <c r="B13" s="10" t="s">
        <v>548</v>
      </c>
      <c r="C13" s="194">
        <f t="shared" si="0"/>
        <v>0</v>
      </c>
      <c r="D13" s="195"/>
      <c r="E13" s="194"/>
      <c r="F13" s="9"/>
      <c r="G13" s="148"/>
    </row>
    <row r="14" spans="1:6" ht="12.75">
      <c r="A14" s="9">
        <v>4</v>
      </c>
      <c r="B14" s="10" t="s">
        <v>549</v>
      </c>
      <c r="C14" s="194">
        <f t="shared" si="0"/>
        <v>1668200000</v>
      </c>
      <c r="D14" s="194">
        <f>SUM(D15:D20)</f>
        <v>0</v>
      </c>
      <c r="E14" s="194">
        <f>SUM(E15:E20)</f>
        <v>1668200000</v>
      </c>
      <c r="F14" s="194">
        <f>SUM(F15:F20)</f>
        <v>0</v>
      </c>
    </row>
    <row r="15" spans="1:6" ht="12.75">
      <c r="A15" s="9"/>
      <c r="B15" s="10" t="s">
        <v>550</v>
      </c>
      <c r="C15" s="194">
        <f t="shared" si="0"/>
        <v>685000000</v>
      </c>
      <c r="D15" s="9"/>
      <c r="E15" s="194">
        <v>685000000</v>
      </c>
      <c r="F15" s="194"/>
    </row>
    <row r="16" spans="1:6" ht="12.75">
      <c r="A16" s="9"/>
      <c r="B16" s="10" t="s">
        <v>551</v>
      </c>
      <c r="C16" s="194">
        <f t="shared" si="0"/>
        <v>0</v>
      </c>
      <c r="D16" s="9"/>
      <c r="E16" s="197"/>
      <c r="F16" s="9"/>
    </row>
    <row r="17" spans="1:6" ht="12.75">
      <c r="A17" s="9"/>
      <c r="B17" s="10" t="s">
        <v>552</v>
      </c>
      <c r="C17" s="194">
        <f t="shared" si="0"/>
        <v>0</v>
      </c>
      <c r="D17" s="9"/>
      <c r="E17" s="197"/>
      <c r="F17" s="9"/>
    </row>
    <row r="18" spans="1:6" ht="12.75">
      <c r="A18" s="9"/>
      <c r="B18" s="10" t="s">
        <v>553</v>
      </c>
      <c r="C18" s="194">
        <f t="shared" si="0"/>
        <v>0</v>
      </c>
      <c r="D18" s="9"/>
      <c r="E18" s="197"/>
      <c r="F18" s="9"/>
    </row>
    <row r="19" spans="1:6" ht="25.5">
      <c r="A19" s="9"/>
      <c r="B19" s="328" t="s">
        <v>866</v>
      </c>
      <c r="C19" s="194">
        <f t="shared" si="0"/>
        <v>268200000</v>
      </c>
      <c r="D19" s="9"/>
      <c r="E19" s="516">
        <v>268200000</v>
      </c>
      <c r="F19" s="9"/>
    </row>
    <row r="20" spans="1:6" ht="12.75">
      <c r="A20" s="9">
        <v>4</v>
      </c>
      <c r="B20" s="10" t="s">
        <v>554</v>
      </c>
      <c r="C20" s="197">
        <f>E20</f>
        <v>715000000</v>
      </c>
      <c r="D20" s="9"/>
      <c r="E20" s="197">
        <v>715000000</v>
      </c>
      <c r="F20" s="9"/>
    </row>
    <row r="21" spans="1:6" ht="12.75">
      <c r="A21" s="11" t="s">
        <v>363</v>
      </c>
      <c r="B21" s="12" t="s">
        <v>555</v>
      </c>
      <c r="C21" s="198"/>
      <c r="D21" s="11"/>
      <c r="E21" s="198"/>
      <c r="F21" s="11"/>
    </row>
    <row r="22" spans="1:6" s="202" customFormat="1" ht="25.5">
      <c r="A22" s="11" t="s">
        <v>297</v>
      </c>
      <c r="B22" s="12" t="s">
        <v>556</v>
      </c>
      <c r="C22" s="193">
        <f>+C23+C26+C34</f>
        <v>682221000</v>
      </c>
      <c r="D22" s="193">
        <f>+D23+D26+D34</f>
        <v>0</v>
      </c>
      <c r="E22" s="193">
        <f>+E23+E26+E34</f>
        <v>567191000</v>
      </c>
      <c r="F22" s="193">
        <f>+F23+F26+F34</f>
        <v>115030000</v>
      </c>
    </row>
    <row r="23" spans="1:6" s="202" customFormat="1" ht="12.75">
      <c r="A23" s="11" t="s">
        <v>307</v>
      </c>
      <c r="B23" s="12" t="s">
        <v>557</v>
      </c>
      <c r="C23" s="193">
        <f>SUM(C24:C25)</f>
        <v>542191000</v>
      </c>
      <c r="D23" s="193">
        <f>SUM(D24:D25)</f>
        <v>0</v>
      </c>
      <c r="E23" s="193">
        <f>SUM(E24:E25)</f>
        <v>542191000</v>
      </c>
      <c r="F23" s="11"/>
    </row>
    <row r="24" spans="1:6" s="202" customFormat="1" ht="18" customHeight="1">
      <c r="A24" s="11">
        <v>1</v>
      </c>
      <c r="B24" s="706" t="s">
        <v>1093</v>
      </c>
      <c r="C24" s="194">
        <f>SUM(D24:F24)</f>
        <v>12790000</v>
      </c>
      <c r="D24" s="193"/>
      <c r="E24" s="194">
        <v>12790000</v>
      </c>
      <c r="F24" s="11"/>
    </row>
    <row r="25" spans="1:6" s="202" customFormat="1" ht="38.25">
      <c r="A25" s="11">
        <v>2</v>
      </c>
      <c r="B25" s="706" t="s">
        <v>1094</v>
      </c>
      <c r="C25" s="194">
        <f>SUM(D25:F25)</f>
        <v>529401000</v>
      </c>
      <c r="D25" s="193"/>
      <c r="E25" s="194">
        <v>529401000</v>
      </c>
      <c r="F25" s="11"/>
    </row>
    <row r="26" spans="1:6" s="202" customFormat="1" ht="12.75">
      <c r="A26" s="11" t="s">
        <v>363</v>
      </c>
      <c r="B26" s="12" t="s">
        <v>464</v>
      </c>
      <c r="C26" s="193">
        <f>C27+C31+C32+C33</f>
        <v>140030000</v>
      </c>
      <c r="D26" s="193">
        <f>D27+D31+D32+D33</f>
        <v>0</v>
      </c>
      <c r="E26" s="193">
        <f>E27+E31+E32+E33</f>
        <v>25000000</v>
      </c>
      <c r="F26" s="193">
        <f>F27+F31+F32+F33</f>
        <v>115030000</v>
      </c>
    </row>
    <row r="27" spans="1:7" ht="12.75">
      <c r="A27" s="9">
        <v>1</v>
      </c>
      <c r="B27" s="10" t="s">
        <v>558</v>
      </c>
      <c r="C27" s="194">
        <f>SUM(C28:C30)</f>
        <v>140030000</v>
      </c>
      <c r="D27" s="194">
        <f>SUM(D28:D30)</f>
        <v>0</v>
      </c>
      <c r="E27" s="194">
        <f>SUM(E28:E30)</f>
        <v>25000000</v>
      </c>
      <c r="F27" s="194">
        <f>SUM(F28:F30)</f>
        <v>115030000</v>
      </c>
      <c r="G27" s="202"/>
    </row>
    <row r="28" spans="1:6" ht="25.5">
      <c r="A28" s="9"/>
      <c r="B28" s="707" t="s">
        <v>1095</v>
      </c>
      <c r="C28" s="709">
        <f>SUM(D28:F28)</f>
        <v>25000000</v>
      </c>
      <c r="D28" s="709"/>
      <c r="E28" s="709">
        <v>25000000</v>
      </c>
      <c r="F28" s="709"/>
    </row>
    <row r="29" spans="1:6" ht="31.5">
      <c r="A29" s="9"/>
      <c r="B29" s="708" t="s">
        <v>1096</v>
      </c>
      <c r="C29" s="709">
        <f>SUM(D29:F29)</f>
        <v>65030000</v>
      </c>
      <c r="D29" s="709"/>
      <c r="E29" s="709"/>
      <c r="F29" s="709">
        <v>65030000</v>
      </c>
    </row>
    <row r="30" spans="1:6" ht="47.25">
      <c r="A30" s="9"/>
      <c r="B30" s="708" t="s">
        <v>1097</v>
      </c>
      <c r="C30" s="709">
        <f>SUM(D30:F30)</f>
        <v>50000000</v>
      </c>
      <c r="D30" s="709"/>
      <c r="E30" s="709"/>
      <c r="F30" s="709">
        <v>50000000</v>
      </c>
    </row>
    <row r="31" spans="1:6" ht="12.75">
      <c r="A31" s="9">
        <v>2</v>
      </c>
      <c r="B31" s="10" t="s">
        <v>559</v>
      </c>
      <c r="C31" s="194">
        <f>SUM(D31:F31)</f>
        <v>0</v>
      </c>
      <c r="D31" s="9"/>
      <c r="E31" s="197"/>
      <c r="F31" s="197"/>
    </row>
    <row r="32" spans="1:6" ht="12.75">
      <c r="A32" s="9">
        <v>3</v>
      </c>
      <c r="B32" s="10" t="s">
        <v>560</v>
      </c>
      <c r="C32" s="194">
        <f>SUM(D32:F32)</f>
        <v>0</v>
      </c>
      <c r="D32" s="9"/>
      <c r="E32" s="197"/>
      <c r="F32" s="197"/>
    </row>
    <row r="33" spans="1:6" ht="12.75">
      <c r="A33" s="9">
        <v>4</v>
      </c>
      <c r="B33" s="10" t="s">
        <v>561</v>
      </c>
      <c r="C33" s="194">
        <f>SUM(D33:F33)</f>
        <v>0</v>
      </c>
      <c r="D33" s="9"/>
      <c r="E33" s="197"/>
      <c r="F33" s="197"/>
    </row>
    <row r="34" spans="1:6" s="202" customFormat="1" ht="12.75">
      <c r="A34" s="199" t="s">
        <v>381</v>
      </c>
      <c r="B34" s="200" t="s">
        <v>562</v>
      </c>
      <c r="C34" s="201">
        <f>SUM(D34:F34)</f>
        <v>0</v>
      </c>
      <c r="D34" s="199"/>
      <c r="E34" s="199"/>
      <c r="F34" s="420"/>
    </row>
    <row r="35" spans="3:5" s="203" customFormat="1" ht="12.75">
      <c r="C35" s="188"/>
      <c r="E35" s="188"/>
    </row>
    <row r="36" spans="3:6" s="203" customFormat="1" ht="18.75">
      <c r="C36" s="1039" t="s">
        <v>1081</v>
      </c>
      <c r="D36" s="1039"/>
      <c r="E36" s="1039"/>
      <c r="F36" s="1039"/>
    </row>
    <row r="37" spans="3:6" s="203" customFormat="1" ht="15.75">
      <c r="C37" s="1038" t="s">
        <v>282</v>
      </c>
      <c r="D37" s="1038"/>
      <c r="E37" s="1038"/>
      <c r="F37" s="1038"/>
    </row>
    <row r="38" spans="3:6" s="203" customFormat="1" ht="15.75">
      <c r="C38" s="1038" t="s">
        <v>285</v>
      </c>
      <c r="D38" s="1038"/>
      <c r="E38" s="1038"/>
      <c r="F38" s="1038"/>
    </row>
    <row r="39" spans="3:5" s="203" customFormat="1" ht="12.75">
      <c r="C39" s="188"/>
      <c r="E39" s="188"/>
    </row>
    <row r="40" spans="3:5" s="203" customFormat="1" ht="12.75">
      <c r="C40" s="188"/>
      <c r="E40" s="188"/>
    </row>
    <row r="41" spans="3:5" s="203" customFormat="1" ht="12.75">
      <c r="C41" s="188"/>
      <c r="E41" s="188"/>
    </row>
  </sheetData>
  <sheetProtection/>
  <mergeCells count="6">
    <mergeCell ref="A3:F3"/>
    <mergeCell ref="A4:F4"/>
    <mergeCell ref="A5:F5"/>
    <mergeCell ref="C37:F37"/>
    <mergeCell ref="C38:F38"/>
    <mergeCell ref="C36:F36"/>
  </mergeCells>
  <printOptions/>
  <pageMargins left="0.32" right="0.27" top="0.46" bottom="0.37" header="0.3" footer="0.21"/>
  <pageSetup blackAndWhite="1" horizontalDpi="600" verticalDpi="600" orientation="portrait" scale="90" r:id="rId4"/>
  <drawing r:id="rId3"/>
  <legacyDrawing r:id="rId2"/>
</worksheet>
</file>

<file path=xl/worksheets/sheet15.xml><?xml version="1.0" encoding="utf-8"?>
<worksheet xmlns="http://schemas.openxmlformats.org/spreadsheetml/2006/main" xmlns:r="http://schemas.openxmlformats.org/officeDocument/2006/relationships">
  <sheetPr>
    <tabColor rgb="FFFF0000"/>
  </sheetPr>
  <dimension ref="A1:HX77"/>
  <sheetViews>
    <sheetView zoomScalePageLayoutView="0" workbookViewId="0" topLeftCell="A1">
      <selection activeCell="D60" sqref="D60"/>
    </sheetView>
  </sheetViews>
  <sheetFormatPr defaultColWidth="0" defaultRowHeight="12.75" outlineLevelRow="1"/>
  <cols>
    <col min="1" max="1" width="6.33203125" style="919" customWidth="1"/>
    <col min="2" max="2" width="58.16015625" style="767" customWidth="1"/>
    <col min="3" max="3" width="14.5" style="856" hidden="1" customWidth="1"/>
    <col min="4" max="4" width="19" style="856" customWidth="1"/>
    <col min="5" max="5" width="20" style="857" customWidth="1"/>
    <col min="6" max="6" width="20" style="858" customWidth="1"/>
    <col min="7" max="7" width="25" style="767" customWidth="1"/>
    <col min="8" max="8" width="15.66015625" style="767" hidden="1" customWidth="1"/>
    <col min="9" max="9" width="10.66015625" style="767" hidden="1" customWidth="1"/>
    <col min="10" max="10" width="16.66015625" style="767" hidden="1" customWidth="1"/>
    <col min="11" max="12" width="10.66015625" style="767" customWidth="1"/>
    <col min="13" max="13" width="26" style="767" customWidth="1"/>
    <col min="14" max="237" width="10.66015625" style="767" customWidth="1"/>
    <col min="238" max="238" width="6.33203125" style="767" customWidth="1"/>
    <col min="239" max="239" width="55.33203125" style="767" customWidth="1"/>
    <col min="240" max="242" width="13.33203125" style="767" customWidth="1"/>
    <col min="243" max="243" width="6.33203125" style="767" customWidth="1"/>
    <col min="244" max="244" width="62.33203125" style="767" customWidth="1"/>
    <col min="245" max="245" width="13.33203125" style="767" customWidth="1"/>
    <col min="246" max="247" width="0" style="767" hidden="1" customWidth="1"/>
    <col min="248" max="248" width="16.83203125" style="767" customWidth="1"/>
    <col min="249" max="254" width="0" style="767" hidden="1" customWidth="1"/>
    <col min="255" max="255" width="14.5" style="767" customWidth="1"/>
    <col min="256" max="16384" width="0" style="767" hidden="1" customWidth="1"/>
  </cols>
  <sheetData>
    <row r="1" spans="1:223" ht="15.75">
      <c r="A1" s="1043" t="s">
        <v>1433</v>
      </c>
      <c r="B1" s="1043"/>
      <c r="G1" s="859"/>
      <c r="H1" s="859"/>
      <c r="I1" s="859"/>
      <c r="J1" s="859"/>
      <c r="K1" s="859"/>
      <c r="L1" s="859"/>
      <c r="M1" s="859"/>
      <c r="N1" s="859"/>
      <c r="O1" s="859"/>
      <c r="P1" s="859"/>
      <c r="Q1" s="859"/>
      <c r="R1" s="859"/>
      <c r="S1" s="859"/>
      <c r="T1" s="859"/>
      <c r="U1" s="859"/>
      <c r="V1" s="859"/>
      <c r="W1" s="859"/>
      <c r="X1" s="859"/>
      <c r="Y1" s="859"/>
      <c r="Z1" s="859"/>
      <c r="AA1" s="859"/>
      <c r="AB1" s="859"/>
      <c r="AC1" s="859"/>
      <c r="AD1" s="859"/>
      <c r="AE1" s="859"/>
      <c r="AF1" s="859"/>
      <c r="AG1" s="859"/>
      <c r="AH1" s="859"/>
      <c r="AI1" s="859"/>
      <c r="AJ1" s="859"/>
      <c r="AK1" s="859"/>
      <c r="AL1" s="859"/>
      <c r="AM1" s="859"/>
      <c r="AN1" s="859"/>
      <c r="AO1" s="859"/>
      <c r="AP1" s="859"/>
      <c r="AQ1" s="859"/>
      <c r="AR1" s="859"/>
      <c r="AS1" s="859"/>
      <c r="AT1" s="859"/>
      <c r="AU1" s="859"/>
      <c r="AV1" s="859"/>
      <c r="AW1" s="859"/>
      <c r="AX1" s="859"/>
      <c r="AY1" s="859"/>
      <c r="AZ1" s="859"/>
      <c r="BA1" s="859"/>
      <c r="BB1" s="859"/>
      <c r="BC1" s="859"/>
      <c r="BD1" s="859"/>
      <c r="BE1" s="859"/>
      <c r="BF1" s="859"/>
      <c r="BG1" s="859"/>
      <c r="BH1" s="859"/>
      <c r="BI1" s="859"/>
      <c r="BJ1" s="859"/>
      <c r="BK1" s="859"/>
      <c r="BL1" s="859"/>
      <c r="BM1" s="859"/>
      <c r="BN1" s="859"/>
      <c r="BO1" s="859"/>
      <c r="BP1" s="859"/>
      <c r="BQ1" s="859"/>
      <c r="BR1" s="859"/>
      <c r="BS1" s="859"/>
      <c r="BT1" s="859"/>
      <c r="BU1" s="859"/>
      <c r="BV1" s="859"/>
      <c r="BW1" s="859"/>
      <c r="BX1" s="859"/>
      <c r="BY1" s="859"/>
      <c r="BZ1" s="859"/>
      <c r="CA1" s="859"/>
      <c r="CB1" s="859"/>
      <c r="CC1" s="859"/>
      <c r="CD1" s="859"/>
      <c r="CE1" s="859"/>
      <c r="CF1" s="859"/>
      <c r="CG1" s="859"/>
      <c r="CH1" s="859"/>
      <c r="CI1" s="859"/>
      <c r="CJ1" s="859"/>
      <c r="CK1" s="859"/>
      <c r="CL1" s="859"/>
      <c r="CM1" s="859"/>
      <c r="CN1" s="859"/>
      <c r="CO1" s="859"/>
      <c r="CP1" s="859"/>
      <c r="CQ1" s="859"/>
      <c r="CR1" s="859"/>
      <c r="CS1" s="859"/>
      <c r="CT1" s="859"/>
      <c r="CU1" s="859"/>
      <c r="CV1" s="859"/>
      <c r="CW1" s="859"/>
      <c r="CX1" s="859"/>
      <c r="CY1" s="859"/>
      <c r="CZ1" s="859"/>
      <c r="DA1" s="859"/>
      <c r="DB1" s="859"/>
      <c r="DC1" s="859"/>
      <c r="DD1" s="859"/>
      <c r="DE1" s="859"/>
      <c r="DF1" s="859"/>
      <c r="DG1" s="859"/>
      <c r="DH1" s="859"/>
      <c r="DI1" s="859"/>
      <c r="DJ1" s="859"/>
      <c r="DK1" s="859"/>
      <c r="DL1" s="859"/>
      <c r="DM1" s="859"/>
      <c r="DN1" s="859"/>
      <c r="DO1" s="859"/>
      <c r="DP1" s="859"/>
      <c r="DQ1" s="859"/>
      <c r="DR1" s="859"/>
      <c r="DS1" s="859"/>
      <c r="DT1" s="859"/>
      <c r="DU1" s="859"/>
      <c r="DV1" s="859"/>
      <c r="DW1" s="859"/>
      <c r="DX1" s="859"/>
      <c r="DY1" s="859"/>
      <c r="DZ1" s="859"/>
      <c r="EA1" s="859"/>
      <c r="EB1" s="859"/>
      <c r="EC1" s="859"/>
      <c r="ED1" s="859"/>
      <c r="EE1" s="859"/>
      <c r="EF1" s="859"/>
      <c r="EG1" s="859"/>
      <c r="EH1" s="859"/>
      <c r="EI1" s="859"/>
      <c r="EJ1" s="859"/>
      <c r="EK1" s="859"/>
      <c r="EL1" s="859"/>
      <c r="EM1" s="859"/>
      <c r="EN1" s="859"/>
      <c r="EO1" s="859"/>
      <c r="EP1" s="859"/>
      <c r="EQ1" s="859"/>
      <c r="ER1" s="859"/>
      <c r="ES1" s="859"/>
      <c r="ET1" s="859"/>
      <c r="EU1" s="859"/>
      <c r="EV1" s="859"/>
      <c r="EW1" s="859"/>
      <c r="EX1" s="859"/>
      <c r="EY1" s="859"/>
      <c r="EZ1" s="859"/>
      <c r="FA1" s="859"/>
      <c r="FB1" s="859"/>
      <c r="FC1" s="859"/>
      <c r="FD1" s="859"/>
      <c r="FE1" s="859"/>
      <c r="FF1" s="859"/>
      <c r="FG1" s="859"/>
      <c r="FH1" s="859"/>
      <c r="FI1" s="859"/>
      <c r="FJ1" s="859"/>
      <c r="FK1" s="859"/>
      <c r="FL1" s="859"/>
      <c r="FM1" s="859"/>
      <c r="FN1" s="859"/>
      <c r="FO1" s="859"/>
      <c r="FP1" s="859"/>
      <c r="FQ1" s="859"/>
      <c r="FR1" s="859"/>
      <c r="FS1" s="859"/>
      <c r="FT1" s="859"/>
      <c r="FU1" s="859"/>
      <c r="FV1" s="859"/>
      <c r="FW1" s="859"/>
      <c r="FX1" s="859"/>
      <c r="FY1" s="859"/>
      <c r="FZ1" s="859"/>
      <c r="GA1" s="859"/>
      <c r="GB1" s="859"/>
      <c r="GC1" s="859"/>
      <c r="GD1" s="859"/>
      <c r="GE1" s="859"/>
      <c r="GF1" s="859"/>
      <c r="GG1" s="859"/>
      <c r="GH1" s="859"/>
      <c r="GI1" s="859"/>
      <c r="GJ1" s="859"/>
      <c r="GK1" s="859"/>
      <c r="GL1" s="859"/>
      <c r="GM1" s="859"/>
      <c r="GN1" s="859"/>
      <c r="GO1" s="859"/>
      <c r="GP1" s="859"/>
      <c r="GQ1" s="859"/>
      <c r="GR1" s="859"/>
      <c r="GS1" s="859"/>
      <c r="GT1" s="859"/>
      <c r="GU1" s="859"/>
      <c r="GV1" s="859"/>
      <c r="GW1" s="859"/>
      <c r="GX1" s="859"/>
      <c r="GY1" s="859"/>
      <c r="GZ1" s="859"/>
      <c r="HA1" s="859"/>
      <c r="HB1" s="859"/>
      <c r="HC1" s="859"/>
      <c r="HD1" s="859"/>
      <c r="HE1" s="859"/>
      <c r="HF1" s="859"/>
      <c r="HG1" s="859"/>
      <c r="HH1" s="859"/>
      <c r="HI1" s="859"/>
      <c r="HJ1" s="859"/>
      <c r="HK1" s="859"/>
      <c r="HL1" s="859"/>
      <c r="HM1" s="859"/>
      <c r="HN1" s="859"/>
      <c r="HO1" s="859"/>
    </row>
    <row r="2" spans="1:223" ht="41.25" customHeight="1">
      <c r="A2" s="1044" t="s">
        <v>1434</v>
      </c>
      <c r="B2" s="1044"/>
      <c r="C2" s="1044"/>
      <c r="D2" s="1044"/>
      <c r="E2" s="1044"/>
      <c r="F2" s="1044"/>
      <c r="G2" s="1044"/>
      <c r="H2" s="859"/>
      <c r="I2" s="859"/>
      <c r="J2" s="859"/>
      <c r="K2" s="859"/>
      <c r="L2" s="859"/>
      <c r="M2" s="859"/>
      <c r="N2" s="859"/>
      <c r="O2" s="859"/>
      <c r="P2" s="859"/>
      <c r="Q2" s="859"/>
      <c r="R2" s="859"/>
      <c r="S2" s="859"/>
      <c r="T2" s="859"/>
      <c r="U2" s="859"/>
      <c r="V2" s="859"/>
      <c r="W2" s="859"/>
      <c r="X2" s="859"/>
      <c r="Y2" s="859"/>
      <c r="Z2" s="859"/>
      <c r="AA2" s="859"/>
      <c r="AB2" s="859"/>
      <c r="AC2" s="859"/>
      <c r="AD2" s="859"/>
      <c r="AE2" s="859"/>
      <c r="AF2" s="859"/>
      <c r="AG2" s="859"/>
      <c r="AH2" s="859"/>
      <c r="AI2" s="859"/>
      <c r="AJ2" s="859"/>
      <c r="AK2" s="859"/>
      <c r="AL2" s="859"/>
      <c r="AM2" s="859"/>
      <c r="AN2" s="859"/>
      <c r="AO2" s="859"/>
      <c r="AP2" s="859"/>
      <c r="AQ2" s="859"/>
      <c r="AR2" s="859"/>
      <c r="AS2" s="859"/>
      <c r="AT2" s="859"/>
      <c r="AU2" s="859"/>
      <c r="AV2" s="859"/>
      <c r="AW2" s="859"/>
      <c r="AX2" s="859"/>
      <c r="AY2" s="859"/>
      <c r="AZ2" s="859"/>
      <c r="BA2" s="859"/>
      <c r="BB2" s="859"/>
      <c r="BC2" s="859"/>
      <c r="BD2" s="859"/>
      <c r="BE2" s="859"/>
      <c r="BF2" s="859"/>
      <c r="BG2" s="859"/>
      <c r="BH2" s="859"/>
      <c r="BI2" s="859"/>
      <c r="BJ2" s="859"/>
      <c r="BK2" s="859"/>
      <c r="BL2" s="859"/>
      <c r="BM2" s="859"/>
      <c r="BN2" s="859"/>
      <c r="BO2" s="859"/>
      <c r="BP2" s="859"/>
      <c r="BQ2" s="859"/>
      <c r="BR2" s="859"/>
      <c r="BS2" s="859"/>
      <c r="BT2" s="859"/>
      <c r="BU2" s="859"/>
      <c r="BV2" s="859"/>
      <c r="BW2" s="859"/>
      <c r="BX2" s="859"/>
      <c r="BY2" s="859"/>
      <c r="BZ2" s="859"/>
      <c r="CA2" s="859"/>
      <c r="CB2" s="859"/>
      <c r="CC2" s="859"/>
      <c r="CD2" s="859"/>
      <c r="CE2" s="859"/>
      <c r="CF2" s="859"/>
      <c r="CG2" s="859"/>
      <c r="CH2" s="859"/>
      <c r="CI2" s="859"/>
      <c r="CJ2" s="859"/>
      <c r="CK2" s="859"/>
      <c r="CL2" s="859"/>
      <c r="CM2" s="859"/>
      <c r="CN2" s="859"/>
      <c r="CO2" s="859"/>
      <c r="CP2" s="859"/>
      <c r="CQ2" s="859"/>
      <c r="CR2" s="859"/>
      <c r="CS2" s="859"/>
      <c r="CT2" s="859"/>
      <c r="CU2" s="859"/>
      <c r="CV2" s="859"/>
      <c r="CW2" s="859"/>
      <c r="CX2" s="859"/>
      <c r="CY2" s="859"/>
      <c r="CZ2" s="859"/>
      <c r="DA2" s="859"/>
      <c r="DB2" s="859"/>
      <c r="DC2" s="859"/>
      <c r="DD2" s="859"/>
      <c r="DE2" s="859"/>
      <c r="DF2" s="859"/>
      <c r="DG2" s="859"/>
      <c r="DH2" s="859"/>
      <c r="DI2" s="859"/>
      <c r="DJ2" s="859"/>
      <c r="DK2" s="859"/>
      <c r="DL2" s="859"/>
      <c r="DM2" s="859"/>
      <c r="DN2" s="859"/>
      <c r="DO2" s="859"/>
      <c r="DP2" s="859"/>
      <c r="DQ2" s="859"/>
      <c r="DR2" s="859"/>
      <c r="DS2" s="859"/>
      <c r="DT2" s="859"/>
      <c r="DU2" s="859"/>
      <c r="DV2" s="859"/>
      <c r="DW2" s="859"/>
      <c r="DX2" s="859"/>
      <c r="DY2" s="859"/>
      <c r="DZ2" s="859"/>
      <c r="EA2" s="859"/>
      <c r="EB2" s="859"/>
      <c r="EC2" s="859"/>
      <c r="ED2" s="859"/>
      <c r="EE2" s="859"/>
      <c r="EF2" s="859"/>
      <c r="EG2" s="859"/>
      <c r="EH2" s="859"/>
      <c r="EI2" s="859"/>
      <c r="EJ2" s="859"/>
      <c r="EK2" s="859"/>
      <c r="EL2" s="859"/>
      <c r="EM2" s="859"/>
      <c r="EN2" s="859"/>
      <c r="EO2" s="859"/>
      <c r="EP2" s="859"/>
      <c r="EQ2" s="859"/>
      <c r="ER2" s="859"/>
      <c r="ES2" s="859"/>
      <c r="ET2" s="859"/>
      <c r="EU2" s="859"/>
      <c r="EV2" s="859"/>
      <c r="EW2" s="859"/>
      <c r="EX2" s="859"/>
      <c r="EY2" s="859"/>
      <c r="EZ2" s="859"/>
      <c r="FA2" s="859"/>
      <c r="FB2" s="859"/>
      <c r="FC2" s="859"/>
      <c r="FD2" s="859"/>
      <c r="FE2" s="859"/>
      <c r="FF2" s="859"/>
      <c r="FG2" s="859"/>
      <c r="FH2" s="859"/>
      <c r="FI2" s="859"/>
      <c r="FJ2" s="859"/>
      <c r="FK2" s="859"/>
      <c r="FL2" s="859"/>
      <c r="FM2" s="859"/>
      <c r="FN2" s="859"/>
      <c r="FO2" s="859"/>
      <c r="FP2" s="859"/>
      <c r="FQ2" s="859"/>
      <c r="FR2" s="859"/>
      <c r="FS2" s="859"/>
      <c r="FT2" s="859"/>
      <c r="FU2" s="859"/>
      <c r="FV2" s="859"/>
      <c r="FW2" s="859"/>
      <c r="FX2" s="859"/>
      <c r="FY2" s="859"/>
      <c r="FZ2" s="859"/>
      <c r="GA2" s="859"/>
      <c r="GB2" s="859"/>
      <c r="GC2" s="859"/>
      <c r="GD2" s="859"/>
      <c r="GE2" s="859"/>
      <c r="GF2" s="859"/>
      <c r="GG2" s="859"/>
      <c r="GH2" s="859"/>
      <c r="GI2" s="859"/>
      <c r="GJ2" s="859"/>
      <c r="GK2" s="859"/>
      <c r="GL2" s="859"/>
      <c r="GM2" s="859"/>
      <c r="GN2" s="859"/>
      <c r="GO2" s="859"/>
      <c r="GP2" s="859"/>
      <c r="GQ2" s="859"/>
      <c r="GR2" s="859"/>
      <c r="GS2" s="859"/>
      <c r="GT2" s="859"/>
      <c r="GU2" s="859"/>
      <c r="GV2" s="859"/>
      <c r="GW2" s="859"/>
      <c r="GX2" s="859"/>
      <c r="GY2" s="859"/>
      <c r="GZ2" s="859"/>
      <c r="HA2" s="859"/>
      <c r="HB2" s="859"/>
      <c r="HC2" s="859"/>
      <c r="HD2" s="859"/>
      <c r="HE2" s="859"/>
      <c r="HF2" s="859"/>
      <c r="HG2" s="859"/>
      <c r="HH2" s="859"/>
      <c r="HI2" s="859"/>
      <c r="HJ2" s="859"/>
      <c r="HK2" s="859"/>
      <c r="HL2" s="859"/>
      <c r="HM2" s="859"/>
      <c r="HN2" s="859"/>
      <c r="HO2" s="859"/>
    </row>
    <row r="3" spans="1:223" ht="18.75" customHeight="1" hidden="1" outlineLevel="1">
      <c r="A3" s="1045" t="s">
        <v>1435</v>
      </c>
      <c r="B3" s="1045"/>
      <c r="C3" s="1045"/>
      <c r="D3" s="1045"/>
      <c r="E3" s="1045"/>
      <c r="F3" s="1045"/>
      <c r="G3" s="859"/>
      <c r="H3" s="859"/>
      <c r="I3" s="859"/>
      <c r="J3" s="859"/>
      <c r="K3" s="859"/>
      <c r="L3" s="859"/>
      <c r="M3" s="859"/>
      <c r="N3" s="859"/>
      <c r="O3" s="859"/>
      <c r="P3" s="859"/>
      <c r="Q3" s="859"/>
      <c r="R3" s="859"/>
      <c r="S3" s="859"/>
      <c r="T3" s="859"/>
      <c r="U3" s="859"/>
      <c r="V3" s="859"/>
      <c r="W3" s="859"/>
      <c r="X3" s="859"/>
      <c r="Y3" s="859"/>
      <c r="Z3" s="859"/>
      <c r="AA3" s="859"/>
      <c r="AB3" s="859"/>
      <c r="AC3" s="859"/>
      <c r="AD3" s="859"/>
      <c r="AE3" s="859"/>
      <c r="AF3" s="859"/>
      <c r="AG3" s="859"/>
      <c r="AH3" s="859"/>
      <c r="AI3" s="859"/>
      <c r="AJ3" s="859"/>
      <c r="AK3" s="859"/>
      <c r="AL3" s="859"/>
      <c r="AM3" s="859"/>
      <c r="AN3" s="859"/>
      <c r="AO3" s="859"/>
      <c r="AP3" s="859"/>
      <c r="AQ3" s="859"/>
      <c r="AR3" s="859"/>
      <c r="AS3" s="859"/>
      <c r="AT3" s="859"/>
      <c r="AU3" s="859"/>
      <c r="AV3" s="859"/>
      <c r="AW3" s="859"/>
      <c r="AX3" s="859"/>
      <c r="AY3" s="859"/>
      <c r="AZ3" s="859"/>
      <c r="BA3" s="859"/>
      <c r="BB3" s="859"/>
      <c r="BC3" s="859"/>
      <c r="BD3" s="859"/>
      <c r="BE3" s="859"/>
      <c r="BF3" s="859"/>
      <c r="BG3" s="859"/>
      <c r="BH3" s="859"/>
      <c r="BI3" s="859"/>
      <c r="BJ3" s="859"/>
      <c r="BK3" s="859"/>
      <c r="BL3" s="859"/>
      <c r="BM3" s="859"/>
      <c r="BN3" s="859"/>
      <c r="BO3" s="859"/>
      <c r="BP3" s="859"/>
      <c r="BQ3" s="859"/>
      <c r="BR3" s="859"/>
      <c r="BS3" s="859"/>
      <c r="BT3" s="859"/>
      <c r="BU3" s="859"/>
      <c r="BV3" s="859"/>
      <c r="BW3" s="859"/>
      <c r="BX3" s="859"/>
      <c r="BY3" s="859"/>
      <c r="BZ3" s="859"/>
      <c r="CA3" s="859"/>
      <c r="CB3" s="859"/>
      <c r="CC3" s="859"/>
      <c r="CD3" s="859"/>
      <c r="CE3" s="859"/>
      <c r="CF3" s="859"/>
      <c r="CG3" s="859"/>
      <c r="CH3" s="859"/>
      <c r="CI3" s="859"/>
      <c r="CJ3" s="859"/>
      <c r="CK3" s="859"/>
      <c r="CL3" s="859"/>
      <c r="CM3" s="859"/>
      <c r="CN3" s="859"/>
      <c r="CO3" s="859"/>
      <c r="CP3" s="859"/>
      <c r="CQ3" s="859"/>
      <c r="CR3" s="859"/>
      <c r="CS3" s="859"/>
      <c r="CT3" s="859"/>
      <c r="CU3" s="859"/>
      <c r="CV3" s="859"/>
      <c r="CW3" s="859"/>
      <c r="CX3" s="859"/>
      <c r="CY3" s="859"/>
      <c r="CZ3" s="859"/>
      <c r="DA3" s="859"/>
      <c r="DB3" s="859"/>
      <c r="DC3" s="859"/>
      <c r="DD3" s="859"/>
      <c r="DE3" s="859"/>
      <c r="DF3" s="859"/>
      <c r="DG3" s="859"/>
      <c r="DH3" s="859"/>
      <c r="DI3" s="859"/>
      <c r="DJ3" s="859"/>
      <c r="DK3" s="859"/>
      <c r="DL3" s="859"/>
      <c r="DM3" s="859"/>
      <c r="DN3" s="859"/>
      <c r="DO3" s="859"/>
      <c r="DP3" s="859"/>
      <c r="DQ3" s="859"/>
      <c r="DR3" s="859"/>
      <c r="DS3" s="859"/>
      <c r="DT3" s="859"/>
      <c r="DU3" s="859"/>
      <c r="DV3" s="859"/>
      <c r="DW3" s="859"/>
      <c r="DX3" s="859"/>
      <c r="DY3" s="859"/>
      <c r="DZ3" s="859"/>
      <c r="EA3" s="859"/>
      <c r="EB3" s="859"/>
      <c r="EC3" s="859"/>
      <c r="ED3" s="859"/>
      <c r="EE3" s="859"/>
      <c r="EF3" s="859"/>
      <c r="EG3" s="859"/>
      <c r="EH3" s="859"/>
      <c r="EI3" s="859"/>
      <c r="EJ3" s="859"/>
      <c r="EK3" s="859"/>
      <c r="EL3" s="859"/>
      <c r="EM3" s="859"/>
      <c r="EN3" s="859"/>
      <c r="EO3" s="859"/>
      <c r="EP3" s="859"/>
      <c r="EQ3" s="859"/>
      <c r="ER3" s="859"/>
      <c r="ES3" s="859"/>
      <c r="ET3" s="859"/>
      <c r="EU3" s="859"/>
      <c r="EV3" s="859"/>
      <c r="EW3" s="859"/>
      <c r="EX3" s="859"/>
      <c r="EY3" s="859"/>
      <c r="EZ3" s="859"/>
      <c r="FA3" s="859"/>
      <c r="FB3" s="859"/>
      <c r="FC3" s="859"/>
      <c r="FD3" s="859"/>
      <c r="FE3" s="859"/>
      <c r="FF3" s="859"/>
      <c r="FG3" s="859"/>
      <c r="FH3" s="859"/>
      <c r="FI3" s="859"/>
      <c r="FJ3" s="859"/>
      <c r="FK3" s="859"/>
      <c r="FL3" s="859"/>
      <c r="FM3" s="859"/>
      <c r="FN3" s="859"/>
      <c r="FO3" s="859"/>
      <c r="FP3" s="859"/>
      <c r="FQ3" s="859"/>
      <c r="FR3" s="859"/>
      <c r="FS3" s="859"/>
      <c r="FT3" s="859"/>
      <c r="FU3" s="859"/>
      <c r="FV3" s="859"/>
      <c r="FW3" s="859"/>
      <c r="FX3" s="859"/>
      <c r="FY3" s="859"/>
      <c r="FZ3" s="859"/>
      <c r="GA3" s="859"/>
      <c r="GB3" s="859"/>
      <c r="GC3" s="859"/>
      <c r="GD3" s="859"/>
      <c r="GE3" s="859"/>
      <c r="GF3" s="859"/>
      <c r="GG3" s="859"/>
      <c r="GH3" s="859"/>
      <c r="GI3" s="859"/>
      <c r="GJ3" s="859"/>
      <c r="GK3" s="859"/>
      <c r="GL3" s="859"/>
      <c r="GM3" s="859"/>
      <c r="GN3" s="859"/>
      <c r="GO3" s="859"/>
      <c r="GP3" s="859"/>
      <c r="GQ3" s="859"/>
      <c r="GR3" s="859"/>
      <c r="GS3" s="859"/>
      <c r="GT3" s="859"/>
      <c r="GU3" s="859"/>
      <c r="GV3" s="859"/>
      <c r="GW3" s="859"/>
      <c r="GX3" s="859"/>
      <c r="GY3" s="859"/>
      <c r="GZ3" s="859"/>
      <c r="HA3" s="859"/>
      <c r="HB3" s="859"/>
      <c r="HC3" s="859"/>
      <c r="HD3" s="859"/>
      <c r="HE3" s="859"/>
      <c r="HF3" s="859"/>
      <c r="HG3" s="859"/>
      <c r="HH3" s="859"/>
      <c r="HI3" s="859"/>
      <c r="HJ3" s="859"/>
      <c r="HK3" s="859"/>
      <c r="HL3" s="859"/>
      <c r="HM3" s="859"/>
      <c r="HN3" s="859"/>
      <c r="HO3" s="859"/>
    </row>
    <row r="4" spans="1:223" ht="15.75" collapsed="1">
      <c r="A4" s="859"/>
      <c r="B4" s="860"/>
      <c r="C4" s="861"/>
      <c r="D4" s="861"/>
      <c r="F4" s="862"/>
      <c r="G4" s="863" t="s">
        <v>1436</v>
      </c>
      <c r="H4" s="859"/>
      <c r="I4" s="859"/>
      <c r="J4" s="859"/>
      <c r="K4" s="859"/>
      <c r="L4" s="859"/>
      <c r="M4" s="859"/>
      <c r="N4" s="859"/>
      <c r="O4" s="859"/>
      <c r="P4" s="859"/>
      <c r="Q4" s="859"/>
      <c r="R4" s="859"/>
      <c r="S4" s="859"/>
      <c r="T4" s="859"/>
      <c r="U4" s="859"/>
      <c r="V4" s="859"/>
      <c r="W4" s="859"/>
      <c r="X4" s="859"/>
      <c r="Y4" s="859"/>
      <c r="Z4" s="859"/>
      <c r="AA4" s="859"/>
      <c r="AB4" s="859"/>
      <c r="AC4" s="859"/>
      <c r="AD4" s="859"/>
      <c r="AE4" s="859"/>
      <c r="AF4" s="859"/>
      <c r="AG4" s="859"/>
      <c r="AH4" s="859"/>
      <c r="AI4" s="859"/>
      <c r="AJ4" s="859"/>
      <c r="AK4" s="859"/>
      <c r="AL4" s="859"/>
      <c r="AM4" s="859"/>
      <c r="AN4" s="859"/>
      <c r="AO4" s="859"/>
      <c r="AP4" s="859"/>
      <c r="AQ4" s="859"/>
      <c r="AR4" s="859"/>
      <c r="AS4" s="859"/>
      <c r="AT4" s="859"/>
      <c r="AU4" s="859"/>
      <c r="AV4" s="859"/>
      <c r="AW4" s="859"/>
      <c r="AX4" s="859"/>
      <c r="AY4" s="859"/>
      <c r="AZ4" s="859"/>
      <c r="BA4" s="859"/>
      <c r="BB4" s="859"/>
      <c r="BC4" s="859"/>
      <c r="BD4" s="859"/>
      <c r="BE4" s="859"/>
      <c r="BF4" s="859"/>
      <c r="BG4" s="859"/>
      <c r="BH4" s="859"/>
      <c r="BI4" s="859"/>
      <c r="BJ4" s="859"/>
      <c r="BK4" s="859"/>
      <c r="BL4" s="859"/>
      <c r="BM4" s="859"/>
      <c r="BN4" s="859"/>
      <c r="BO4" s="859"/>
      <c r="BP4" s="859"/>
      <c r="BQ4" s="859"/>
      <c r="BR4" s="859"/>
      <c r="BS4" s="859"/>
      <c r="BT4" s="859"/>
      <c r="BU4" s="859"/>
      <c r="BV4" s="859"/>
      <c r="BW4" s="859"/>
      <c r="BX4" s="859"/>
      <c r="BY4" s="859"/>
      <c r="BZ4" s="859"/>
      <c r="CA4" s="859"/>
      <c r="CB4" s="859"/>
      <c r="CC4" s="859"/>
      <c r="CD4" s="859"/>
      <c r="CE4" s="859"/>
      <c r="CF4" s="859"/>
      <c r="CG4" s="859"/>
      <c r="CH4" s="859"/>
      <c r="CI4" s="859"/>
      <c r="CJ4" s="859"/>
      <c r="CK4" s="859"/>
      <c r="CL4" s="859"/>
      <c r="CM4" s="859"/>
      <c r="CN4" s="859"/>
      <c r="CO4" s="859"/>
      <c r="CP4" s="859"/>
      <c r="CQ4" s="859"/>
      <c r="CR4" s="859"/>
      <c r="CS4" s="859"/>
      <c r="CT4" s="859"/>
      <c r="CU4" s="859"/>
      <c r="CV4" s="859"/>
      <c r="CW4" s="859"/>
      <c r="CX4" s="859"/>
      <c r="CY4" s="859"/>
      <c r="CZ4" s="859"/>
      <c r="DA4" s="859"/>
      <c r="DB4" s="859"/>
      <c r="DC4" s="859"/>
      <c r="DD4" s="859"/>
      <c r="DE4" s="859"/>
      <c r="DF4" s="859"/>
      <c r="DG4" s="859"/>
      <c r="DH4" s="859"/>
      <c r="DI4" s="859"/>
      <c r="DJ4" s="859"/>
      <c r="DK4" s="859"/>
      <c r="DL4" s="859"/>
      <c r="DM4" s="859"/>
      <c r="DN4" s="859"/>
      <c r="DO4" s="859"/>
      <c r="DP4" s="859"/>
      <c r="DQ4" s="859"/>
      <c r="DR4" s="859"/>
      <c r="DS4" s="859"/>
      <c r="DT4" s="859"/>
      <c r="DU4" s="859"/>
      <c r="DV4" s="859"/>
      <c r="DW4" s="859"/>
      <c r="DX4" s="859"/>
      <c r="DY4" s="859"/>
      <c r="DZ4" s="859"/>
      <c r="EA4" s="859"/>
      <c r="EB4" s="859"/>
      <c r="EC4" s="859"/>
      <c r="ED4" s="859"/>
      <c r="EE4" s="859"/>
      <c r="EF4" s="859"/>
      <c r="EG4" s="859"/>
      <c r="EH4" s="859"/>
      <c r="EI4" s="859"/>
      <c r="EJ4" s="859"/>
      <c r="EK4" s="859"/>
      <c r="EL4" s="859"/>
      <c r="EM4" s="859"/>
      <c r="EN4" s="859"/>
      <c r="EO4" s="859"/>
      <c r="EP4" s="859"/>
      <c r="EQ4" s="859"/>
      <c r="ER4" s="859"/>
      <c r="ES4" s="859"/>
      <c r="ET4" s="859"/>
      <c r="EU4" s="859"/>
      <c r="EV4" s="859"/>
      <c r="EW4" s="859"/>
      <c r="EX4" s="859"/>
      <c r="EY4" s="859"/>
      <c r="EZ4" s="859"/>
      <c r="FA4" s="859"/>
      <c r="FB4" s="859"/>
      <c r="FC4" s="859"/>
      <c r="FD4" s="859"/>
      <c r="FE4" s="859"/>
      <c r="FF4" s="859"/>
      <c r="FG4" s="859"/>
      <c r="FH4" s="859"/>
      <c r="FI4" s="859"/>
      <c r="FJ4" s="859"/>
      <c r="FK4" s="859"/>
      <c r="FL4" s="859"/>
      <c r="FM4" s="859"/>
      <c r="FN4" s="859"/>
      <c r="FO4" s="859"/>
      <c r="FP4" s="859"/>
      <c r="FQ4" s="859"/>
      <c r="FR4" s="859"/>
      <c r="FS4" s="859"/>
      <c r="FT4" s="859"/>
      <c r="FU4" s="859"/>
      <c r="FV4" s="859"/>
      <c r="FW4" s="859"/>
      <c r="FX4" s="859"/>
      <c r="FY4" s="859"/>
      <c r="FZ4" s="859"/>
      <c r="GA4" s="859"/>
      <c r="GB4" s="859"/>
      <c r="GC4" s="859"/>
      <c r="GD4" s="859"/>
      <c r="GE4" s="859"/>
      <c r="GF4" s="859"/>
      <c r="GG4" s="859"/>
      <c r="GH4" s="859"/>
      <c r="GI4" s="859"/>
      <c r="GJ4" s="859"/>
      <c r="GK4" s="859"/>
      <c r="GL4" s="859"/>
      <c r="GM4" s="859"/>
      <c r="GN4" s="859"/>
      <c r="GO4" s="859"/>
      <c r="GP4" s="859"/>
      <c r="GQ4" s="859"/>
      <c r="GR4" s="859"/>
      <c r="GS4" s="859"/>
      <c r="GT4" s="859"/>
      <c r="GU4" s="859"/>
      <c r="GV4" s="859"/>
      <c r="GW4" s="859"/>
      <c r="GX4" s="859"/>
      <c r="GY4" s="859"/>
      <c r="GZ4" s="859"/>
      <c r="HA4" s="859"/>
      <c r="HB4" s="859"/>
      <c r="HC4" s="859"/>
      <c r="HD4" s="859"/>
      <c r="HE4" s="859"/>
      <c r="HF4" s="859"/>
      <c r="HG4" s="859"/>
      <c r="HH4" s="859"/>
      <c r="HI4" s="859"/>
      <c r="HJ4" s="859"/>
      <c r="HK4" s="859"/>
      <c r="HL4" s="859"/>
      <c r="HM4" s="859"/>
      <c r="HN4" s="859"/>
      <c r="HO4" s="859"/>
    </row>
    <row r="5" spans="1:223" ht="37.5" customHeight="1">
      <c r="A5" s="1046"/>
      <c r="B5" s="1049" t="s">
        <v>289</v>
      </c>
      <c r="C5" s="1040" t="s">
        <v>1437</v>
      </c>
      <c r="D5" s="1050" t="s">
        <v>1438</v>
      </c>
      <c r="E5" s="1050"/>
      <c r="F5" s="1050"/>
      <c r="G5" s="1051" t="s">
        <v>539</v>
      </c>
      <c r="H5" s="859"/>
      <c r="I5" s="859"/>
      <c r="J5" s="859"/>
      <c r="K5" s="859"/>
      <c r="L5" s="859"/>
      <c r="M5" s="859"/>
      <c r="N5" s="859"/>
      <c r="O5" s="859"/>
      <c r="P5" s="859"/>
      <c r="Q5" s="859"/>
      <c r="R5" s="859"/>
      <c r="S5" s="859"/>
      <c r="T5" s="859"/>
      <c r="U5" s="859"/>
      <c r="V5" s="859"/>
      <c r="W5" s="859"/>
      <c r="X5" s="859"/>
      <c r="Y5" s="859"/>
      <c r="Z5" s="859"/>
      <c r="AA5" s="859"/>
      <c r="AB5" s="859"/>
      <c r="AC5" s="859"/>
      <c r="AD5" s="859"/>
      <c r="AE5" s="859"/>
      <c r="AF5" s="859"/>
      <c r="AG5" s="859"/>
      <c r="AH5" s="859"/>
      <c r="AI5" s="859"/>
      <c r="AJ5" s="859"/>
      <c r="AK5" s="859"/>
      <c r="AL5" s="859"/>
      <c r="AM5" s="859"/>
      <c r="AN5" s="859"/>
      <c r="AO5" s="859"/>
      <c r="AP5" s="859"/>
      <c r="AQ5" s="859"/>
      <c r="AR5" s="859"/>
      <c r="AS5" s="859"/>
      <c r="AT5" s="859"/>
      <c r="AU5" s="859"/>
      <c r="AV5" s="859"/>
      <c r="AW5" s="859"/>
      <c r="AX5" s="859"/>
      <c r="AY5" s="859"/>
      <c r="AZ5" s="859"/>
      <c r="BA5" s="859"/>
      <c r="BB5" s="859"/>
      <c r="BC5" s="859"/>
      <c r="BD5" s="859"/>
      <c r="BE5" s="859"/>
      <c r="BF5" s="859"/>
      <c r="BG5" s="859"/>
      <c r="BH5" s="859"/>
      <c r="BI5" s="859"/>
      <c r="BJ5" s="859"/>
      <c r="BK5" s="859"/>
      <c r="BL5" s="859"/>
      <c r="BM5" s="859"/>
      <c r="BN5" s="859"/>
      <c r="BO5" s="859"/>
      <c r="BP5" s="859"/>
      <c r="BQ5" s="859"/>
      <c r="BR5" s="859"/>
      <c r="BS5" s="859"/>
      <c r="BT5" s="859"/>
      <c r="BU5" s="859"/>
      <c r="BV5" s="859"/>
      <c r="BW5" s="859"/>
      <c r="BX5" s="859"/>
      <c r="BY5" s="859"/>
      <c r="BZ5" s="859"/>
      <c r="CA5" s="859"/>
      <c r="CB5" s="859"/>
      <c r="CC5" s="859"/>
      <c r="CD5" s="859"/>
      <c r="CE5" s="859"/>
      <c r="CF5" s="859"/>
      <c r="CG5" s="859"/>
      <c r="CH5" s="859"/>
      <c r="CI5" s="859"/>
      <c r="CJ5" s="859"/>
      <c r="CK5" s="859"/>
      <c r="CL5" s="859"/>
      <c r="CM5" s="859"/>
      <c r="CN5" s="859"/>
      <c r="CO5" s="859"/>
      <c r="CP5" s="859"/>
      <c r="CQ5" s="859"/>
      <c r="CR5" s="859"/>
      <c r="CS5" s="859"/>
      <c r="CT5" s="859"/>
      <c r="CU5" s="859"/>
      <c r="CV5" s="859"/>
      <c r="CW5" s="859"/>
      <c r="CX5" s="859"/>
      <c r="CY5" s="859"/>
      <c r="CZ5" s="859"/>
      <c r="DA5" s="859"/>
      <c r="DB5" s="859"/>
      <c r="DC5" s="859"/>
      <c r="DD5" s="859"/>
      <c r="DE5" s="859"/>
      <c r="DF5" s="859"/>
      <c r="DG5" s="859"/>
      <c r="DH5" s="859"/>
      <c r="DI5" s="859"/>
      <c r="DJ5" s="859"/>
      <c r="DK5" s="859"/>
      <c r="DL5" s="859"/>
      <c r="DM5" s="859"/>
      <c r="DN5" s="859"/>
      <c r="DO5" s="859"/>
      <c r="DP5" s="859"/>
      <c r="DQ5" s="859"/>
      <c r="DR5" s="859"/>
      <c r="DS5" s="859"/>
      <c r="DT5" s="859"/>
      <c r="DU5" s="859"/>
      <c r="DV5" s="859"/>
      <c r="DW5" s="859"/>
      <c r="DX5" s="859"/>
      <c r="DY5" s="859"/>
      <c r="DZ5" s="859"/>
      <c r="EA5" s="859"/>
      <c r="EB5" s="859"/>
      <c r="EC5" s="859"/>
      <c r="ED5" s="859"/>
      <c r="EE5" s="859"/>
      <c r="EF5" s="859"/>
      <c r="EG5" s="859"/>
      <c r="EH5" s="859"/>
      <c r="EI5" s="859"/>
      <c r="EJ5" s="859"/>
      <c r="EK5" s="859"/>
      <c r="EL5" s="859"/>
      <c r="EM5" s="859"/>
      <c r="EN5" s="859"/>
      <c r="EO5" s="859"/>
      <c r="EP5" s="859"/>
      <c r="EQ5" s="859"/>
      <c r="ER5" s="859"/>
      <c r="ES5" s="859"/>
      <c r="ET5" s="859"/>
      <c r="EU5" s="859"/>
      <c r="EV5" s="859"/>
      <c r="EW5" s="859"/>
      <c r="EX5" s="859"/>
      <c r="EY5" s="859"/>
      <c r="EZ5" s="859"/>
      <c r="FA5" s="859"/>
      <c r="FB5" s="859"/>
      <c r="FC5" s="859"/>
      <c r="FD5" s="859"/>
      <c r="FE5" s="859"/>
      <c r="FF5" s="859"/>
      <c r="FG5" s="859"/>
      <c r="FH5" s="859"/>
      <c r="FI5" s="859"/>
      <c r="FJ5" s="859"/>
      <c r="FK5" s="859"/>
      <c r="FL5" s="859"/>
      <c r="FM5" s="859"/>
      <c r="FN5" s="859"/>
      <c r="FO5" s="859"/>
      <c r="FP5" s="859"/>
      <c r="FQ5" s="859"/>
      <c r="FR5" s="859"/>
      <c r="FS5" s="859"/>
      <c r="FT5" s="859"/>
      <c r="FU5" s="859"/>
      <c r="FV5" s="859"/>
      <c r="FW5" s="859"/>
      <c r="FX5" s="859"/>
      <c r="FY5" s="859"/>
      <c r="FZ5" s="859"/>
      <c r="GA5" s="859"/>
      <c r="GB5" s="859"/>
      <c r="GC5" s="859"/>
      <c r="GD5" s="859"/>
      <c r="GE5" s="859"/>
      <c r="GF5" s="859"/>
      <c r="GG5" s="859"/>
      <c r="GH5" s="859"/>
      <c r="GI5" s="859"/>
      <c r="GJ5" s="859"/>
      <c r="GK5" s="859"/>
      <c r="GL5" s="859"/>
      <c r="GM5" s="859"/>
      <c r="GN5" s="859"/>
      <c r="GO5" s="859"/>
      <c r="GP5" s="859"/>
      <c r="GQ5" s="859"/>
      <c r="GR5" s="859"/>
      <c r="GS5" s="859"/>
      <c r="GT5" s="859"/>
      <c r="GU5" s="859"/>
      <c r="GV5" s="859"/>
      <c r="GW5" s="859"/>
      <c r="GX5" s="859"/>
      <c r="GY5" s="859"/>
      <c r="GZ5" s="859"/>
      <c r="HA5" s="859"/>
      <c r="HB5" s="859"/>
      <c r="HC5" s="859"/>
      <c r="HD5" s="859"/>
      <c r="HE5" s="859"/>
      <c r="HF5" s="859"/>
      <c r="HG5" s="859"/>
      <c r="HH5" s="859"/>
      <c r="HI5" s="859"/>
      <c r="HJ5" s="859"/>
      <c r="HK5" s="859"/>
      <c r="HL5" s="859"/>
      <c r="HM5" s="859"/>
      <c r="HN5" s="859"/>
      <c r="HO5" s="859"/>
    </row>
    <row r="6" spans="1:223" ht="16.5" customHeight="1">
      <c r="A6" s="1047"/>
      <c r="B6" s="1049"/>
      <c r="C6" s="1040"/>
      <c r="D6" s="1040" t="s">
        <v>1439</v>
      </c>
      <c r="E6" s="1040" t="s">
        <v>538</v>
      </c>
      <c r="F6" s="1040"/>
      <c r="G6" s="1052"/>
      <c r="H6" s="859"/>
      <c r="I6" s="859"/>
      <c r="J6" s="859"/>
      <c r="K6" s="859"/>
      <c r="L6" s="859"/>
      <c r="M6" s="859"/>
      <c r="N6" s="859"/>
      <c r="O6" s="859"/>
      <c r="P6" s="859"/>
      <c r="Q6" s="859"/>
      <c r="R6" s="859"/>
      <c r="S6" s="859"/>
      <c r="T6" s="859"/>
      <c r="U6" s="859"/>
      <c r="V6" s="859"/>
      <c r="W6" s="859"/>
      <c r="X6" s="859"/>
      <c r="Y6" s="859"/>
      <c r="Z6" s="859"/>
      <c r="AA6" s="859"/>
      <c r="AB6" s="859"/>
      <c r="AC6" s="859"/>
      <c r="AD6" s="859"/>
      <c r="AE6" s="859"/>
      <c r="AF6" s="859"/>
      <c r="AG6" s="859"/>
      <c r="AH6" s="859"/>
      <c r="AI6" s="859"/>
      <c r="AJ6" s="859"/>
      <c r="AK6" s="859"/>
      <c r="AL6" s="859"/>
      <c r="AM6" s="859"/>
      <c r="AN6" s="859"/>
      <c r="AO6" s="859"/>
      <c r="AP6" s="859"/>
      <c r="AQ6" s="859"/>
      <c r="AR6" s="859"/>
      <c r="AS6" s="859"/>
      <c r="AT6" s="859"/>
      <c r="AU6" s="859"/>
      <c r="AV6" s="859"/>
      <c r="AW6" s="859"/>
      <c r="AX6" s="859"/>
      <c r="AY6" s="859"/>
      <c r="AZ6" s="859"/>
      <c r="BA6" s="859"/>
      <c r="BB6" s="859"/>
      <c r="BC6" s="859"/>
      <c r="BD6" s="859"/>
      <c r="BE6" s="859"/>
      <c r="BF6" s="859"/>
      <c r="BG6" s="859"/>
      <c r="BH6" s="859"/>
      <c r="BI6" s="859"/>
      <c r="BJ6" s="859"/>
      <c r="BK6" s="859"/>
      <c r="BL6" s="859"/>
      <c r="BM6" s="859"/>
      <c r="BN6" s="859"/>
      <c r="BO6" s="859"/>
      <c r="BP6" s="859"/>
      <c r="BQ6" s="859"/>
      <c r="BR6" s="859"/>
      <c r="BS6" s="859"/>
      <c r="BT6" s="859"/>
      <c r="BU6" s="859"/>
      <c r="BV6" s="859"/>
      <c r="BW6" s="859"/>
      <c r="BX6" s="859"/>
      <c r="BY6" s="859"/>
      <c r="BZ6" s="859"/>
      <c r="CA6" s="859"/>
      <c r="CB6" s="859"/>
      <c r="CC6" s="859"/>
      <c r="CD6" s="859"/>
      <c r="CE6" s="859"/>
      <c r="CF6" s="859"/>
      <c r="CG6" s="859"/>
      <c r="CH6" s="859"/>
      <c r="CI6" s="859"/>
      <c r="CJ6" s="859"/>
      <c r="CK6" s="859"/>
      <c r="CL6" s="859"/>
      <c r="CM6" s="859"/>
      <c r="CN6" s="859"/>
      <c r="CO6" s="859"/>
      <c r="CP6" s="859"/>
      <c r="CQ6" s="859"/>
      <c r="CR6" s="859"/>
      <c r="CS6" s="859"/>
      <c r="CT6" s="859"/>
      <c r="CU6" s="859"/>
      <c r="CV6" s="859"/>
      <c r="CW6" s="859"/>
      <c r="CX6" s="859"/>
      <c r="CY6" s="859"/>
      <c r="CZ6" s="859"/>
      <c r="DA6" s="859"/>
      <c r="DB6" s="859"/>
      <c r="DC6" s="859"/>
      <c r="DD6" s="859"/>
      <c r="DE6" s="859"/>
      <c r="DF6" s="859"/>
      <c r="DG6" s="859"/>
      <c r="DH6" s="859"/>
      <c r="DI6" s="859"/>
      <c r="DJ6" s="859"/>
      <c r="DK6" s="859"/>
      <c r="DL6" s="859"/>
      <c r="DM6" s="859"/>
      <c r="DN6" s="859"/>
      <c r="DO6" s="859"/>
      <c r="DP6" s="859"/>
      <c r="DQ6" s="859"/>
      <c r="DR6" s="859"/>
      <c r="DS6" s="859"/>
      <c r="DT6" s="859"/>
      <c r="DU6" s="859"/>
      <c r="DV6" s="859"/>
      <c r="DW6" s="859"/>
      <c r="DX6" s="859"/>
      <c r="DY6" s="859"/>
      <c r="DZ6" s="859"/>
      <c r="EA6" s="859"/>
      <c r="EB6" s="859"/>
      <c r="EC6" s="859"/>
      <c r="ED6" s="859"/>
      <c r="EE6" s="859"/>
      <c r="EF6" s="859"/>
      <c r="EG6" s="859"/>
      <c r="EH6" s="859"/>
      <c r="EI6" s="859"/>
      <c r="EJ6" s="859"/>
      <c r="EK6" s="859"/>
      <c r="EL6" s="859"/>
      <c r="EM6" s="859"/>
      <c r="EN6" s="859"/>
      <c r="EO6" s="859"/>
      <c r="EP6" s="859"/>
      <c r="EQ6" s="859"/>
      <c r="ER6" s="859"/>
      <c r="ES6" s="859"/>
      <c r="ET6" s="859"/>
      <c r="EU6" s="859"/>
      <c r="EV6" s="859"/>
      <c r="EW6" s="859"/>
      <c r="EX6" s="859"/>
      <c r="EY6" s="859"/>
      <c r="EZ6" s="859"/>
      <c r="FA6" s="859"/>
      <c r="FB6" s="859"/>
      <c r="FC6" s="859"/>
      <c r="FD6" s="859"/>
      <c r="FE6" s="859"/>
      <c r="FF6" s="859"/>
      <c r="FG6" s="859"/>
      <c r="FH6" s="859"/>
      <c r="FI6" s="859"/>
      <c r="FJ6" s="859"/>
      <c r="FK6" s="859"/>
      <c r="FL6" s="859"/>
      <c r="FM6" s="859"/>
      <c r="FN6" s="859"/>
      <c r="FO6" s="859"/>
      <c r="FP6" s="859"/>
      <c r="FQ6" s="859"/>
      <c r="FR6" s="859"/>
      <c r="FS6" s="859"/>
      <c r="FT6" s="859"/>
      <c r="FU6" s="859"/>
      <c r="FV6" s="859"/>
      <c r="FW6" s="859"/>
      <c r="FX6" s="859"/>
      <c r="FY6" s="859"/>
      <c r="FZ6" s="859"/>
      <c r="GA6" s="859"/>
      <c r="GB6" s="859"/>
      <c r="GC6" s="859"/>
      <c r="GD6" s="859"/>
      <c r="GE6" s="859"/>
      <c r="GF6" s="859"/>
      <c r="GG6" s="859"/>
      <c r="GH6" s="859"/>
      <c r="GI6" s="859"/>
      <c r="GJ6" s="859"/>
      <c r="GK6" s="859"/>
      <c r="GL6" s="859"/>
      <c r="GM6" s="859"/>
      <c r="GN6" s="859"/>
      <c r="GO6" s="859"/>
      <c r="GP6" s="859"/>
      <c r="GQ6" s="859"/>
      <c r="GR6" s="859"/>
      <c r="GS6" s="859"/>
      <c r="GT6" s="859"/>
      <c r="GU6" s="859"/>
      <c r="GV6" s="859"/>
      <c r="GW6" s="859"/>
      <c r="GX6" s="859"/>
      <c r="GY6" s="859"/>
      <c r="GZ6" s="859"/>
      <c r="HA6" s="859"/>
      <c r="HB6" s="859"/>
      <c r="HC6" s="859"/>
      <c r="HD6" s="859"/>
      <c r="HE6" s="859"/>
      <c r="HF6" s="859"/>
      <c r="HG6" s="859"/>
      <c r="HH6" s="859"/>
      <c r="HI6" s="859"/>
      <c r="HJ6" s="859"/>
      <c r="HK6" s="859"/>
      <c r="HL6" s="859"/>
      <c r="HM6" s="859"/>
      <c r="HN6" s="859"/>
      <c r="HO6" s="859"/>
    </row>
    <row r="7" spans="1:7" ht="9" customHeight="1">
      <c r="A7" s="1047"/>
      <c r="B7" s="1049"/>
      <c r="C7" s="1040"/>
      <c r="D7" s="1040"/>
      <c r="E7" s="1040"/>
      <c r="F7" s="1040"/>
      <c r="G7" s="1052"/>
    </row>
    <row r="8" spans="1:7" ht="72" customHeight="1">
      <c r="A8" s="1048"/>
      <c r="B8" s="1049"/>
      <c r="C8" s="1040"/>
      <c r="D8" s="1040"/>
      <c r="E8" s="864" t="s">
        <v>1440</v>
      </c>
      <c r="F8" s="865" t="s">
        <v>1441</v>
      </c>
      <c r="G8" s="1053"/>
    </row>
    <row r="9" spans="1:232" ht="15.75">
      <c r="A9" s="866" t="s">
        <v>296</v>
      </c>
      <c r="B9" s="866" t="s">
        <v>297</v>
      </c>
      <c r="C9" s="867" t="s">
        <v>780</v>
      </c>
      <c r="D9" s="867">
        <v>1</v>
      </c>
      <c r="E9" s="868" t="s">
        <v>1442</v>
      </c>
      <c r="F9" s="869" t="s">
        <v>1443</v>
      </c>
      <c r="G9" s="870">
        <v>2</v>
      </c>
      <c r="H9" s="871"/>
      <c r="I9" s="871"/>
      <c r="J9" s="871"/>
      <c r="K9" s="871"/>
      <c r="L9" s="871"/>
      <c r="M9" s="871"/>
      <c r="N9" s="871"/>
      <c r="O9" s="871"/>
      <c r="P9" s="871"/>
      <c r="Q9" s="871"/>
      <c r="R9" s="871"/>
      <c r="S9" s="871"/>
      <c r="T9" s="871"/>
      <c r="U9" s="871"/>
      <c r="V9" s="871"/>
      <c r="W9" s="871"/>
      <c r="X9" s="871"/>
      <c r="Y9" s="871"/>
      <c r="Z9" s="871"/>
      <c r="AA9" s="871"/>
      <c r="AB9" s="871"/>
      <c r="AC9" s="871"/>
      <c r="AD9" s="871"/>
      <c r="AE9" s="871"/>
      <c r="AF9" s="871"/>
      <c r="AG9" s="871"/>
      <c r="AH9" s="871"/>
      <c r="AI9" s="871"/>
      <c r="AJ9" s="871"/>
      <c r="AK9" s="871"/>
      <c r="AL9" s="871"/>
      <c r="AM9" s="871"/>
      <c r="AN9" s="871"/>
      <c r="AO9" s="871"/>
      <c r="AP9" s="871"/>
      <c r="AQ9" s="871"/>
      <c r="AR9" s="871"/>
      <c r="AS9" s="871"/>
      <c r="AT9" s="871"/>
      <c r="AU9" s="871"/>
      <c r="AV9" s="871"/>
      <c r="AW9" s="871"/>
      <c r="AX9" s="871"/>
      <c r="AY9" s="871"/>
      <c r="AZ9" s="871"/>
      <c r="BA9" s="871"/>
      <c r="BB9" s="871"/>
      <c r="BC9" s="871"/>
      <c r="BD9" s="871"/>
      <c r="BE9" s="871"/>
      <c r="BF9" s="871"/>
      <c r="BG9" s="871"/>
      <c r="BH9" s="871"/>
      <c r="BI9" s="871"/>
      <c r="BJ9" s="871"/>
      <c r="BK9" s="871"/>
      <c r="BL9" s="871"/>
      <c r="BM9" s="871"/>
      <c r="BN9" s="871"/>
      <c r="BO9" s="871"/>
      <c r="BP9" s="871"/>
      <c r="BQ9" s="871"/>
      <c r="BR9" s="871"/>
      <c r="BS9" s="871"/>
      <c r="BT9" s="871"/>
      <c r="BU9" s="871"/>
      <c r="BV9" s="871"/>
      <c r="BW9" s="871"/>
      <c r="BX9" s="871"/>
      <c r="BY9" s="871"/>
      <c r="BZ9" s="871"/>
      <c r="CA9" s="871"/>
      <c r="CB9" s="871"/>
      <c r="CC9" s="871"/>
      <c r="CD9" s="871"/>
      <c r="CE9" s="871"/>
      <c r="CF9" s="871"/>
      <c r="CG9" s="871"/>
      <c r="CH9" s="871"/>
      <c r="CI9" s="871"/>
      <c r="CJ9" s="871"/>
      <c r="CK9" s="871"/>
      <c r="CL9" s="871"/>
      <c r="CM9" s="871"/>
      <c r="CN9" s="871"/>
      <c r="CO9" s="871"/>
      <c r="CP9" s="871"/>
      <c r="CQ9" s="871"/>
      <c r="CR9" s="871"/>
      <c r="CS9" s="871"/>
      <c r="CT9" s="871"/>
      <c r="CU9" s="871"/>
      <c r="CV9" s="871"/>
      <c r="CW9" s="871"/>
      <c r="CX9" s="871"/>
      <c r="CY9" s="871"/>
      <c r="CZ9" s="871"/>
      <c r="DA9" s="871"/>
      <c r="DB9" s="871"/>
      <c r="DC9" s="871"/>
      <c r="DD9" s="871"/>
      <c r="DE9" s="871"/>
      <c r="DF9" s="871"/>
      <c r="DG9" s="871"/>
      <c r="DH9" s="871"/>
      <c r="DI9" s="871"/>
      <c r="DJ9" s="871"/>
      <c r="DK9" s="871"/>
      <c r="DL9" s="871"/>
      <c r="DM9" s="871"/>
      <c r="DN9" s="871"/>
      <c r="DO9" s="871"/>
      <c r="DP9" s="871"/>
      <c r="DQ9" s="871"/>
      <c r="DR9" s="871"/>
      <c r="DS9" s="871"/>
      <c r="DT9" s="871"/>
      <c r="DU9" s="871"/>
      <c r="DV9" s="871"/>
      <c r="DW9" s="871"/>
      <c r="DX9" s="871"/>
      <c r="DY9" s="871"/>
      <c r="DZ9" s="871"/>
      <c r="EA9" s="871"/>
      <c r="EB9" s="871"/>
      <c r="EC9" s="871"/>
      <c r="ED9" s="871"/>
      <c r="EE9" s="871"/>
      <c r="EF9" s="871"/>
      <c r="EG9" s="871"/>
      <c r="EH9" s="871"/>
      <c r="EI9" s="871"/>
      <c r="EJ9" s="871"/>
      <c r="EK9" s="871"/>
      <c r="EL9" s="871"/>
      <c r="EM9" s="871"/>
      <c r="EN9" s="871"/>
      <c r="EO9" s="871"/>
      <c r="EP9" s="871"/>
      <c r="EQ9" s="871"/>
      <c r="ER9" s="871"/>
      <c r="ES9" s="871"/>
      <c r="ET9" s="871"/>
      <c r="EU9" s="871"/>
      <c r="EV9" s="871"/>
      <c r="EW9" s="871"/>
      <c r="EX9" s="871"/>
      <c r="EY9" s="871"/>
      <c r="EZ9" s="871"/>
      <c r="FA9" s="871"/>
      <c r="FB9" s="871"/>
      <c r="FC9" s="871"/>
      <c r="FD9" s="871"/>
      <c r="FE9" s="871"/>
      <c r="FF9" s="871"/>
      <c r="FG9" s="871"/>
      <c r="FH9" s="871"/>
      <c r="FI9" s="871"/>
      <c r="FJ9" s="871"/>
      <c r="FK9" s="871"/>
      <c r="FL9" s="871"/>
      <c r="FM9" s="871"/>
      <c r="FN9" s="871"/>
      <c r="FO9" s="871"/>
      <c r="FP9" s="871"/>
      <c r="FQ9" s="871"/>
      <c r="FR9" s="871"/>
      <c r="FS9" s="871"/>
      <c r="FT9" s="871"/>
      <c r="FU9" s="871"/>
      <c r="FV9" s="871"/>
      <c r="FW9" s="871"/>
      <c r="FX9" s="871"/>
      <c r="FY9" s="871"/>
      <c r="FZ9" s="871"/>
      <c r="GA9" s="871"/>
      <c r="GB9" s="871"/>
      <c r="GC9" s="871"/>
      <c r="GD9" s="871"/>
      <c r="GE9" s="871"/>
      <c r="GF9" s="871"/>
      <c r="GG9" s="871"/>
      <c r="GH9" s="871"/>
      <c r="GI9" s="871"/>
      <c r="GJ9" s="871"/>
      <c r="GK9" s="871"/>
      <c r="GL9" s="871"/>
      <c r="GM9" s="871"/>
      <c r="GN9" s="871"/>
      <c r="GO9" s="871"/>
      <c r="GP9" s="871"/>
      <c r="GQ9" s="871"/>
      <c r="GR9" s="871"/>
      <c r="GS9" s="871"/>
      <c r="GT9" s="871"/>
      <c r="GU9" s="871"/>
      <c r="GV9" s="871"/>
      <c r="GW9" s="871"/>
      <c r="GX9" s="871"/>
      <c r="GY9" s="871"/>
      <c r="GZ9" s="871"/>
      <c r="HA9" s="871"/>
      <c r="HB9" s="871"/>
      <c r="HC9" s="871"/>
      <c r="HD9" s="871"/>
      <c r="HE9" s="871"/>
      <c r="HF9" s="871"/>
      <c r="HG9" s="871"/>
      <c r="HH9" s="871"/>
      <c r="HI9" s="871"/>
      <c r="HJ9" s="871"/>
      <c r="HK9" s="871"/>
      <c r="HL9" s="871"/>
      <c r="HM9" s="871"/>
      <c r="HN9" s="871"/>
      <c r="HO9" s="871"/>
      <c r="HP9" s="871"/>
      <c r="HQ9" s="871"/>
      <c r="HR9" s="871"/>
      <c r="HS9" s="871"/>
      <c r="HT9" s="871"/>
      <c r="HU9" s="871"/>
      <c r="HV9" s="871"/>
      <c r="HW9" s="871"/>
      <c r="HX9" s="871"/>
    </row>
    <row r="10" spans="1:232" ht="21.75" customHeight="1">
      <c r="A10" s="872"/>
      <c r="B10" s="873" t="s">
        <v>1444</v>
      </c>
      <c r="C10" s="874" t="e">
        <f>C11+C19+C40+C41+C42+C43+C51+C52+C53+C54+#REF!+C50</f>
        <v>#REF!</v>
      </c>
      <c r="D10" s="875">
        <f>D11+D19+D40+D41+D42+D43+D51+D52+D53+D54+D50</f>
        <v>102874.08183099999</v>
      </c>
      <c r="E10" s="876">
        <f>E11+E19+E40+E41+E42+E43+E51+E52+E53+E54+E50</f>
        <v>98099.359054</v>
      </c>
      <c r="F10" s="877">
        <f>F11+F19+F40+F41+F42+F43+F51+F52+F53+F54+F50</f>
        <v>4774.722777</v>
      </c>
      <c r="G10" s="878"/>
      <c r="H10" s="879"/>
      <c r="I10" s="879"/>
      <c r="J10" s="879"/>
      <c r="K10" s="879"/>
      <c r="L10" s="879"/>
      <c r="M10" s="880"/>
      <c r="N10" s="879"/>
      <c r="O10" s="879"/>
      <c r="P10" s="879"/>
      <c r="Q10" s="879"/>
      <c r="R10" s="879"/>
      <c r="S10" s="879"/>
      <c r="T10" s="879"/>
      <c r="U10" s="879"/>
      <c r="V10" s="879"/>
      <c r="W10" s="879"/>
      <c r="X10" s="879"/>
      <c r="Y10" s="879"/>
      <c r="Z10" s="879"/>
      <c r="AA10" s="879"/>
      <c r="AB10" s="879"/>
      <c r="AC10" s="879"/>
      <c r="AD10" s="879"/>
      <c r="AE10" s="879"/>
      <c r="AF10" s="879"/>
      <c r="AG10" s="879"/>
      <c r="AH10" s="879"/>
      <c r="AI10" s="879"/>
      <c r="AJ10" s="879"/>
      <c r="AK10" s="879"/>
      <c r="AL10" s="879"/>
      <c r="AM10" s="879"/>
      <c r="AN10" s="879"/>
      <c r="AO10" s="879"/>
      <c r="AP10" s="879"/>
      <c r="AQ10" s="879"/>
      <c r="AR10" s="879"/>
      <c r="AS10" s="879"/>
      <c r="AT10" s="879"/>
      <c r="AU10" s="879"/>
      <c r="AV10" s="879"/>
      <c r="AW10" s="879"/>
      <c r="AX10" s="879"/>
      <c r="AY10" s="879"/>
      <c r="AZ10" s="879"/>
      <c r="BA10" s="879"/>
      <c r="BB10" s="879"/>
      <c r="BC10" s="879"/>
      <c r="BD10" s="879"/>
      <c r="BE10" s="879"/>
      <c r="BF10" s="879"/>
      <c r="BG10" s="879"/>
      <c r="BH10" s="879"/>
      <c r="BI10" s="879"/>
      <c r="BJ10" s="879"/>
      <c r="BK10" s="879"/>
      <c r="BL10" s="879"/>
      <c r="BM10" s="879"/>
      <c r="BN10" s="879"/>
      <c r="BO10" s="879"/>
      <c r="BP10" s="879"/>
      <c r="BQ10" s="879"/>
      <c r="BR10" s="879"/>
      <c r="BS10" s="879"/>
      <c r="BT10" s="879"/>
      <c r="BU10" s="879"/>
      <c r="BV10" s="879"/>
      <c r="BW10" s="879"/>
      <c r="BX10" s="879"/>
      <c r="BY10" s="879"/>
      <c r="BZ10" s="879"/>
      <c r="CA10" s="879"/>
      <c r="CB10" s="879"/>
      <c r="CC10" s="879"/>
      <c r="CD10" s="879"/>
      <c r="CE10" s="879"/>
      <c r="CF10" s="879"/>
      <c r="CG10" s="879"/>
      <c r="CH10" s="879"/>
      <c r="CI10" s="879"/>
      <c r="CJ10" s="879"/>
      <c r="CK10" s="879"/>
      <c r="CL10" s="879"/>
      <c r="CM10" s="879"/>
      <c r="CN10" s="879"/>
      <c r="CO10" s="879"/>
      <c r="CP10" s="879"/>
      <c r="CQ10" s="879"/>
      <c r="CR10" s="879"/>
      <c r="CS10" s="879"/>
      <c r="CT10" s="879"/>
      <c r="CU10" s="879"/>
      <c r="CV10" s="879"/>
      <c r="CW10" s="879"/>
      <c r="CX10" s="879"/>
      <c r="CY10" s="879"/>
      <c r="CZ10" s="879"/>
      <c r="DA10" s="879"/>
      <c r="DB10" s="879"/>
      <c r="DC10" s="879"/>
      <c r="DD10" s="879"/>
      <c r="DE10" s="879"/>
      <c r="DF10" s="879"/>
      <c r="DG10" s="879"/>
      <c r="DH10" s="879"/>
      <c r="DI10" s="879"/>
      <c r="DJ10" s="879"/>
      <c r="DK10" s="879"/>
      <c r="DL10" s="879"/>
      <c r="DM10" s="879"/>
      <c r="DN10" s="879"/>
      <c r="DO10" s="879"/>
      <c r="DP10" s="879"/>
      <c r="DQ10" s="879"/>
      <c r="DR10" s="879"/>
      <c r="DS10" s="879"/>
      <c r="DT10" s="879"/>
      <c r="DU10" s="879"/>
      <c r="DV10" s="879"/>
      <c r="DW10" s="879"/>
      <c r="DX10" s="879"/>
      <c r="DY10" s="879"/>
      <c r="DZ10" s="879"/>
      <c r="EA10" s="879"/>
      <c r="EB10" s="879"/>
      <c r="EC10" s="879"/>
      <c r="ED10" s="879"/>
      <c r="EE10" s="879"/>
      <c r="EF10" s="879"/>
      <c r="EG10" s="879"/>
      <c r="EH10" s="879"/>
      <c r="EI10" s="879"/>
      <c r="EJ10" s="879"/>
      <c r="EK10" s="879"/>
      <c r="EL10" s="879"/>
      <c r="EM10" s="879"/>
      <c r="EN10" s="879"/>
      <c r="EO10" s="879"/>
      <c r="EP10" s="879"/>
      <c r="EQ10" s="879"/>
      <c r="ER10" s="879"/>
      <c r="ES10" s="879"/>
      <c r="ET10" s="879"/>
      <c r="EU10" s="879"/>
      <c r="EV10" s="879"/>
      <c r="EW10" s="879"/>
      <c r="EX10" s="879"/>
      <c r="EY10" s="879"/>
      <c r="EZ10" s="879"/>
      <c r="FA10" s="879"/>
      <c r="FB10" s="879"/>
      <c r="FC10" s="879"/>
      <c r="FD10" s="879"/>
      <c r="FE10" s="879"/>
      <c r="FF10" s="879"/>
      <c r="FG10" s="879"/>
      <c r="FH10" s="879"/>
      <c r="FI10" s="879"/>
      <c r="FJ10" s="879"/>
      <c r="FK10" s="879"/>
      <c r="FL10" s="879"/>
      <c r="FM10" s="879"/>
      <c r="FN10" s="879"/>
      <c r="FO10" s="879"/>
      <c r="FP10" s="879"/>
      <c r="FQ10" s="879"/>
      <c r="FR10" s="879"/>
      <c r="FS10" s="879"/>
      <c r="FT10" s="879"/>
      <c r="FU10" s="879"/>
      <c r="FV10" s="879"/>
      <c r="FW10" s="879"/>
      <c r="FX10" s="879"/>
      <c r="FY10" s="879"/>
      <c r="FZ10" s="879"/>
      <c r="GA10" s="879"/>
      <c r="GB10" s="879"/>
      <c r="GC10" s="879"/>
      <c r="GD10" s="879"/>
      <c r="GE10" s="879"/>
      <c r="GF10" s="879"/>
      <c r="GG10" s="879"/>
      <c r="GH10" s="879"/>
      <c r="GI10" s="879"/>
      <c r="GJ10" s="879"/>
      <c r="GK10" s="879"/>
      <c r="GL10" s="879"/>
      <c r="GM10" s="879"/>
      <c r="GN10" s="879"/>
      <c r="GO10" s="879"/>
      <c r="GP10" s="879"/>
      <c r="GQ10" s="879"/>
      <c r="GR10" s="879"/>
      <c r="GS10" s="879"/>
      <c r="GT10" s="879"/>
      <c r="GU10" s="879"/>
      <c r="GV10" s="879"/>
      <c r="GW10" s="879"/>
      <c r="GX10" s="879"/>
      <c r="GY10" s="879"/>
      <c r="GZ10" s="879"/>
      <c r="HA10" s="879"/>
      <c r="HB10" s="879"/>
      <c r="HC10" s="879"/>
      <c r="HD10" s="879"/>
      <c r="HE10" s="879"/>
      <c r="HF10" s="879"/>
      <c r="HG10" s="879"/>
      <c r="HH10" s="879"/>
      <c r="HI10" s="879"/>
      <c r="HJ10" s="879"/>
      <c r="HK10" s="879"/>
      <c r="HL10" s="879"/>
      <c r="HM10" s="879"/>
      <c r="HN10" s="879"/>
      <c r="HO10" s="879"/>
      <c r="HP10" s="879"/>
      <c r="HQ10" s="879"/>
      <c r="HR10" s="879"/>
      <c r="HS10" s="879"/>
      <c r="HT10" s="879"/>
      <c r="HU10" s="879"/>
      <c r="HV10" s="879"/>
      <c r="HW10" s="879"/>
      <c r="HX10" s="879"/>
    </row>
    <row r="11" spans="1:7" s="879" customFormat="1" ht="23.25" customHeight="1">
      <c r="A11" s="872" t="s">
        <v>307</v>
      </c>
      <c r="B11" s="881" t="s">
        <v>442</v>
      </c>
      <c r="C11" s="882">
        <v>1150037</v>
      </c>
      <c r="D11" s="883">
        <f>E11+F11</f>
        <v>34559.121354899995</v>
      </c>
      <c r="E11" s="884">
        <f>E14+E18</f>
        <v>33640.739476999996</v>
      </c>
      <c r="F11" s="885">
        <f>F14+F18</f>
        <v>918.3818779000001</v>
      </c>
      <c r="G11" s="878"/>
    </row>
    <row r="12" spans="1:7" s="893" customFormat="1" ht="15.75">
      <c r="A12" s="886"/>
      <c r="B12" s="887" t="s">
        <v>709</v>
      </c>
      <c r="C12" s="888"/>
      <c r="D12" s="889"/>
      <c r="E12" s="890"/>
      <c r="F12" s="891"/>
      <c r="G12" s="892"/>
    </row>
    <row r="13" spans="1:7" s="893" customFormat="1" ht="33.75" customHeight="1">
      <c r="A13" s="886"/>
      <c r="B13" s="887" t="s">
        <v>1445</v>
      </c>
      <c r="C13" s="888">
        <v>407259</v>
      </c>
      <c r="D13" s="889">
        <f aca="true" t="shared" si="0" ref="D13:D18">E13+F13</f>
        <v>15938.910477</v>
      </c>
      <c r="E13" s="890">
        <v>15938.910477</v>
      </c>
      <c r="F13" s="891"/>
      <c r="G13" s="892"/>
    </row>
    <row r="14" spans="1:10" ht="35.25" customHeight="1">
      <c r="A14" s="894">
        <v>1</v>
      </c>
      <c r="B14" s="895" t="s">
        <v>1446</v>
      </c>
      <c r="C14" s="896"/>
      <c r="D14" s="897">
        <f t="shared" si="0"/>
        <v>23952.7313549</v>
      </c>
      <c r="E14" s="898">
        <f>E15+E16</f>
        <v>23034.349477</v>
      </c>
      <c r="F14" s="899">
        <f>F15+F16</f>
        <v>918.3818779000001</v>
      </c>
      <c r="G14" s="900"/>
      <c r="I14" s="901">
        <v>0.3</v>
      </c>
      <c r="J14" s="901">
        <v>0.7</v>
      </c>
    </row>
    <row r="15" spans="1:10" ht="31.5" customHeight="1">
      <c r="A15" s="902" t="s">
        <v>366</v>
      </c>
      <c r="B15" s="895" t="s">
        <v>1447</v>
      </c>
      <c r="C15" s="896"/>
      <c r="D15" s="897">
        <f t="shared" si="0"/>
        <v>15908.2473919</v>
      </c>
      <c r="E15" s="898">
        <f>15528.670923</f>
        <v>15528.670923</v>
      </c>
      <c r="F15" s="899">
        <f>2.397+1.971+0.448+0.637+I16</f>
        <v>379.57646889999995</v>
      </c>
      <c r="G15" s="900"/>
      <c r="H15" s="767">
        <f>149.022879+149.283114+542.86124</f>
        <v>841.1672329999999</v>
      </c>
      <c r="I15" s="767">
        <f>H15*0.3</f>
        <v>252.35016989999997</v>
      </c>
      <c r="J15" s="767">
        <f>H15-I15</f>
        <v>588.8170630999999</v>
      </c>
    </row>
    <row r="16" spans="1:10" ht="15.75">
      <c r="A16" s="902" t="s">
        <v>368</v>
      </c>
      <c r="B16" s="895" t="s">
        <v>1448</v>
      </c>
      <c r="C16" s="896"/>
      <c r="D16" s="897">
        <f t="shared" si="0"/>
        <v>8044.483963000001</v>
      </c>
      <c r="E16" s="898">
        <v>7505.678554</v>
      </c>
      <c r="F16" s="903">
        <f>199.756105-2.397-1.971-0.448-0.637+25.214473+5.971+7.0913+2.08+292.173021+0.000931+0.09265+4.6812+0.1974+7.000329</f>
        <v>538.805409</v>
      </c>
      <c r="G16" s="900"/>
      <c r="I16" s="767">
        <f>I15+4.459533+30.864716+2.80359+83.64546</f>
        <v>374.1234689</v>
      </c>
      <c r="J16" s="767">
        <f>J15+66.21642+6.541711+16.449686+59.15+398.8403+202.303+259.05</f>
        <v>1597.3681801</v>
      </c>
    </row>
    <row r="17" spans="1:7" ht="54.75" customHeight="1" hidden="1">
      <c r="A17" s="894" t="s">
        <v>840</v>
      </c>
      <c r="B17" s="895" t="s">
        <v>1449</v>
      </c>
      <c r="C17" s="896"/>
      <c r="D17" s="897">
        <f t="shared" si="0"/>
        <v>0</v>
      </c>
      <c r="E17" s="898"/>
      <c r="F17" s="899"/>
      <c r="G17" s="900"/>
    </row>
    <row r="18" spans="1:7" ht="15.75">
      <c r="A18" s="894">
        <v>2</v>
      </c>
      <c r="B18" s="895" t="s">
        <v>1450</v>
      </c>
      <c r="C18" s="896"/>
      <c r="D18" s="897">
        <f t="shared" si="0"/>
        <v>10606.39</v>
      </c>
      <c r="E18" s="898">
        <v>10606.39</v>
      </c>
      <c r="F18" s="899"/>
      <c r="G18" s="900"/>
    </row>
    <row r="19" spans="1:7" s="879" customFormat="1" ht="20.25" customHeight="1">
      <c r="A19" s="872" t="s">
        <v>363</v>
      </c>
      <c r="B19" s="881" t="s">
        <v>464</v>
      </c>
      <c r="C19" s="882">
        <f>C21+C34</f>
        <v>1965858.6068989998</v>
      </c>
      <c r="D19" s="883">
        <f>D21+D34</f>
        <v>13150.628959</v>
      </c>
      <c r="E19" s="884">
        <f>E21+E34</f>
        <v>12103.543577</v>
      </c>
      <c r="F19" s="885">
        <f>F21+F34</f>
        <v>1047.0853819999998</v>
      </c>
      <c r="G19" s="878"/>
    </row>
    <row r="20" spans="1:7" s="879" customFormat="1" ht="20.25" customHeight="1" hidden="1">
      <c r="A20" s="872"/>
      <c r="B20" s="887" t="s">
        <v>709</v>
      </c>
      <c r="C20" s="882"/>
      <c r="D20" s="883"/>
      <c r="E20" s="884"/>
      <c r="F20" s="885"/>
      <c r="G20" s="878"/>
    </row>
    <row r="21" spans="1:7" s="879" customFormat="1" ht="19.5" customHeight="1">
      <c r="A21" s="904">
        <v>1</v>
      </c>
      <c r="B21" s="881" t="s">
        <v>1451</v>
      </c>
      <c r="C21" s="882">
        <f>SUM(C22:C33)</f>
        <v>1840678.4578369998</v>
      </c>
      <c r="D21" s="883">
        <f>SUM(D22:D33)</f>
        <v>3547.418431</v>
      </c>
      <c r="E21" s="884">
        <f>SUM(E22:E33)</f>
        <v>2500.333049</v>
      </c>
      <c r="F21" s="885">
        <f>SUM(F22:F33)</f>
        <v>1047.0853819999998</v>
      </c>
      <c r="G21" s="878"/>
    </row>
    <row r="22" spans="1:13" ht="15.75">
      <c r="A22" s="902" t="s">
        <v>366</v>
      </c>
      <c r="B22" s="895" t="s">
        <v>1452</v>
      </c>
      <c r="C22" s="896">
        <v>64593.41074399999</v>
      </c>
      <c r="D22" s="897">
        <f>E22+F22</f>
        <v>26.995540000000002</v>
      </c>
      <c r="E22" s="898"/>
      <c r="F22" s="899">
        <f>10.858799+0.126923+8.0432+7.966618</f>
        <v>26.995540000000002</v>
      </c>
      <c r="G22" s="900"/>
      <c r="H22" s="905"/>
      <c r="J22" s="905"/>
      <c r="M22" s="906"/>
    </row>
    <row r="23" spans="1:7" ht="15.75">
      <c r="A23" s="902" t="s">
        <v>368</v>
      </c>
      <c r="B23" s="895" t="s">
        <v>1453</v>
      </c>
      <c r="C23" s="896">
        <v>780160.588948</v>
      </c>
      <c r="D23" s="897">
        <f aca="true" t="shared" si="1" ref="D23:D33">E23+F23</f>
        <v>489.61715100000004</v>
      </c>
      <c r="E23" s="898">
        <f>101.329521+1.48+380</f>
        <v>482.809521</v>
      </c>
      <c r="F23" s="899">
        <v>6.80763</v>
      </c>
      <c r="G23" s="900"/>
    </row>
    <row r="24" spans="1:7" ht="15.75">
      <c r="A24" s="902" t="s">
        <v>370</v>
      </c>
      <c r="B24" s="895" t="s">
        <v>1454</v>
      </c>
      <c r="C24" s="896">
        <v>6737.760632</v>
      </c>
      <c r="D24" s="897">
        <f t="shared" si="1"/>
        <v>0</v>
      </c>
      <c r="E24" s="898"/>
      <c r="F24" s="899"/>
      <c r="G24" s="900"/>
    </row>
    <row r="25" spans="1:7" ht="15.75">
      <c r="A25" s="902" t="s">
        <v>372</v>
      </c>
      <c r="B25" s="895" t="s">
        <v>1455</v>
      </c>
      <c r="C25" s="896">
        <v>225784.722812</v>
      </c>
      <c r="D25" s="897">
        <f t="shared" si="1"/>
        <v>0</v>
      </c>
      <c r="E25" s="898"/>
      <c r="F25" s="899"/>
      <c r="G25" s="900"/>
    </row>
    <row r="26" spans="1:7" ht="15.75">
      <c r="A26" s="902" t="s">
        <v>374</v>
      </c>
      <c r="B26" s="895" t="s">
        <v>1456</v>
      </c>
      <c r="C26" s="896">
        <v>14171.390048</v>
      </c>
      <c r="D26" s="897">
        <f t="shared" si="1"/>
        <v>3.69598</v>
      </c>
      <c r="E26" s="898">
        <f>2.57874+1.1</f>
        <v>3.67874</v>
      </c>
      <c r="F26" s="899">
        <v>0.01724</v>
      </c>
      <c r="G26" s="900"/>
    </row>
    <row r="27" spans="1:7" ht="15.75">
      <c r="A27" s="902" t="s">
        <v>376</v>
      </c>
      <c r="B27" s="895" t="s">
        <v>1457</v>
      </c>
      <c r="C27" s="896">
        <v>11286.634635</v>
      </c>
      <c r="D27" s="897">
        <f t="shared" si="1"/>
        <v>0.01208</v>
      </c>
      <c r="E27" s="898">
        <f>12080/1000000</f>
        <v>0.01208</v>
      </c>
      <c r="F27" s="899"/>
      <c r="G27" s="900"/>
    </row>
    <row r="28" spans="1:7" ht="15.75">
      <c r="A28" s="902" t="s">
        <v>449</v>
      </c>
      <c r="B28" s="895" t="s">
        <v>1458</v>
      </c>
      <c r="C28" s="896">
        <v>5140.545795</v>
      </c>
      <c r="D28" s="897">
        <f t="shared" si="1"/>
        <v>0.043587</v>
      </c>
      <c r="E28" s="907">
        <f>3587/1000000</f>
        <v>0.003587</v>
      </c>
      <c r="F28" s="899">
        <f>0.04</f>
        <v>0.04</v>
      </c>
      <c r="G28" s="900"/>
    </row>
    <row r="29" spans="1:7" ht="15.75">
      <c r="A29" s="902" t="s">
        <v>451</v>
      </c>
      <c r="B29" s="895" t="s">
        <v>1459</v>
      </c>
      <c r="C29" s="896">
        <v>36795.366671</v>
      </c>
      <c r="D29" s="897">
        <f t="shared" si="1"/>
        <v>571.956998</v>
      </c>
      <c r="E29" s="898">
        <f>75.378398+310</f>
        <v>385.378398</v>
      </c>
      <c r="F29" s="899">
        <f>39.100016+138.293+9.185584</f>
        <v>186.5786</v>
      </c>
      <c r="G29" s="900"/>
    </row>
    <row r="30" spans="1:7" ht="15.75">
      <c r="A30" s="902" t="s">
        <v>453</v>
      </c>
      <c r="B30" s="895" t="s">
        <v>1460</v>
      </c>
      <c r="C30" s="896">
        <v>194522.897313</v>
      </c>
      <c r="D30" s="897">
        <f t="shared" si="1"/>
        <v>201.07471500000003</v>
      </c>
      <c r="E30" s="898">
        <v>179.546635</v>
      </c>
      <c r="F30" s="899">
        <f>11.36208+0.026+2.14+8</f>
        <v>21.528080000000003</v>
      </c>
      <c r="G30" s="900"/>
    </row>
    <row r="31" spans="1:7" ht="15.75">
      <c r="A31" s="902" t="s">
        <v>455</v>
      </c>
      <c r="B31" s="895" t="s">
        <v>1461</v>
      </c>
      <c r="C31" s="896">
        <v>430808.686606</v>
      </c>
      <c r="D31" s="897">
        <f t="shared" si="1"/>
        <v>471.26790199999994</v>
      </c>
      <c r="E31" s="898">
        <f>104.189066+2+1.791+0.24+0.0005</f>
        <v>108.22056599999999</v>
      </c>
      <c r="F31" s="899">
        <f>124.621539+40.306803+48.1052+35.973691+14.9+2.403636+67.735442+8.068325+20.7724+0.09+0.05+0.0203</f>
        <v>363.047336</v>
      </c>
      <c r="G31" s="900"/>
    </row>
    <row r="32" spans="1:7" ht="15.75">
      <c r="A32" s="902" t="s">
        <v>456</v>
      </c>
      <c r="B32" s="895" t="s">
        <v>561</v>
      </c>
      <c r="C32" s="896">
        <v>54345.872358</v>
      </c>
      <c r="D32" s="897">
        <f t="shared" si="1"/>
        <v>1675.17365</v>
      </c>
      <c r="E32" s="898">
        <v>1340.683522</v>
      </c>
      <c r="F32" s="899">
        <f>163.80235+48.8005+18.980978+102.8352+0.0711</f>
        <v>334.49012799999997</v>
      </c>
      <c r="G32" s="900"/>
    </row>
    <row r="33" spans="1:7" ht="15.75">
      <c r="A33" s="902" t="s">
        <v>458</v>
      </c>
      <c r="B33" s="895" t="s">
        <v>1462</v>
      </c>
      <c r="C33" s="896">
        <v>16330.581275</v>
      </c>
      <c r="D33" s="897">
        <f t="shared" si="1"/>
        <v>107.580828</v>
      </c>
      <c r="E33" s="898"/>
      <c r="F33" s="899">
        <f>18.85+88.730828</f>
        <v>107.580828</v>
      </c>
      <c r="G33" s="900"/>
    </row>
    <row r="34" spans="1:7" s="879" customFormat="1" ht="31.5">
      <c r="A34" s="872">
        <v>2</v>
      </c>
      <c r="B34" s="881" t="s">
        <v>1463</v>
      </c>
      <c r="C34" s="882">
        <f>C35+C39</f>
        <v>125180.149062</v>
      </c>
      <c r="D34" s="883">
        <f>D35+D39</f>
        <v>9603.210528</v>
      </c>
      <c r="E34" s="884">
        <f>E35+E39</f>
        <v>9603.210528</v>
      </c>
      <c r="F34" s="885">
        <f>F35+F39</f>
        <v>0</v>
      </c>
      <c r="G34" s="878"/>
    </row>
    <row r="35" spans="1:7" ht="32.25" customHeight="1">
      <c r="A35" s="902" t="s">
        <v>401</v>
      </c>
      <c r="B35" s="895" t="s">
        <v>1464</v>
      </c>
      <c r="C35" s="896"/>
      <c r="D35" s="897">
        <f>E35+F35</f>
        <v>9600.958528</v>
      </c>
      <c r="E35" s="898">
        <f>SUM(E36:E38)</f>
        <v>9600.958528</v>
      </c>
      <c r="F35" s="899"/>
      <c r="G35" s="900"/>
    </row>
    <row r="36" spans="1:7" ht="31.5" customHeight="1">
      <c r="A36" s="902" t="s">
        <v>840</v>
      </c>
      <c r="B36" s="895" t="s">
        <v>1465</v>
      </c>
      <c r="C36" s="896">
        <v>21725</v>
      </c>
      <c r="D36" s="897">
        <f>E36</f>
        <v>1400.77264</v>
      </c>
      <c r="E36" s="898">
        <v>1400.77264</v>
      </c>
      <c r="F36" s="899"/>
      <c r="G36" s="900"/>
    </row>
    <row r="37" spans="1:7" ht="31.5" customHeight="1">
      <c r="A37" s="902" t="s">
        <v>840</v>
      </c>
      <c r="B37" s="895" t="s">
        <v>1466</v>
      </c>
      <c r="C37" s="896">
        <v>15928</v>
      </c>
      <c r="D37" s="897">
        <f>E37</f>
        <v>3615.870375</v>
      </c>
      <c r="E37" s="898">
        <v>3615.870375</v>
      </c>
      <c r="F37" s="899"/>
      <c r="G37" s="900"/>
    </row>
    <row r="38" spans="1:7" ht="31.5" customHeight="1">
      <c r="A38" s="902" t="s">
        <v>840</v>
      </c>
      <c r="B38" s="895" t="s">
        <v>1467</v>
      </c>
      <c r="C38" s="896">
        <v>15928</v>
      </c>
      <c r="D38" s="897">
        <f>E38</f>
        <v>4584.315513</v>
      </c>
      <c r="E38" s="898">
        <v>4584.315513</v>
      </c>
      <c r="F38" s="899"/>
      <c r="G38" s="900"/>
    </row>
    <row r="39" spans="1:7" ht="15.75">
      <c r="A39" s="902" t="s">
        <v>403</v>
      </c>
      <c r="B39" s="895" t="s">
        <v>1468</v>
      </c>
      <c r="C39" s="896">
        <v>125180.149062</v>
      </c>
      <c r="D39" s="897">
        <f>E39+F39</f>
        <v>2.252</v>
      </c>
      <c r="E39" s="898">
        <v>2.252</v>
      </c>
      <c r="F39" s="899"/>
      <c r="G39" s="900"/>
    </row>
    <row r="40" spans="1:232" ht="15.75">
      <c r="A40" s="872" t="s">
        <v>381</v>
      </c>
      <c r="B40" s="881" t="s">
        <v>480</v>
      </c>
      <c r="C40" s="882"/>
      <c r="D40" s="883">
        <f>E40+F40</f>
        <v>0</v>
      </c>
      <c r="E40" s="884"/>
      <c r="F40" s="885"/>
      <c r="G40" s="878"/>
      <c r="H40" s="879"/>
      <c r="I40" s="879"/>
      <c r="J40" s="879"/>
      <c r="K40" s="879"/>
      <c r="L40" s="879"/>
      <c r="M40" s="879"/>
      <c r="N40" s="879"/>
      <c r="O40" s="879"/>
      <c r="P40" s="879"/>
      <c r="Q40" s="879"/>
      <c r="R40" s="879"/>
      <c r="S40" s="879"/>
      <c r="T40" s="879"/>
      <c r="U40" s="879"/>
      <c r="V40" s="879"/>
      <c r="W40" s="879"/>
      <c r="X40" s="879"/>
      <c r="Y40" s="879"/>
      <c r="Z40" s="879"/>
      <c r="AA40" s="879"/>
      <c r="AB40" s="879"/>
      <c r="AC40" s="879"/>
      <c r="AD40" s="879"/>
      <c r="AE40" s="879"/>
      <c r="AF40" s="879"/>
      <c r="AG40" s="879"/>
      <c r="AH40" s="879"/>
      <c r="AI40" s="879"/>
      <c r="AJ40" s="879"/>
      <c r="AK40" s="879"/>
      <c r="AL40" s="879"/>
      <c r="AM40" s="879"/>
      <c r="AN40" s="879"/>
      <c r="AO40" s="879"/>
      <c r="AP40" s="879"/>
      <c r="AQ40" s="879"/>
      <c r="AR40" s="879"/>
      <c r="AS40" s="879"/>
      <c r="AT40" s="879"/>
      <c r="AU40" s="879"/>
      <c r="AV40" s="879"/>
      <c r="AW40" s="879"/>
      <c r="AX40" s="879"/>
      <c r="AY40" s="879"/>
      <c r="AZ40" s="879"/>
      <c r="BA40" s="879"/>
      <c r="BB40" s="879"/>
      <c r="BC40" s="879"/>
      <c r="BD40" s="879"/>
      <c r="BE40" s="879"/>
      <c r="BF40" s="879"/>
      <c r="BG40" s="879"/>
      <c r="BH40" s="879"/>
      <c r="BI40" s="879"/>
      <c r="BJ40" s="879"/>
      <c r="BK40" s="879"/>
      <c r="BL40" s="879"/>
      <c r="BM40" s="879"/>
      <c r="BN40" s="879"/>
      <c r="BO40" s="879"/>
      <c r="BP40" s="879"/>
      <c r="BQ40" s="879"/>
      <c r="BR40" s="879"/>
      <c r="BS40" s="879"/>
      <c r="BT40" s="879"/>
      <c r="BU40" s="879"/>
      <c r="BV40" s="879"/>
      <c r="BW40" s="879"/>
      <c r="BX40" s="879"/>
      <c r="BY40" s="879"/>
      <c r="BZ40" s="879"/>
      <c r="CA40" s="879"/>
      <c r="CB40" s="879"/>
      <c r="CC40" s="879"/>
      <c r="CD40" s="879"/>
      <c r="CE40" s="879"/>
      <c r="CF40" s="879"/>
      <c r="CG40" s="879"/>
      <c r="CH40" s="879"/>
      <c r="CI40" s="879"/>
      <c r="CJ40" s="879"/>
      <c r="CK40" s="879"/>
      <c r="CL40" s="879"/>
      <c r="CM40" s="879"/>
      <c r="CN40" s="879"/>
      <c r="CO40" s="879"/>
      <c r="CP40" s="879"/>
      <c r="CQ40" s="879"/>
      <c r="CR40" s="879"/>
      <c r="CS40" s="879"/>
      <c r="CT40" s="879"/>
      <c r="CU40" s="879"/>
      <c r="CV40" s="879"/>
      <c r="CW40" s="879"/>
      <c r="CX40" s="879"/>
      <c r="CY40" s="879"/>
      <c r="CZ40" s="879"/>
      <c r="DA40" s="879"/>
      <c r="DB40" s="879"/>
      <c r="DC40" s="879"/>
      <c r="DD40" s="879"/>
      <c r="DE40" s="879"/>
      <c r="DF40" s="879"/>
      <c r="DG40" s="879"/>
      <c r="DH40" s="879"/>
      <c r="DI40" s="879"/>
      <c r="DJ40" s="879"/>
      <c r="DK40" s="879"/>
      <c r="DL40" s="879"/>
      <c r="DM40" s="879"/>
      <c r="DN40" s="879"/>
      <c r="DO40" s="879"/>
      <c r="DP40" s="879"/>
      <c r="DQ40" s="879"/>
      <c r="DR40" s="879"/>
      <c r="DS40" s="879"/>
      <c r="DT40" s="879"/>
      <c r="DU40" s="879"/>
      <c r="DV40" s="879"/>
      <c r="DW40" s="879"/>
      <c r="DX40" s="879"/>
      <c r="DY40" s="879"/>
      <c r="DZ40" s="879"/>
      <c r="EA40" s="879"/>
      <c r="EB40" s="879"/>
      <c r="EC40" s="879"/>
      <c r="ED40" s="879"/>
      <c r="EE40" s="879"/>
      <c r="EF40" s="879"/>
      <c r="EG40" s="879"/>
      <c r="EH40" s="879"/>
      <c r="EI40" s="879"/>
      <c r="EJ40" s="879"/>
      <c r="EK40" s="879"/>
      <c r="EL40" s="879"/>
      <c r="EM40" s="879"/>
      <c r="EN40" s="879"/>
      <c r="EO40" s="879"/>
      <c r="EP40" s="879"/>
      <c r="EQ40" s="879"/>
      <c r="ER40" s="879"/>
      <c r="ES40" s="879"/>
      <c r="ET40" s="879"/>
      <c r="EU40" s="879"/>
      <c r="EV40" s="879"/>
      <c r="EW40" s="879"/>
      <c r="EX40" s="879"/>
      <c r="EY40" s="879"/>
      <c r="EZ40" s="879"/>
      <c r="FA40" s="879"/>
      <c r="FB40" s="879"/>
      <c r="FC40" s="879"/>
      <c r="FD40" s="879"/>
      <c r="FE40" s="879"/>
      <c r="FF40" s="879"/>
      <c r="FG40" s="879"/>
      <c r="FH40" s="879"/>
      <c r="FI40" s="879"/>
      <c r="FJ40" s="879"/>
      <c r="FK40" s="879"/>
      <c r="FL40" s="879"/>
      <c r="FM40" s="879"/>
      <c r="FN40" s="879"/>
      <c r="FO40" s="879"/>
      <c r="FP40" s="879"/>
      <c r="FQ40" s="879"/>
      <c r="FR40" s="879"/>
      <c r="FS40" s="879"/>
      <c r="FT40" s="879"/>
      <c r="FU40" s="879"/>
      <c r="FV40" s="879"/>
      <c r="FW40" s="879"/>
      <c r="FX40" s="879"/>
      <c r="FY40" s="879"/>
      <c r="FZ40" s="879"/>
      <c r="GA40" s="879"/>
      <c r="GB40" s="879"/>
      <c r="GC40" s="879"/>
      <c r="GD40" s="879"/>
      <c r="GE40" s="879"/>
      <c r="GF40" s="879"/>
      <c r="GG40" s="879"/>
      <c r="GH40" s="879"/>
      <c r="GI40" s="879"/>
      <c r="GJ40" s="879"/>
      <c r="GK40" s="879"/>
      <c r="GL40" s="879"/>
      <c r="GM40" s="879"/>
      <c r="GN40" s="879"/>
      <c r="GO40" s="879"/>
      <c r="GP40" s="879"/>
      <c r="GQ40" s="879"/>
      <c r="GR40" s="879"/>
      <c r="GS40" s="879"/>
      <c r="GT40" s="879"/>
      <c r="GU40" s="879"/>
      <c r="GV40" s="879"/>
      <c r="GW40" s="879"/>
      <c r="GX40" s="879"/>
      <c r="GY40" s="879"/>
      <c r="GZ40" s="879"/>
      <c r="HA40" s="879"/>
      <c r="HB40" s="879"/>
      <c r="HC40" s="879"/>
      <c r="HD40" s="879"/>
      <c r="HE40" s="879"/>
      <c r="HF40" s="879"/>
      <c r="HG40" s="879"/>
      <c r="HH40" s="879"/>
      <c r="HI40" s="879"/>
      <c r="HJ40" s="879"/>
      <c r="HK40" s="879"/>
      <c r="HL40" s="879"/>
      <c r="HM40" s="879"/>
      <c r="HN40" s="879"/>
      <c r="HO40" s="879"/>
      <c r="HP40" s="879"/>
      <c r="HQ40" s="879"/>
      <c r="HR40" s="879"/>
      <c r="HS40" s="879"/>
      <c r="HT40" s="879"/>
      <c r="HU40" s="879"/>
      <c r="HV40" s="879"/>
      <c r="HW40" s="879"/>
      <c r="HX40" s="879"/>
    </row>
    <row r="41" spans="1:232" ht="15.75">
      <c r="A41" s="872" t="s">
        <v>391</v>
      </c>
      <c r="B41" s="881" t="s">
        <v>1469</v>
      </c>
      <c r="C41" s="882">
        <v>0</v>
      </c>
      <c r="D41" s="883">
        <f aca="true" t="shared" si="2" ref="D41:D54">E41+F41</f>
        <v>5122.491013</v>
      </c>
      <c r="E41" s="884">
        <v>4708.446</v>
      </c>
      <c r="F41" s="885">
        <f>222.897813+108.493+82.6542</f>
        <v>414.045013</v>
      </c>
      <c r="G41" s="878"/>
      <c r="H41" s="879"/>
      <c r="I41" s="879"/>
      <c r="J41" s="879"/>
      <c r="K41" s="879"/>
      <c r="L41" s="879"/>
      <c r="M41" s="879"/>
      <c r="N41" s="879"/>
      <c r="O41" s="879"/>
      <c r="P41" s="879"/>
      <c r="Q41" s="879"/>
      <c r="R41" s="879"/>
      <c r="S41" s="879"/>
      <c r="T41" s="879"/>
      <c r="U41" s="879"/>
      <c r="V41" s="879"/>
      <c r="W41" s="879"/>
      <c r="X41" s="879"/>
      <c r="Y41" s="879"/>
      <c r="Z41" s="879"/>
      <c r="AA41" s="879"/>
      <c r="AB41" s="879"/>
      <c r="AC41" s="879"/>
      <c r="AD41" s="879"/>
      <c r="AE41" s="879"/>
      <c r="AF41" s="879"/>
      <c r="AG41" s="879"/>
      <c r="AH41" s="879"/>
      <c r="AI41" s="879"/>
      <c r="AJ41" s="879"/>
      <c r="AK41" s="879"/>
      <c r="AL41" s="879"/>
      <c r="AM41" s="879"/>
      <c r="AN41" s="879"/>
      <c r="AO41" s="879"/>
      <c r="AP41" s="879"/>
      <c r="AQ41" s="879"/>
      <c r="AR41" s="879"/>
      <c r="AS41" s="879"/>
      <c r="AT41" s="879"/>
      <c r="AU41" s="879"/>
      <c r="AV41" s="879"/>
      <c r="AW41" s="879"/>
      <c r="AX41" s="879"/>
      <c r="AY41" s="879"/>
      <c r="AZ41" s="879"/>
      <c r="BA41" s="879"/>
      <c r="BB41" s="879"/>
      <c r="BC41" s="879"/>
      <c r="BD41" s="879"/>
      <c r="BE41" s="879"/>
      <c r="BF41" s="879"/>
      <c r="BG41" s="879"/>
      <c r="BH41" s="879"/>
      <c r="BI41" s="879"/>
      <c r="BJ41" s="879"/>
      <c r="BK41" s="879"/>
      <c r="BL41" s="879"/>
      <c r="BM41" s="879"/>
      <c r="BN41" s="879"/>
      <c r="BO41" s="879"/>
      <c r="BP41" s="879"/>
      <c r="BQ41" s="879"/>
      <c r="BR41" s="879"/>
      <c r="BS41" s="879"/>
      <c r="BT41" s="879"/>
      <c r="BU41" s="879"/>
      <c r="BV41" s="879"/>
      <c r="BW41" s="879"/>
      <c r="BX41" s="879"/>
      <c r="BY41" s="879"/>
      <c r="BZ41" s="879"/>
      <c r="CA41" s="879"/>
      <c r="CB41" s="879"/>
      <c r="CC41" s="879"/>
      <c r="CD41" s="879"/>
      <c r="CE41" s="879"/>
      <c r="CF41" s="879"/>
      <c r="CG41" s="879"/>
      <c r="CH41" s="879"/>
      <c r="CI41" s="879"/>
      <c r="CJ41" s="879"/>
      <c r="CK41" s="879"/>
      <c r="CL41" s="879"/>
      <c r="CM41" s="879"/>
      <c r="CN41" s="879"/>
      <c r="CO41" s="879"/>
      <c r="CP41" s="879"/>
      <c r="CQ41" s="879"/>
      <c r="CR41" s="879"/>
      <c r="CS41" s="879"/>
      <c r="CT41" s="879"/>
      <c r="CU41" s="879"/>
      <c r="CV41" s="879"/>
      <c r="CW41" s="879"/>
      <c r="CX41" s="879"/>
      <c r="CY41" s="879"/>
      <c r="CZ41" s="879"/>
      <c r="DA41" s="879"/>
      <c r="DB41" s="879"/>
      <c r="DC41" s="879"/>
      <c r="DD41" s="879"/>
      <c r="DE41" s="879"/>
      <c r="DF41" s="879"/>
      <c r="DG41" s="879"/>
      <c r="DH41" s="879"/>
      <c r="DI41" s="879"/>
      <c r="DJ41" s="879"/>
      <c r="DK41" s="879"/>
      <c r="DL41" s="879"/>
      <c r="DM41" s="879"/>
      <c r="DN41" s="879"/>
      <c r="DO41" s="879"/>
      <c r="DP41" s="879"/>
      <c r="DQ41" s="879"/>
      <c r="DR41" s="879"/>
      <c r="DS41" s="879"/>
      <c r="DT41" s="879"/>
      <c r="DU41" s="879"/>
      <c r="DV41" s="879"/>
      <c r="DW41" s="879"/>
      <c r="DX41" s="879"/>
      <c r="DY41" s="879"/>
      <c r="DZ41" s="879"/>
      <c r="EA41" s="879"/>
      <c r="EB41" s="879"/>
      <c r="EC41" s="879"/>
      <c r="ED41" s="879"/>
      <c r="EE41" s="879"/>
      <c r="EF41" s="879"/>
      <c r="EG41" s="879"/>
      <c r="EH41" s="879"/>
      <c r="EI41" s="879"/>
      <c r="EJ41" s="879"/>
      <c r="EK41" s="879"/>
      <c r="EL41" s="879"/>
      <c r="EM41" s="879"/>
      <c r="EN41" s="879"/>
      <c r="EO41" s="879"/>
      <c r="EP41" s="879"/>
      <c r="EQ41" s="879"/>
      <c r="ER41" s="879"/>
      <c r="ES41" s="879"/>
      <c r="ET41" s="879"/>
      <c r="EU41" s="879"/>
      <c r="EV41" s="879"/>
      <c r="EW41" s="879"/>
      <c r="EX41" s="879"/>
      <c r="EY41" s="879"/>
      <c r="EZ41" s="879"/>
      <c r="FA41" s="879"/>
      <c r="FB41" s="879"/>
      <c r="FC41" s="879"/>
      <c r="FD41" s="879"/>
      <c r="FE41" s="879"/>
      <c r="FF41" s="879"/>
      <c r="FG41" s="879"/>
      <c r="FH41" s="879"/>
      <c r="FI41" s="879"/>
      <c r="FJ41" s="879"/>
      <c r="FK41" s="879"/>
      <c r="FL41" s="879"/>
      <c r="FM41" s="879"/>
      <c r="FN41" s="879"/>
      <c r="FO41" s="879"/>
      <c r="FP41" s="879"/>
      <c r="FQ41" s="879"/>
      <c r="FR41" s="879"/>
      <c r="FS41" s="879"/>
      <c r="FT41" s="879"/>
      <c r="FU41" s="879"/>
      <c r="FV41" s="879"/>
      <c r="FW41" s="879"/>
      <c r="FX41" s="879"/>
      <c r="FY41" s="879"/>
      <c r="FZ41" s="879"/>
      <c r="GA41" s="879"/>
      <c r="GB41" s="879"/>
      <c r="GC41" s="879"/>
      <c r="GD41" s="879"/>
      <c r="GE41" s="879"/>
      <c r="GF41" s="879"/>
      <c r="GG41" s="879"/>
      <c r="GH41" s="879"/>
      <c r="GI41" s="879"/>
      <c r="GJ41" s="879"/>
      <c r="GK41" s="879"/>
      <c r="GL41" s="879"/>
      <c r="GM41" s="879"/>
      <c r="GN41" s="879"/>
      <c r="GO41" s="879"/>
      <c r="GP41" s="879"/>
      <c r="GQ41" s="879"/>
      <c r="GR41" s="879"/>
      <c r="GS41" s="879"/>
      <c r="GT41" s="879"/>
      <c r="GU41" s="879"/>
      <c r="GV41" s="879"/>
      <c r="GW41" s="879"/>
      <c r="GX41" s="879"/>
      <c r="GY41" s="879"/>
      <c r="GZ41" s="879"/>
      <c r="HA41" s="879"/>
      <c r="HB41" s="879"/>
      <c r="HC41" s="879"/>
      <c r="HD41" s="879"/>
      <c r="HE41" s="879"/>
      <c r="HF41" s="879"/>
      <c r="HG41" s="879"/>
      <c r="HH41" s="879"/>
      <c r="HI41" s="879"/>
      <c r="HJ41" s="879"/>
      <c r="HK41" s="879"/>
      <c r="HL41" s="879"/>
      <c r="HM41" s="879"/>
      <c r="HN41" s="879"/>
      <c r="HO41" s="879"/>
      <c r="HP41" s="879"/>
      <c r="HQ41" s="879"/>
      <c r="HR41" s="879"/>
      <c r="HS41" s="879"/>
      <c r="HT41" s="879"/>
      <c r="HU41" s="879"/>
      <c r="HV41" s="879"/>
      <c r="HW41" s="879"/>
      <c r="HX41" s="879"/>
    </row>
    <row r="42" spans="1:232" ht="15.75">
      <c r="A42" s="872" t="s">
        <v>393</v>
      </c>
      <c r="B42" s="881" t="s">
        <v>1470</v>
      </c>
      <c r="C42" s="882"/>
      <c r="D42" s="883">
        <f t="shared" si="2"/>
        <v>50041.8405041</v>
      </c>
      <c r="E42" s="884">
        <f>17663.62+29983.01</f>
        <v>47646.63</v>
      </c>
      <c r="F42" s="885">
        <f>797.842324+J16</f>
        <v>2395.2105041</v>
      </c>
      <c r="G42" s="878"/>
      <c r="H42" s="879"/>
      <c r="I42" s="879"/>
      <c r="J42" s="879"/>
      <c r="K42" s="879"/>
      <c r="L42" s="879"/>
      <c r="M42" s="879"/>
      <c r="N42" s="879"/>
      <c r="O42" s="879"/>
      <c r="P42" s="879"/>
      <c r="Q42" s="879"/>
      <c r="R42" s="879"/>
      <c r="S42" s="879"/>
      <c r="T42" s="879"/>
      <c r="U42" s="879"/>
      <c r="V42" s="879"/>
      <c r="W42" s="879"/>
      <c r="X42" s="879"/>
      <c r="Y42" s="879"/>
      <c r="Z42" s="879"/>
      <c r="AA42" s="879"/>
      <c r="AB42" s="879"/>
      <c r="AC42" s="879"/>
      <c r="AD42" s="879"/>
      <c r="AE42" s="879"/>
      <c r="AF42" s="879"/>
      <c r="AG42" s="879"/>
      <c r="AH42" s="879"/>
      <c r="AI42" s="879"/>
      <c r="AJ42" s="879"/>
      <c r="AK42" s="879"/>
      <c r="AL42" s="879"/>
      <c r="AM42" s="879"/>
      <c r="AN42" s="879"/>
      <c r="AO42" s="879"/>
      <c r="AP42" s="879"/>
      <c r="AQ42" s="879"/>
      <c r="AR42" s="879"/>
      <c r="AS42" s="879"/>
      <c r="AT42" s="879"/>
      <c r="AU42" s="879"/>
      <c r="AV42" s="879"/>
      <c r="AW42" s="879"/>
      <c r="AX42" s="879"/>
      <c r="AY42" s="879"/>
      <c r="AZ42" s="879"/>
      <c r="BA42" s="879"/>
      <c r="BB42" s="879"/>
      <c r="BC42" s="879"/>
      <c r="BD42" s="879"/>
      <c r="BE42" s="879"/>
      <c r="BF42" s="879"/>
      <c r="BG42" s="879"/>
      <c r="BH42" s="879"/>
      <c r="BI42" s="879"/>
      <c r="BJ42" s="879"/>
      <c r="BK42" s="879"/>
      <c r="BL42" s="879"/>
      <c r="BM42" s="879"/>
      <c r="BN42" s="879"/>
      <c r="BO42" s="879"/>
      <c r="BP42" s="879"/>
      <c r="BQ42" s="879"/>
      <c r="BR42" s="879"/>
      <c r="BS42" s="879"/>
      <c r="BT42" s="879"/>
      <c r="BU42" s="879"/>
      <c r="BV42" s="879"/>
      <c r="BW42" s="879"/>
      <c r="BX42" s="879"/>
      <c r="BY42" s="879"/>
      <c r="BZ42" s="879"/>
      <c r="CA42" s="879"/>
      <c r="CB42" s="879"/>
      <c r="CC42" s="879"/>
      <c r="CD42" s="879"/>
      <c r="CE42" s="879"/>
      <c r="CF42" s="879"/>
      <c r="CG42" s="879"/>
      <c r="CH42" s="879"/>
      <c r="CI42" s="879"/>
      <c r="CJ42" s="879"/>
      <c r="CK42" s="879"/>
      <c r="CL42" s="879"/>
      <c r="CM42" s="879"/>
      <c r="CN42" s="879"/>
      <c r="CO42" s="879"/>
      <c r="CP42" s="879"/>
      <c r="CQ42" s="879"/>
      <c r="CR42" s="879"/>
      <c r="CS42" s="879"/>
      <c r="CT42" s="879"/>
      <c r="CU42" s="879"/>
      <c r="CV42" s="879"/>
      <c r="CW42" s="879"/>
      <c r="CX42" s="879"/>
      <c r="CY42" s="879"/>
      <c r="CZ42" s="879"/>
      <c r="DA42" s="879"/>
      <c r="DB42" s="879"/>
      <c r="DC42" s="879"/>
      <c r="DD42" s="879"/>
      <c r="DE42" s="879"/>
      <c r="DF42" s="879"/>
      <c r="DG42" s="879"/>
      <c r="DH42" s="879"/>
      <c r="DI42" s="879"/>
      <c r="DJ42" s="879"/>
      <c r="DK42" s="879"/>
      <c r="DL42" s="879"/>
      <c r="DM42" s="879"/>
      <c r="DN42" s="879"/>
      <c r="DO42" s="879"/>
      <c r="DP42" s="879"/>
      <c r="DQ42" s="879"/>
      <c r="DR42" s="879"/>
      <c r="DS42" s="879"/>
      <c r="DT42" s="879"/>
      <c r="DU42" s="879"/>
      <c r="DV42" s="879"/>
      <c r="DW42" s="879"/>
      <c r="DX42" s="879"/>
      <c r="DY42" s="879"/>
      <c r="DZ42" s="879"/>
      <c r="EA42" s="879"/>
      <c r="EB42" s="879"/>
      <c r="EC42" s="879"/>
      <c r="ED42" s="879"/>
      <c r="EE42" s="879"/>
      <c r="EF42" s="879"/>
      <c r="EG42" s="879"/>
      <c r="EH42" s="879"/>
      <c r="EI42" s="879"/>
      <c r="EJ42" s="879"/>
      <c r="EK42" s="879"/>
      <c r="EL42" s="879"/>
      <c r="EM42" s="879"/>
      <c r="EN42" s="879"/>
      <c r="EO42" s="879"/>
      <c r="EP42" s="879"/>
      <c r="EQ42" s="879"/>
      <c r="ER42" s="879"/>
      <c r="ES42" s="879"/>
      <c r="ET42" s="879"/>
      <c r="EU42" s="879"/>
      <c r="EV42" s="879"/>
      <c r="EW42" s="879"/>
      <c r="EX42" s="879"/>
      <c r="EY42" s="879"/>
      <c r="EZ42" s="879"/>
      <c r="FA42" s="879"/>
      <c r="FB42" s="879"/>
      <c r="FC42" s="879"/>
      <c r="FD42" s="879"/>
      <c r="FE42" s="879"/>
      <c r="FF42" s="879"/>
      <c r="FG42" s="879"/>
      <c r="FH42" s="879"/>
      <c r="FI42" s="879"/>
      <c r="FJ42" s="879"/>
      <c r="FK42" s="879"/>
      <c r="FL42" s="879"/>
      <c r="FM42" s="879"/>
      <c r="FN42" s="879"/>
      <c r="FO42" s="879"/>
      <c r="FP42" s="879"/>
      <c r="FQ42" s="879"/>
      <c r="FR42" s="879"/>
      <c r="FS42" s="879"/>
      <c r="FT42" s="879"/>
      <c r="FU42" s="879"/>
      <c r="FV42" s="879"/>
      <c r="FW42" s="879"/>
      <c r="FX42" s="879"/>
      <c r="FY42" s="879"/>
      <c r="FZ42" s="879"/>
      <c r="GA42" s="879"/>
      <c r="GB42" s="879"/>
      <c r="GC42" s="879"/>
      <c r="GD42" s="879"/>
      <c r="GE42" s="879"/>
      <c r="GF42" s="879"/>
      <c r="GG42" s="879"/>
      <c r="GH42" s="879"/>
      <c r="GI42" s="879"/>
      <c r="GJ42" s="879"/>
      <c r="GK42" s="879"/>
      <c r="GL42" s="879"/>
      <c r="GM42" s="879"/>
      <c r="GN42" s="879"/>
      <c r="GO42" s="879"/>
      <c r="GP42" s="879"/>
      <c r="GQ42" s="879"/>
      <c r="GR42" s="879"/>
      <c r="GS42" s="879"/>
      <c r="GT42" s="879"/>
      <c r="GU42" s="879"/>
      <c r="GV42" s="879"/>
      <c r="GW42" s="879"/>
      <c r="GX42" s="879"/>
      <c r="GY42" s="879"/>
      <c r="GZ42" s="879"/>
      <c r="HA42" s="879"/>
      <c r="HB42" s="879"/>
      <c r="HC42" s="879"/>
      <c r="HD42" s="879"/>
      <c r="HE42" s="879"/>
      <c r="HF42" s="879"/>
      <c r="HG42" s="879"/>
      <c r="HH42" s="879"/>
      <c r="HI42" s="879"/>
      <c r="HJ42" s="879"/>
      <c r="HK42" s="879"/>
      <c r="HL42" s="879"/>
      <c r="HM42" s="879"/>
      <c r="HN42" s="879"/>
      <c r="HO42" s="879"/>
      <c r="HP42" s="879"/>
      <c r="HQ42" s="879"/>
      <c r="HR42" s="879"/>
      <c r="HS42" s="879"/>
      <c r="HT42" s="879"/>
      <c r="HU42" s="879"/>
      <c r="HV42" s="879"/>
      <c r="HW42" s="879"/>
      <c r="HX42" s="879"/>
    </row>
    <row r="43" spans="1:232" ht="31.5">
      <c r="A43" s="872" t="s">
        <v>397</v>
      </c>
      <c r="B43" s="881" t="s">
        <v>1471</v>
      </c>
      <c r="C43" s="882"/>
      <c r="D43" s="883">
        <f t="shared" si="2"/>
        <v>0</v>
      </c>
      <c r="E43" s="884"/>
      <c r="F43" s="885"/>
      <c r="G43" s="878"/>
      <c r="H43" s="879"/>
      <c r="I43" s="879"/>
      <c r="J43" s="879"/>
      <c r="K43" s="879"/>
      <c r="L43" s="879"/>
      <c r="M43" s="879"/>
      <c r="N43" s="879"/>
      <c r="O43" s="879"/>
      <c r="P43" s="879"/>
      <c r="Q43" s="879"/>
      <c r="R43" s="879"/>
      <c r="S43" s="879"/>
      <c r="T43" s="879"/>
      <c r="U43" s="879"/>
      <c r="V43" s="879"/>
      <c r="W43" s="879"/>
      <c r="X43" s="879"/>
      <c r="Y43" s="879"/>
      <c r="Z43" s="879"/>
      <c r="AA43" s="879"/>
      <c r="AB43" s="879"/>
      <c r="AC43" s="879"/>
      <c r="AD43" s="879"/>
      <c r="AE43" s="879"/>
      <c r="AF43" s="879"/>
      <c r="AG43" s="879"/>
      <c r="AH43" s="879"/>
      <c r="AI43" s="879"/>
      <c r="AJ43" s="879"/>
      <c r="AK43" s="879"/>
      <c r="AL43" s="879"/>
      <c r="AM43" s="879"/>
      <c r="AN43" s="879"/>
      <c r="AO43" s="879"/>
      <c r="AP43" s="879"/>
      <c r="AQ43" s="879"/>
      <c r="AR43" s="879"/>
      <c r="AS43" s="879"/>
      <c r="AT43" s="879"/>
      <c r="AU43" s="879"/>
      <c r="AV43" s="879"/>
      <c r="AW43" s="879"/>
      <c r="AX43" s="879"/>
      <c r="AY43" s="879"/>
      <c r="AZ43" s="879"/>
      <c r="BA43" s="879"/>
      <c r="BB43" s="879"/>
      <c r="BC43" s="879"/>
      <c r="BD43" s="879"/>
      <c r="BE43" s="879"/>
      <c r="BF43" s="879"/>
      <c r="BG43" s="879"/>
      <c r="BH43" s="879"/>
      <c r="BI43" s="879"/>
      <c r="BJ43" s="879"/>
      <c r="BK43" s="879"/>
      <c r="BL43" s="879"/>
      <c r="BM43" s="879"/>
      <c r="BN43" s="879"/>
      <c r="BO43" s="879"/>
      <c r="BP43" s="879"/>
      <c r="BQ43" s="879"/>
      <c r="BR43" s="879"/>
      <c r="BS43" s="879"/>
      <c r="BT43" s="879"/>
      <c r="BU43" s="879"/>
      <c r="BV43" s="879"/>
      <c r="BW43" s="879"/>
      <c r="BX43" s="879"/>
      <c r="BY43" s="879"/>
      <c r="BZ43" s="879"/>
      <c r="CA43" s="879"/>
      <c r="CB43" s="879"/>
      <c r="CC43" s="879"/>
      <c r="CD43" s="879"/>
      <c r="CE43" s="879"/>
      <c r="CF43" s="879"/>
      <c r="CG43" s="879"/>
      <c r="CH43" s="879"/>
      <c r="CI43" s="879"/>
      <c r="CJ43" s="879"/>
      <c r="CK43" s="879"/>
      <c r="CL43" s="879"/>
      <c r="CM43" s="879"/>
      <c r="CN43" s="879"/>
      <c r="CO43" s="879"/>
      <c r="CP43" s="879"/>
      <c r="CQ43" s="879"/>
      <c r="CR43" s="879"/>
      <c r="CS43" s="879"/>
      <c r="CT43" s="879"/>
      <c r="CU43" s="879"/>
      <c r="CV43" s="879"/>
      <c r="CW43" s="879"/>
      <c r="CX43" s="879"/>
      <c r="CY43" s="879"/>
      <c r="CZ43" s="879"/>
      <c r="DA43" s="879"/>
      <c r="DB43" s="879"/>
      <c r="DC43" s="879"/>
      <c r="DD43" s="879"/>
      <c r="DE43" s="879"/>
      <c r="DF43" s="879"/>
      <c r="DG43" s="879"/>
      <c r="DH43" s="879"/>
      <c r="DI43" s="879"/>
      <c r="DJ43" s="879"/>
      <c r="DK43" s="879"/>
      <c r="DL43" s="879"/>
      <c r="DM43" s="879"/>
      <c r="DN43" s="879"/>
      <c r="DO43" s="879"/>
      <c r="DP43" s="879"/>
      <c r="DQ43" s="879"/>
      <c r="DR43" s="879"/>
      <c r="DS43" s="879"/>
      <c r="DT43" s="879"/>
      <c r="DU43" s="879"/>
      <c r="DV43" s="879"/>
      <c r="DW43" s="879"/>
      <c r="DX43" s="879"/>
      <c r="DY43" s="879"/>
      <c r="DZ43" s="879"/>
      <c r="EA43" s="879"/>
      <c r="EB43" s="879"/>
      <c r="EC43" s="879"/>
      <c r="ED43" s="879"/>
      <c r="EE43" s="879"/>
      <c r="EF43" s="879"/>
      <c r="EG43" s="879"/>
      <c r="EH43" s="879"/>
      <c r="EI43" s="879"/>
      <c r="EJ43" s="879"/>
      <c r="EK43" s="879"/>
      <c r="EL43" s="879"/>
      <c r="EM43" s="879"/>
      <c r="EN43" s="879"/>
      <c r="EO43" s="879"/>
      <c r="EP43" s="879"/>
      <c r="EQ43" s="879"/>
      <c r="ER43" s="879"/>
      <c r="ES43" s="879"/>
      <c r="ET43" s="879"/>
      <c r="EU43" s="879"/>
      <c r="EV43" s="879"/>
      <c r="EW43" s="879"/>
      <c r="EX43" s="879"/>
      <c r="EY43" s="879"/>
      <c r="EZ43" s="879"/>
      <c r="FA43" s="879"/>
      <c r="FB43" s="879"/>
      <c r="FC43" s="879"/>
      <c r="FD43" s="879"/>
      <c r="FE43" s="879"/>
      <c r="FF43" s="879"/>
      <c r="FG43" s="879"/>
      <c r="FH43" s="879"/>
      <c r="FI43" s="879"/>
      <c r="FJ43" s="879"/>
      <c r="FK43" s="879"/>
      <c r="FL43" s="879"/>
      <c r="FM43" s="879"/>
      <c r="FN43" s="879"/>
      <c r="FO43" s="879"/>
      <c r="FP43" s="879"/>
      <c r="FQ43" s="879"/>
      <c r="FR43" s="879"/>
      <c r="FS43" s="879"/>
      <c r="FT43" s="879"/>
      <c r="FU43" s="879"/>
      <c r="FV43" s="879"/>
      <c r="FW43" s="879"/>
      <c r="FX43" s="879"/>
      <c r="FY43" s="879"/>
      <c r="FZ43" s="879"/>
      <c r="GA43" s="879"/>
      <c r="GB43" s="879"/>
      <c r="GC43" s="879"/>
      <c r="GD43" s="879"/>
      <c r="GE43" s="879"/>
      <c r="GF43" s="879"/>
      <c r="GG43" s="879"/>
      <c r="GH43" s="879"/>
      <c r="GI43" s="879"/>
      <c r="GJ43" s="879"/>
      <c r="GK43" s="879"/>
      <c r="GL43" s="879"/>
      <c r="GM43" s="879"/>
      <c r="GN43" s="879"/>
      <c r="GO43" s="879"/>
      <c r="GP43" s="879"/>
      <c r="GQ43" s="879"/>
      <c r="GR43" s="879"/>
      <c r="GS43" s="879"/>
      <c r="GT43" s="879"/>
      <c r="GU43" s="879"/>
      <c r="GV43" s="879"/>
      <c r="GW43" s="879"/>
      <c r="GX43" s="879"/>
      <c r="GY43" s="879"/>
      <c r="GZ43" s="879"/>
      <c r="HA43" s="879"/>
      <c r="HB43" s="879"/>
      <c r="HC43" s="879"/>
      <c r="HD43" s="879"/>
      <c r="HE43" s="879"/>
      <c r="HF43" s="879"/>
      <c r="HG43" s="879"/>
      <c r="HH43" s="879"/>
      <c r="HI43" s="879"/>
      <c r="HJ43" s="879"/>
      <c r="HK43" s="879"/>
      <c r="HL43" s="879"/>
      <c r="HM43" s="879"/>
      <c r="HN43" s="879"/>
      <c r="HO43" s="879"/>
      <c r="HP43" s="879"/>
      <c r="HQ43" s="879"/>
      <c r="HR43" s="879"/>
      <c r="HS43" s="879"/>
      <c r="HT43" s="879"/>
      <c r="HU43" s="879"/>
      <c r="HV43" s="879"/>
      <c r="HW43" s="879"/>
      <c r="HX43" s="879"/>
    </row>
    <row r="44" spans="1:232" ht="15.75" hidden="1" outlineLevel="1">
      <c r="A44" s="872"/>
      <c r="B44" s="887" t="s">
        <v>709</v>
      </c>
      <c r="C44" s="882"/>
      <c r="D44" s="883"/>
      <c r="E44" s="884"/>
      <c r="F44" s="885"/>
      <c r="G44" s="878"/>
      <c r="H44" s="879"/>
      <c r="I44" s="879"/>
      <c r="J44" s="879"/>
      <c r="K44" s="879"/>
      <c r="L44" s="879"/>
      <c r="M44" s="879"/>
      <c r="N44" s="879"/>
      <c r="O44" s="879"/>
      <c r="P44" s="879"/>
      <c r="Q44" s="879"/>
      <c r="R44" s="879"/>
      <c r="S44" s="879"/>
      <c r="T44" s="879"/>
      <c r="U44" s="879"/>
      <c r="V44" s="879"/>
      <c r="W44" s="879"/>
      <c r="X44" s="879"/>
      <c r="Y44" s="879"/>
      <c r="Z44" s="879"/>
      <c r="AA44" s="879"/>
      <c r="AB44" s="879"/>
      <c r="AC44" s="879"/>
      <c r="AD44" s="879"/>
      <c r="AE44" s="879"/>
      <c r="AF44" s="879"/>
      <c r="AG44" s="879"/>
      <c r="AH44" s="879"/>
      <c r="AI44" s="879"/>
      <c r="AJ44" s="879"/>
      <c r="AK44" s="879"/>
      <c r="AL44" s="879"/>
      <c r="AM44" s="879"/>
      <c r="AN44" s="879"/>
      <c r="AO44" s="879"/>
      <c r="AP44" s="879"/>
      <c r="AQ44" s="879"/>
      <c r="AR44" s="879"/>
      <c r="AS44" s="879"/>
      <c r="AT44" s="879"/>
      <c r="AU44" s="879"/>
      <c r="AV44" s="879"/>
      <c r="AW44" s="879"/>
      <c r="AX44" s="879"/>
      <c r="AY44" s="879"/>
      <c r="AZ44" s="879"/>
      <c r="BA44" s="879"/>
      <c r="BB44" s="879"/>
      <c r="BC44" s="879"/>
      <c r="BD44" s="879"/>
      <c r="BE44" s="879"/>
      <c r="BF44" s="879"/>
      <c r="BG44" s="879"/>
      <c r="BH44" s="879"/>
      <c r="BI44" s="879"/>
      <c r="BJ44" s="879"/>
      <c r="BK44" s="879"/>
      <c r="BL44" s="879"/>
      <c r="BM44" s="879"/>
      <c r="BN44" s="879"/>
      <c r="BO44" s="879"/>
      <c r="BP44" s="879"/>
      <c r="BQ44" s="879"/>
      <c r="BR44" s="879"/>
      <c r="BS44" s="879"/>
      <c r="BT44" s="879"/>
      <c r="BU44" s="879"/>
      <c r="BV44" s="879"/>
      <c r="BW44" s="879"/>
      <c r="BX44" s="879"/>
      <c r="BY44" s="879"/>
      <c r="BZ44" s="879"/>
      <c r="CA44" s="879"/>
      <c r="CB44" s="879"/>
      <c r="CC44" s="879"/>
      <c r="CD44" s="879"/>
      <c r="CE44" s="879"/>
      <c r="CF44" s="879"/>
      <c r="CG44" s="879"/>
      <c r="CH44" s="879"/>
      <c r="CI44" s="879"/>
      <c r="CJ44" s="879"/>
      <c r="CK44" s="879"/>
      <c r="CL44" s="879"/>
      <c r="CM44" s="879"/>
      <c r="CN44" s="879"/>
      <c r="CO44" s="879"/>
      <c r="CP44" s="879"/>
      <c r="CQ44" s="879"/>
      <c r="CR44" s="879"/>
      <c r="CS44" s="879"/>
      <c r="CT44" s="879"/>
      <c r="CU44" s="879"/>
      <c r="CV44" s="879"/>
      <c r="CW44" s="879"/>
      <c r="CX44" s="879"/>
      <c r="CY44" s="879"/>
      <c r="CZ44" s="879"/>
      <c r="DA44" s="879"/>
      <c r="DB44" s="879"/>
      <c r="DC44" s="879"/>
      <c r="DD44" s="879"/>
      <c r="DE44" s="879"/>
      <c r="DF44" s="879"/>
      <c r="DG44" s="879"/>
      <c r="DH44" s="879"/>
      <c r="DI44" s="879"/>
      <c r="DJ44" s="879"/>
      <c r="DK44" s="879"/>
      <c r="DL44" s="879"/>
      <c r="DM44" s="879"/>
      <c r="DN44" s="879"/>
      <c r="DO44" s="879"/>
      <c r="DP44" s="879"/>
      <c r="DQ44" s="879"/>
      <c r="DR44" s="879"/>
      <c r="DS44" s="879"/>
      <c r="DT44" s="879"/>
      <c r="DU44" s="879"/>
      <c r="DV44" s="879"/>
      <c r="DW44" s="879"/>
      <c r="DX44" s="879"/>
      <c r="DY44" s="879"/>
      <c r="DZ44" s="879"/>
      <c r="EA44" s="879"/>
      <c r="EB44" s="879"/>
      <c r="EC44" s="879"/>
      <c r="ED44" s="879"/>
      <c r="EE44" s="879"/>
      <c r="EF44" s="879"/>
      <c r="EG44" s="879"/>
      <c r="EH44" s="879"/>
      <c r="EI44" s="879"/>
      <c r="EJ44" s="879"/>
      <c r="EK44" s="879"/>
      <c r="EL44" s="879"/>
      <c r="EM44" s="879"/>
      <c r="EN44" s="879"/>
      <c r="EO44" s="879"/>
      <c r="EP44" s="879"/>
      <c r="EQ44" s="879"/>
      <c r="ER44" s="879"/>
      <c r="ES44" s="879"/>
      <c r="ET44" s="879"/>
      <c r="EU44" s="879"/>
      <c r="EV44" s="879"/>
      <c r="EW44" s="879"/>
      <c r="EX44" s="879"/>
      <c r="EY44" s="879"/>
      <c r="EZ44" s="879"/>
      <c r="FA44" s="879"/>
      <c r="FB44" s="879"/>
      <c r="FC44" s="879"/>
      <c r="FD44" s="879"/>
      <c r="FE44" s="879"/>
      <c r="FF44" s="879"/>
      <c r="FG44" s="879"/>
      <c r="FH44" s="879"/>
      <c r="FI44" s="879"/>
      <c r="FJ44" s="879"/>
      <c r="FK44" s="879"/>
      <c r="FL44" s="879"/>
      <c r="FM44" s="879"/>
      <c r="FN44" s="879"/>
      <c r="FO44" s="879"/>
      <c r="FP44" s="879"/>
      <c r="FQ44" s="879"/>
      <c r="FR44" s="879"/>
      <c r="FS44" s="879"/>
      <c r="FT44" s="879"/>
      <c r="FU44" s="879"/>
      <c r="FV44" s="879"/>
      <c r="FW44" s="879"/>
      <c r="FX44" s="879"/>
      <c r="FY44" s="879"/>
      <c r="FZ44" s="879"/>
      <c r="GA44" s="879"/>
      <c r="GB44" s="879"/>
      <c r="GC44" s="879"/>
      <c r="GD44" s="879"/>
      <c r="GE44" s="879"/>
      <c r="GF44" s="879"/>
      <c r="GG44" s="879"/>
      <c r="GH44" s="879"/>
      <c r="GI44" s="879"/>
      <c r="GJ44" s="879"/>
      <c r="GK44" s="879"/>
      <c r="GL44" s="879"/>
      <c r="GM44" s="879"/>
      <c r="GN44" s="879"/>
      <c r="GO44" s="879"/>
      <c r="GP44" s="879"/>
      <c r="GQ44" s="879"/>
      <c r="GR44" s="879"/>
      <c r="GS44" s="879"/>
      <c r="GT44" s="879"/>
      <c r="GU44" s="879"/>
      <c r="GV44" s="879"/>
      <c r="GW44" s="879"/>
      <c r="GX44" s="879"/>
      <c r="GY44" s="879"/>
      <c r="GZ44" s="879"/>
      <c r="HA44" s="879"/>
      <c r="HB44" s="879"/>
      <c r="HC44" s="879"/>
      <c r="HD44" s="879"/>
      <c r="HE44" s="879"/>
      <c r="HF44" s="879"/>
      <c r="HG44" s="879"/>
      <c r="HH44" s="879"/>
      <c r="HI44" s="879"/>
      <c r="HJ44" s="879"/>
      <c r="HK44" s="879"/>
      <c r="HL44" s="879"/>
      <c r="HM44" s="879"/>
      <c r="HN44" s="879"/>
      <c r="HO44" s="879"/>
      <c r="HP44" s="879"/>
      <c r="HQ44" s="879"/>
      <c r="HR44" s="879"/>
      <c r="HS44" s="879"/>
      <c r="HT44" s="879"/>
      <c r="HU44" s="879"/>
      <c r="HV44" s="879"/>
      <c r="HW44" s="879"/>
      <c r="HX44" s="879"/>
    </row>
    <row r="45" spans="1:7" s="893" customFormat="1" ht="31.5" hidden="1" outlineLevel="1">
      <c r="A45" s="908" t="s">
        <v>840</v>
      </c>
      <c r="B45" s="887" t="s">
        <v>1472</v>
      </c>
      <c r="C45" s="888"/>
      <c r="D45" s="889"/>
      <c r="E45" s="890"/>
      <c r="F45" s="891"/>
      <c r="G45" s="892"/>
    </row>
    <row r="46" spans="1:7" s="893" customFormat="1" ht="78.75" hidden="1" outlineLevel="1">
      <c r="A46" s="908" t="s">
        <v>840</v>
      </c>
      <c r="B46" s="887" t="s">
        <v>1473</v>
      </c>
      <c r="C46" s="888"/>
      <c r="D46" s="889"/>
      <c r="E46" s="890"/>
      <c r="F46" s="891"/>
      <c r="G46" s="892"/>
    </row>
    <row r="47" spans="1:7" s="893" customFormat="1" ht="31.5" hidden="1" outlineLevel="1">
      <c r="A47" s="908" t="s">
        <v>840</v>
      </c>
      <c r="B47" s="887" t="s">
        <v>1474</v>
      </c>
      <c r="C47" s="888"/>
      <c r="D47" s="889"/>
      <c r="E47" s="890"/>
      <c r="F47" s="891"/>
      <c r="G47" s="892"/>
    </row>
    <row r="48" spans="1:7" s="893" customFormat="1" ht="31.5" hidden="1" outlineLevel="1">
      <c r="A48" s="908" t="s">
        <v>840</v>
      </c>
      <c r="B48" s="887" t="s">
        <v>1475</v>
      </c>
      <c r="C48" s="888"/>
      <c r="D48" s="889"/>
      <c r="E48" s="890"/>
      <c r="F48" s="891"/>
      <c r="G48" s="892"/>
    </row>
    <row r="49" spans="1:7" s="893" customFormat="1" ht="34.5" customHeight="1" hidden="1" outlineLevel="1">
      <c r="A49" s="908" t="s">
        <v>840</v>
      </c>
      <c r="B49" s="887" t="s">
        <v>1476</v>
      </c>
      <c r="C49" s="888"/>
      <c r="D49" s="889"/>
      <c r="E49" s="890"/>
      <c r="F49" s="891"/>
      <c r="G49" s="892"/>
    </row>
    <row r="50" spans="1:232" ht="15.75" collapsed="1">
      <c r="A50" s="872" t="s">
        <v>1477</v>
      </c>
      <c r="B50" s="881" t="s">
        <v>1478</v>
      </c>
      <c r="C50" s="882"/>
      <c r="D50" s="883">
        <f t="shared" si="2"/>
        <v>0</v>
      </c>
      <c r="E50" s="884"/>
      <c r="F50" s="885"/>
      <c r="G50" s="878"/>
      <c r="H50" s="879"/>
      <c r="I50" s="879"/>
      <c r="J50" s="879"/>
      <c r="K50" s="879"/>
      <c r="L50" s="879"/>
      <c r="M50" s="879"/>
      <c r="N50" s="879"/>
      <c r="O50" s="879"/>
      <c r="P50" s="879"/>
      <c r="Q50" s="879"/>
      <c r="R50" s="879"/>
      <c r="S50" s="879"/>
      <c r="T50" s="879"/>
      <c r="U50" s="879"/>
      <c r="V50" s="879"/>
      <c r="W50" s="879"/>
      <c r="X50" s="879"/>
      <c r="Y50" s="879"/>
      <c r="Z50" s="879"/>
      <c r="AA50" s="879"/>
      <c r="AB50" s="879"/>
      <c r="AC50" s="879"/>
      <c r="AD50" s="879"/>
      <c r="AE50" s="879"/>
      <c r="AF50" s="879"/>
      <c r="AG50" s="879"/>
      <c r="AH50" s="879"/>
      <c r="AI50" s="879"/>
      <c r="AJ50" s="879"/>
      <c r="AK50" s="879"/>
      <c r="AL50" s="879"/>
      <c r="AM50" s="879"/>
      <c r="AN50" s="879"/>
      <c r="AO50" s="879"/>
      <c r="AP50" s="879"/>
      <c r="AQ50" s="879"/>
      <c r="AR50" s="879"/>
      <c r="AS50" s="879"/>
      <c r="AT50" s="879"/>
      <c r="AU50" s="879"/>
      <c r="AV50" s="879"/>
      <c r="AW50" s="879"/>
      <c r="AX50" s="879"/>
      <c r="AY50" s="879"/>
      <c r="AZ50" s="879"/>
      <c r="BA50" s="879"/>
      <c r="BB50" s="879"/>
      <c r="BC50" s="879"/>
      <c r="BD50" s="879"/>
      <c r="BE50" s="879"/>
      <c r="BF50" s="879"/>
      <c r="BG50" s="879"/>
      <c r="BH50" s="879"/>
      <c r="BI50" s="879"/>
      <c r="BJ50" s="879"/>
      <c r="BK50" s="879"/>
      <c r="BL50" s="879"/>
      <c r="BM50" s="879"/>
      <c r="BN50" s="879"/>
      <c r="BO50" s="879"/>
      <c r="BP50" s="879"/>
      <c r="BQ50" s="879"/>
      <c r="BR50" s="879"/>
      <c r="BS50" s="879"/>
      <c r="BT50" s="879"/>
      <c r="BU50" s="879"/>
      <c r="BV50" s="879"/>
      <c r="BW50" s="879"/>
      <c r="BX50" s="879"/>
      <c r="BY50" s="879"/>
      <c r="BZ50" s="879"/>
      <c r="CA50" s="879"/>
      <c r="CB50" s="879"/>
      <c r="CC50" s="879"/>
      <c r="CD50" s="879"/>
      <c r="CE50" s="879"/>
      <c r="CF50" s="879"/>
      <c r="CG50" s="879"/>
      <c r="CH50" s="879"/>
      <c r="CI50" s="879"/>
      <c r="CJ50" s="879"/>
      <c r="CK50" s="879"/>
      <c r="CL50" s="879"/>
      <c r="CM50" s="879"/>
      <c r="CN50" s="879"/>
      <c r="CO50" s="879"/>
      <c r="CP50" s="879"/>
      <c r="CQ50" s="879"/>
      <c r="CR50" s="879"/>
      <c r="CS50" s="879"/>
      <c r="CT50" s="879"/>
      <c r="CU50" s="879"/>
      <c r="CV50" s="879"/>
      <c r="CW50" s="879"/>
      <c r="CX50" s="879"/>
      <c r="CY50" s="879"/>
      <c r="CZ50" s="879"/>
      <c r="DA50" s="879"/>
      <c r="DB50" s="879"/>
      <c r="DC50" s="879"/>
      <c r="DD50" s="879"/>
      <c r="DE50" s="879"/>
      <c r="DF50" s="879"/>
      <c r="DG50" s="879"/>
      <c r="DH50" s="879"/>
      <c r="DI50" s="879"/>
      <c r="DJ50" s="879"/>
      <c r="DK50" s="879"/>
      <c r="DL50" s="879"/>
      <c r="DM50" s="879"/>
      <c r="DN50" s="879"/>
      <c r="DO50" s="879"/>
      <c r="DP50" s="879"/>
      <c r="DQ50" s="879"/>
      <c r="DR50" s="879"/>
      <c r="DS50" s="879"/>
      <c r="DT50" s="879"/>
      <c r="DU50" s="879"/>
      <c r="DV50" s="879"/>
      <c r="DW50" s="879"/>
      <c r="DX50" s="879"/>
      <c r="DY50" s="879"/>
      <c r="DZ50" s="879"/>
      <c r="EA50" s="879"/>
      <c r="EB50" s="879"/>
      <c r="EC50" s="879"/>
      <c r="ED50" s="879"/>
      <c r="EE50" s="879"/>
      <c r="EF50" s="879"/>
      <c r="EG50" s="879"/>
      <c r="EH50" s="879"/>
      <c r="EI50" s="879"/>
      <c r="EJ50" s="879"/>
      <c r="EK50" s="879"/>
      <c r="EL50" s="879"/>
      <c r="EM50" s="879"/>
      <c r="EN50" s="879"/>
      <c r="EO50" s="879"/>
      <c r="EP50" s="879"/>
      <c r="EQ50" s="879"/>
      <c r="ER50" s="879"/>
      <c r="ES50" s="879"/>
      <c r="ET50" s="879"/>
      <c r="EU50" s="879"/>
      <c r="EV50" s="879"/>
      <c r="EW50" s="879"/>
      <c r="EX50" s="879"/>
      <c r="EY50" s="879"/>
      <c r="EZ50" s="879"/>
      <c r="FA50" s="879"/>
      <c r="FB50" s="879"/>
      <c r="FC50" s="879"/>
      <c r="FD50" s="879"/>
      <c r="FE50" s="879"/>
      <c r="FF50" s="879"/>
      <c r="FG50" s="879"/>
      <c r="FH50" s="879"/>
      <c r="FI50" s="879"/>
      <c r="FJ50" s="879"/>
      <c r="FK50" s="879"/>
      <c r="FL50" s="879"/>
      <c r="FM50" s="879"/>
      <c r="FN50" s="879"/>
      <c r="FO50" s="879"/>
      <c r="FP50" s="879"/>
      <c r="FQ50" s="879"/>
      <c r="FR50" s="879"/>
      <c r="FS50" s="879"/>
      <c r="FT50" s="879"/>
      <c r="FU50" s="879"/>
      <c r="FV50" s="879"/>
      <c r="FW50" s="879"/>
      <c r="FX50" s="879"/>
      <c r="FY50" s="879"/>
      <c r="FZ50" s="879"/>
      <c r="GA50" s="879"/>
      <c r="GB50" s="879"/>
      <c r="GC50" s="879"/>
      <c r="GD50" s="879"/>
      <c r="GE50" s="879"/>
      <c r="GF50" s="879"/>
      <c r="GG50" s="879"/>
      <c r="GH50" s="879"/>
      <c r="GI50" s="879"/>
      <c r="GJ50" s="879"/>
      <c r="GK50" s="879"/>
      <c r="GL50" s="879"/>
      <c r="GM50" s="879"/>
      <c r="GN50" s="879"/>
      <c r="GO50" s="879"/>
      <c r="GP50" s="879"/>
      <c r="GQ50" s="879"/>
      <c r="GR50" s="879"/>
      <c r="GS50" s="879"/>
      <c r="GT50" s="879"/>
      <c r="GU50" s="879"/>
      <c r="GV50" s="879"/>
      <c r="GW50" s="879"/>
      <c r="GX50" s="879"/>
      <c r="GY50" s="879"/>
      <c r="GZ50" s="879"/>
      <c r="HA50" s="879"/>
      <c r="HB50" s="879"/>
      <c r="HC50" s="879"/>
      <c r="HD50" s="879"/>
      <c r="HE50" s="879"/>
      <c r="HF50" s="879"/>
      <c r="HG50" s="879"/>
      <c r="HH50" s="879"/>
      <c r="HI50" s="879"/>
      <c r="HJ50" s="879"/>
      <c r="HK50" s="879"/>
      <c r="HL50" s="879"/>
      <c r="HM50" s="879"/>
      <c r="HN50" s="879"/>
      <c r="HO50" s="879"/>
      <c r="HP50" s="879"/>
      <c r="HQ50" s="879"/>
      <c r="HR50" s="879"/>
      <c r="HS50" s="879"/>
      <c r="HT50" s="879"/>
      <c r="HU50" s="879"/>
      <c r="HV50" s="879"/>
      <c r="HW50" s="879"/>
      <c r="HX50" s="879"/>
    </row>
    <row r="51" spans="1:232" ht="15.75">
      <c r="A51" s="909" t="s">
        <v>1479</v>
      </c>
      <c r="B51" s="881" t="s">
        <v>1480</v>
      </c>
      <c r="C51" s="882">
        <v>125.09</v>
      </c>
      <c r="D51" s="883">
        <f t="shared" si="2"/>
        <v>0</v>
      </c>
      <c r="E51" s="884"/>
      <c r="F51" s="885"/>
      <c r="G51" s="878"/>
      <c r="H51" s="879"/>
      <c r="I51" s="879"/>
      <c r="J51" s="879"/>
      <c r="K51" s="879"/>
      <c r="L51" s="879"/>
      <c r="M51" s="879"/>
      <c r="N51" s="879"/>
      <c r="O51" s="879"/>
      <c r="P51" s="879"/>
      <c r="Q51" s="879"/>
      <c r="R51" s="879"/>
      <c r="S51" s="879"/>
      <c r="T51" s="879"/>
      <c r="U51" s="879"/>
      <c r="V51" s="879"/>
      <c r="W51" s="879"/>
      <c r="X51" s="879"/>
      <c r="Y51" s="879"/>
      <c r="Z51" s="879"/>
      <c r="AA51" s="879"/>
      <c r="AB51" s="879"/>
      <c r="AC51" s="879"/>
      <c r="AD51" s="879"/>
      <c r="AE51" s="879"/>
      <c r="AF51" s="879"/>
      <c r="AG51" s="879"/>
      <c r="AH51" s="879"/>
      <c r="AI51" s="879"/>
      <c r="AJ51" s="879"/>
      <c r="AK51" s="879"/>
      <c r="AL51" s="879"/>
      <c r="AM51" s="879"/>
      <c r="AN51" s="879"/>
      <c r="AO51" s="879"/>
      <c r="AP51" s="879"/>
      <c r="AQ51" s="879"/>
      <c r="AR51" s="879"/>
      <c r="AS51" s="879"/>
      <c r="AT51" s="879"/>
      <c r="AU51" s="879"/>
      <c r="AV51" s="879"/>
      <c r="AW51" s="879"/>
      <c r="AX51" s="879"/>
      <c r="AY51" s="879"/>
      <c r="AZ51" s="879"/>
      <c r="BA51" s="879"/>
      <c r="BB51" s="879"/>
      <c r="BC51" s="879"/>
      <c r="BD51" s="879"/>
      <c r="BE51" s="879"/>
      <c r="BF51" s="879"/>
      <c r="BG51" s="879"/>
      <c r="BH51" s="879"/>
      <c r="BI51" s="879"/>
      <c r="BJ51" s="879"/>
      <c r="BK51" s="879"/>
      <c r="BL51" s="879"/>
      <c r="BM51" s="879"/>
      <c r="BN51" s="879"/>
      <c r="BO51" s="879"/>
      <c r="BP51" s="879"/>
      <c r="BQ51" s="879"/>
      <c r="BR51" s="879"/>
      <c r="BS51" s="879"/>
      <c r="BT51" s="879"/>
      <c r="BU51" s="879"/>
      <c r="BV51" s="879"/>
      <c r="BW51" s="879"/>
      <c r="BX51" s="879"/>
      <c r="BY51" s="879"/>
      <c r="BZ51" s="879"/>
      <c r="CA51" s="879"/>
      <c r="CB51" s="879"/>
      <c r="CC51" s="879"/>
      <c r="CD51" s="879"/>
      <c r="CE51" s="879"/>
      <c r="CF51" s="879"/>
      <c r="CG51" s="879"/>
      <c r="CH51" s="879"/>
      <c r="CI51" s="879"/>
      <c r="CJ51" s="879"/>
      <c r="CK51" s="879"/>
      <c r="CL51" s="879"/>
      <c r="CM51" s="879"/>
      <c r="CN51" s="879"/>
      <c r="CO51" s="879"/>
      <c r="CP51" s="879"/>
      <c r="CQ51" s="879"/>
      <c r="CR51" s="879"/>
      <c r="CS51" s="879"/>
      <c r="CT51" s="879"/>
      <c r="CU51" s="879"/>
      <c r="CV51" s="879"/>
      <c r="CW51" s="879"/>
      <c r="CX51" s="879"/>
      <c r="CY51" s="879"/>
      <c r="CZ51" s="879"/>
      <c r="DA51" s="879"/>
      <c r="DB51" s="879"/>
      <c r="DC51" s="879"/>
      <c r="DD51" s="879"/>
      <c r="DE51" s="879"/>
      <c r="DF51" s="879"/>
      <c r="DG51" s="879"/>
      <c r="DH51" s="879"/>
      <c r="DI51" s="879"/>
      <c r="DJ51" s="879"/>
      <c r="DK51" s="879"/>
      <c r="DL51" s="879"/>
      <c r="DM51" s="879"/>
      <c r="DN51" s="879"/>
      <c r="DO51" s="879"/>
      <c r="DP51" s="879"/>
      <c r="DQ51" s="879"/>
      <c r="DR51" s="879"/>
      <c r="DS51" s="879"/>
      <c r="DT51" s="879"/>
      <c r="DU51" s="879"/>
      <c r="DV51" s="879"/>
      <c r="DW51" s="879"/>
      <c r="DX51" s="879"/>
      <c r="DY51" s="879"/>
      <c r="DZ51" s="879"/>
      <c r="EA51" s="879"/>
      <c r="EB51" s="879"/>
      <c r="EC51" s="879"/>
      <c r="ED51" s="879"/>
      <c r="EE51" s="879"/>
      <c r="EF51" s="879"/>
      <c r="EG51" s="879"/>
      <c r="EH51" s="879"/>
      <c r="EI51" s="879"/>
      <c r="EJ51" s="879"/>
      <c r="EK51" s="879"/>
      <c r="EL51" s="879"/>
      <c r="EM51" s="879"/>
      <c r="EN51" s="879"/>
      <c r="EO51" s="879"/>
      <c r="EP51" s="879"/>
      <c r="EQ51" s="879"/>
      <c r="ER51" s="879"/>
      <c r="ES51" s="879"/>
      <c r="ET51" s="879"/>
      <c r="EU51" s="879"/>
      <c r="EV51" s="879"/>
      <c r="EW51" s="879"/>
      <c r="EX51" s="879"/>
      <c r="EY51" s="879"/>
      <c r="EZ51" s="879"/>
      <c r="FA51" s="879"/>
      <c r="FB51" s="879"/>
      <c r="FC51" s="879"/>
      <c r="FD51" s="879"/>
      <c r="FE51" s="879"/>
      <c r="FF51" s="879"/>
      <c r="FG51" s="879"/>
      <c r="FH51" s="879"/>
      <c r="FI51" s="879"/>
      <c r="FJ51" s="879"/>
      <c r="FK51" s="879"/>
      <c r="FL51" s="879"/>
      <c r="FM51" s="879"/>
      <c r="FN51" s="879"/>
      <c r="FO51" s="879"/>
      <c r="FP51" s="879"/>
      <c r="FQ51" s="879"/>
      <c r="FR51" s="879"/>
      <c r="FS51" s="879"/>
      <c r="FT51" s="879"/>
      <c r="FU51" s="879"/>
      <c r="FV51" s="879"/>
      <c r="FW51" s="879"/>
      <c r="FX51" s="879"/>
      <c r="FY51" s="879"/>
      <c r="FZ51" s="879"/>
      <c r="GA51" s="879"/>
      <c r="GB51" s="879"/>
      <c r="GC51" s="879"/>
      <c r="GD51" s="879"/>
      <c r="GE51" s="879"/>
      <c r="GF51" s="879"/>
      <c r="GG51" s="879"/>
      <c r="GH51" s="879"/>
      <c r="GI51" s="879"/>
      <c r="GJ51" s="879"/>
      <c r="GK51" s="879"/>
      <c r="GL51" s="879"/>
      <c r="GM51" s="879"/>
      <c r="GN51" s="879"/>
      <c r="GO51" s="879"/>
      <c r="GP51" s="879"/>
      <c r="GQ51" s="879"/>
      <c r="GR51" s="879"/>
      <c r="GS51" s="879"/>
      <c r="GT51" s="879"/>
      <c r="GU51" s="879"/>
      <c r="GV51" s="879"/>
      <c r="GW51" s="879"/>
      <c r="GX51" s="879"/>
      <c r="GY51" s="879"/>
      <c r="GZ51" s="879"/>
      <c r="HA51" s="879"/>
      <c r="HB51" s="879"/>
      <c r="HC51" s="879"/>
      <c r="HD51" s="879"/>
      <c r="HE51" s="879"/>
      <c r="HF51" s="879"/>
      <c r="HG51" s="879"/>
      <c r="HH51" s="879"/>
      <c r="HI51" s="879"/>
      <c r="HJ51" s="879"/>
      <c r="HK51" s="879"/>
      <c r="HL51" s="879"/>
      <c r="HM51" s="879"/>
      <c r="HN51" s="879"/>
      <c r="HO51" s="879"/>
      <c r="HP51" s="879"/>
      <c r="HQ51" s="879"/>
      <c r="HR51" s="879"/>
      <c r="HS51" s="879"/>
      <c r="HT51" s="879"/>
      <c r="HU51" s="879"/>
      <c r="HV51" s="879"/>
      <c r="HW51" s="879"/>
      <c r="HX51" s="879"/>
    </row>
    <row r="52" spans="1:232" ht="15.75">
      <c r="A52" s="909" t="s">
        <v>1481</v>
      </c>
      <c r="B52" s="910" t="s">
        <v>1482</v>
      </c>
      <c r="C52" s="911"/>
      <c r="D52" s="883">
        <f t="shared" si="2"/>
        <v>0</v>
      </c>
      <c r="E52" s="912"/>
      <c r="F52" s="913"/>
      <c r="G52" s="878"/>
      <c r="H52" s="879"/>
      <c r="I52" s="879"/>
      <c r="J52" s="879"/>
      <c r="K52" s="879"/>
      <c r="L52" s="879"/>
      <c r="M52" s="879"/>
      <c r="N52" s="879"/>
      <c r="O52" s="879"/>
      <c r="P52" s="879"/>
      <c r="Q52" s="879"/>
      <c r="R52" s="879"/>
      <c r="S52" s="879"/>
      <c r="T52" s="879"/>
      <c r="U52" s="879"/>
      <c r="V52" s="879"/>
      <c r="W52" s="879"/>
      <c r="X52" s="879"/>
      <c r="Y52" s="879"/>
      <c r="Z52" s="879"/>
      <c r="AA52" s="879"/>
      <c r="AB52" s="879"/>
      <c r="AC52" s="879"/>
      <c r="AD52" s="879"/>
      <c r="AE52" s="879"/>
      <c r="AF52" s="879"/>
      <c r="AG52" s="879"/>
      <c r="AH52" s="879"/>
      <c r="AI52" s="879"/>
      <c r="AJ52" s="879"/>
      <c r="AK52" s="879"/>
      <c r="AL52" s="879"/>
      <c r="AM52" s="879"/>
      <c r="AN52" s="879"/>
      <c r="AO52" s="879"/>
      <c r="AP52" s="879"/>
      <c r="AQ52" s="879"/>
      <c r="AR52" s="879"/>
      <c r="AS52" s="879"/>
      <c r="AT52" s="879"/>
      <c r="AU52" s="879"/>
      <c r="AV52" s="879"/>
      <c r="AW52" s="879"/>
      <c r="AX52" s="879"/>
      <c r="AY52" s="879"/>
      <c r="AZ52" s="879"/>
      <c r="BA52" s="879"/>
      <c r="BB52" s="879"/>
      <c r="BC52" s="879"/>
      <c r="BD52" s="879"/>
      <c r="BE52" s="879"/>
      <c r="BF52" s="879"/>
      <c r="BG52" s="879"/>
      <c r="BH52" s="879"/>
      <c r="BI52" s="879"/>
      <c r="BJ52" s="879"/>
      <c r="BK52" s="879"/>
      <c r="BL52" s="879"/>
      <c r="BM52" s="879"/>
      <c r="BN52" s="879"/>
      <c r="BO52" s="879"/>
      <c r="BP52" s="879"/>
      <c r="BQ52" s="879"/>
      <c r="BR52" s="879"/>
      <c r="BS52" s="879"/>
      <c r="BT52" s="879"/>
      <c r="BU52" s="879"/>
      <c r="BV52" s="879"/>
      <c r="BW52" s="879"/>
      <c r="BX52" s="879"/>
      <c r="BY52" s="879"/>
      <c r="BZ52" s="879"/>
      <c r="CA52" s="879"/>
      <c r="CB52" s="879"/>
      <c r="CC52" s="879"/>
      <c r="CD52" s="879"/>
      <c r="CE52" s="879"/>
      <c r="CF52" s="879"/>
      <c r="CG52" s="879"/>
      <c r="CH52" s="879"/>
      <c r="CI52" s="879"/>
      <c r="CJ52" s="879"/>
      <c r="CK52" s="879"/>
      <c r="CL52" s="879"/>
      <c r="CM52" s="879"/>
      <c r="CN52" s="879"/>
      <c r="CO52" s="879"/>
      <c r="CP52" s="879"/>
      <c r="CQ52" s="879"/>
      <c r="CR52" s="879"/>
      <c r="CS52" s="879"/>
      <c r="CT52" s="879"/>
      <c r="CU52" s="879"/>
      <c r="CV52" s="879"/>
      <c r="CW52" s="879"/>
      <c r="CX52" s="879"/>
      <c r="CY52" s="879"/>
      <c r="CZ52" s="879"/>
      <c r="DA52" s="879"/>
      <c r="DB52" s="879"/>
      <c r="DC52" s="879"/>
      <c r="DD52" s="879"/>
      <c r="DE52" s="879"/>
      <c r="DF52" s="879"/>
      <c r="DG52" s="879"/>
      <c r="DH52" s="879"/>
      <c r="DI52" s="879"/>
      <c r="DJ52" s="879"/>
      <c r="DK52" s="879"/>
      <c r="DL52" s="879"/>
      <c r="DM52" s="879"/>
      <c r="DN52" s="879"/>
      <c r="DO52" s="879"/>
      <c r="DP52" s="879"/>
      <c r="DQ52" s="879"/>
      <c r="DR52" s="879"/>
      <c r="DS52" s="879"/>
      <c r="DT52" s="879"/>
      <c r="DU52" s="879"/>
      <c r="DV52" s="879"/>
      <c r="DW52" s="879"/>
      <c r="DX52" s="879"/>
      <c r="DY52" s="879"/>
      <c r="DZ52" s="879"/>
      <c r="EA52" s="879"/>
      <c r="EB52" s="879"/>
      <c r="EC52" s="879"/>
      <c r="ED52" s="879"/>
      <c r="EE52" s="879"/>
      <c r="EF52" s="879"/>
      <c r="EG52" s="879"/>
      <c r="EH52" s="879"/>
      <c r="EI52" s="879"/>
      <c r="EJ52" s="879"/>
      <c r="EK52" s="879"/>
      <c r="EL52" s="879"/>
      <c r="EM52" s="879"/>
      <c r="EN52" s="879"/>
      <c r="EO52" s="879"/>
      <c r="EP52" s="879"/>
      <c r="EQ52" s="879"/>
      <c r="ER52" s="879"/>
      <c r="ES52" s="879"/>
      <c r="ET52" s="879"/>
      <c r="EU52" s="879"/>
      <c r="EV52" s="879"/>
      <c r="EW52" s="879"/>
      <c r="EX52" s="879"/>
      <c r="EY52" s="879"/>
      <c r="EZ52" s="879"/>
      <c r="FA52" s="879"/>
      <c r="FB52" s="879"/>
      <c r="FC52" s="879"/>
      <c r="FD52" s="879"/>
      <c r="FE52" s="879"/>
      <c r="FF52" s="879"/>
      <c r="FG52" s="879"/>
      <c r="FH52" s="879"/>
      <c r="FI52" s="879"/>
      <c r="FJ52" s="879"/>
      <c r="FK52" s="879"/>
      <c r="FL52" s="879"/>
      <c r="FM52" s="879"/>
      <c r="FN52" s="879"/>
      <c r="FO52" s="879"/>
      <c r="FP52" s="879"/>
      <c r="FQ52" s="879"/>
      <c r="FR52" s="879"/>
      <c r="FS52" s="879"/>
      <c r="FT52" s="879"/>
      <c r="FU52" s="879"/>
      <c r="FV52" s="879"/>
      <c r="FW52" s="879"/>
      <c r="FX52" s="879"/>
      <c r="FY52" s="879"/>
      <c r="FZ52" s="879"/>
      <c r="GA52" s="879"/>
      <c r="GB52" s="879"/>
      <c r="GC52" s="879"/>
      <c r="GD52" s="879"/>
      <c r="GE52" s="879"/>
      <c r="GF52" s="879"/>
      <c r="GG52" s="879"/>
      <c r="GH52" s="879"/>
      <c r="GI52" s="879"/>
      <c r="GJ52" s="879"/>
      <c r="GK52" s="879"/>
      <c r="GL52" s="879"/>
      <c r="GM52" s="879"/>
      <c r="GN52" s="879"/>
      <c r="GO52" s="879"/>
      <c r="GP52" s="879"/>
      <c r="GQ52" s="879"/>
      <c r="GR52" s="879"/>
      <c r="GS52" s="879"/>
      <c r="GT52" s="879"/>
      <c r="GU52" s="879"/>
      <c r="GV52" s="879"/>
      <c r="GW52" s="879"/>
      <c r="GX52" s="879"/>
      <c r="GY52" s="879"/>
      <c r="GZ52" s="879"/>
      <c r="HA52" s="879"/>
      <c r="HB52" s="879"/>
      <c r="HC52" s="879"/>
      <c r="HD52" s="879"/>
      <c r="HE52" s="879"/>
      <c r="HF52" s="879"/>
      <c r="HG52" s="879"/>
      <c r="HH52" s="879"/>
      <c r="HI52" s="879"/>
      <c r="HJ52" s="879"/>
      <c r="HK52" s="879"/>
      <c r="HL52" s="879"/>
      <c r="HM52" s="879"/>
      <c r="HN52" s="879"/>
      <c r="HO52" s="879"/>
      <c r="HP52" s="879"/>
      <c r="HQ52" s="879"/>
      <c r="HR52" s="879"/>
      <c r="HS52" s="879"/>
      <c r="HT52" s="879"/>
      <c r="HU52" s="879"/>
      <c r="HV52" s="879"/>
      <c r="HW52" s="879"/>
      <c r="HX52" s="879"/>
    </row>
    <row r="53" spans="1:232" ht="31.5">
      <c r="A53" s="909" t="s">
        <v>1483</v>
      </c>
      <c r="B53" s="910" t="s">
        <v>1484</v>
      </c>
      <c r="C53" s="911"/>
      <c r="D53" s="883">
        <f t="shared" si="2"/>
        <v>0</v>
      </c>
      <c r="E53" s="912"/>
      <c r="F53" s="913"/>
      <c r="G53" s="878"/>
      <c r="H53" s="879"/>
      <c r="I53" s="879"/>
      <c r="J53" s="879"/>
      <c r="K53" s="879"/>
      <c r="L53" s="879"/>
      <c r="M53" s="879"/>
      <c r="N53" s="879"/>
      <c r="O53" s="879"/>
      <c r="P53" s="879"/>
      <c r="Q53" s="879"/>
      <c r="R53" s="879"/>
      <c r="S53" s="879"/>
      <c r="T53" s="879"/>
      <c r="U53" s="879"/>
      <c r="V53" s="879"/>
      <c r="W53" s="879"/>
      <c r="X53" s="879"/>
      <c r="Y53" s="879"/>
      <c r="Z53" s="879"/>
      <c r="AA53" s="879"/>
      <c r="AB53" s="879"/>
      <c r="AC53" s="879"/>
      <c r="AD53" s="879"/>
      <c r="AE53" s="879"/>
      <c r="AF53" s="879"/>
      <c r="AG53" s="879"/>
      <c r="AH53" s="879"/>
      <c r="AI53" s="879"/>
      <c r="AJ53" s="879"/>
      <c r="AK53" s="879"/>
      <c r="AL53" s="879"/>
      <c r="AM53" s="879"/>
      <c r="AN53" s="879"/>
      <c r="AO53" s="879"/>
      <c r="AP53" s="879"/>
      <c r="AQ53" s="879"/>
      <c r="AR53" s="879"/>
      <c r="AS53" s="879"/>
      <c r="AT53" s="879"/>
      <c r="AU53" s="879"/>
      <c r="AV53" s="879"/>
      <c r="AW53" s="879"/>
      <c r="AX53" s="879"/>
      <c r="AY53" s="879"/>
      <c r="AZ53" s="879"/>
      <c r="BA53" s="879"/>
      <c r="BB53" s="879"/>
      <c r="BC53" s="879"/>
      <c r="BD53" s="879"/>
      <c r="BE53" s="879"/>
      <c r="BF53" s="879"/>
      <c r="BG53" s="879"/>
      <c r="BH53" s="879"/>
      <c r="BI53" s="879"/>
      <c r="BJ53" s="879"/>
      <c r="BK53" s="879"/>
      <c r="BL53" s="879"/>
      <c r="BM53" s="879"/>
      <c r="BN53" s="879"/>
      <c r="BO53" s="879"/>
      <c r="BP53" s="879"/>
      <c r="BQ53" s="879"/>
      <c r="BR53" s="879"/>
      <c r="BS53" s="879"/>
      <c r="BT53" s="879"/>
      <c r="BU53" s="879"/>
      <c r="BV53" s="879"/>
      <c r="BW53" s="879"/>
      <c r="BX53" s="879"/>
      <c r="BY53" s="879"/>
      <c r="BZ53" s="879"/>
      <c r="CA53" s="879"/>
      <c r="CB53" s="879"/>
      <c r="CC53" s="879"/>
      <c r="CD53" s="879"/>
      <c r="CE53" s="879"/>
      <c r="CF53" s="879"/>
      <c r="CG53" s="879"/>
      <c r="CH53" s="879"/>
      <c r="CI53" s="879"/>
      <c r="CJ53" s="879"/>
      <c r="CK53" s="879"/>
      <c r="CL53" s="879"/>
      <c r="CM53" s="879"/>
      <c r="CN53" s="879"/>
      <c r="CO53" s="879"/>
      <c r="CP53" s="879"/>
      <c r="CQ53" s="879"/>
      <c r="CR53" s="879"/>
      <c r="CS53" s="879"/>
      <c r="CT53" s="879"/>
      <c r="CU53" s="879"/>
      <c r="CV53" s="879"/>
      <c r="CW53" s="879"/>
      <c r="CX53" s="879"/>
      <c r="CY53" s="879"/>
      <c r="CZ53" s="879"/>
      <c r="DA53" s="879"/>
      <c r="DB53" s="879"/>
      <c r="DC53" s="879"/>
      <c r="DD53" s="879"/>
      <c r="DE53" s="879"/>
      <c r="DF53" s="879"/>
      <c r="DG53" s="879"/>
      <c r="DH53" s="879"/>
      <c r="DI53" s="879"/>
      <c r="DJ53" s="879"/>
      <c r="DK53" s="879"/>
      <c r="DL53" s="879"/>
      <c r="DM53" s="879"/>
      <c r="DN53" s="879"/>
      <c r="DO53" s="879"/>
      <c r="DP53" s="879"/>
      <c r="DQ53" s="879"/>
      <c r="DR53" s="879"/>
      <c r="DS53" s="879"/>
      <c r="DT53" s="879"/>
      <c r="DU53" s="879"/>
      <c r="DV53" s="879"/>
      <c r="DW53" s="879"/>
      <c r="DX53" s="879"/>
      <c r="DY53" s="879"/>
      <c r="DZ53" s="879"/>
      <c r="EA53" s="879"/>
      <c r="EB53" s="879"/>
      <c r="EC53" s="879"/>
      <c r="ED53" s="879"/>
      <c r="EE53" s="879"/>
      <c r="EF53" s="879"/>
      <c r="EG53" s="879"/>
      <c r="EH53" s="879"/>
      <c r="EI53" s="879"/>
      <c r="EJ53" s="879"/>
      <c r="EK53" s="879"/>
      <c r="EL53" s="879"/>
      <c r="EM53" s="879"/>
      <c r="EN53" s="879"/>
      <c r="EO53" s="879"/>
      <c r="EP53" s="879"/>
      <c r="EQ53" s="879"/>
      <c r="ER53" s="879"/>
      <c r="ES53" s="879"/>
      <c r="ET53" s="879"/>
      <c r="EU53" s="879"/>
      <c r="EV53" s="879"/>
      <c r="EW53" s="879"/>
      <c r="EX53" s="879"/>
      <c r="EY53" s="879"/>
      <c r="EZ53" s="879"/>
      <c r="FA53" s="879"/>
      <c r="FB53" s="879"/>
      <c r="FC53" s="879"/>
      <c r="FD53" s="879"/>
      <c r="FE53" s="879"/>
      <c r="FF53" s="879"/>
      <c r="FG53" s="879"/>
      <c r="FH53" s="879"/>
      <c r="FI53" s="879"/>
      <c r="FJ53" s="879"/>
      <c r="FK53" s="879"/>
      <c r="FL53" s="879"/>
      <c r="FM53" s="879"/>
      <c r="FN53" s="879"/>
      <c r="FO53" s="879"/>
      <c r="FP53" s="879"/>
      <c r="FQ53" s="879"/>
      <c r="FR53" s="879"/>
      <c r="FS53" s="879"/>
      <c r="FT53" s="879"/>
      <c r="FU53" s="879"/>
      <c r="FV53" s="879"/>
      <c r="FW53" s="879"/>
      <c r="FX53" s="879"/>
      <c r="FY53" s="879"/>
      <c r="FZ53" s="879"/>
      <c r="GA53" s="879"/>
      <c r="GB53" s="879"/>
      <c r="GC53" s="879"/>
      <c r="GD53" s="879"/>
      <c r="GE53" s="879"/>
      <c r="GF53" s="879"/>
      <c r="GG53" s="879"/>
      <c r="GH53" s="879"/>
      <c r="GI53" s="879"/>
      <c r="GJ53" s="879"/>
      <c r="GK53" s="879"/>
      <c r="GL53" s="879"/>
      <c r="GM53" s="879"/>
      <c r="GN53" s="879"/>
      <c r="GO53" s="879"/>
      <c r="GP53" s="879"/>
      <c r="GQ53" s="879"/>
      <c r="GR53" s="879"/>
      <c r="GS53" s="879"/>
      <c r="GT53" s="879"/>
      <c r="GU53" s="879"/>
      <c r="GV53" s="879"/>
      <c r="GW53" s="879"/>
      <c r="GX53" s="879"/>
      <c r="GY53" s="879"/>
      <c r="GZ53" s="879"/>
      <c r="HA53" s="879"/>
      <c r="HB53" s="879"/>
      <c r="HC53" s="879"/>
      <c r="HD53" s="879"/>
      <c r="HE53" s="879"/>
      <c r="HF53" s="879"/>
      <c r="HG53" s="879"/>
      <c r="HH53" s="879"/>
      <c r="HI53" s="879"/>
      <c r="HJ53" s="879"/>
      <c r="HK53" s="879"/>
      <c r="HL53" s="879"/>
      <c r="HM53" s="879"/>
      <c r="HN53" s="879"/>
      <c r="HO53" s="879"/>
      <c r="HP53" s="879"/>
      <c r="HQ53" s="879"/>
      <c r="HR53" s="879"/>
      <c r="HS53" s="879"/>
      <c r="HT53" s="879"/>
      <c r="HU53" s="879"/>
      <c r="HV53" s="879"/>
      <c r="HW53" s="879"/>
      <c r="HX53" s="879"/>
    </row>
    <row r="54" spans="1:232" ht="15.75">
      <c r="A54" s="909" t="s">
        <v>1485</v>
      </c>
      <c r="B54" s="910" t="s">
        <v>1486</v>
      </c>
      <c r="C54" s="911">
        <v>6000</v>
      </c>
      <c r="D54" s="883">
        <f t="shared" si="2"/>
        <v>0</v>
      </c>
      <c r="E54" s="912"/>
      <c r="F54" s="913"/>
      <c r="G54" s="878"/>
      <c r="H54" s="879"/>
      <c r="I54" s="879"/>
      <c r="J54" s="879"/>
      <c r="K54" s="879"/>
      <c r="L54" s="879"/>
      <c r="M54" s="879"/>
      <c r="N54" s="879"/>
      <c r="O54" s="879"/>
      <c r="P54" s="879"/>
      <c r="Q54" s="879"/>
      <c r="R54" s="879"/>
      <c r="S54" s="879"/>
      <c r="T54" s="879"/>
      <c r="U54" s="879"/>
      <c r="V54" s="879"/>
      <c r="W54" s="879"/>
      <c r="X54" s="879"/>
      <c r="Y54" s="879"/>
      <c r="Z54" s="879"/>
      <c r="AA54" s="879"/>
      <c r="AB54" s="879"/>
      <c r="AC54" s="879"/>
      <c r="AD54" s="879"/>
      <c r="AE54" s="879"/>
      <c r="AF54" s="879"/>
      <c r="AG54" s="879"/>
      <c r="AH54" s="879"/>
      <c r="AI54" s="879"/>
      <c r="AJ54" s="879"/>
      <c r="AK54" s="879"/>
      <c r="AL54" s="879"/>
      <c r="AM54" s="879"/>
      <c r="AN54" s="879"/>
      <c r="AO54" s="879"/>
      <c r="AP54" s="879"/>
      <c r="AQ54" s="879"/>
      <c r="AR54" s="879"/>
      <c r="AS54" s="879"/>
      <c r="AT54" s="879"/>
      <c r="AU54" s="879"/>
      <c r="AV54" s="879"/>
      <c r="AW54" s="879"/>
      <c r="AX54" s="879"/>
      <c r="AY54" s="879"/>
      <c r="AZ54" s="879"/>
      <c r="BA54" s="879"/>
      <c r="BB54" s="879"/>
      <c r="BC54" s="879"/>
      <c r="BD54" s="879"/>
      <c r="BE54" s="879"/>
      <c r="BF54" s="879"/>
      <c r="BG54" s="879"/>
      <c r="BH54" s="879"/>
      <c r="BI54" s="879"/>
      <c r="BJ54" s="879"/>
      <c r="BK54" s="879"/>
      <c r="BL54" s="879"/>
      <c r="BM54" s="879"/>
      <c r="BN54" s="879"/>
      <c r="BO54" s="879"/>
      <c r="BP54" s="879"/>
      <c r="BQ54" s="879"/>
      <c r="BR54" s="879"/>
      <c r="BS54" s="879"/>
      <c r="BT54" s="879"/>
      <c r="BU54" s="879"/>
      <c r="BV54" s="879"/>
      <c r="BW54" s="879"/>
      <c r="BX54" s="879"/>
      <c r="BY54" s="879"/>
      <c r="BZ54" s="879"/>
      <c r="CA54" s="879"/>
      <c r="CB54" s="879"/>
      <c r="CC54" s="879"/>
      <c r="CD54" s="879"/>
      <c r="CE54" s="879"/>
      <c r="CF54" s="879"/>
      <c r="CG54" s="879"/>
      <c r="CH54" s="879"/>
      <c r="CI54" s="879"/>
      <c r="CJ54" s="879"/>
      <c r="CK54" s="879"/>
      <c r="CL54" s="879"/>
      <c r="CM54" s="879"/>
      <c r="CN54" s="879"/>
      <c r="CO54" s="879"/>
      <c r="CP54" s="879"/>
      <c r="CQ54" s="879"/>
      <c r="CR54" s="879"/>
      <c r="CS54" s="879"/>
      <c r="CT54" s="879"/>
      <c r="CU54" s="879"/>
      <c r="CV54" s="879"/>
      <c r="CW54" s="879"/>
      <c r="CX54" s="879"/>
      <c r="CY54" s="879"/>
      <c r="CZ54" s="879"/>
      <c r="DA54" s="879"/>
      <c r="DB54" s="879"/>
      <c r="DC54" s="879"/>
      <c r="DD54" s="879"/>
      <c r="DE54" s="879"/>
      <c r="DF54" s="879"/>
      <c r="DG54" s="879"/>
      <c r="DH54" s="879"/>
      <c r="DI54" s="879"/>
      <c r="DJ54" s="879"/>
      <c r="DK54" s="879"/>
      <c r="DL54" s="879"/>
      <c r="DM54" s="879"/>
      <c r="DN54" s="879"/>
      <c r="DO54" s="879"/>
      <c r="DP54" s="879"/>
      <c r="DQ54" s="879"/>
      <c r="DR54" s="879"/>
      <c r="DS54" s="879"/>
      <c r="DT54" s="879"/>
      <c r="DU54" s="879"/>
      <c r="DV54" s="879"/>
      <c r="DW54" s="879"/>
      <c r="DX54" s="879"/>
      <c r="DY54" s="879"/>
      <c r="DZ54" s="879"/>
      <c r="EA54" s="879"/>
      <c r="EB54" s="879"/>
      <c r="EC54" s="879"/>
      <c r="ED54" s="879"/>
      <c r="EE54" s="879"/>
      <c r="EF54" s="879"/>
      <c r="EG54" s="879"/>
      <c r="EH54" s="879"/>
      <c r="EI54" s="879"/>
      <c r="EJ54" s="879"/>
      <c r="EK54" s="879"/>
      <c r="EL54" s="879"/>
      <c r="EM54" s="879"/>
      <c r="EN54" s="879"/>
      <c r="EO54" s="879"/>
      <c r="EP54" s="879"/>
      <c r="EQ54" s="879"/>
      <c r="ER54" s="879"/>
      <c r="ES54" s="879"/>
      <c r="ET54" s="879"/>
      <c r="EU54" s="879"/>
      <c r="EV54" s="879"/>
      <c r="EW54" s="879"/>
      <c r="EX54" s="879"/>
      <c r="EY54" s="879"/>
      <c r="EZ54" s="879"/>
      <c r="FA54" s="879"/>
      <c r="FB54" s="879"/>
      <c r="FC54" s="879"/>
      <c r="FD54" s="879"/>
      <c r="FE54" s="879"/>
      <c r="FF54" s="879"/>
      <c r="FG54" s="879"/>
      <c r="FH54" s="879"/>
      <c r="FI54" s="879"/>
      <c r="FJ54" s="879"/>
      <c r="FK54" s="879"/>
      <c r="FL54" s="879"/>
      <c r="FM54" s="879"/>
      <c r="FN54" s="879"/>
      <c r="FO54" s="879"/>
      <c r="FP54" s="879"/>
      <c r="FQ54" s="879"/>
      <c r="FR54" s="879"/>
      <c r="FS54" s="879"/>
      <c r="FT54" s="879"/>
      <c r="FU54" s="879"/>
      <c r="FV54" s="879"/>
      <c r="FW54" s="879"/>
      <c r="FX54" s="879"/>
      <c r="FY54" s="879"/>
      <c r="FZ54" s="879"/>
      <c r="GA54" s="879"/>
      <c r="GB54" s="879"/>
      <c r="GC54" s="879"/>
      <c r="GD54" s="879"/>
      <c r="GE54" s="879"/>
      <c r="GF54" s="879"/>
      <c r="GG54" s="879"/>
      <c r="GH54" s="879"/>
      <c r="GI54" s="879"/>
      <c r="GJ54" s="879"/>
      <c r="GK54" s="879"/>
      <c r="GL54" s="879"/>
      <c r="GM54" s="879"/>
      <c r="GN54" s="879"/>
      <c r="GO54" s="879"/>
      <c r="GP54" s="879"/>
      <c r="GQ54" s="879"/>
      <c r="GR54" s="879"/>
      <c r="GS54" s="879"/>
      <c r="GT54" s="879"/>
      <c r="GU54" s="879"/>
      <c r="GV54" s="879"/>
      <c r="GW54" s="879"/>
      <c r="GX54" s="879"/>
      <c r="GY54" s="879"/>
      <c r="GZ54" s="879"/>
      <c r="HA54" s="879"/>
      <c r="HB54" s="879"/>
      <c r="HC54" s="879"/>
      <c r="HD54" s="879"/>
      <c r="HE54" s="879"/>
      <c r="HF54" s="879"/>
      <c r="HG54" s="879"/>
      <c r="HH54" s="879"/>
      <c r="HI54" s="879"/>
      <c r="HJ54" s="879"/>
      <c r="HK54" s="879"/>
      <c r="HL54" s="879"/>
      <c r="HM54" s="879"/>
      <c r="HN54" s="879"/>
      <c r="HO54" s="879"/>
      <c r="HP54" s="879"/>
      <c r="HQ54" s="879"/>
      <c r="HR54" s="879"/>
      <c r="HS54" s="879"/>
      <c r="HT54" s="879"/>
      <c r="HU54" s="879"/>
      <c r="HV54" s="879"/>
      <c r="HW54" s="879"/>
      <c r="HX54" s="879"/>
    </row>
    <row r="55" spans="1:232" ht="18.75" customHeight="1">
      <c r="A55" s="1041"/>
      <c r="B55" s="1041"/>
      <c r="C55" s="914"/>
      <c r="D55" s="914"/>
      <c r="E55" s="915"/>
      <c r="F55" s="916"/>
      <c r="G55" s="917"/>
      <c r="H55" s="879"/>
      <c r="I55" s="879"/>
      <c r="J55" s="879"/>
      <c r="K55" s="879"/>
      <c r="L55" s="879"/>
      <c r="M55" s="879"/>
      <c r="N55" s="879"/>
      <c r="O55" s="879"/>
      <c r="P55" s="879"/>
      <c r="Q55" s="879"/>
      <c r="R55" s="879"/>
      <c r="S55" s="879"/>
      <c r="T55" s="879"/>
      <c r="U55" s="879"/>
      <c r="V55" s="879"/>
      <c r="W55" s="879"/>
      <c r="X55" s="879"/>
      <c r="Y55" s="879"/>
      <c r="Z55" s="879"/>
      <c r="AA55" s="879"/>
      <c r="AB55" s="879"/>
      <c r="AC55" s="879"/>
      <c r="AD55" s="879"/>
      <c r="AE55" s="879"/>
      <c r="AF55" s="879"/>
      <c r="AG55" s="879"/>
      <c r="AH55" s="879"/>
      <c r="AI55" s="879"/>
      <c r="AJ55" s="879"/>
      <c r="AK55" s="879"/>
      <c r="AL55" s="879"/>
      <c r="AM55" s="879"/>
      <c r="AN55" s="879"/>
      <c r="AO55" s="879"/>
      <c r="AP55" s="879"/>
      <c r="AQ55" s="879"/>
      <c r="AR55" s="879"/>
      <c r="AS55" s="879"/>
      <c r="AT55" s="879"/>
      <c r="AU55" s="879"/>
      <c r="AV55" s="879"/>
      <c r="AW55" s="879"/>
      <c r="AX55" s="879"/>
      <c r="AY55" s="879"/>
      <c r="AZ55" s="879"/>
      <c r="BA55" s="879"/>
      <c r="BB55" s="879"/>
      <c r="BC55" s="879"/>
      <c r="BD55" s="879"/>
      <c r="BE55" s="879"/>
      <c r="BF55" s="879"/>
      <c r="BG55" s="879"/>
      <c r="BH55" s="879"/>
      <c r="BI55" s="879"/>
      <c r="BJ55" s="879"/>
      <c r="BK55" s="879"/>
      <c r="BL55" s="879"/>
      <c r="BM55" s="879"/>
      <c r="BN55" s="879"/>
      <c r="BO55" s="879"/>
      <c r="BP55" s="879"/>
      <c r="BQ55" s="879"/>
      <c r="BR55" s="879"/>
      <c r="BS55" s="879"/>
      <c r="BT55" s="879"/>
      <c r="BU55" s="879"/>
      <c r="BV55" s="879"/>
      <c r="BW55" s="879"/>
      <c r="BX55" s="879"/>
      <c r="BY55" s="879"/>
      <c r="BZ55" s="879"/>
      <c r="CA55" s="879"/>
      <c r="CB55" s="879"/>
      <c r="CC55" s="879"/>
      <c r="CD55" s="879"/>
      <c r="CE55" s="879"/>
      <c r="CF55" s="879"/>
      <c r="CG55" s="879"/>
      <c r="CH55" s="879"/>
      <c r="CI55" s="879"/>
      <c r="CJ55" s="879"/>
      <c r="CK55" s="879"/>
      <c r="CL55" s="879"/>
      <c r="CM55" s="879"/>
      <c r="CN55" s="879"/>
      <c r="CO55" s="879"/>
      <c r="CP55" s="879"/>
      <c r="CQ55" s="879"/>
      <c r="CR55" s="879"/>
      <c r="CS55" s="879"/>
      <c r="CT55" s="879"/>
      <c r="CU55" s="879"/>
      <c r="CV55" s="879"/>
      <c r="CW55" s="879"/>
      <c r="CX55" s="879"/>
      <c r="CY55" s="879"/>
      <c r="CZ55" s="879"/>
      <c r="DA55" s="879"/>
      <c r="DB55" s="879"/>
      <c r="DC55" s="879"/>
      <c r="DD55" s="879"/>
      <c r="DE55" s="879"/>
      <c r="DF55" s="879"/>
      <c r="DG55" s="879"/>
      <c r="DH55" s="879"/>
      <c r="DI55" s="879"/>
      <c r="DJ55" s="879"/>
      <c r="DK55" s="879"/>
      <c r="DL55" s="879"/>
      <c r="DM55" s="879"/>
      <c r="DN55" s="879"/>
      <c r="DO55" s="879"/>
      <c r="DP55" s="879"/>
      <c r="DQ55" s="879"/>
      <c r="DR55" s="879"/>
      <c r="DS55" s="879"/>
      <c r="DT55" s="879"/>
      <c r="DU55" s="879"/>
      <c r="DV55" s="879"/>
      <c r="DW55" s="879"/>
      <c r="DX55" s="879"/>
      <c r="DY55" s="879"/>
      <c r="DZ55" s="879"/>
      <c r="EA55" s="879"/>
      <c r="EB55" s="879"/>
      <c r="EC55" s="879"/>
      <c r="ED55" s="879"/>
      <c r="EE55" s="879"/>
      <c r="EF55" s="879"/>
      <c r="EG55" s="879"/>
      <c r="EH55" s="879"/>
      <c r="EI55" s="879"/>
      <c r="EJ55" s="879"/>
      <c r="EK55" s="879"/>
      <c r="EL55" s="879"/>
      <c r="EM55" s="879"/>
      <c r="EN55" s="879"/>
      <c r="EO55" s="879"/>
      <c r="EP55" s="879"/>
      <c r="EQ55" s="879"/>
      <c r="ER55" s="879"/>
      <c r="ES55" s="879"/>
      <c r="ET55" s="879"/>
      <c r="EU55" s="879"/>
      <c r="EV55" s="879"/>
      <c r="EW55" s="879"/>
      <c r="EX55" s="879"/>
      <c r="EY55" s="879"/>
      <c r="EZ55" s="879"/>
      <c r="FA55" s="879"/>
      <c r="FB55" s="879"/>
      <c r="FC55" s="879"/>
      <c r="FD55" s="879"/>
      <c r="FE55" s="879"/>
      <c r="FF55" s="879"/>
      <c r="FG55" s="879"/>
      <c r="FH55" s="879"/>
      <c r="FI55" s="879"/>
      <c r="FJ55" s="879"/>
      <c r="FK55" s="879"/>
      <c r="FL55" s="879"/>
      <c r="FM55" s="879"/>
      <c r="FN55" s="879"/>
      <c r="FO55" s="879"/>
      <c r="FP55" s="879"/>
      <c r="FQ55" s="879"/>
      <c r="FR55" s="879"/>
      <c r="FS55" s="879"/>
      <c r="FT55" s="879"/>
      <c r="FU55" s="879"/>
      <c r="FV55" s="879"/>
      <c r="FW55" s="879"/>
      <c r="FX55" s="879"/>
      <c r="FY55" s="879"/>
      <c r="FZ55" s="879"/>
      <c r="GA55" s="879"/>
      <c r="GB55" s="879"/>
      <c r="GC55" s="879"/>
      <c r="GD55" s="879"/>
      <c r="GE55" s="879"/>
      <c r="GF55" s="879"/>
      <c r="GG55" s="879"/>
      <c r="GH55" s="879"/>
      <c r="GI55" s="879"/>
      <c r="GJ55" s="879"/>
      <c r="GK55" s="879"/>
      <c r="GL55" s="879"/>
      <c r="GM55" s="879"/>
      <c r="GN55" s="879"/>
      <c r="GO55" s="879"/>
      <c r="GP55" s="879"/>
      <c r="GQ55" s="879"/>
      <c r="GR55" s="879"/>
      <c r="GS55" s="879"/>
      <c r="GT55" s="879"/>
      <c r="GU55" s="879"/>
      <c r="GV55" s="879"/>
      <c r="GW55" s="879"/>
      <c r="GX55" s="879"/>
      <c r="GY55" s="879"/>
      <c r="GZ55" s="879"/>
      <c r="HA55" s="879"/>
      <c r="HB55" s="879"/>
      <c r="HC55" s="879"/>
      <c r="HD55" s="879"/>
      <c r="HE55" s="879"/>
      <c r="HF55" s="879"/>
      <c r="HG55" s="879"/>
      <c r="HH55" s="879"/>
      <c r="HI55" s="879"/>
      <c r="HJ55" s="879"/>
      <c r="HK55" s="879"/>
      <c r="HL55" s="879"/>
      <c r="HM55" s="879"/>
      <c r="HN55" s="879"/>
      <c r="HO55" s="879"/>
      <c r="HP55" s="879"/>
      <c r="HQ55" s="879"/>
      <c r="HR55" s="879"/>
      <c r="HS55" s="879"/>
      <c r="HT55" s="879"/>
      <c r="HU55" s="879"/>
      <c r="HV55" s="879"/>
      <c r="HW55" s="879"/>
      <c r="HX55" s="879"/>
    </row>
    <row r="56" spans="1:7" ht="67.5" customHeight="1">
      <c r="A56" s="918"/>
      <c r="B56" s="1042" t="s">
        <v>1487</v>
      </c>
      <c r="C56" s="1042"/>
      <c r="D56" s="1042"/>
      <c r="E56" s="1042"/>
      <c r="F56" s="1042"/>
      <c r="G56" s="1042"/>
    </row>
    <row r="73" spans="1:6" ht="15.75">
      <c r="A73" s="767"/>
      <c r="C73" s="767"/>
      <c r="D73" s="767"/>
      <c r="E73" s="906"/>
      <c r="F73" s="750"/>
    </row>
    <row r="77" spans="1:6" ht="15.75">
      <c r="A77" s="767"/>
      <c r="C77" s="767"/>
      <c r="D77" s="767"/>
      <c r="E77" s="906"/>
      <c r="F77" s="750"/>
    </row>
  </sheetData>
  <sheetProtection/>
  <mergeCells count="12">
    <mergeCell ref="D5:F5"/>
    <mergeCell ref="G5:G8"/>
    <mergeCell ref="D6:D8"/>
    <mergeCell ref="E6:F7"/>
    <mergeCell ref="A55:B55"/>
    <mergeCell ref="B56:G56"/>
    <mergeCell ref="A1:B1"/>
    <mergeCell ref="A2:G2"/>
    <mergeCell ref="A3:F3"/>
    <mergeCell ref="A5:A8"/>
    <mergeCell ref="B5:B8"/>
    <mergeCell ref="C5:C8"/>
  </mergeCell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sheetPr>
    <tabColor rgb="FFFF0000"/>
  </sheetPr>
  <dimension ref="A1:AN111"/>
  <sheetViews>
    <sheetView zoomScalePageLayoutView="0" workbookViewId="0" topLeftCell="A3">
      <pane xSplit="2" ySplit="7" topLeftCell="C10" activePane="bottomRight" state="frozen"/>
      <selection pane="topLeft" activeCell="D60" sqref="D60"/>
      <selection pane="topRight" activeCell="D60" sqref="D60"/>
      <selection pane="bottomLeft" activeCell="D60" sqref="D60"/>
      <selection pane="bottomRight" activeCell="D60" sqref="D60"/>
    </sheetView>
  </sheetViews>
  <sheetFormatPr defaultColWidth="9.33203125" defaultRowHeight="12.75"/>
  <cols>
    <col min="1" max="1" width="7" style="637" customWidth="1"/>
    <col min="2" max="2" width="45" style="637" customWidth="1"/>
    <col min="3" max="3" width="19.33203125" style="638" customWidth="1"/>
    <col min="4" max="4" width="22.83203125" style="638" bestFit="1" customWidth="1"/>
    <col min="5" max="6" width="17.83203125" style="638" customWidth="1"/>
    <col min="7" max="15" width="17.83203125" style="638" hidden="1" customWidth="1"/>
    <col min="16" max="16" width="20.16015625" style="638" customWidth="1"/>
    <col min="17" max="17" width="19.5" style="638" customWidth="1"/>
    <col min="18" max="18" width="17.5" style="638" customWidth="1"/>
    <col min="19" max="27" width="17.83203125" style="638" hidden="1" customWidth="1"/>
    <col min="28" max="28" width="14.33203125" style="638" customWidth="1"/>
    <col min="29" max="29" width="14.16015625" style="637" customWidth="1"/>
    <col min="30" max="30" width="14.5" style="640" bestFit="1" customWidth="1"/>
    <col min="31" max="31" width="14.66015625" style="640" customWidth="1"/>
    <col min="32" max="32" width="12.66015625" style="640" bestFit="1" customWidth="1"/>
    <col min="33" max="33" width="11.5" style="640" customWidth="1"/>
    <col min="34" max="34" width="12.5" style="640" customWidth="1"/>
    <col min="35" max="35" width="13.16015625" style="640" customWidth="1"/>
    <col min="36" max="36" width="13.33203125" style="640" customWidth="1"/>
    <col min="37" max="37" width="12.33203125" style="640" customWidth="1"/>
    <col min="38" max="38" width="13.16015625" style="640" customWidth="1"/>
    <col min="39" max="40" width="12.66015625" style="640" bestFit="1" customWidth="1"/>
    <col min="41" max="16384" width="9.33203125" style="637" customWidth="1"/>
  </cols>
  <sheetData>
    <row r="1" ht="12.75">
      <c r="AC1" s="639" t="s">
        <v>563</v>
      </c>
    </row>
    <row r="2" ht="12.75"/>
    <row r="3" spans="1:29" ht="18.75">
      <c r="A3" s="1054" t="s">
        <v>564</v>
      </c>
      <c r="B3" s="1054"/>
      <c r="C3" s="1054"/>
      <c r="D3" s="1054"/>
      <c r="E3" s="1054"/>
      <c r="F3" s="1054"/>
      <c r="G3" s="1054"/>
      <c r="H3" s="1054"/>
      <c r="I3" s="1054"/>
      <c r="J3" s="1054"/>
      <c r="K3" s="1054"/>
      <c r="L3" s="1054"/>
      <c r="M3" s="1054"/>
      <c r="N3" s="1054"/>
      <c r="O3" s="1054"/>
      <c r="P3" s="1054"/>
      <c r="Q3" s="1054"/>
      <c r="R3" s="1054"/>
      <c r="S3" s="1054"/>
      <c r="T3" s="1054"/>
      <c r="U3" s="1054"/>
      <c r="V3" s="1054"/>
      <c r="W3" s="1054"/>
      <c r="X3" s="1054"/>
      <c r="Y3" s="1054"/>
      <c r="Z3" s="1054"/>
      <c r="AA3" s="1054"/>
      <c r="AB3" s="1054"/>
      <c r="AC3" s="1054"/>
    </row>
    <row r="4" spans="1:31" ht="18.75">
      <c r="A4" s="1054" t="s">
        <v>1080</v>
      </c>
      <c r="B4" s="1054"/>
      <c r="C4" s="1054"/>
      <c r="D4" s="1054"/>
      <c r="E4" s="1054"/>
      <c r="F4" s="1054"/>
      <c r="G4" s="1054"/>
      <c r="H4" s="1054"/>
      <c r="I4" s="1054"/>
      <c r="J4" s="1054"/>
      <c r="K4" s="1054"/>
      <c r="L4" s="1054"/>
      <c r="M4" s="1054"/>
      <c r="N4" s="1054"/>
      <c r="O4" s="1054"/>
      <c r="P4" s="1054"/>
      <c r="Q4" s="1054"/>
      <c r="R4" s="1054"/>
      <c r="S4" s="1054"/>
      <c r="T4" s="1054"/>
      <c r="U4" s="1054"/>
      <c r="V4" s="1054"/>
      <c r="W4" s="1054"/>
      <c r="X4" s="1054"/>
      <c r="Y4" s="1054"/>
      <c r="Z4" s="1054"/>
      <c r="AA4" s="1054"/>
      <c r="AB4" s="1054"/>
      <c r="AC4" s="1054"/>
      <c r="AE4" s="650" t="s">
        <v>1432</v>
      </c>
    </row>
    <row r="5" spans="1:29" ht="12.75" hidden="1">
      <c r="A5" s="1027" t="s">
        <v>496</v>
      </c>
      <c r="B5" s="1027"/>
      <c r="C5" s="1027"/>
      <c r="D5" s="1027"/>
      <c r="E5" s="1027"/>
      <c r="F5" s="1027"/>
      <c r="G5" s="1027"/>
      <c r="H5" s="1027"/>
      <c r="I5" s="1027"/>
      <c r="J5" s="1027"/>
      <c r="K5" s="1027"/>
      <c r="L5" s="1027"/>
      <c r="M5" s="1027"/>
      <c r="N5" s="1027"/>
      <c r="O5" s="1027"/>
      <c r="P5" s="1027"/>
      <c r="Q5" s="1027"/>
      <c r="R5" s="1027"/>
      <c r="S5" s="1027"/>
      <c r="T5" s="1027"/>
      <c r="U5" s="1027"/>
      <c r="V5" s="1027"/>
      <c r="W5" s="1027"/>
      <c r="X5" s="1027"/>
      <c r="Y5" s="1027"/>
      <c r="Z5" s="1027"/>
      <c r="AA5" s="1027"/>
      <c r="AB5" s="1027"/>
      <c r="AC5" s="1027"/>
    </row>
    <row r="6" spans="6:29" ht="12.75">
      <c r="F6" s="641"/>
      <c r="AC6" s="642" t="s">
        <v>829</v>
      </c>
    </row>
    <row r="7" spans="1:29" ht="18" customHeight="1">
      <c r="A7" s="1061" t="s">
        <v>3</v>
      </c>
      <c r="B7" s="1061" t="s">
        <v>289</v>
      </c>
      <c r="C7" s="1055" t="s">
        <v>249</v>
      </c>
      <c r="D7" s="1055" t="s">
        <v>538</v>
      </c>
      <c r="E7" s="1055"/>
      <c r="F7" s="1055"/>
      <c r="G7" s="1055"/>
      <c r="H7" s="1055"/>
      <c r="I7" s="1055"/>
      <c r="J7" s="1055"/>
      <c r="K7" s="1055"/>
      <c r="L7" s="1055"/>
      <c r="M7" s="1055"/>
      <c r="N7" s="1055"/>
      <c r="O7" s="1055"/>
      <c r="P7" s="1055"/>
      <c r="Q7" s="1055"/>
      <c r="R7" s="1055"/>
      <c r="S7" s="1055"/>
      <c r="T7" s="1055"/>
      <c r="U7" s="1055"/>
      <c r="V7" s="1055"/>
      <c r="W7" s="1055"/>
      <c r="X7" s="1055"/>
      <c r="Y7" s="1055"/>
      <c r="Z7" s="1055"/>
      <c r="AA7" s="1055"/>
      <c r="AB7" s="1055"/>
      <c r="AC7" s="1061" t="s">
        <v>539</v>
      </c>
    </row>
    <row r="8" spans="1:40" ht="45.75" customHeight="1">
      <c r="A8" s="1061"/>
      <c r="B8" s="1061"/>
      <c r="C8" s="1055"/>
      <c r="D8" s="643" t="s">
        <v>478</v>
      </c>
      <c r="E8" s="643" t="s">
        <v>541</v>
      </c>
      <c r="F8" s="643" t="s">
        <v>542</v>
      </c>
      <c r="G8" s="684" t="s">
        <v>565</v>
      </c>
      <c r="H8" s="684" t="s">
        <v>566</v>
      </c>
      <c r="I8" s="684" t="s">
        <v>567</v>
      </c>
      <c r="J8" s="684" t="s">
        <v>568</v>
      </c>
      <c r="K8" s="684" t="s">
        <v>569</v>
      </c>
      <c r="L8" s="684" t="s">
        <v>570</v>
      </c>
      <c r="M8" s="684" t="s">
        <v>571</v>
      </c>
      <c r="N8" s="684" t="s">
        <v>572</v>
      </c>
      <c r="O8" s="684" t="s">
        <v>573</v>
      </c>
      <c r="P8" s="684" t="s">
        <v>574</v>
      </c>
      <c r="Q8" s="684" t="s">
        <v>541</v>
      </c>
      <c r="R8" s="644" t="s">
        <v>542</v>
      </c>
      <c r="S8" s="684" t="s">
        <v>565</v>
      </c>
      <c r="T8" s="684" t="s">
        <v>566</v>
      </c>
      <c r="U8" s="684" t="s">
        <v>567</v>
      </c>
      <c r="V8" s="684" t="s">
        <v>568</v>
      </c>
      <c r="W8" s="684" t="s">
        <v>569</v>
      </c>
      <c r="X8" s="684" t="s">
        <v>570</v>
      </c>
      <c r="Y8" s="684" t="s">
        <v>571</v>
      </c>
      <c r="Z8" s="684" t="s">
        <v>572</v>
      </c>
      <c r="AA8" s="684" t="s">
        <v>573</v>
      </c>
      <c r="AB8" s="684" t="s">
        <v>575</v>
      </c>
      <c r="AC8" s="1061"/>
      <c r="AE8" s="1056" t="s">
        <v>576</v>
      </c>
      <c r="AF8" s="1056" t="s">
        <v>577</v>
      </c>
      <c r="AG8" s="1056"/>
      <c r="AH8" s="1056"/>
      <c r="AI8" s="1056"/>
      <c r="AJ8" s="1056"/>
      <c r="AK8" s="1056"/>
      <c r="AL8" s="1056"/>
      <c r="AM8" s="1056"/>
      <c r="AN8" s="1056"/>
    </row>
    <row r="9" spans="1:40" ht="12.75">
      <c r="A9" s="645" t="s">
        <v>296</v>
      </c>
      <c r="B9" s="645" t="s">
        <v>297</v>
      </c>
      <c r="C9" s="646" t="s">
        <v>540</v>
      </c>
      <c r="D9" s="647" t="s">
        <v>781</v>
      </c>
      <c r="E9" s="648"/>
      <c r="F9" s="648"/>
      <c r="G9" s="648"/>
      <c r="H9" s="648"/>
      <c r="I9" s="648"/>
      <c r="J9" s="648"/>
      <c r="K9" s="648"/>
      <c r="L9" s="648"/>
      <c r="M9" s="648"/>
      <c r="N9" s="648"/>
      <c r="O9" s="648"/>
      <c r="P9" s="647" t="s">
        <v>782</v>
      </c>
      <c r="Q9" s="648"/>
      <c r="R9" s="648"/>
      <c r="S9" s="648"/>
      <c r="T9" s="648"/>
      <c r="U9" s="648"/>
      <c r="V9" s="648"/>
      <c r="W9" s="648"/>
      <c r="X9" s="648"/>
      <c r="Y9" s="648"/>
      <c r="Z9" s="648"/>
      <c r="AA9" s="648"/>
      <c r="AB9" s="648">
        <v>4</v>
      </c>
      <c r="AC9" s="649">
        <v>5</v>
      </c>
      <c r="AE9" s="1056"/>
      <c r="AF9" s="650" t="s">
        <v>578</v>
      </c>
      <c r="AG9" s="650" t="s">
        <v>579</v>
      </c>
      <c r="AH9" s="650" t="s">
        <v>580</v>
      </c>
      <c r="AI9" s="650" t="s">
        <v>581</v>
      </c>
      <c r="AJ9" s="650" t="s">
        <v>582</v>
      </c>
      <c r="AK9" s="650" t="s">
        <v>583</v>
      </c>
      <c r="AL9" s="650" t="s">
        <v>584</v>
      </c>
      <c r="AM9" s="650" t="s">
        <v>585</v>
      </c>
      <c r="AN9" s="650" t="s">
        <v>586</v>
      </c>
    </row>
    <row r="10" spans="1:40" s="656" customFormat="1" ht="12.75">
      <c r="A10" s="651" t="s">
        <v>296</v>
      </c>
      <c r="B10" s="652" t="s">
        <v>587</v>
      </c>
      <c r="C10" s="653">
        <f>C11+C12</f>
        <v>44357.498083</v>
      </c>
      <c r="D10" s="653">
        <f aca="true" t="shared" si="0" ref="D10:AB10">D11+D12</f>
        <v>10939.298082999998</v>
      </c>
      <c r="E10" s="653">
        <f>E11+E12</f>
        <v>9725.439999999999</v>
      </c>
      <c r="F10" s="653">
        <f t="shared" si="0"/>
        <v>1213.858083</v>
      </c>
      <c r="G10" s="653">
        <f t="shared" si="0"/>
        <v>111970000</v>
      </c>
      <c r="H10" s="653">
        <f t="shared" si="0"/>
        <v>84720000</v>
      </c>
      <c r="I10" s="653">
        <f t="shared" si="0"/>
        <v>77810000</v>
      </c>
      <c r="J10" s="653">
        <f t="shared" si="0"/>
        <v>83280000</v>
      </c>
      <c r="K10" s="653">
        <f t="shared" si="0"/>
        <v>83680000</v>
      </c>
      <c r="L10" s="653">
        <f t="shared" si="0"/>
        <v>83760000</v>
      </c>
      <c r="M10" s="653">
        <f t="shared" si="0"/>
        <v>80800000</v>
      </c>
      <c r="N10" s="653">
        <f t="shared" si="0"/>
        <v>95800000</v>
      </c>
      <c r="O10" s="653">
        <f t="shared" si="0"/>
        <v>80330000</v>
      </c>
      <c r="P10" s="653">
        <f t="shared" si="0"/>
        <v>33418.2</v>
      </c>
      <c r="Q10" s="653">
        <f t="shared" si="0"/>
        <v>32461.489999999998</v>
      </c>
      <c r="R10" s="653">
        <f t="shared" si="0"/>
        <v>956.71</v>
      </c>
      <c r="S10" s="653">
        <f t="shared" si="0"/>
        <v>0</v>
      </c>
      <c r="T10" s="653">
        <f t="shared" si="0"/>
        <v>0</v>
      </c>
      <c r="U10" s="653">
        <f t="shared" si="0"/>
        <v>0</v>
      </c>
      <c r="V10" s="653">
        <f t="shared" si="0"/>
        <v>0</v>
      </c>
      <c r="W10" s="653">
        <f t="shared" si="0"/>
        <v>0</v>
      </c>
      <c r="X10" s="653">
        <f t="shared" si="0"/>
        <v>0</v>
      </c>
      <c r="Y10" s="653">
        <f t="shared" si="0"/>
        <v>0</v>
      </c>
      <c r="Z10" s="653">
        <f t="shared" si="0"/>
        <v>0</v>
      </c>
      <c r="AA10" s="653">
        <f t="shared" si="0"/>
        <v>0</v>
      </c>
      <c r="AB10" s="653">
        <f t="shared" si="0"/>
        <v>0</v>
      </c>
      <c r="AC10" s="654"/>
      <c r="AD10" s="655"/>
      <c r="AE10" s="655" t="e">
        <f>SUM(AF10:AN10)</f>
        <v>#REF!</v>
      </c>
      <c r="AF10" s="655">
        <v>213080000</v>
      </c>
      <c r="AG10" s="655">
        <v>74410000</v>
      </c>
      <c r="AH10" s="655">
        <v>166064458</v>
      </c>
      <c r="AI10" s="655">
        <f>42157491+74930000</f>
        <v>117087491</v>
      </c>
      <c r="AJ10" s="655">
        <v>136930000</v>
      </c>
      <c r="AK10" s="655">
        <v>144040000</v>
      </c>
      <c r="AL10" s="655" t="e">
        <f>#REF!+AL11</f>
        <v>#REF!</v>
      </c>
      <c r="AM10" s="655">
        <v>154205000</v>
      </c>
      <c r="AN10" s="655">
        <v>150380000</v>
      </c>
    </row>
    <row r="11" spans="1:40" ht="12.75">
      <c r="A11" s="657">
        <v>3</v>
      </c>
      <c r="B11" s="658" t="s">
        <v>1122</v>
      </c>
      <c r="C11" s="659">
        <f>+D11+P11+AB11</f>
        <v>10939.298082999998</v>
      </c>
      <c r="D11" s="659">
        <f>E11+F11</f>
        <v>10939.298082999998</v>
      </c>
      <c r="E11" s="659">
        <f>5513.4+1000.16+2769.88+442</f>
        <v>9725.439999999999</v>
      </c>
      <c r="F11" s="659">
        <v>1213.858083</v>
      </c>
      <c r="G11" s="659">
        <v>111970000</v>
      </c>
      <c r="H11" s="659">
        <v>84720000</v>
      </c>
      <c r="I11" s="659">
        <v>77810000</v>
      </c>
      <c r="J11" s="659">
        <v>83280000</v>
      </c>
      <c r="K11" s="659">
        <v>83680000</v>
      </c>
      <c r="L11" s="659">
        <v>83760000</v>
      </c>
      <c r="M11" s="659">
        <v>80800000</v>
      </c>
      <c r="N11" s="659">
        <v>95800000</v>
      </c>
      <c r="O11" s="659">
        <v>80330000</v>
      </c>
      <c r="P11" s="659">
        <f>Q11+R11</f>
        <v>0</v>
      </c>
      <c r="Q11" s="659"/>
      <c r="R11" s="659">
        <f>SUM(S11:AA11)</f>
        <v>0</v>
      </c>
      <c r="S11" s="659"/>
      <c r="T11" s="659"/>
      <c r="U11" s="659"/>
      <c r="V11" s="659"/>
      <c r="W11" s="659"/>
      <c r="X11" s="659"/>
      <c r="Y11" s="659"/>
      <c r="Z11" s="659"/>
      <c r="AA11" s="659"/>
      <c r="AB11" s="659"/>
      <c r="AC11" s="660"/>
      <c r="AE11" s="640">
        <f>SUM(AF11:AN11)</f>
        <v>711430000</v>
      </c>
      <c r="AF11" s="640">
        <v>101480000</v>
      </c>
      <c r="AG11" s="640">
        <v>74410000</v>
      </c>
      <c r="AH11" s="640">
        <v>73370000</v>
      </c>
      <c r="AI11" s="640">
        <v>74930000</v>
      </c>
      <c r="AJ11" s="640">
        <v>71550000</v>
      </c>
      <c r="AK11" s="640">
        <v>76740000</v>
      </c>
      <c r="AL11" s="640">
        <v>76770000</v>
      </c>
      <c r="AM11" s="640">
        <v>85690000</v>
      </c>
      <c r="AN11" s="640">
        <v>76490000</v>
      </c>
    </row>
    <row r="12" spans="1:29" ht="12.75">
      <c r="A12" s="657">
        <v>4</v>
      </c>
      <c r="B12" s="658" t="s">
        <v>1123</v>
      </c>
      <c r="C12" s="659">
        <f>SUM(C13:C15)</f>
        <v>33418.2</v>
      </c>
      <c r="D12" s="659">
        <f aca="true" t="shared" si="1" ref="D12:AB12">SUM(D13:D15)</f>
        <v>0</v>
      </c>
      <c r="E12" s="659">
        <f t="shared" si="1"/>
        <v>0</v>
      </c>
      <c r="F12" s="659">
        <f t="shared" si="1"/>
        <v>0</v>
      </c>
      <c r="G12" s="659">
        <f t="shared" si="1"/>
        <v>0</v>
      </c>
      <c r="H12" s="659">
        <f t="shared" si="1"/>
        <v>0</v>
      </c>
      <c r="I12" s="659">
        <f t="shared" si="1"/>
        <v>0</v>
      </c>
      <c r="J12" s="659">
        <f t="shared" si="1"/>
        <v>0</v>
      </c>
      <c r="K12" s="659">
        <f t="shared" si="1"/>
        <v>0</v>
      </c>
      <c r="L12" s="659">
        <f t="shared" si="1"/>
        <v>0</v>
      </c>
      <c r="M12" s="659">
        <f t="shared" si="1"/>
        <v>0</v>
      </c>
      <c r="N12" s="659">
        <f t="shared" si="1"/>
        <v>0</v>
      </c>
      <c r="O12" s="659">
        <f t="shared" si="1"/>
        <v>0</v>
      </c>
      <c r="P12" s="659">
        <f>SUM(P13:P15)</f>
        <v>33418.2</v>
      </c>
      <c r="Q12" s="659">
        <f t="shared" si="1"/>
        <v>32461.489999999998</v>
      </c>
      <c r="R12" s="659">
        <f t="shared" si="1"/>
        <v>956.71</v>
      </c>
      <c r="S12" s="659">
        <f t="shared" si="1"/>
        <v>0</v>
      </c>
      <c r="T12" s="659">
        <f t="shared" si="1"/>
        <v>0</v>
      </c>
      <c r="U12" s="659">
        <f t="shared" si="1"/>
        <v>0</v>
      </c>
      <c r="V12" s="659">
        <f t="shared" si="1"/>
        <v>0</v>
      </c>
      <c r="W12" s="659">
        <f t="shared" si="1"/>
        <v>0</v>
      </c>
      <c r="X12" s="659">
        <f t="shared" si="1"/>
        <v>0</v>
      </c>
      <c r="Y12" s="659">
        <f t="shared" si="1"/>
        <v>0</v>
      </c>
      <c r="Z12" s="659">
        <f t="shared" si="1"/>
        <v>0</v>
      </c>
      <c r="AA12" s="659">
        <f t="shared" si="1"/>
        <v>0</v>
      </c>
      <c r="AB12" s="659">
        <f t="shared" si="1"/>
        <v>0</v>
      </c>
      <c r="AC12" s="660"/>
    </row>
    <row r="13" spans="1:40" s="667" customFormat="1" ht="25.5">
      <c r="A13" s="661"/>
      <c r="B13" s="662" t="s">
        <v>826</v>
      </c>
      <c r="C13" s="663">
        <f>+D13+P13+AB13</f>
        <v>17499.384</v>
      </c>
      <c r="D13" s="664"/>
      <c r="E13" s="664"/>
      <c r="F13" s="664"/>
      <c r="G13" s="663"/>
      <c r="H13" s="663"/>
      <c r="I13" s="663"/>
      <c r="J13" s="663"/>
      <c r="K13" s="663"/>
      <c r="L13" s="663"/>
      <c r="M13" s="663"/>
      <c r="N13" s="663"/>
      <c r="O13" s="663"/>
      <c r="P13" s="663">
        <f>Q13+R13</f>
        <v>17499.384</v>
      </c>
      <c r="Q13" s="663">
        <f>24999.12*70%</f>
        <v>17499.384</v>
      </c>
      <c r="R13" s="663"/>
      <c r="S13" s="663"/>
      <c r="T13" s="663"/>
      <c r="U13" s="663"/>
      <c r="V13" s="663"/>
      <c r="W13" s="663"/>
      <c r="X13" s="663"/>
      <c r="Y13" s="663"/>
      <c r="Z13" s="663"/>
      <c r="AA13" s="663"/>
      <c r="AB13" s="663"/>
      <c r="AC13" s="665"/>
      <c r="AD13" s="666"/>
      <c r="AE13" s="666"/>
      <c r="AF13" s="666"/>
      <c r="AG13" s="666"/>
      <c r="AH13" s="666"/>
      <c r="AI13" s="666"/>
      <c r="AJ13" s="666"/>
      <c r="AK13" s="666"/>
      <c r="AL13" s="666"/>
      <c r="AM13" s="666"/>
      <c r="AN13" s="666"/>
    </row>
    <row r="14" spans="1:40" s="667" customFormat="1" ht="25.5">
      <c r="A14" s="661"/>
      <c r="B14" s="662" t="s">
        <v>827</v>
      </c>
      <c r="C14" s="663">
        <f>+D14+P14+AB14</f>
        <v>7499.736000000001</v>
      </c>
      <c r="D14" s="664"/>
      <c r="E14" s="664"/>
      <c r="F14" s="664"/>
      <c r="G14" s="663"/>
      <c r="H14" s="663"/>
      <c r="I14" s="663"/>
      <c r="J14" s="663"/>
      <c r="K14" s="663"/>
      <c r="L14" s="663"/>
      <c r="M14" s="663"/>
      <c r="N14" s="663"/>
      <c r="O14" s="663"/>
      <c r="P14" s="663">
        <f>Q14+R14</f>
        <v>7499.736000000001</v>
      </c>
      <c r="Q14" s="663">
        <f>24999.12-Q13</f>
        <v>7499.736000000001</v>
      </c>
      <c r="R14" s="663"/>
      <c r="S14" s="663"/>
      <c r="T14" s="663"/>
      <c r="U14" s="663"/>
      <c r="V14" s="663"/>
      <c r="W14" s="663"/>
      <c r="X14" s="663"/>
      <c r="Y14" s="663"/>
      <c r="Z14" s="663"/>
      <c r="AA14" s="663"/>
      <c r="AB14" s="663"/>
      <c r="AC14" s="665"/>
      <c r="AD14" s="666"/>
      <c r="AE14" s="666"/>
      <c r="AF14" s="666"/>
      <c r="AG14" s="666"/>
      <c r="AH14" s="666"/>
      <c r="AI14" s="666"/>
      <c r="AJ14" s="666"/>
      <c r="AK14" s="666"/>
      <c r="AL14" s="666"/>
      <c r="AM14" s="666"/>
      <c r="AN14" s="666"/>
    </row>
    <row r="15" spans="1:40" s="667" customFormat="1" ht="25.5">
      <c r="A15" s="661"/>
      <c r="B15" s="662" t="s">
        <v>828</v>
      </c>
      <c r="C15" s="663">
        <f>+D15+P15+AB15</f>
        <v>8419.08</v>
      </c>
      <c r="D15" s="664"/>
      <c r="E15" s="664"/>
      <c r="F15" s="664"/>
      <c r="G15" s="663"/>
      <c r="H15" s="663"/>
      <c r="I15" s="663"/>
      <c r="J15" s="663"/>
      <c r="K15" s="663"/>
      <c r="L15" s="663"/>
      <c r="M15" s="663"/>
      <c r="N15" s="663"/>
      <c r="O15" s="663"/>
      <c r="P15" s="663">
        <f>Q15+R15</f>
        <v>8419.08</v>
      </c>
      <c r="Q15" s="663">
        <v>7462.37</v>
      </c>
      <c r="R15" s="682">
        <v>956.71</v>
      </c>
      <c r="S15" s="663"/>
      <c r="T15" s="663"/>
      <c r="U15" s="663"/>
      <c r="V15" s="663"/>
      <c r="W15" s="663"/>
      <c r="X15" s="663"/>
      <c r="Y15" s="663"/>
      <c r="Z15" s="663"/>
      <c r="AA15" s="663"/>
      <c r="AB15" s="663"/>
      <c r="AC15" s="665"/>
      <c r="AD15" s="666"/>
      <c r="AE15" s="666"/>
      <c r="AF15" s="666"/>
      <c r="AG15" s="666"/>
      <c r="AH15" s="666"/>
      <c r="AI15" s="666"/>
      <c r="AJ15" s="666"/>
      <c r="AK15" s="666"/>
      <c r="AL15" s="666"/>
      <c r="AM15" s="666"/>
      <c r="AN15" s="666"/>
    </row>
    <row r="16" spans="1:40" s="656" customFormat="1" ht="25.5">
      <c r="A16" s="651" t="s">
        <v>297</v>
      </c>
      <c r="B16" s="652" t="s">
        <v>556</v>
      </c>
      <c r="C16" s="653">
        <f>C19+C17+C20+C21</f>
        <v>9200.136135000002</v>
      </c>
      <c r="D16" s="653">
        <f aca="true" t="shared" si="2" ref="D16:AB16">D19+D17+D20+D21</f>
        <v>9200.136135000002</v>
      </c>
      <c r="E16" s="653">
        <f t="shared" si="2"/>
        <v>6712.744043000001</v>
      </c>
      <c r="F16" s="653">
        <f t="shared" si="2"/>
        <v>2487.392092</v>
      </c>
      <c r="G16" s="653" t="e">
        <f t="shared" si="2"/>
        <v>#REF!</v>
      </c>
      <c r="H16" s="653" t="e">
        <f t="shared" si="2"/>
        <v>#REF!</v>
      </c>
      <c r="I16" s="653" t="e">
        <f t="shared" si="2"/>
        <v>#REF!</v>
      </c>
      <c r="J16" s="653" t="e">
        <f t="shared" si="2"/>
        <v>#REF!</v>
      </c>
      <c r="K16" s="653" t="e">
        <f t="shared" si="2"/>
        <v>#REF!</v>
      </c>
      <c r="L16" s="653" t="e">
        <f t="shared" si="2"/>
        <v>#REF!</v>
      </c>
      <c r="M16" s="653" t="e">
        <f t="shared" si="2"/>
        <v>#REF!</v>
      </c>
      <c r="N16" s="653" t="e">
        <f t="shared" si="2"/>
        <v>#REF!</v>
      </c>
      <c r="O16" s="653" t="e">
        <f t="shared" si="2"/>
        <v>#REF!</v>
      </c>
      <c r="P16" s="653">
        <f t="shared" si="2"/>
        <v>0</v>
      </c>
      <c r="Q16" s="653">
        <f t="shared" si="2"/>
        <v>0</v>
      </c>
      <c r="R16" s="653">
        <f t="shared" si="2"/>
        <v>0</v>
      </c>
      <c r="S16" s="653" t="e">
        <f t="shared" si="2"/>
        <v>#REF!</v>
      </c>
      <c r="T16" s="653" t="e">
        <f t="shared" si="2"/>
        <v>#REF!</v>
      </c>
      <c r="U16" s="653" t="e">
        <f t="shared" si="2"/>
        <v>#REF!</v>
      </c>
      <c r="V16" s="653" t="e">
        <f t="shared" si="2"/>
        <v>#REF!</v>
      </c>
      <c r="W16" s="653" t="e">
        <f t="shared" si="2"/>
        <v>#REF!</v>
      </c>
      <c r="X16" s="653" t="e">
        <f t="shared" si="2"/>
        <v>#REF!</v>
      </c>
      <c r="Y16" s="653" t="e">
        <f t="shared" si="2"/>
        <v>#REF!</v>
      </c>
      <c r="Z16" s="653" t="e">
        <f t="shared" si="2"/>
        <v>#REF!</v>
      </c>
      <c r="AA16" s="653" t="e">
        <f t="shared" si="2"/>
        <v>#REF!</v>
      </c>
      <c r="AB16" s="653">
        <f t="shared" si="2"/>
        <v>0</v>
      </c>
      <c r="AC16" s="653"/>
      <c r="AD16" s="655"/>
      <c r="AE16" s="655">
        <f>SUM(AF16:AN16)</f>
        <v>0</v>
      </c>
      <c r="AF16" s="655">
        <f aca="true" t="shared" si="3" ref="AF16:AN16">SUM(AF20:AF106)</f>
        <v>0</v>
      </c>
      <c r="AG16" s="655">
        <f t="shared" si="3"/>
        <v>0</v>
      </c>
      <c r="AH16" s="655">
        <f t="shared" si="3"/>
        <v>0</v>
      </c>
      <c r="AI16" s="655">
        <f t="shared" si="3"/>
        <v>0</v>
      </c>
      <c r="AJ16" s="655">
        <f t="shared" si="3"/>
        <v>0</v>
      </c>
      <c r="AK16" s="655">
        <f t="shared" si="3"/>
        <v>0</v>
      </c>
      <c r="AL16" s="655">
        <f t="shared" si="3"/>
        <v>0</v>
      </c>
      <c r="AM16" s="655">
        <f t="shared" si="3"/>
        <v>0</v>
      </c>
      <c r="AN16" s="655">
        <f t="shared" si="3"/>
        <v>0</v>
      </c>
    </row>
    <row r="17" spans="1:40" s="402" customFormat="1" ht="12.75">
      <c r="A17" s="677" t="s">
        <v>307</v>
      </c>
      <c r="B17" s="678" t="s">
        <v>557</v>
      </c>
      <c r="C17" s="679"/>
      <c r="D17" s="679"/>
      <c r="E17" s="679"/>
      <c r="F17" s="679"/>
      <c r="G17" s="679"/>
      <c r="H17" s="679"/>
      <c r="I17" s="679"/>
      <c r="J17" s="679"/>
      <c r="K17" s="679"/>
      <c r="L17" s="679"/>
      <c r="M17" s="679"/>
      <c r="N17" s="679"/>
      <c r="O17" s="679"/>
      <c r="P17" s="679"/>
      <c r="Q17" s="679"/>
      <c r="R17" s="679"/>
      <c r="S17" s="679"/>
      <c r="T17" s="679"/>
      <c r="U17" s="679"/>
      <c r="V17" s="679"/>
      <c r="W17" s="679"/>
      <c r="X17" s="679"/>
      <c r="Y17" s="679"/>
      <c r="Z17" s="679"/>
      <c r="AA17" s="679"/>
      <c r="AB17" s="679"/>
      <c r="AC17" s="1058"/>
      <c r="AD17" s="680"/>
      <c r="AE17" s="680">
        <f>SUM(AF17:AN17)</f>
        <v>0</v>
      </c>
      <c r="AF17" s="680"/>
      <c r="AG17" s="680"/>
      <c r="AH17" s="680"/>
      <c r="AI17" s="680"/>
      <c r="AJ17" s="680"/>
      <c r="AK17" s="680"/>
      <c r="AL17" s="680"/>
      <c r="AM17" s="680"/>
      <c r="AN17" s="680"/>
    </row>
    <row r="18" spans="1:40" s="656" customFormat="1" ht="12.75">
      <c r="A18" s="651" t="s">
        <v>816</v>
      </c>
      <c r="B18" s="652" t="s">
        <v>813</v>
      </c>
      <c r="C18" s="653"/>
      <c r="D18" s="653"/>
      <c r="E18" s="653"/>
      <c r="F18" s="653"/>
      <c r="G18" s="653"/>
      <c r="H18" s="653"/>
      <c r="I18" s="653"/>
      <c r="J18" s="653"/>
      <c r="K18" s="653"/>
      <c r="L18" s="653"/>
      <c r="M18" s="653"/>
      <c r="N18" s="653"/>
      <c r="O18" s="653"/>
      <c r="P18" s="653"/>
      <c r="Q18" s="653"/>
      <c r="R18" s="653"/>
      <c r="S18" s="653"/>
      <c r="T18" s="653"/>
      <c r="U18" s="653"/>
      <c r="V18" s="653"/>
      <c r="W18" s="653"/>
      <c r="X18" s="653"/>
      <c r="Y18" s="653"/>
      <c r="Z18" s="653"/>
      <c r="AA18" s="653"/>
      <c r="AB18" s="653"/>
      <c r="AC18" s="1059"/>
      <c r="AD18" s="655"/>
      <c r="AE18" s="655"/>
      <c r="AF18" s="655"/>
      <c r="AG18" s="655"/>
      <c r="AH18" s="655"/>
      <c r="AI18" s="655"/>
      <c r="AJ18" s="655"/>
      <c r="AK18" s="655"/>
      <c r="AL18" s="655"/>
      <c r="AM18" s="655"/>
      <c r="AN18" s="655"/>
    </row>
    <row r="19" spans="1:40" s="656" customFormat="1" ht="13.5">
      <c r="A19" s="651" t="s">
        <v>815</v>
      </c>
      <c r="B19" s="652" t="s">
        <v>812</v>
      </c>
      <c r="C19" s="664"/>
      <c r="D19" s="664"/>
      <c r="E19" s="664"/>
      <c r="F19" s="664"/>
      <c r="G19" s="664" t="e">
        <f>#REF!+#REF!</f>
        <v>#REF!</v>
      </c>
      <c r="H19" s="664" t="e">
        <f>#REF!+#REF!</f>
        <v>#REF!</v>
      </c>
      <c r="I19" s="664" t="e">
        <f>#REF!+#REF!</f>
        <v>#REF!</v>
      </c>
      <c r="J19" s="664" t="e">
        <f>#REF!+#REF!</f>
        <v>#REF!</v>
      </c>
      <c r="K19" s="664" t="e">
        <f>#REF!+#REF!</f>
        <v>#REF!</v>
      </c>
      <c r="L19" s="664" t="e">
        <f>#REF!+#REF!</f>
        <v>#REF!</v>
      </c>
      <c r="M19" s="664" t="e">
        <f>#REF!+#REF!</f>
        <v>#REF!</v>
      </c>
      <c r="N19" s="664" t="e">
        <f>#REF!+#REF!</f>
        <v>#REF!</v>
      </c>
      <c r="O19" s="664" t="e">
        <f>#REF!+#REF!</f>
        <v>#REF!</v>
      </c>
      <c r="P19" s="664"/>
      <c r="Q19" s="664"/>
      <c r="R19" s="664"/>
      <c r="S19" s="664" t="e">
        <f>#REF!+#REF!</f>
        <v>#REF!</v>
      </c>
      <c r="T19" s="664" t="e">
        <f>#REF!+#REF!</f>
        <v>#REF!</v>
      </c>
      <c r="U19" s="664" t="e">
        <f>#REF!+#REF!</f>
        <v>#REF!</v>
      </c>
      <c r="V19" s="664" t="e">
        <f>#REF!+#REF!</f>
        <v>#REF!</v>
      </c>
      <c r="W19" s="664" t="e">
        <f>#REF!+#REF!</f>
        <v>#REF!</v>
      </c>
      <c r="X19" s="664" t="e">
        <f>#REF!+#REF!</f>
        <v>#REF!</v>
      </c>
      <c r="Y19" s="664" t="e">
        <f>#REF!+#REF!</f>
        <v>#REF!</v>
      </c>
      <c r="Z19" s="664" t="e">
        <f>#REF!+#REF!</f>
        <v>#REF!</v>
      </c>
      <c r="AA19" s="664" t="e">
        <f>#REF!+#REF!</f>
        <v>#REF!</v>
      </c>
      <c r="AB19" s="664"/>
      <c r="AC19" s="654"/>
      <c r="AD19" s="655"/>
      <c r="AE19" s="655"/>
      <c r="AF19" s="655"/>
      <c r="AG19" s="655"/>
      <c r="AH19" s="655"/>
      <c r="AI19" s="655"/>
      <c r="AJ19" s="655"/>
      <c r="AK19" s="655"/>
      <c r="AL19" s="655"/>
      <c r="AM19" s="655"/>
      <c r="AN19" s="655"/>
    </row>
    <row r="20" spans="1:40" s="656" customFormat="1" ht="25.5">
      <c r="A20" s="651" t="s">
        <v>363</v>
      </c>
      <c r="B20" s="652" t="s">
        <v>588</v>
      </c>
      <c r="C20" s="664">
        <f>D20+P20+AB20</f>
        <v>0</v>
      </c>
      <c r="D20" s="664">
        <f>E20+F20</f>
        <v>0</v>
      </c>
      <c r="E20" s="664">
        <f>F20+G20</f>
        <v>0</v>
      </c>
      <c r="F20" s="664">
        <f>SUM(G20:O20)</f>
        <v>0</v>
      </c>
      <c r="G20" s="664"/>
      <c r="H20" s="664"/>
      <c r="I20" s="664"/>
      <c r="J20" s="664"/>
      <c r="K20" s="664"/>
      <c r="L20" s="664"/>
      <c r="M20" s="664"/>
      <c r="N20" s="664"/>
      <c r="O20" s="664"/>
      <c r="P20" s="653">
        <f>Q20+R20</f>
        <v>0</v>
      </c>
      <c r="Q20" s="664"/>
      <c r="R20" s="653">
        <f>SUM(S20:AB20)</f>
        <v>0</v>
      </c>
      <c r="S20" s="664"/>
      <c r="T20" s="664"/>
      <c r="U20" s="664"/>
      <c r="V20" s="664"/>
      <c r="W20" s="664"/>
      <c r="X20" s="664"/>
      <c r="Y20" s="664"/>
      <c r="Z20" s="664"/>
      <c r="AA20" s="664"/>
      <c r="AB20" s="664"/>
      <c r="AC20" s="654"/>
      <c r="AD20" s="655"/>
      <c r="AE20" s="655">
        <f>SUM(AF20:AN20)</f>
        <v>0</v>
      </c>
      <c r="AF20" s="655"/>
      <c r="AG20" s="655"/>
      <c r="AH20" s="655"/>
      <c r="AI20" s="655"/>
      <c r="AJ20" s="655"/>
      <c r="AK20" s="655"/>
      <c r="AL20" s="655"/>
      <c r="AM20" s="655"/>
      <c r="AN20" s="655"/>
    </row>
    <row r="21" spans="1:40" s="402" customFormat="1" ht="12.75">
      <c r="A21" s="677" t="s">
        <v>381</v>
      </c>
      <c r="B21" s="678" t="s">
        <v>464</v>
      </c>
      <c r="C21" s="679">
        <f>C22+C104</f>
        <v>9200.136135000002</v>
      </c>
      <c r="D21" s="679">
        <f aca="true" t="shared" si="4" ref="D21:AB21">D22+D104</f>
        <v>9200.136135000002</v>
      </c>
      <c r="E21" s="679">
        <f t="shared" si="4"/>
        <v>6712.744043000001</v>
      </c>
      <c r="F21" s="679">
        <f t="shared" si="4"/>
        <v>2487.392092</v>
      </c>
      <c r="G21" s="679">
        <f t="shared" si="4"/>
        <v>433.42</v>
      </c>
      <c r="H21" s="679">
        <f t="shared" si="4"/>
        <v>217.04800000000003</v>
      </c>
      <c r="I21" s="679">
        <f t="shared" si="4"/>
        <v>371.5272</v>
      </c>
      <c r="J21" s="679">
        <f t="shared" si="4"/>
        <v>583.7503320000001</v>
      </c>
      <c r="K21" s="679">
        <f t="shared" si="4"/>
        <v>211.27456</v>
      </c>
      <c r="L21" s="679">
        <f t="shared" si="4"/>
        <v>35.936</v>
      </c>
      <c r="M21" s="679">
        <f t="shared" si="4"/>
        <v>35.8</v>
      </c>
      <c r="N21" s="679">
        <f t="shared" si="4"/>
        <v>259.76800000000003</v>
      </c>
      <c r="O21" s="679">
        <f t="shared" si="4"/>
        <v>338.86800000000005</v>
      </c>
      <c r="P21" s="679">
        <f t="shared" si="4"/>
        <v>0</v>
      </c>
      <c r="Q21" s="679">
        <f t="shared" si="4"/>
        <v>0</v>
      </c>
      <c r="R21" s="679">
        <f t="shared" si="4"/>
        <v>0</v>
      </c>
      <c r="S21" s="679">
        <f t="shared" si="4"/>
        <v>0</v>
      </c>
      <c r="T21" s="679">
        <f t="shared" si="4"/>
        <v>0</v>
      </c>
      <c r="U21" s="679">
        <f t="shared" si="4"/>
        <v>0</v>
      </c>
      <c r="V21" s="679">
        <f t="shared" si="4"/>
        <v>0</v>
      </c>
      <c r="W21" s="679">
        <f t="shared" si="4"/>
        <v>0</v>
      </c>
      <c r="X21" s="679">
        <f t="shared" si="4"/>
        <v>0</v>
      </c>
      <c r="Y21" s="679">
        <f t="shared" si="4"/>
        <v>0</v>
      </c>
      <c r="Z21" s="679">
        <f t="shared" si="4"/>
        <v>0</v>
      </c>
      <c r="AA21" s="679">
        <f t="shared" si="4"/>
        <v>0</v>
      </c>
      <c r="AB21" s="679">
        <f t="shared" si="4"/>
        <v>0</v>
      </c>
      <c r="AC21" s="679"/>
      <c r="AD21" s="680"/>
      <c r="AE21" s="680">
        <f>SUM(AF21:AN21)</f>
        <v>0</v>
      </c>
      <c r="AF21" s="680"/>
      <c r="AG21" s="680"/>
      <c r="AH21" s="680"/>
      <c r="AI21" s="680"/>
      <c r="AJ21" s="680"/>
      <c r="AK21" s="680"/>
      <c r="AL21" s="680"/>
      <c r="AM21" s="680"/>
      <c r="AN21" s="680"/>
    </row>
    <row r="22" spans="1:40" s="402" customFormat="1" ht="12.75">
      <c r="A22" s="651" t="s">
        <v>814</v>
      </c>
      <c r="B22" s="652" t="s">
        <v>812</v>
      </c>
      <c r="C22" s="679">
        <f>C23+C64</f>
        <v>9200.136135000002</v>
      </c>
      <c r="D22" s="679">
        <f aca="true" t="shared" si="5" ref="D22:AB22">D23+D64</f>
        <v>9200.136135000002</v>
      </c>
      <c r="E22" s="679">
        <f t="shared" si="5"/>
        <v>6712.744043000001</v>
      </c>
      <c r="F22" s="679">
        <f t="shared" si="5"/>
        <v>2487.392092</v>
      </c>
      <c r="G22" s="679">
        <f t="shared" si="5"/>
        <v>433.42</v>
      </c>
      <c r="H22" s="679">
        <f t="shared" si="5"/>
        <v>217.04800000000003</v>
      </c>
      <c r="I22" s="679">
        <f t="shared" si="5"/>
        <v>371.5272</v>
      </c>
      <c r="J22" s="679">
        <f t="shared" si="5"/>
        <v>583.7503320000001</v>
      </c>
      <c r="K22" s="679">
        <f t="shared" si="5"/>
        <v>211.27456</v>
      </c>
      <c r="L22" s="679">
        <f t="shared" si="5"/>
        <v>35.936</v>
      </c>
      <c r="M22" s="679">
        <f t="shared" si="5"/>
        <v>35.8</v>
      </c>
      <c r="N22" s="679">
        <f t="shared" si="5"/>
        <v>259.76800000000003</v>
      </c>
      <c r="O22" s="679">
        <f t="shared" si="5"/>
        <v>338.86800000000005</v>
      </c>
      <c r="P22" s="679">
        <f t="shared" si="5"/>
        <v>0</v>
      </c>
      <c r="Q22" s="679">
        <f t="shared" si="5"/>
        <v>0</v>
      </c>
      <c r="R22" s="679">
        <f t="shared" si="5"/>
        <v>0</v>
      </c>
      <c r="S22" s="679">
        <f t="shared" si="5"/>
        <v>0</v>
      </c>
      <c r="T22" s="679">
        <f t="shared" si="5"/>
        <v>0</v>
      </c>
      <c r="U22" s="679">
        <f t="shared" si="5"/>
        <v>0</v>
      </c>
      <c r="V22" s="679">
        <f t="shared" si="5"/>
        <v>0</v>
      </c>
      <c r="W22" s="679">
        <f t="shared" si="5"/>
        <v>0</v>
      </c>
      <c r="X22" s="679">
        <f t="shared" si="5"/>
        <v>0</v>
      </c>
      <c r="Y22" s="679">
        <f t="shared" si="5"/>
        <v>0</v>
      </c>
      <c r="Z22" s="679">
        <f t="shared" si="5"/>
        <v>0</v>
      </c>
      <c r="AA22" s="679">
        <f t="shared" si="5"/>
        <v>0</v>
      </c>
      <c r="AB22" s="679">
        <f t="shared" si="5"/>
        <v>0</v>
      </c>
      <c r="AC22" s="679"/>
      <c r="AD22" s="680"/>
      <c r="AE22" s="680"/>
      <c r="AF22" s="680"/>
      <c r="AG22" s="680"/>
      <c r="AH22" s="680"/>
      <c r="AI22" s="680"/>
      <c r="AJ22" s="680"/>
      <c r="AK22" s="680"/>
      <c r="AL22" s="680"/>
      <c r="AM22" s="680"/>
      <c r="AN22" s="680"/>
    </row>
    <row r="23" spans="1:40" s="656" customFormat="1" ht="13.5">
      <c r="A23" s="651" t="s">
        <v>1098</v>
      </c>
      <c r="B23" s="652" t="s">
        <v>1099</v>
      </c>
      <c r="C23" s="664">
        <f aca="true" t="shared" si="6" ref="C23:AB23">C24+C26+C28+C33+C36+C41+C47+C50+C58+C54</f>
        <v>8578.288112000002</v>
      </c>
      <c r="D23" s="664">
        <f t="shared" si="6"/>
        <v>8578.288112000002</v>
      </c>
      <c r="E23" s="664">
        <f t="shared" si="6"/>
        <v>6712.744043000001</v>
      </c>
      <c r="F23" s="664">
        <f t="shared" si="6"/>
        <v>1865.544069</v>
      </c>
      <c r="G23" s="664">
        <f t="shared" si="6"/>
        <v>325.065</v>
      </c>
      <c r="H23" s="664">
        <f t="shared" si="6"/>
        <v>162.78600000000003</v>
      </c>
      <c r="I23" s="664">
        <f t="shared" si="6"/>
        <v>278.6454</v>
      </c>
      <c r="J23" s="664">
        <f t="shared" si="6"/>
        <v>437.81274900000005</v>
      </c>
      <c r="K23" s="664">
        <f t="shared" si="6"/>
        <v>158.45592</v>
      </c>
      <c r="L23" s="664">
        <f t="shared" si="6"/>
        <v>26.951999999999998</v>
      </c>
      <c r="M23" s="664">
        <f t="shared" si="6"/>
        <v>26.849999999999998</v>
      </c>
      <c r="N23" s="664">
        <f t="shared" si="6"/>
        <v>194.826</v>
      </c>
      <c r="O23" s="664">
        <f t="shared" si="6"/>
        <v>254.15100000000004</v>
      </c>
      <c r="P23" s="664">
        <f t="shared" si="6"/>
        <v>0</v>
      </c>
      <c r="Q23" s="664">
        <f t="shared" si="6"/>
        <v>0</v>
      </c>
      <c r="R23" s="664">
        <f t="shared" si="6"/>
        <v>0</v>
      </c>
      <c r="S23" s="664">
        <f t="shared" si="6"/>
        <v>0</v>
      </c>
      <c r="T23" s="664">
        <f t="shared" si="6"/>
        <v>0</v>
      </c>
      <c r="U23" s="664">
        <f t="shared" si="6"/>
        <v>0</v>
      </c>
      <c r="V23" s="664">
        <f t="shared" si="6"/>
        <v>0</v>
      </c>
      <c r="W23" s="664">
        <f t="shared" si="6"/>
        <v>0</v>
      </c>
      <c r="X23" s="664">
        <f t="shared" si="6"/>
        <v>0</v>
      </c>
      <c r="Y23" s="664">
        <f t="shared" si="6"/>
        <v>0</v>
      </c>
      <c r="Z23" s="664">
        <f t="shared" si="6"/>
        <v>0</v>
      </c>
      <c r="AA23" s="664">
        <f t="shared" si="6"/>
        <v>0</v>
      </c>
      <c r="AB23" s="664">
        <f t="shared" si="6"/>
        <v>0</v>
      </c>
      <c r="AC23" s="664"/>
      <c r="AD23" s="655"/>
      <c r="AE23" s="655"/>
      <c r="AF23" s="655"/>
      <c r="AG23" s="655"/>
      <c r="AH23" s="655"/>
      <c r="AI23" s="655"/>
      <c r="AJ23" s="655"/>
      <c r="AK23" s="655"/>
      <c r="AL23" s="655"/>
      <c r="AM23" s="655"/>
      <c r="AN23" s="655"/>
    </row>
    <row r="24" spans="1:40" s="656" customFormat="1" ht="12.75">
      <c r="A24" s="651">
        <v>1</v>
      </c>
      <c r="B24" s="652" t="s">
        <v>589</v>
      </c>
      <c r="C24" s="653">
        <f>SUM(C25)</f>
        <v>0</v>
      </c>
      <c r="D24" s="653">
        <f aca="true" t="shared" si="7" ref="D24:AB24">SUM(D25)</f>
        <v>0</v>
      </c>
      <c r="E24" s="653">
        <f t="shared" si="7"/>
        <v>0</v>
      </c>
      <c r="F24" s="653">
        <f t="shared" si="7"/>
        <v>0</v>
      </c>
      <c r="G24" s="653">
        <f t="shared" si="7"/>
        <v>0</v>
      </c>
      <c r="H24" s="653">
        <f t="shared" si="7"/>
        <v>0</v>
      </c>
      <c r="I24" s="653">
        <f t="shared" si="7"/>
        <v>0</v>
      </c>
      <c r="J24" s="653">
        <f t="shared" si="7"/>
        <v>0</v>
      </c>
      <c r="K24" s="653">
        <f t="shared" si="7"/>
        <v>0</v>
      </c>
      <c r="L24" s="653">
        <f t="shared" si="7"/>
        <v>0</v>
      </c>
      <c r="M24" s="653">
        <f t="shared" si="7"/>
        <v>0</v>
      </c>
      <c r="N24" s="653">
        <f t="shared" si="7"/>
        <v>0</v>
      </c>
      <c r="O24" s="653">
        <f t="shared" si="7"/>
        <v>0</v>
      </c>
      <c r="P24" s="653">
        <f t="shared" si="7"/>
        <v>0</v>
      </c>
      <c r="Q24" s="653">
        <f t="shared" si="7"/>
        <v>0</v>
      </c>
      <c r="R24" s="653">
        <f t="shared" si="7"/>
        <v>0</v>
      </c>
      <c r="S24" s="653">
        <f t="shared" si="7"/>
        <v>0</v>
      </c>
      <c r="T24" s="653">
        <f t="shared" si="7"/>
        <v>0</v>
      </c>
      <c r="U24" s="653">
        <f t="shared" si="7"/>
        <v>0</v>
      </c>
      <c r="V24" s="653">
        <f t="shared" si="7"/>
        <v>0</v>
      </c>
      <c r="W24" s="653">
        <f t="shared" si="7"/>
        <v>0</v>
      </c>
      <c r="X24" s="653">
        <f t="shared" si="7"/>
        <v>0</v>
      </c>
      <c r="Y24" s="653">
        <f t="shared" si="7"/>
        <v>0</v>
      </c>
      <c r="Z24" s="653">
        <f t="shared" si="7"/>
        <v>0</v>
      </c>
      <c r="AA24" s="653">
        <f t="shared" si="7"/>
        <v>0</v>
      </c>
      <c r="AB24" s="653">
        <f t="shared" si="7"/>
        <v>0</v>
      </c>
      <c r="AC24" s="653"/>
      <c r="AD24" s="655"/>
      <c r="AE24" s="655">
        <f>SUM(AF24:AN24)</f>
        <v>0</v>
      </c>
      <c r="AF24" s="655"/>
      <c r="AG24" s="655"/>
      <c r="AH24" s="655"/>
      <c r="AI24" s="655"/>
      <c r="AJ24" s="655"/>
      <c r="AK24" s="655"/>
      <c r="AL24" s="655"/>
      <c r="AM24" s="655"/>
      <c r="AN24" s="655"/>
    </row>
    <row r="25" spans="1:40" s="667" customFormat="1" ht="12.75" hidden="1">
      <c r="A25" s="661"/>
      <c r="B25" s="710"/>
      <c r="C25" s="659"/>
      <c r="D25" s="659"/>
      <c r="E25" s="659"/>
      <c r="F25" s="659"/>
      <c r="G25" s="663"/>
      <c r="H25" s="663"/>
      <c r="I25" s="663"/>
      <c r="J25" s="663"/>
      <c r="K25" s="663"/>
      <c r="L25" s="663"/>
      <c r="M25" s="663"/>
      <c r="N25" s="663"/>
      <c r="O25" s="663"/>
      <c r="P25" s="659"/>
      <c r="Q25" s="663"/>
      <c r="R25" s="663"/>
      <c r="S25" s="663"/>
      <c r="T25" s="663"/>
      <c r="U25" s="663"/>
      <c r="V25" s="663"/>
      <c r="W25" s="663"/>
      <c r="X25" s="663"/>
      <c r="Y25" s="663"/>
      <c r="Z25" s="663"/>
      <c r="AA25" s="663"/>
      <c r="AB25" s="663"/>
      <c r="AC25" s="665"/>
      <c r="AD25" s="666"/>
      <c r="AE25" s="640"/>
      <c r="AF25" s="666"/>
      <c r="AG25" s="666"/>
      <c r="AH25" s="666"/>
      <c r="AI25" s="666"/>
      <c r="AJ25" s="666"/>
      <c r="AK25" s="666"/>
      <c r="AL25" s="666"/>
      <c r="AM25" s="666"/>
      <c r="AN25" s="666"/>
    </row>
    <row r="26" spans="1:40" s="671" customFormat="1" ht="13.5">
      <c r="A26" s="668">
        <v>2</v>
      </c>
      <c r="B26" s="669" t="s">
        <v>590</v>
      </c>
      <c r="C26" s="664">
        <f aca="true" t="shared" si="8" ref="C26:AB26">SUM(C27:C27)</f>
        <v>287.5</v>
      </c>
      <c r="D26" s="664">
        <f t="shared" si="8"/>
        <v>287.5</v>
      </c>
      <c r="E26" s="664">
        <f t="shared" si="8"/>
        <v>287.5</v>
      </c>
      <c r="F26" s="664">
        <f t="shared" si="8"/>
        <v>0</v>
      </c>
      <c r="G26" s="664">
        <f t="shared" si="8"/>
        <v>0</v>
      </c>
      <c r="H26" s="664">
        <f t="shared" si="8"/>
        <v>0</v>
      </c>
      <c r="I26" s="664">
        <f t="shared" si="8"/>
        <v>0</v>
      </c>
      <c r="J26" s="664">
        <f t="shared" si="8"/>
        <v>0</v>
      </c>
      <c r="K26" s="664">
        <f t="shared" si="8"/>
        <v>0</v>
      </c>
      <c r="L26" s="664">
        <f t="shared" si="8"/>
        <v>0</v>
      </c>
      <c r="M26" s="664">
        <f t="shared" si="8"/>
        <v>0</v>
      </c>
      <c r="N26" s="664">
        <f t="shared" si="8"/>
        <v>0</v>
      </c>
      <c r="O26" s="664">
        <f t="shared" si="8"/>
        <v>0</v>
      </c>
      <c r="P26" s="664">
        <f t="shared" si="8"/>
        <v>0</v>
      </c>
      <c r="Q26" s="664">
        <f t="shared" si="8"/>
        <v>0</v>
      </c>
      <c r="R26" s="664">
        <f t="shared" si="8"/>
        <v>0</v>
      </c>
      <c r="S26" s="664">
        <f t="shared" si="8"/>
        <v>0</v>
      </c>
      <c r="T26" s="664">
        <f t="shared" si="8"/>
        <v>0</v>
      </c>
      <c r="U26" s="664">
        <f t="shared" si="8"/>
        <v>0</v>
      </c>
      <c r="V26" s="664">
        <f t="shared" si="8"/>
        <v>0</v>
      </c>
      <c r="W26" s="664">
        <f t="shared" si="8"/>
        <v>0</v>
      </c>
      <c r="X26" s="664">
        <f t="shared" si="8"/>
        <v>0</v>
      </c>
      <c r="Y26" s="664">
        <f t="shared" si="8"/>
        <v>0</v>
      </c>
      <c r="Z26" s="664">
        <f t="shared" si="8"/>
        <v>0</v>
      </c>
      <c r="AA26" s="664">
        <f t="shared" si="8"/>
        <v>0</v>
      </c>
      <c r="AB26" s="664">
        <f t="shared" si="8"/>
        <v>0</v>
      </c>
      <c r="AC26" s="672"/>
      <c r="AD26" s="670"/>
      <c r="AE26" s="655">
        <f>SUM(AF26:AN26)</f>
        <v>0</v>
      </c>
      <c r="AF26" s="670"/>
      <c r="AG26" s="670"/>
      <c r="AH26" s="670"/>
      <c r="AI26" s="670"/>
      <c r="AJ26" s="670"/>
      <c r="AK26" s="670"/>
      <c r="AL26" s="670"/>
      <c r="AM26" s="670"/>
      <c r="AN26" s="670"/>
    </row>
    <row r="27" spans="1:40" s="667" customFormat="1" ht="26.25" customHeight="1">
      <c r="A27" s="661"/>
      <c r="B27" s="662" t="s">
        <v>1067</v>
      </c>
      <c r="C27" s="659">
        <f>D27+P27</f>
        <v>287.5</v>
      </c>
      <c r="D27" s="659">
        <f>SUM(E27:F27)</f>
        <v>287.5</v>
      </c>
      <c r="E27" s="663">
        <f>252+35.5</f>
        <v>287.5</v>
      </c>
      <c r="F27" s="663"/>
      <c r="G27" s="663"/>
      <c r="H27" s="663"/>
      <c r="I27" s="663"/>
      <c r="J27" s="663"/>
      <c r="K27" s="663"/>
      <c r="L27" s="663"/>
      <c r="M27" s="663"/>
      <c r="N27" s="663"/>
      <c r="O27" s="663"/>
      <c r="P27" s="663"/>
      <c r="Q27" s="663"/>
      <c r="R27" s="663"/>
      <c r="S27" s="663"/>
      <c r="T27" s="663"/>
      <c r="U27" s="663"/>
      <c r="V27" s="663"/>
      <c r="W27" s="663"/>
      <c r="X27" s="663"/>
      <c r="Y27" s="663"/>
      <c r="Z27" s="663"/>
      <c r="AA27" s="663"/>
      <c r="AB27" s="663"/>
      <c r="AC27" s="665"/>
      <c r="AD27" s="666"/>
      <c r="AE27" s="640"/>
      <c r="AF27" s="666"/>
      <c r="AG27" s="666"/>
      <c r="AH27" s="666"/>
      <c r="AI27" s="666"/>
      <c r="AJ27" s="666"/>
      <c r="AK27" s="666"/>
      <c r="AL27" s="666"/>
      <c r="AM27" s="666"/>
      <c r="AN27" s="666"/>
    </row>
    <row r="28" spans="1:40" s="671" customFormat="1" ht="13.5">
      <c r="A28" s="668">
        <v>3</v>
      </c>
      <c r="B28" s="669" t="s">
        <v>591</v>
      </c>
      <c r="C28" s="664">
        <f>SUM(C29:C32)</f>
        <v>507.332</v>
      </c>
      <c r="D28" s="664">
        <f aca="true" t="shared" si="9" ref="D28:AB28">SUM(D29:D32)</f>
        <v>507.332</v>
      </c>
      <c r="E28" s="664">
        <f t="shared" si="9"/>
        <v>507.332</v>
      </c>
      <c r="F28" s="664">
        <f t="shared" si="9"/>
        <v>0</v>
      </c>
      <c r="G28" s="664">
        <f t="shared" si="9"/>
        <v>0</v>
      </c>
      <c r="H28" s="664">
        <f t="shared" si="9"/>
        <v>0</v>
      </c>
      <c r="I28" s="664">
        <f t="shared" si="9"/>
        <v>0</v>
      </c>
      <c r="J28" s="664">
        <f t="shared" si="9"/>
        <v>0</v>
      </c>
      <c r="K28" s="664">
        <f t="shared" si="9"/>
        <v>0</v>
      </c>
      <c r="L28" s="664">
        <f t="shared" si="9"/>
        <v>0</v>
      </c>
      <c r="M28" s="664">
        <f t="shared" si="9"/>
        <v>0</v>
      </c>
      <c r="N28" s="664">
        <f t="shared" si="9"/>
        <v>0</v>
      </c>
      <c r="O28" s="664">
        <f t="shared" si="9"/>
        <v>0</v>
      </c>
      <c r="P28" s="664">
        <f t="shared" si="9"/>
        <v>0</v>
      </c>
      <c r="Q28" s="664">
        <f t="shared" si="9"/>
        <v>0</v>
      </c>
      <c r="R28" s="664">
        <f t="shared" si="9"/>
        <v>0</v>
      </c>
      <c r="S28" s="664">
        <f t="shared" si="9"/>
        <v>0</v>
      </c>
      <c r="T28" s="664">
        <f t="shared" si="9"/>
        <v>0</v>
      </c>
      <c r="U28" s="664">
        <f t="shared" si="9"/>
        <v>0</v>
      </c>
      <c r="V28" s="664">
        <f t="shared" si="9"/>
        <v>0</v>
      </c>
      <c r="W28" s="664">
        <f t="shared" si="9"/>
        <v>0</v>
      </c>
      <c r="X28" s="664">
        <f t="shared" si="9"/>
        <v>0</v>
      </c>
      <c r="Y28" s="664">
        <f t="shared" si="9"/>
        <v>0</v>
      </c>
      <c r="Z28" s="664">
        <f t="shared" si="9"/>
        <v>0</v>
      </c>
      <c r="AA28" s="664">
        <f t="shared" si="9"/>
        <v>0</v>
      </c>
      <c r="AB28" s="664">
        <f t="shared" si="9"/>
        <v>0</v>
      </c>
      <c r="AC28" s="664"/>
      <c r="AD28" s="670"/>
      <c r="AE28" s="655">
        <f>SUM(AF28:AN28)</f>
        <v>0</v>
      </c>
      <c r="AF28" s="670"/>
      <c r="AG28" s="670"/>
      <c r="AH28" s="670"/>
      <c r="AI28" s="670"/>
      <c r="AJ28" s="670"/>
      <c r="AK28" s="670"/>
      <c r="AL28" s="670"/>
      <c r="AM28" s="670"/>
      <c r="AN28" s="670"/>
    </row>
    <row r="29" spans="1:40" s="667" customFormat="1" ht="12.75">
      <c r="A29" s="661"/>
      <c r="B29" s="662" t="s">
        <v>1068</v>
      </c>
      <c r="C29" s="659">
        <f>D29+P29</f>
        <v>49</v>
      </c>
      <c r="D29" s="659">
        <f>SUM(E29:F29)</f>
        <v>49</v>
      </c>
      <c r="E29" s="659">
        <v>49</v>
      </c>
      <c r="F29" s="659"/>
      <c r="G29" s="663"/>
      <c r="H29" s="663"/>
      <c r="I29" s="663"/>
      <c r="J29" s="663"/>
      <c r="K29" s="663"/>
      <c r="L29" s="663"/>
      <c r="M29" s="663"/>
      <c r="N29" s="663"/>
      <c r="O29" s="663"/>
      <c r="P29" s="663"/>
      <c r="Q29" s="663"/>
      <c r="R29" s="663"/>
      <c r="S29" s="663"/>
      <c r="T29" s="663"/>
      <c r="U29" s="663"/>
      <c r="V29" s="663"/>
      <c r="W29" s="663"/>
      <c r="X29" s="663"/>
      <c r="Y29" s="663"/>
      <c r="Z29" s="663"/>
      <c r="AA29" s="663"/>
      <c r="AB29" s="663"/>
      <c r="AC29" s="665"/>
      <c r="AD29" s="666"/>
      <c r="AE29" s="655"/>
      <c r="AF29" s="666"/>
      <c r="AG29" s="666"/>
      <c r="AH29" s="666"/>
      <c r="AI29" s="666"/>
      <c r="AJ29" s="666"/>
      <c r="AK29" s="666"/>
      <c r="AL29" s="666"/>
      <c r="AM29" s="666"/>
      <c r="AN29" s="666"/>
    </row>
    <row r="30" spans="1:40" s="667" customFormat="1" ht="12.75">
      <c r="A30" s="661"/>
      <c r="B30" s="662" t="s">
        <v>1069</v>
      </c>
      <c r="C30" s="659">
        <f>D30+P30</f>
        <v>47</v>
      </c>
      <c r="D30" s="659">
        <f>SUM(E30:F30)</f>
        <v>47</v>
      </c>
      <c r="E30" s="659">
        <v>47</v>
      </c>
      <c r="F30" s="659"/>
      <c r="G30" s="663"/>
      <c r="H30" s="663"/>
      <c r="I30" s="663"/>
      <c r="J30" s="663"/>
      <c r="K30" s="663"/>
      <c r="L30" s="663"/>
      <c r="M30" s="663"/>
      <c r="N30" s="663"/>
      <c r="O30" s="663"/>
      <c r="P30" s="663"/>
      <c r="Q30" s="663"/>
      <c r="R30" s="663"/>
      <c r="S30" s="663"/>
      <c r="T30" s="663"/>
      <c r="U30" s="663"/>
      <c r="V30" s="663"/>
      <c r="W30" s="663"/>
      <c r="X30" s="663"/>
      <c r="Y30" s="663"/>
      <c r="Z30" s="663"/>
      <c r="AA30" s="663"/>
      <c r="AB30" s="663"/>
      <c r="AC30" s="665"/>
      <c r="AD30" s="666"/>
      <c r="AE30" s="655"/>
      <c r="AF30" s="666"/>
      <c r="AG30" s="666"/>
      <c r="AH30" s="666"/>
      <c r="AI30" s="666"/>
      <c r="AJ30" s="666"/>
      <c r="AK30" s="666"/>
      <c r="AL30" s="666"/>
      <c r="AM30" s="666"/>
      <c r="AN30" s="666"/>
    </row>
    <row r="31" spans="1:40" s="667" customFormat="1" ht="12.75">
      <c r="A31" s="661"/>
      <c r="B31" s="662" t="s">
        <v>1070</v>
      </c>
      <c r="C31" s="659">
        <f>D31+P31</f>
        <v>377</v>
      </c>
      <c r="D31" s="659">
        <f>SUM(E31:F31)</f>
        <v>377</v>
      </c>
      <c r="E31" s="659">
        <v>377</v>
      </c>
      <c r="F31" s="659"/>
      <c r="G31" s="663"/>
      <c r="H31" s="663"/>
      <c r="I31" s="663"/>
      <c r="J31" s="663"/>
      <c r="K31" s="663"/>
      <c r="L31" s="663"/>
      <c r="M31" s="663"/>
      <c r="N31" s="663"/>
      <c r="O31" s="663"/>
      <c r="P31" s="663"/>
      <c r="Q31" s="663"/>
      <c r="R31" s="663"/>
      <c r="S31" s="663"/>
      <c r="T31" s="663"/>
      <c r="U31" s="663"/>
      <c r="V31" s="663"/>
      <c r="W31" s="663"/>
      <c r="X31" s="663"/>
      <c r="Y31" s="663"/>
      <c r="Z31" s="663"/>
      <c r="AA31" s="663"/>
      <c r="AB31" s="663"/>
      <c r="AC31" s="665"/>
      <c r="AD31" s="666"/>
      <c r="AE31" s="655"/>
      <c r="AF31" s="666"/>
      <c r="AG31" s="666"/>
      <c r="AH31" s="666"/>
      <c r="AI31" s="666"/>
      <c r="AJ31" s="666"/>
      <c r="AK31" s="666"/>
      <c r="AL31" s="666"/>
      <c r="AM31" s="666"/>
      <c r="AN31" s="666"/>
    </row>
    <row r="32" spans="1:40" s="667" customFormat="1" ht="25.5">
      <c r="A32" s="661"/>
      <c r="B32" s="662" t="s">
        <v>1078</v>
      </c>
      <c r="C32" s="659">
        <f>D32+P32</f>
        <v>34.332</v>
      </c>
      <c r="D32" s="659">
        <f>SUM(E32:F32)</f>
        <v>34.332</v>
      </c>
      <c r="E32" s="659">
        <v>34.332</v>
      </c>
      <c r="F32" s="659"/>
      <c r="G32" s="663"/>
      <c r="H32" s="663"/>
      <c r="I32" s="663"/>
      <c r="J32" s="663"/>
      <c r="K32" s="663"/>
      <c r="L32" s="663"/>
      <c r="M32" s="663"/>
      <c r="N32" s="663"/>
      <c r="O32" s="663"/>
      <c r="P32" s="663"/>
      <c r="Q32" s="663"/>
      <c r="R32" s="663"/>
      <c r="S32" s="663"/>
      <c r="T32" s="663"/>
      <c r="U32" s="663"/>
      <c r="V32" s="663"/>
      <c r="W32" s="663"/>
      <c r="X32" s="663"/>
      <c r="Y32" s="663"/>
      <c r="Z32" s="663"/>
      <c r="AA32" s="663"/>
      <c r="AB32" s="663"/>
      <c r="AC32" s="665"/>
      <c r="AD32" s="666"/>
      <c r="AE32" s="655"/>
      <c r="AF32" s="666"/>
      <c r="AG32" s="666"/>
      <c r="AH32" s="666"/>
      <c r="AI32" s="666"/>
      <c r="AJ32" s="666"/>
      <c r="AK32" s="666"/>
      <c r="AL32" s="666"/>
      <c r="AM32" s="666"/>
      <c r="AN32" s="666"/>
    </row>
    <row r="33" spans="1:40" s="671" customFormat="1" ht="13.5">
      <c r="A33" s="668">
        <v>4</v>
      </c>
      <c r="B33" s="669" t="s">
        <v>772</v>
      </c>
      <c r="C33" s="664">
        <f>SUM(C34:C35)</f>
        <v>80</v>
      </c>
      <c r="D33" s="664">
        <f aca="true" t="shared" si="10" ref="D33:AB33">SUM(D34:D35)</f>
        <v>80</v>
      </c>
      <c r="E33" s="664">
        <f>SUM(E34:E35)</f>
        <v>80</v>
      </c>
      <c r="F33" s="664">
        <f t="shared" si="10"/>
        <v>0</v>
      </c>
      <c r="G33" s="664">
        <f t="shared" si="10"/>
        <v>0</v>
      </c>
      <c r="H33" s="664">
        <f t="shared" si="10"/>
        <v>0</v>
      </c>
      <c r="I33" s="664">
        <f t="shared" si="10"/>
        <v>0</v>
      </c>
      <c r="J33" s="664">
        <f t="shared" si="10"/>
        <v>0</v>
      </c>
      <c r="K33" s="664">
        <f t="shared" si="10"/>
        <v>0</v>
      </c>
      <c r="L33" s="664">
        <f t="shared" si="10"/>
        <v>0</v>
      </c>
      <c r="M33" s="664">
        <f t="shared" si="10"/>
        <v>0</v>
      </c>
      <c r="N33" s="664">
        <f t="shared" si="10"/>
        <v>0</v>
      </c>
      <c r="O33" s="664">
        <f t="shared" si="10"/>
        <v>0</v>
      </c>
      <c r="P33" s="664">
        <f t="shared" si="10"/>
        <v>0</v>
      </c>
      <c r="Q33" s="664">
        <f t="shared" si="10"/>
        <v>0</v>
      </c>
      <c r="R33" s="664">
        <f t="shared" si="10"/>
        <v>0</v>
      </c>
      <c r="S33" s="664">
        <f t="shared" si="10"/>
        <v>0</v>
      </c>
      <c r="T33" s="664">
        <f t="shared" si="10"/>
        <v>0</v>
      </c>
      <c r="U33" s="664">
        <f t="shared" si="10"/>
        <v>0</v>
      </c>
      <c r="V33" s="664">
        <f t="shared" si="10"/>
        <v>0</v>
      </c>
      <c r="W33" s="664">
        <f t="shared" si="10"/>
        <v>0</v>
      </c>
      <c r="X33" s="664">
        <f t="shared" si="10"/>
        <v>0</v>
      </c>
      <c r="Y33" s="664">
        <f t="shared" si="10"/>
        <v>0</v>
      </c>
      <c r="Z33" s="664">
        <f t="shared" si="10"/>
        <v>0</v>
      </c>
      <c r="AA33" s="664">
        <f t="shared" si="10"/>
        <v>0</v>
      </c>
      <c r="AB33" s="664">
        <f t="shared" si="10"/>
        <v>0</v>
      </c>
      <c r="AC33" s="672"/>
      <c r="AD33" s="670"/>
      <c r="AE33" s="655">
        <f>SUM(AF33:AN33)</f>
        <v>0</v>
      </c>
      <c r="AF33" s="670"/>
      <c r="AG33" s="670"/>
      <c r="AH33" s="670"/>
      <c r="AI33" s="670"/>
      <c r="AJ33" s="670"/>
      <c r="AK33" s="670"/>
      <c r="AL33" s="670"/>
      <c r="AM33" s="670"/>
      <c r="AN33" s="670"/>
    </row>
    <row r="34" spans="1:40" s="667" customFormat="1" ht="25.5">
      <c r="A34" s="661"/>
      <c r="B34" s="662" t="s">
        <v>1064</v>
      </c>
      <c r="C34" s="659">
        <f>D34+P34</f>
        <v>80</v>
      </c>
      <c r="D34" s="659">
        <f>SUM(E34:F34)</f>
        <v>80</v>
      </c>
      <c r="E34" s="663">
        <v>80</v>
      </c>
      <c r="F34" s="663"/>
      <c r="G34" s="663"/>
      <c r="H34" s="663"/>
      <c r="I34" s="663"/>
      <c r="J34" s="663"/>
      <c r="K34" s="663"/>
      <c r="L34" s="663"/>
      <c r="M34" s="663"/>
      <c r="N34" s="663"/>
      <c r="O34" s="663"/>
      <c r="P34" s="663"/>
      <c r="Q34" s="663"/>
      <c r="R34" s="663"/>
      <c r="S34" s="663"/>
      <c r="T34" s="663"/>
      <c r="U34" s="663"/>
      <c r="V34" s="663"/>
      <c r="W34" s="663"/>
      <c r="X34" s="663"/>
      <c r="Y34" s="663"/>
      <c r="Z34" s="663"/>
      <c r="AA34" s="663"/>
      <c r="AB34" s="663"/>
      <c r="AC34" s="665"/>
      <c r="AD34" s="666"/>
      <c r="AE34" s="640"/>
      <c r="AF34" s="666"/>
      <c r="AG34" s="666"/>
      <c r="AH34" s="666"/>
      <c r="AI34" s="666"/>
      <c r="AJ34" s="666"/>
      <c r="AK34" s="666"/>
      <c r="AL34" s="666"/>
      <c r="AM34" s="666"/>
      <c r="AN34" s="666"/>
    </row>
    <row r="35" spans="1:40" s="667" customFormat="1" ht="12.75" hidden="1">
      <c r="A35" s="661"/>
      <c r="B35" s="710"/>
      <c r="C35" s="659"/>
      <c r="D35" s="659"/>
      <c r="E35" s="663"/>
      <c r="F35" s="663"/>
      <c r="G35" s="663"/>
      <c r="H35" s="663"/>
      <c r="I35" s="663"/>
      <c r="J35" s="663"/>
      <c r="K35" s="663"/>
      <c r="L35" s="663"/>
      <c r="M35" s="663"/>
      <c r="N35" s="663"/>
      <c r="O35" s="663"/>
      <c r="P35" s="663"/>
      <c r="Q35" s="663"/>
      <c r="R35" s="663"/>
      <c r="S35" s="663"/>
      <c r="T35" s="663"/>
      <c r="U35" s="663"/>
      <c r="V35" s="663"/>
      <c r="W35" s="663"/>
      <c r="X35" s="663"/>
      <c r="Y35" s="663"/>
      <c r="Z35" s="663"/>
      <c r="AA35" s="663"/>
      <c r="AB35" s="663"/>
      <c r="AC35" s="665"/>
      <c r="AD35" s="666"/>
      <c r="AE35" s="640"/>
      <c r="AF35" s="666"/>
      <c r="AG35" s="666"/>
      <c r="AH35" s="666"/>
      <c r="AI35" s="666"/>
      <c r="AJ35" s="666"/>
      <c r="AK35" s="666"/>
      <c r="AL35" s="666"/>
      <c r="AM35" s="666"/>
      <c r="AN35" s="666"/>
    </row>
    <row r="36" spans="1:40" s="656" customFormat="1" ht="12.75">
      <c r="A36" s="651">
        <v>5</v>
      </c>
      <c r="B36" s="652" t="s">
        <v>1065</v>
      </c>
      <c r="C36" s="653">
        <f aca="true" t="shared" si="11" ref="C36:AC36">SUM(C37:C40)</f>
        <v>2629.5910000000003</v>
      </c>
      <c r="D36" s="653">
        <f t="shared" si="11"/>
        <v>2629.5910000000003</v>
      </c>
      <c r="E36" s="653">
        <f t="shared" si="11"/>
        <v>2629.5910000000003</v>
      </c>
      <c r="F36" s="653">
        <f t="shared" si="11"/>
        <v>0</v>
      </c>
      <c r="G36" s="653">
        <f t="shared" si="11"/>
        <v>0</v>
      </c>
      <c r="H36" s="653">
        <f t="shared" si="11"/>
        <v>0</v>
      </c>
      <c r="I36" s="653">
        <f t="shared" si="11"/>
        <v>0</v>
      </c>
      <c r="J36" s="653">
        <f t="shared" si="11"/>
        <v>0</v>
      </c>
      <c r="K36" s="653">
        <f t="shared" si="11"/>
        <v>0</v>
      </c>
      <c r="L36" s="653">
        <f t="shared" si="11"/>
        <v>0</v>
      </c>
      <c r="M36" s="653">
        <f t="shared" si="11"/>
        <v>0</v>
      </c>
      <c r="N36" s="653">
        <f t="shared" si="11"/>
        <v>0</v>
      </c>
      <c r="O36" s="653">
        <f t="shared" si="11"/>
        <v>0</v>
      </c>
      <c r="P36" s="653">
        <f t="shared" si="11"/>
        <v>0</v>
      </c>
      <c r="Q36" s="653">
        <f t="shared" si="11"/>
        <v>0</v>
      </c>
      <c r="R36" s="653">
        <f t="shared" si="11"/>
        <v>0</v>
      </c>
      <c r="S36" s="653">
        <f t="shared" si="11"/>
        <v>0</v>
      </c>
      <c r="T36" s="653">
        <f t="shared" si="11"/>
        <v>0</v>
      </c>
      <c r="U36" s="653">
        <f t="shared" si="11"/>
        <v>0</v>
      </c>
      <c r="V36" s="653">
        <f t="shared" si="11"/>
        <v>0</v>
      </c>
      <c r="W36" s="653">
        <f t="shared" si="11"/>
        <v>0</v>
      </c>
      <c r="X36" s="653">
        <f t="shared" si="11"/>
        <v>0</v>
      </c>
      <c r="Y36" s="653">
        <f t="shared" si="11"/>
        <v>0</v>
      </c>
      <c r="Z36" s="653">
        <f t="shared" si="11"/>
        <v>0</v>
      </c>
      <c r="AA36" s="653">
        <f t="shared" si="11"/>
        <v>0</v>
      </c>
      <c r="AB36" s="653">
        <f t="shared" si="11"/>
        <v>0</v>
      </c>
      <c r="AC36" s="653">
        <f t="shared" si="11"/>
        <v>0</v>
      </c>
      <c r="AD36" s="655"/>
      <c r="AE36" s="655">
        <f>SUM(AF36:AN36)</f>
        <v>0</v>
      </c>
      <c r="AF36" s="655"/>
      <c r="AG36" s="655"/>
      <c r="AH36" s="655"/>
      <c r="AI36" s="655"/>
      <c r="AJ36" s="655"/>
      <c r="AK36" s="655"/>
      <c r="AL36" s="655"/>
      <c r="AM36" s="655"/>
      <c r="AN36" s="655"/>
    </row>
    <row r="37" spans="1:40" s="667" customFormat="1" ht="12.75">
      <c r="A37" s="661"/>
      <c r="B37" s="662" t="s">
        <v>1066</v>
      </c>
      <c r="C37" s="659">
        <f aca="true" t="shared" si="12" ref="C37:C43">D37+P37</f>
        <v>346.169</v>
      </c>
      <c r="D37" s="659">
        <f>SUM(E37:F37)</f>
        <v>346.169</v>
      </c>
      <c r="E37" s="663">
        <f>33.083+138.286+81.929+3.654+88.761+0.456</f>
        <v>346.169</v>
      </c>
      <c r="F37" s="663"/>
      <c r="G37" s="663"/>
      <c r="H37" s="663"/>
      <c r="I37" s="663"/>
      <c r="J37" s="663"/>
      <c r="K37" s="663"/>
      <c r="L37" s="663"/>
      <c r="M37" s="663"/>
      <c r="N37" s="663"/>
      <c r="O37" s="663"/>
      <c r="P37" s="663"/>
      <c r="Q37" s="663"/>
      <c r="R37" s="663"/>
      <c r="S37" s="663"/>
      <c r="T37" s="663"/>
      <c r="U37" s="663"/>
      <c r="V37" s="663"/>
      <c r="W37" s="663"/>
      <c r="X37" s="663"/>
      <c r="Y37" s="663"/>
      <c r="Z37" s="663"/>
      <c r="AA37" s="663"/>
      <c r="AB37" s="663"/>
      <c r="AC37" s="665"/>
      <c r="AD37" s="666"/>
      <c r="AE37" s="640"/>
      <c r="AF37" s="666"/>
      <c r="AG37" s="666"/>
      <c r="AH37" s="666"/>
      <c r="AI37" s="666"/>
      <c r="AJ37" s="666"/>
      <c r="AK37" s="666"/>
      <c r="AL37" s="666"/>
      <c r="AM37" s="666"/>
      <c r="AN37" s="666"/>
    </row>
    <row r="38" spans="1:40" s="667" customFormat="1" ht="12.75">
      <c r="A38" s="661"/>
      <c r="B38" s="662" t="s">
        <v>1072</v>
      </c>
      <c r="C38" s="659">
        <f t="shared" si="12"/>
        <v>29.8</v>
      </c>
      <c r="D38" s="659">
        <f>SUM(E38:F38)</f>
        <v>29.8</v>
      </c>
      <c r="E38" s="663">
        <v>29.8</v>
      </c>
      <c r="F38" s="663"/>
      <c r="G38" s="663"/>
      <c r="H38" s="663"/>
      <c r="I38" s="663"/>
      <c r="J38" s="663"/>
      <c r="K38" s="663"/>
      <c r="L38" s="663"/>
      <c r="M38" s="663"/>
      <c r="N38" s="663"/>
      <c r="O38" s="663"/>
      <c r="P38" s="663"/>
      <c r="Q38" s="663"/>
      <c r="R38" s="663"/>
      <c r="S38" s="663"/>
      <c r="T38" s="663"/>
      <c r="U38" s="663"/>
      <c r="V38" s="663"/>
      <c r="W38" s="663"/>
      <c r="X38" s="663"/>
      <c r="Y38" s="663"/>
      <c r="Z38" s="663"/>
      <c r="AA38" s="663"/>
      <c r="AB38" s="663"/>
      <c r="AC38" s="665"/>
      <c r="AD38" s="666"/>
      <c r="AE38" s="640"/>
      <c r="AF38" s="666"/>
      <c r="AG38" s="666"/>
      <c r="AH38" s="666"/>
      <c r="AI38" s="666"/>
      <c r="AJ38" s="666"/>
      <c r="AK38" s="666"/>
      <c r="AL38" s="666"/>
      <c r="AM38" s="666"/>
      <c r="AN38" s="666"/>
    </row>
    <row r="39" spans="1:40" s="667" customFormat="1" ht="25.5">
      <c r="A39" s="661"/>
      <c r="B39" s="662" t="s">
        <v>1073</v>
      </c>
      <c r="C39" s="659">
        <f t="shared" si="12"/>
        <v>1695.75</v>
      </c>
      <c r="D39" s="659">
        <f>SUM(E39:F39)</f>
        <v>1695.75</v>
      </c>
      <c r="E39" s="663">
        <v>1695.75</v>
      </c>
      <c r="F39" s="663"/>
      <c r="G39" s="663"/>
      <c r="H39" s="663"/>
      <c r="I39" s="663"/>
      <c r="J39" s="663"/>
      <c r="K39" s="663"/>
      <c r="L39" s="663"/>
      <c r="M39" s="663"/>
      <c r="N39" s="663"/>
      <c r="O39" s="663"/>
      <c r="P39" s="663"/>
      <c r="Q39" s="663"/>
      <c r="R39" s="663"/>
      <c r="S39" s="663"/>
      <c r="T39" s="663"/>
      <c r="U39" s="663"/>
      <c r="V39" s="663"/>
      <c r="W39" s="663"/>
      <c r="X39" s="663"/>
      <c r="Y39" s="663"/>
      <c r="Z39" s="663"/>
      <c r="AA39" s="663"/>
      <c r="AB39" s="663"/>
      <c r="AC39" s="665"/>
      <c r="AD39" s="666"/>
      <c r="AE39" s="640"/>
      <c r="AF39" s="666"/>
      <c r="AG39" s="666"/>
      <c r="AH39" s="666"/>
      <c r="AI39" s="666"/>
      <c r="AJ39" s="666"/>
      <c r="AK39" s="666"/>
      <c r="AL39" s="666"/>
      <c r="AM39" s="666"/>
      <c r="AN39" s="666"/>
    </row>
    <row r="40" spans="1:40" s="667" customFormat="1" ht="38.25">
      <c r="A40" s="661"/>
      <c r="B40" s="662" t="s">
        <v>1079</v>
      </c>
      <c r="C40" s="659">
        <f t="shared" si="12"/>
        <v>557.8720000000001</v>
      </c>
      <c r="D40" s="659">
        <f>SUM(E40:F40)</f>
        <v>557.8720000000001</v>
      </c>
      <c r="E40" s="663">
        <f>6.596+55.2+69.64+88.88+110.96+145.8+80.2+0.596</f>
        <v>557.8720000000001</v>
      </c>
      <c r="F40" s="663"/>
      <c r="G40" s="663"/>
      <c r="H40" s="663"/>
      <c r="I40" s="663"/>
      <c r="J40" s="663"/>
      <c r="K40" s="663"/>
      <c r="L40" s="663"/>
      <c r="M40" s="663"/>
      <c r="N40" s="663"/>
      <c r="O40" s="663"/>
      <c r="P40" s="663"/>
      <c r="Q40" s="663"/>
      <c r="R40" s="663"/>
      <c r="S40" s="663"/>
      <c r="T40" s="663"/>
      <c r="U40" s="663"/>
      <c r="V40" s="663"/>
      <c r="W40" s="663"/>
      <c r="X40" s="663"/>
      <c r="Y40" s="663"/>
      <c r="Z40" s="663"/>
      <c r="AA40" s="663"/>
      <c r="AB40" s="663"/>
      <c r="AC40" s="665"/>
      <c r="AD40" s="666"/>
      <c r="AE40" s="640"/>
      <c r="AF40" s="666"/>
      <c r="AG40" s="666"/>
      <c r="AH40" s="666"/>
      <c r="AI40" s="666"/>
      <c r="AJ40" s="666"/>
      <c r="AK40" s="666"/>
      <c r="AL40" s="666"/>
      <c r="AM40" s="666"/>
      <c r="AN40" s="666"/>
    </row>
    <row r="41" spans="1:40" s="667" customFormat="1" ht="12.75">
      <c r="A41" s="651">
        <v>6</v>
      </c>
      <c r="B41" s="652" t="s">
        <v>561</v>
      </c>
      <c r="C41" s="653">
        <f>SUM(C42:C46)</f>
        <v>1800.4099999999999</v>
      </c>
      <c r="D41" s="653">
        <f aca="true" t="shared" si="13" ref="D41:O41">SUM(D42:D46)</f>
        <v>1800.4099999999999</v>
      </c>
      <c r="E41" s="653">
        <f>SUM(E42:E46)</f>
        <v>1800.4099999999999</v>
      </c>
      <c r="F41" s="653">
        <f t="shared" si="13"/>
        <v>0</v>
      </c>
      <c r="G41" s="653">
        <f t="shared" si="13"/>
        <v>0</v>
      </c>
      <c r="H41" s="653">
        <f t="shared" si="13"/>
        <v>0</v>
      </c>
      <c r="I41" s="653">
        <f t="shared" si="13"/>
        <v>0</v>
      </c>
      <c r="J41" s="653">
        <f t="shared" si="13"/>
        <v>0</v>
      </c>
      <c r="K41" s="653">
        <f t="shared" si="13"/>
        <v>0</v>
      </c>
      <c r="L41" s="653">
        <f t="shared" si="13"/>
        <v>0</v>
      </c>
      <c r="M41" s="653">
        <f t="shared" si="13"/>
        <v>0</v>
      </c>
      <c r="N41" s="653">
        <f t="shared" si="13"/>
        <v>0</v>
      </c>
      <c r="O41" s="653">
        <f t="shared" si="13"/>
        <v>0</v>
      </c>
      <c r="P41" s="663"/>
      <c r="Q41" s="663"/>
      <c r="R41" s="663"/>
      <c r="S41" s="663"/>
      <c r="T41" s="663"/>
      <c r="U41" s="663"/>
      <c r="V41" s="663"/>
      <c r="W41" s="663"/>
      <c r="X41" s="663"/>
      <c r="Y41" s="663"/>
      <c r="Z41" s="663"/>
      <c r="AA41" s="663"/>
      <c r="AB41" s="663"/>
      <c r="AC41" s="665"/>
      <c r="AD41" s="666"/>
      <c r="AE41" s="655"/>
      <c r="AF41" s="666"/>
      <c r="AG41" s="666"/>
      <c r="AH41" s="666"/>
      <c r="AI41" s="666"/>
      <c r="AJ41" s="666"/>
      <c r="AK41" s="666"/>
      <c r="AL41" s="666"/>
      <c r="AM41" s="666"/>
      <c r="AN41" s="666"/>
    </row>
    <row r="42" spans="1:40" s="667" customFormat="1" ht="25.5">
      <c r="A42" s="651"/>
      <c r="B42" s="662" t="s">
        <v>1075</v>
      </c>
      <c r="C42" s="659">
        <f t="shared" si="12"/>
        <v>1220.27</v>
      </c>
      <c r="D42" s="659">
        <f>SUM(E42:F42)</f>
        <v>1220.27</v>
      </c>
      <c r="E42" s="659">
        <f>711.18+509.09</f>
        <v>1220.27</v>
      </c>
      <c r="F42" s="659"/>
      <c r="G42" s="663"/>
      <c r="H42" s="663"/>
      <c r="I42" s="663"/>
      <c r="J42" s="663"/>
      <c r="K42" s="663"/>
      <c r="L42" s="663"/>
      <c r="M42" s="663"/>
      <c r="N42" s="663"/>
      <c r="O42" s="663"/>
      <c r="P42" s="663"/>
      <c r="Q42" s="663"/>
      <c r="R42" s="663"/>
      <c r="S42" s="663"/>
      <c r="T42" s="663"/>
      <c r="U42" s="663"/>
      <c r="V42" s="663"/>
      <c r="W42" s="663"/>
      <c r="X42" s="663"/>
      <c r="Y42" s="663"/>
      <c r="Z42" s="663"/>
      <c r="AA42" s="663"/>
      <c r="AB42" s="663"/>
      <c r="AC42" s="665"/>
      <c r="AD42" s="666"/>
      <c r="AE42" s="655"/>
      <c r="AF42" s="666"/>
      <c r="AG42" s="666"/>
      <c r="AH42" s="666"/>
      <c r="AI42" s="666"/>
      <c r="AJ42" s="666"/>
      <c r="AK42" s="666"/>
      <c r="AL42" s="666"/>
      <c r="AM42" s="666"/>
      <c r="AN42" s="666"/>
    </row>
    <row r="43" spans="1:40" s="667" customFormat="1" ht="12.75">
      <c r="A43" s="651"/>
      <c r="B43" s="662" t="s">
        <v>1076</v>
      </c>
      <c r="C43" s="659">
        <f t="shared" si="12"/>
        <v>580.14</v>
      </c>
      <c r="D43" s="659">
        <f>SUM(E43:F43)</f>
        <v>580.14</v>
      </c>
      <c r="E43" s="659">
        <v>580.14</v>
      </c>
      <c r="F43" s="659"/>
      <c r="G43" s="663"/>
      <c r="H43" s="663"/>
      <c r="I43" s="663"/>
      <c r="J43" s="663"/>
      <c r="K43" s="663"/>
      <c r="L43" s="663"/>
      <c r="M43" s="663"/>
      <c r="N43" s="663"/>
      <c r="O43" s="663"/>
      <c r="P43" s="663"/>
      <c r="Q43" s="663"/>
      <c r="R43" s="663"/>
      <c r="S43" s="663"/>
      <c r="T43" s="663"/>
      <c r="U43" s="663"/>
      <c r="V43" s="663"/>
      <c r="W43" s="663"/>
      <c r="X43" s="663"/>
      <c r="Y43" s="663"/>
      <c r="Z43" s="663"/>
      <c r="AA43" s="663"/>
      <c r="AB43" s="663"/>
      <c r="AC43" s="665"/>
      <c r="AD43" s="666"/>
      <c r="AE43" s="655"/>
      <c r="AF43" s="666"/>
      <c r="AG43" s="666"/>
      <c r="AH43" s="666"/>
      <c r="AI43" s="666"/>
      <c r="AJ43" s="666"/>
      <c r="AK43" s="666"/>
      <c r="AL43" s="666"/>
      <c r="AM43" s="666"/>
      <c r="AN43" s="666"/>
    </row>
    <row r="44" spans="1:40" s="667" customFormat="1" ht="12.75" hidden="1">
      <c r="A44" s="651"/>
      <c r="B44" s="662"/>
      <c r="C44" s="659"/>
      <c r="D44" s="659"/>
      <c r="E44" s="659"/>
      <c r="F44" s="659"/>
      <c r="G44" s="663"/>
      <c r="H44" s="663"/>
      <c r="I44" s="663"/>
      <c r="J44" s="663"/>
      <c r="K44" s="663"/>
      <c r="L44" s="663"/>
      <c r="M44" s="663"/>
      <c r="N44" s="663"/>
      <c r="O44" s="663"/>
      <c r="P44" s="663"/>
      <c r="Q44" s="663"/>
      <c r="R44" s="663"/>
      <c r="S44" s="663"/>
      <c r="T44" s="663"/>
      <c r="U44" s="663"/>
      <c r="V44" s="663"/>
      <c r="W44" s="663"/>
      <c r="X44" s="663"/>
      <c r="Y44" s="663"/>
      <c r="Z44" s="663"/>
      <c r="AA44" s="663"/>
      <c r="AB44" s="663"/>
      <c r="AC44" s="665"/>
      <c r="AD44" s="666"/>
      <c r="AE44" s="655"/>
      <c r="AF44" s="666"/>
      <c r="AG44" s="666"/>
      <c r="AH44" s="666"/>
      <c r="AI44" s="666"/>
      <c r="AJ44" s="666"/>
      <c r="AK44" s="666"/>
      <c r="AL44" s="666"/>
      <c r="AM44" s="666"/>
      <c r="AN44" s="666"/>
    </row>
    <row r="45" spans="1:40" s="667" customFormat="1" ht="12.75" hidden="1">
      <c r="A45" s="651"/>
      <c r="B45" s="662"/>
      <c r="C45" s="659"/>
      <c r="D45" s="659"/>
      <c r="E45" s="659"/>
      <c r="F45" s="659"/>
      <c r="G45" s="663"/>
      <c r="H45" s="663"/>
      <c r="I45" s="663"/>
      <c r="J45" s="663"/>
      <c r="K45" s="663"/>
      <c r="L45" s="663"/>
      <c r="M45" s="663"/>
      <c r="N45" s="663"/>
      <c r="O45" s="663"/>
      <c r="P45" s="663"/>
      <c r="Q45" s="663"/>
      <c r="R45" s="663"/>
      <c r="S45" s="663"/>
      <c r="T45" s="663"/>
      <c r="U45" s="663"/>
      <c r="V45" s="663"/>
      <c r="W45" s="663"/>
      <c r="X45" s="663"/>
      <c r="Y45" s="663"/>
      <c r="Z45" s="663"/>
      <c r="AA45" s="663"/>
      <c r="AB45" s="663"/>
      <c r="AC45" s="665"/>
      <c r="AD45" s="666"/>
      <c r="AE45" s="655"/>
      <c r="AF45" s="666"/>
      <c r="AG45" s="666"/>
      <c r="AH45" s="666"/>
      <c r="AI45" s="666"/>
      <c r="AJ45" s="666"/>
      <c r="AK45" s="666"/>
      <c r="AL45" s="666"/>
      <c r="AM45" s="666"/>
      <c r="AN45" s="666"/>
    </row>
    <row r="46" spans="1:40" s="667" customFormat="1" ht="15.75" customHeight="1" hidden="1">
      <c r="A46" s="651"/>
      <c r="B46" s="662"/>
      <c r="C46" s="659"/>
      <c r="D46" s="659"/>
      <c r="E46" s="659"/>
      <c r="F46" s="659"/>
      <c r="G46" s="663"/>
      <c r="H46" s="663"/>
      <c r="I46" s="663"/>
      <c r="J46" s="663"/>
      <c r="K46" s="663"/>
      <c r="L46" s="663"/>
      <c r="M46" s="663"/>
      <c r="N46" s="663"/>
      <c r="O46" s="663"/>
      <c r="P46" s="663"/>
      <c r="Q46" s="663"/>
      <c r="R46" s="663"/>
      <c r="S46" s="663"/>
      <c r="T46" s="663"/>
      <c r="U46" s="663"/>
      <c r="V46" s="663"/>
      <c r="W46" s="663"/>
      <c r="X46" s="663"/>
      <c r="Y46" s="663"/>
      <c r="Z46" s="663"/>
      <c r="AA46" s="663"/>
      <c r="AB46" s="663"/>
      <c r="AC46" s="665"/>
      <c r="AD46" s="666"/>
      <c r="AE46" s="655"/>
      <c r="AF46" s="666"/>
      <c r="AG46" s="666"/>
      <c r="AH46" s="666"/>
      <c r="AI46" s="666"/>
      <c r="AJ46" s="666"/>
      <c r="AK46" s="666"/>
      <c r="AL46" s="666"/>
      <c r="AM46" s="666"/>
      <c r="AN46" s="666"/>
    </row>
    <row r="47" spans="1:40" s="667" customFormat="1" ht="12.75" hidden="1">
      <c r="A47" s="651">
        <v>7</v>
      </c>
      <c r="B47" s="652" t="s">
        <v>817</v>
      </c>
      <c r="C47" s="653">
        <f>SUM(C48:C49)</f>
        <v>0</v>
      </c>
      <c r="D47" s="653">
        <f>SUM(D48:D49)</f>
        <v>0</v>
      </c>
      <c r="E47" s="653">
        <f>SUM(E48:E49)</f>
        <v>0</v>
      </c>
      <c r="F47" s="653">
        <f>SUM(F48:F49)</f>
        <v>0</v>
      </c>
      <c r="G47" s="663"/>
      <c r="H47" s="663"/>
      <c r="I47" s="663"/>
      <c r="J47" s="663"/>
      <c r="K47" s="663"/>
      <c r="L47" s="663"/>
      <c r="M47" s="663"/>
      <c r="N47" s="663"/>
      <c r="O47" s="663"/>
      <c r="P47" s="663"/>
      <c r="Q47" s="663"/>
      <c r="R47" s="663"/>
      <c r="S47" s="663"/>
      <c r="T47" s="663"/>
      <c r="U47" s="663"/>
      <c r="V47" s="663"/>
      <c r="W47" s="663"/>
      <c r="X47" s="663"/>
      <c r="Y47" s="663"/>
      <c r="Z47" s="663"/>
      <c r="AA47" s="663"/>
      <c r="AB47" s="663"/>
      <c r="AC47" s="665"/>
      <c r="AD47" s="666"/>
      <c r="AE47" s="655"/>
      <c r="AF47" s="666"/>
      <c r="AG47" s="666"/>
      <c r="AH47" s="666"/>
      <c r="AI47" s="666"/>
      <c r="AJ47" s="666"/>
      <c r="AK47" s="666"/>
      <c r="AL47" s="666"/>
      <c r="AM47" s="666"/>
      <c r="AN47" s="666"/>
    </row>
    <row r="48" spans="1:40" s="667" customFormat="1" ht="12.75" hidden="1">
      <c r="A48" s="651"/>
      <c r="B48" s="662"/>
      <c r="C48" s="659"/>
      <c r="D48" s="659"/>
      <c r="E48" s="659"/>
      <c r="F48" s="659"/>
      <c r="G48" s="663"/>
      <c r="H48" s="663"/>
      <c r="I48" s="663"/>
      <c r="J48" s="663"/>
      <c r="K48" s="663"/>
      <c r="L48" s="663"/>
      <c r="M48" s="663"/>
      <c r="N48" s="663"/>
      <c r="O48" s="663"/>
      <c r="P48" s="663"/>
      <c r="Q48" s="663"/>
      <c r="R48" s="663"/>
      <c r="S48" s="663"/>
      <c r="T48" s="663"/>
      <c r="U48" s="663"/>
      <c r="V48" s="663"/>
      <c r="W48" s="663"/>
      <c r="X48" s="663"/>
      <c r="Y48" s="663"/>
      <c r="Z48" s="663"/>
      <c r="AA48" s="663"/>
      <c r="AB48" s="663"/>
      <c r="AC48" s="665"/>
      <c r="AD48" s="666"/>
      <c r="AE48" s="655"/>
      <c r="AF48" s="666"/>
      <c r="AG48" s="666"/>
      <c r="AH48" s="666"/>
      <c r="AI48" s="666"/>
      <c r="AJ48" s="666"/>
      <c r="AK48" s="666"/>
      <c r="AL48" s="666"/>
      <c r="AM48" s="666"/>
      <c r="AN48" s="666"/>
    </row>
    <row r="49" spans="1:40" s="667" customFormat="1" ht="12.75" hidden="1">
      <c r="A49" s="651"/>
      <c r="B49" s="662"/>
      <c r="C49" s="659"/>
      <c r="D49" s="659"/>
      <c r="E49" s="659"/>
      <c r="F49" s="659"/>
      <c r="G49" s="663"/>
      <c r="H49" s="663"/>
      <c r="I49" s="663"/>
      <c r="J49" s="663"/>
      <c r="K49" s="663"/>
      <c r="L49" s="663"/>
      <c r="M49" s="663"/>
      <c r="N49" s="663"/>
      <c r="O49" s="663"/>
      <c r="P49" s="663"/>
      <c r="Q49" s="663"/>
      <c r="R49" s="663"/>
      <c r="S49" s="663"/>
      <c r="T49" s="663"/>
      <c r="U49" s="663"/>
      <c r="V49" s="663"/>
      <c r="W49" s="663"/>
      <c r="X49" s="663"/>
      <c r="Y49" s="663"/>
      <c r="Z49" s="663"/>
      <c r="AA49" s="663"/>
      <c r="AB49" s="663"/>
      <c r="AC49" s="665"/>
      <c r="AD49" s="666"/>
      <c r="AE49" s="655"/>
      <c r="AF49" s="666"/>
      <c r="AG49" s="666"/>
      <c r="AH49" s="666"/>
      <c r="AI49" s="666"/>
      <c r="AJ49" s="666"/>
      <c r="AK49" s="666"/>
      <c r="AL49" s="666"/>
      <c r="AM49" s="666"/>
      <c r="AN49" s="666"/>
    </row>
    <row r="50" spans="1:40" s="656" customFormat="1" ht="12.75" hidden="1">
      <c r="A50" s="651">
        <v>8</v>
      </c>
      <c r="B50" s="652" t="s">
        <v>593</v>
      </c>
      <c r="C50" s="653">
        <f>SUM(C51:C53)</f>
        <v>0</v>
      </c>
      <c r="D50" s="653">
        <f>SUM(D51:D53)</f>
        <v>0</v>
      </c>
      <c r="E50" s="653">
        <f>SUM(E51:E53)</f>
        <v>0</v>
      </c>
      <c r="F50" s="653">
        <f>SUM(F51:F53)</f>
        <v>0</v>
      </c>
      <c r="G50" s="653">
        <f aca="true" t="shared" si="14" ref="G50:AC50">SUM(G51:G53)</f>
        <v>0</v>
      </c>
      <c r="H50" s="653">
        <f t="shared" si="14"/>
        <v>0</v>
      </c>
      <c r="I50" s="653">
        <f t="shared" si="14"/>
        <v>0</v>
      </c>
      <c r="J50" s="653">
        <f t="shared" si="14"/>
        <v>0</v>
      </c>
      <c r="K50" s="653">
        <f t="shared" si="14"/>
        <v>0</v>
      </c>
      <c r="L50" s="653">
        <f t="shared" si="14"/>
        <v>0</v>
      </c>
      <c r="M50" s="653">
        <f t="shared" si="14"/>
        <v>0</v>
      </c>
      <c r="N50" s="653">
        <f t="shared" si="14"/>
        <v>0</v>
      </c>
      <c r="O50" s="653">
        <f t="shared" si="14"/>
        <v>0</v>
      </c>
      <c r="P50" s="653">
        <f>Q50+R50</f>
        <v>0</v>
      </c>
      <c r="Q50" s="653">
        <f>SUM(Q51:Q105)</f>
        <v>0</v>
      </c>
      <c r="R50" s="653"/>
      <c r="S50" s="653">
        <f t="shared" si="14"/>
        <v>0</v>
      </c>
      <c r="T50" s="653">
        <f t="shared" si="14"/>
        <v>0</v>
      </c>
      <c r="U50" s="653">
        <f t="shared" si="14"/>
        <v>0</v>
      </c>
      <c r="V50" s="653">
        <f t="shared" si="14"/>
        <v>0</v>
      </c>
      <c r="W50" s="653">
        <f t="shared" si="14"/>
        <v>0</v>
      </c>
      <c r="X50" s="653">
        <f t="shared" si="14"/>
        <v>0</v>
      </c>
      <c r="Y50" s="653">
        <f t="shared" si="14"/>
        <v>0</v>
      </c>
      <c r="Z50" s="653">
        <f t="shared" si="14"/>
        <v>0</v>
      </c>
      <c r="AA50" s="653">
        <f t="shared" si="14"/>
        <v>0</v>
      </c>
      <c r="AB50" s="653">
        <f t="shared" si="14"/>
        <v>0</v>
      </c>
      <c r="AC50" s="653">
        <f t="shared" si="14"/>
        <v>0</v>
      </c>
      <c r="AD50" s="655"/>
      <c r="AE50" s="655">
        <f>SUM(AF50:AN50)</f>
        <v>0</v>
      </c>
      <c r="AF50" s="655"/>
      <c r="AG50" s="655"/>
      <c r="AH50" s="655"/>
      <c r="AI50" s="655"/>
      <c r="AJ50" s="655"/>
      <c r="AK50" s="655"/>
      <c r="AL50" s="655"/>
      <c r="AM50" s="655"/>
      <c r="AN50" s="655"/>
    </row>
    <row r="51" spans="1:40" s="667" customFormat="1" ht="12.75" hidden="1">
      <c r="A51" s="651"/>
      <c r="B51" s="662"/>
      <c r="C51" s="659"/>
      <c r="D51" s="659"/>
      <c r="E51" s="659"/>
      <c r="F51" s="659"/>
      <c r="G51" s="663"/>
      <c r="H51" s="663"/>
      <c r="I51" s="663"/>
      <c r="J51" s="663"/>
      <c r="K51" s="663"/>
      <c r="L51" s="663"/>
      <c r="M51" s="663"/>
      <c r="N51" s="663"/>
      <c r="O51" s="663"/>
      <c r="P51" s="663"/>
      <c r="Q51" s="663"/>
      <c r="R51" s="663"/>
      <c r="S51" s="663"/>
      <c r="T51" s="663"/>
      <c r="U51" s="663"/>
      <c r="V51" s="663"/>
      <c r="W51" s="663"/>
      <c r="X51" s="663"/>
      <c r="Y51" s="663"/>
      <c r="Z51" s="663"/>
      <c r="AA51" s="663"/>
      <c r="AB51" s="663"/>
      <c r="AC51" s="665"/>
      <c r="AD51" s="666"/>
      <c r="AE51" s="655"/>
      <c r="AF51" s="666"/>
      <c r="AG51" s="666"/>
      <c r="AH51" s="666"/>
      <c r="AI51" s="666"/>
      <c r="AJ51" s="666"/>
      <c r="AK51" s="666"/>
      <c r="AL51" s="666"/>
      <c r="AM51" s="666"/>
      <c r="AN51" s="666"/>
    </row>
    <row r="52" spans="1:40" s="667" customFormat="1" ht="12.75" hidden="1">
      <c r="A52" s="651"/>
      <c r="B52" s="662"/>
      <c r="C52" s="659"/>
      <c r="D52" s="659"/>
      <c r="E52" s="659"/>
      <c r="F52" s="659"/>
      <c r="G52" s="663"/>
      <c r="H52" s="663"/>
      <c r="I52" s="663"/>
      <c r="J52" s="663"/>
      <c r="K52" s="663"/>
      <c r="L52" s="663"/>
      <c r="M52" s="663"/>
      <c r="N52" s="663"/>
      <c r="O52" s="663"/>
      <c r="P52" s="663"/>
      <c r="Q52" s="663"/>
      <c r="R52" s="663"/>
      <c r="S52" s="663"/>
      <c r="T52" s="663"/>
      <c r="U52" s="663"/>
      <c r="V52" s="663"/>
      <c r="W52" s="663"/>
      <c r="X52" s="663"/>
      <c r="Y52" s="663"/>
      <c r="Z52" s="663"/>
      <c r="AA52" s="663"/>
      <c r="AB52" s="663"/>
      <c r="AC52" s="665"/>
      <c r="AD52" s="666"/>
      <c r="AE52" s="655"/>
      <c r="AF52" s="666"/>
      <c r="AG52" s="666"/>
      <c r="AH52" s="666"/>
      <c r="AI52" s="666"/>
      <c r="AJ52" s="666"/>
      <c r="AK52" s="666"/>
      <c r="AL52" s="666"/>
      <c r="AM52" s="666"/>
      <c r="AN52" s="666"/>
    </row>
    <row r="53" spans="1:40" s="667" customFormat="1" ht="12.75" hidden="1">
      <c r="A53" s="651"/>
      <c r="B53" s="662"/>
      <c r="C53" s="659"/>
      <c r="D53" s="659"/>
      <c r="E53" s="659"/>
      <c r="F53" s="659"/>
      <c r="G53" s="663"/>
      <c r="H53" s="663"/>
      <c r="I53" s="663"/>
      <c r="J53" s="663"/>
      <c r="K53" s="663"/>
      <c r="L53" s="663"/>
      <c r="M53" s="663"/>
      <c r="N53" s="663"/>
      <c r="O53" s="663"/>
      <c r="P53" s="663"/>
      <c r="Q53" s="663"/>
      <c r="R53" s="663"/>
      <c r="S53" s="663"/>
      <c r="T53" s="663"/>
      <c r="U53" s="663"/>
      <c r="V53" s="663"/>
      <c r="W53" s="663"/>
      <c r="X53" s="663"/>
      <c r="Y53" s="663"/>
      <c r="Z53" s="663"/>
      <c r="AA53" s="663"/>
      <c r="AB53" s="663"/>
      <c r="AC53" s="665"/>
      <c r="AD53" s="666"/>
      <c r="AE53" s="655"/>
      <c r="AF53" s="666"/>
      <c r="AG53" s="666"/>
      <c r="AH53" s="666"/>
      <c r="AI53" s="666"/>
      <c r="AJ53" s="666"/>
      <c r="AK53" s="666"/>
      <c r="AL53" s="666"/>
      <c r="AM53" s="666"/>
      <c r="AN53" s="666"/>
    </row>
    <row r="54" spans="1:40" s="671" customFormat="1" ht="13.5">
      <c r="A54" s="651">
        <v>7</v>
      </c>
      <c r="B54" s="652" t="s">
        <v>821</v>
      </c>
      <c r="C54" s="653">
        <f aca="true" t="shared" si="15" ref="C54:AB54">SUM(C55:C57)</f>
        <v>553.326043</v>
      </c>
      <c r="D54" s="653">
        <f t="shared" si="15"/>
        <v>553.326043</v>
      </c>
      <c r="E54" s="653">
        <f t="shared" si="15"/>
        <v>553.326043</v>
      </c>
      <c r="F54" s="653">
        <f t="shared" si="15"/>
        <v>0</v>
      </c>
      <c r="G54" s="653">
        <f t="shared" si="15"/>
        <v>0</v>
      </c>
      <c r="H54" s="653">
        <f t="shared" si="15"/>
        <v>0</v>
      </c>
      <c r="I54" s="653">
        <f t="shared" si="15"/>
        <v>0</v>
      </c>
      <c r="J54" s="653">
        <f t="shared" si="15"/>
        <v>0</v>
      </c>
      <c r="K54" s="653">
        <f t="shared" si="15"/>
        <v>0</v>
      </c>
      <c r="L54" s="653">
        <f t="shared" si="15"/>
        <v>0</v>
      </c>
      <c r="M54" s="653">
        <f t="shared" si="15"/>
        <v>0</v>
      </c>
      <c r="N54" s="653">
        <f t="shared" si="15"/>
        <v>0</v>
      </c>
      <c r="O54" s="653">
        <f t="shared" si="15"/>
        <v>0</v>
      </c>
      <c r="P54" s="653">
        <f t="shared" si="15"/>
        <v>0</v>
      </c>
      <c r="Q54" s="653">
        <f t="shared" si="15"/>
        <v>0</v>
      </c>
      <c r="R54" s="653">
        <f t="shared" si="15"/>
        <v>0</v>
      </c>
      <c r="S54" s="653">
        <f t="shared" si="15"/>
        <v>0</v>
      </c>
      <c r="T54" s="653">
        <f t="shared" si="15"/>
        <v>0</v>
      </c>
      <c r="U54" s="653">
        <f t="shared" si="15"/>
        <v>0</v>
      </c>
      <c r="V54" s="653">
        <f t="shared" si="15"/>
        <v>0</v>
      </c>
      <c r="W54" s="653">
        <f t="shared" si="15"/>
        <v>0</v>
      </c>
      <c r="X54" s="653">
        <f t="shared" si="15"/>
        <v>0</v>
      </c>
      <c r="Y54" s="653">
        <f t="shared" si="15"/>
        <v>0</v>
      </c>
      <c r="Z54" s="653">
        <f t="shared" si="15"/>
        <v>0</v>
      </c>
      <c r="AA54" s="653">
        <f t="shared" si="15"/>
        <v>0</v>
      </c>
      <c r="AB54" s="653">
        <f t="shared" si="15"/>
        <v>0</v>
      </c>
      <c r="AC54" s="672"/>
      <c r="AD54" s="670"/>
      <c r="AE54" s="655"/>
      <c r="AF54" s="670"/>
      <c r="AG54" s="670"/>
      <c r="AH54" s="670"/>
      <c r="AI54" s="670"/>
      <c r="AJ54" s="670"/>
      <c r="AK54" s="670"/>
      <c r="AL54" s="670"/>
      <c r="AM54" s="670"/>
      <c r="AN54" s="670"/>
    </row>
    <row r="55" spans="1:40" s="667" customFormat="1" ht="12.75">
      <c r="A55" s="651"/>
      <c r="B55" s="662" t="s">
        <v>1063</v>
      </c>
      <c r="C55" s="659">
        <f aca="true" t="shared" si="16" ref="C55:C63">D55+P55</f>
        <v>485.803043</v>
      </c>
      <c r="D55" s="659">
        <f>SUM(E55:F55)</f>
        <v>485.803043</v>
      </c>
      <c r="E55" s="659">
        <f>433+52.803043</f>
        <v>485.803043</v>
      </c>
      <c r="F55" s="659"/>
      <c r="G55" s="663"/>
      <c r="H55" s="663"/>
      <c r="I55" s="663"/>
      <c r="J55" s="663"/>
      <c r="K55" s="663"/>
      <c r="L55" s="663"/>
      <c r="M55" s="663"/>
      <c r="N55" s="663"/>
      <c r="O55" s="663"/>
      <c r="P55" s="663"/>
      <c r="Q55" s="663"/>
      <c r="R55" s="663"/>
      <c r="S55" s="663"/>
      <c r="T55" s="663"/>
      <c r="U55" s="663"/>
      <c r="V55" s="663"/>
      <c r="W55" s="663"/>
      <c r="X55" s="663"/>
      <c r="Y55" s="663"/>
      <c r="Z55" s="663"/>
      <c r="AA55" s="663"/>
      <c r="AB55" s="663"/>
      <c r="AC55" s="665"/>
      <c r="AD55" s="666"/>
      <c r="AE55" s="655"/>
      <c r="AF55" s="666"/>
      <c r="AG55" s="666"/>
      <c r="AH55" s="666"/>
      <c r="AI55" s="666"/>
      <c r="AJ55" s="666"/>
      <c r="AK55" s="666"/>
      <c r="AL55" s="666"/>
      <c r="AM55" s="666"/>
      <c r="AN55" s="666"/>
    </row>
    <row r="56" spans="1:40" s="667" customFormat="1" ht="12.75">
      <c r="A56" s="651"/>
      <c r="B56" s="662" t="s">
        <v>1060</v>
      </c>
      <c r="C56" s="659">
        <f t="shared" si="16"/>
        <v>16.065</v>
      </c>
      <c r="D56" s="659">
        <f>SUM(E56:F56)</f>
        <v>16.065</v>
      </c>
      <c r="E56" s="659">
        <v>16.065</v>
      </c>
      <c r="F56" s="659"/>
      <c r="G56" s="663"/>
      <c r="H56" s="663"/>
      <c r="I56" s="663"/>
      <c r="J56" s="663"/>
      <c r="K56" s="663"/>
      <c r="L56" s="663"/>
      <c r="M56" s="663"/>
      <c r="N56" s="663"/>
      <c r="O56" s="663"/>
      <c r="P56" s="663"/>
      <c r="Q56" s="663"/>
      <c r="R56" s="663"/>
      <c r="S56" s="663"/>
      <c r="T56" s="663"/>
      <c r="U56" s="663"/>
      <c r="V56" s="663"/>
      <c r="W56" s="663"/>
      <c r="X56" s="663"/>
      <c r="Y56" s="663"/>
      <c r="Z56" s="663"/>
      <c r="AA56" s="663"/>
      <c r="AB56" s="663"/>
      <c r="AC56" s="665"/>
      <c r="AD56" s="666"/>
      <c r="AE56" s="655"/>
      <c r="AF56" s="666"/>
      <c r="AG56" s="666"/>
      <c r="AH56" s="666"/>
      <c r="AI56" s="666"/>
      <c r="AJ56" s="666"/>
      <c r="AK56" s="666"/>
      <c r="AL56" s="666"/>
      <c r="AM56" s="666"/>
      <c r="AN56" s="666"/>
    </row>
    <row r="57" spans="1:40" s="667" customFormat="1" ht="21" customHeight="1">
      <c r="A57" s="651"/>
      <c r="B57" s="662" t="s">
        <v>1074</v>
      </c>
      <c r="C57" s="659">
        <f t="shared" si="16"/>
        <v>51.458</v>
      </c>
      <c r="D57" s="659">
        <f>SUM(E57:F57)</f>
        <v>51.458</v>
      </c>
      <c r="E57" s="659">
        <v>51.458</v>
      </c>
      <c r="F57" s="659"/>
      <c r="G57" s="663"/>
      <c r="H57" s="663"/>
      <c r="I57" s="663"/>
      <c r="J57" s="663"/>
      <c r="K57" s="663"/>
      <c r="L57" s="663"/>
      <c r="M57" s="663"/>
      <c r="N57" s="663"/>
      <c r="O57" s="663"/>
      <c r="P57" s="663"/>
      <c r="Q57" s="663"/>
      <c r="R57" s="663"/>
      <c r="S57" s="663"/>
      <c r="T57" s="663"/>
      <c r="U57" s="663"/>
      <c r="V57" s="663"/>
      <c r="W57" s="663"/>
      <c r="X57" s="663"/>
      <c r="Y57" s="663"/>
      <c r="Z57" s="663"/>
      <c r="AA57" s="663"/>
      <c r="AB57" s="663"/>
      <c r="AC57" s="665"/>
      <c r="AD57" s="666"/>
      <c r="AE57" s="655"/>
      <c r="AF57" s="666"/>
      <c r="AG57" s="666"/>
      <c r="AH57" s="666"/>
      <c r="AI57" s="666"/>
      <c r="AJ57" s="666"/>
      <c r="AK57" s="666"/>
      <c r="AL57" s="666"/>
      <c r="AM57" s="666"/>
      <c r="AN57" s="666"/>
    </row>
    <row r="58" spans="1:40" s="656" customFormat="1" ht="12.75">
      <c r="A58" s="651">
        <v>8</v>
      </c>
      <c r="B58" s="652" t="s">
        <v>818</v>
      </c>
      <c r="C58" s="653">
        <f aca="true" t="shared" si="17" ref="C58:AC58">SUM(C59:C103)</f>
        <v>2720.129069</v>
      </c>
      <c r="D58" s="653">
        <f t="shared" si="17"/>
        <v>2720.129069</v>
      </c>
      <c r="E58" s="653">
        <f t="shared" si="17"/>
        <v>854.5849999999999</v>
      </c>
      <c r="F58" s="653">
        <f t="shared" si="17"/>
        <v>1865.544069</v>
      </c>
      <c r="G58" s="653">
        <f t="shared" si="17"/>
        <v>325.065</v>
      </c>
      <c r="H58" s="653">
        <f t="shared" si="17"/>
        <v>162.78600000000003</v>
      </c>
      <c r="I58" s="653">
        <f t="shared" si="17"/>
        <v>278.6454</v>
      </c>
      <c r="J58" s="653">
        <f t="shared" si="17"/>
        <v>437.81274900000005</v>
      </c>
      <c r="K58" s="653">
        <f t="shared" si="17"/>
        <v>158.45592</v>
      </c>
      <c r="L58" s="653">
        <f t="shared" si="17"/>
        <v>26.951999999999998</v>
      </c>
      <c r="M58" s="653">
        <f t="shared" si="17"/>
        <v>26.849999999999998</v>
      </c>
      <c r="N58" s="653">
        <f t="shared" si="17"/>
        <v>194.826</v>
      </c>
      <c r="O58" s="653">
        <f t="shared" si="17"/>
        <v>254.15100000000004</v>
      </c>
      <c r="P58" s="653">
        <f t="shared" si="17"/>
        <v>0</v>
      </c>
      <c r="Q58" s="653">
        <f t="shared" si="17"/>
        <v>0</v>
      </c>
      <c r="R58" s="653">
        <f t="shared" si="17"/>
        <v>0</v>
      </c>
      <c r="S58" s="653">
        <f t="shared" si="17"/>
        <v>0</v>
      </c>
      <c r="T58" s="653">
        <f t="shared" si="17"/>
        <v>0</v>
      </c>
      <c r="U58" s="653">
        <f t="shared" si="17"/>
        <v>0</v>
      </c>
      <c r="V58" s="653">
        <f t="shared" si="17"/>
        <v>0</v>
      </c>
      <c r="W58" s="653">
        <f t="shared" si="17"/>
        <v>0</v>
      </c>
      <c r="X58" s="653">
        <f t="shared" si="17"/>
        <v>0</v>
      </c>
      <c r="Y58" s="653">
        <f t="shared" si="17"/>
        <v>0</v>
      </c>
      <c r="Z58" s="653">
        <f t="shared" si="17"/>
        <v>0</v>
      </c>
      <c r="AA58" s="653">
        <f t="shared" si="17"/>
        <v>0</v>
      </c>
      <c r="AB58" s="653">
        <f t="shared" si="17"/>
        <v>0</v>
      </c>
      <c r="AC58" s="653">
        <f t="shared" si="17"/>
        <v>0</v>
      </c>
      <c r="AD58" s="655"/>
      <c r="AE58" s="655">
        <f>SUM(AF58:AN58)</f>
        <v>0</v>
      </c>
      <c r="AF58" s="655"/>
      <c r="AG58" s="655"/>
      <c r="AH58" s="655"/>
      <c r="AI58" s="655"/>
      <c r="AJ58" s="655"/>
      <c r="AK58" s="655"/>
      <c r="AL58" s="655"/>
      <c r="AM58" s="655"/>
      <c r="AN58" s="655"/>
    </row>
    <row r="59" spans="1:40" s="671" customFormat="1" ht="13.5">
      <c r="A59" s="668"/>
      <c r="B59" s="681" t="s">
        <v>1060</v>
      </c>
      <c r="C59" s="659">
        <f t="shared" si="16"/>
        <v>31</v>
      </c>
      <c r="D59" s="663">
        <f>SUM(E59:F59)</f>
        <v>31</v>
      </c>
      <c r="E59" s="663">
        <f>20+2+3+1+4+1</f>
        <v>31</v>
      </c>
      <c r="F59" s="664"/>
      <c r="G59" s="664"/>
      <c r="H59" s="664"/>
      <c r="I59" s="664"/>
      <c r="J59" s="664"/>
      <c r="K59" s="664"/>
      <c r="L59" s="664"/>
      <c r="M59" s="664"/>
      <c r="N59" s="664"/>
      <c r="O59" s="664"/>
      <c r="P59" s="663">
        <f>Q59+R59</f>
        <v>0</v>
      </c>
      <c r="Q59" s="663"/>
      <c r="R59" s="664"/>
      <c r="S59" s="664"/>
      <c r="T59" s="664"/>
      <c r="U59" s="664"/>
      <c r="V59" s="664"/>
      <c r="W59" s="664"/>
      <c r="X59" s="664"/>
      <c r="Y59" s="664"/>
      <c r="Z59" s="664"/>
      <c r="AA59" s="664"/>
      <c r="AB59" s="664"/>
      <c r="AC59" s="672"/>
      <c r="AD59" s="670"/>
      <c r="AE59" s="670"/>
      <c r="AF59" s="670"/>
      <c r="AG59" s="670"/>
      <c r="AH59" s="670"/>
      <c r="AI59" s="670"/>
      <c r="AJ59" s="670"/>
      <c r="AK59" s="670"/>
      <c r="AL59" s="670"/>
      <c r="AM59" s="670"/>
      <c r="AN59" s="670"/>
    </row>
    <row r="60" spans="1:40" s="671" customFormat="1" ht="13.5">
      <c r="A60" s="668"/>
      <c r="B60" s="681" t="s">
        <v>1061</v>
      </c>
      <c r="C60" s="659">
        <f t="shared" si="16"/>
        <v>91.55000000000001</v>
      </c>
      <c r="D60" s="663">
        <f>SUM(E60:F60)</f>
        <v>91.55000000000001</v>
      </c>
      <c r="E60" s="663">
        <f>6.75+9.9+18+8.25+21.6+3.45+4.8+17.4+9.65-3.45-4.8</f>
        <v>91.55000000000001</v>
      </c>
      <c r="F60" s="664"/>
      <c r="G60" s="664"/>
      <c r="H60" s="664"/>
      <c r="I60" s="664"/>
      <c r="J60" s="664"/>
      <c r="K60" s="664"/>
      <c r="L60" s="664"/>
      <c r="M60" s="664"/>
      <c r="N60" s="664"/>
      <c r="O60" s="664"/>
      <c r="P60" s="663">
        <f>Q60+R60</f>
        <v>0</v>
      </c>
      <c r="Q60" s="663"/>
      <c r="R60" s="664"/>
      <c r="S60" s="664"/>
      <c r="T60" s="664"/>
      <c r="U60" s="664"/>
      <c r="V60" s="664"/>
      <c r="W60" s="664"/>
      <c r="X60" s="664"/>
      <c r="Y60" s="664"/>
      <c r="Z60" s="664"/>
      <c r="AA60" s="664"/>
      <c r="AB60" s="664"/>
      <c r="AC60" s="672"/>
      <c r="AD60" s="670"/>
      <c r="AE60" s="670"/>
      <c r="AF60" s="670"/>
      <c r="AG60" s="670"/>
      <c r="AH60" s="670"/>
      <c r="AI60" s="670"/>
      <c r="AJ60" s="670"/>
      <c r="AK60" s="670"/>
      <c r="AL60" s="670"/>
      <c r="AM60" s="670"/>
      <c r="AN60" s="670"/>
    </row>
    <row r="61" spans="1:40" s="671" customFormat="1" ht="24.75" customHeight="1">
      <c r="A61" s="668"/>
      <c r="B61" s="681" t="s">
        <v>1062</v>
      </c>
      <c r="C61" s="659">
        <f t="shared" si="16"/>
        <v>666.453</v>
      </c>
      <c r="D61" s="663">
        <f>SUM(E61:F61)</f>
        <v>666.453</v>
      </c>
      <c r="E61" s="663">
        <f>544.535+314.363+112.532+227.935+120.549+98.616+84.25+163.453+75.058-291.6-176.64-90.332-155.775-75.6-95.04-44.68-100.113-45.058</f>
        <v>666.453</v>
      </c>
      <c r="F61" s="664"/>
      <c r="G61" s="664"/>
      <c r="H61" s="664"/>
      <c r="I61" s="664"/>
      <c r="J61" s="664"/>
      <c r="K61" s="664"/>
      <c r="L61" s="664"/>
      <c r="M61" s="664"/>
      <c r="N61" s="664"/>
      <c r="O61" s="664"/>
      <c r="P61" s="663"/>
      <c r="Q61" s="663"/>
      <c r="R61" s="664"/>
      <c r="S61" s="664"/>
      <c r="T61" s="664"/>
      <c r="U61" s="664"/>
      <c r="V61" s="664"/>
      <c r="W61" s="664"/>
      <c r="X61" s="664"/>
      <c r="Y61" s="664"/>
      <c r="Z61" s="664"/>
      <c r="AA61" s="664"/>
      <c r="AB61" s="664"/>
      <c r="AC61" s="672"/>
      <c r="AD61" s="670"/>
      <c r="AE61" s="670"/>
      <c r="AF61" s="670"/>
      <c r="AG61" s="670"/>
      <c r="AH61" s="670"/>
      <c r="AI61" s="670"/>
      <c r="AJ61" s="670"/>
      <c r="AK61" s="670"/>
      <c r="AL61" s="670"/>
      <c r="AM61" s="670"/>
      <c r="AN61" s="670"/>
    </row>
    <row r="62" spans="1:40" s="671" customFormat="1" ht="13.5">
      <c r="A62" s="668"/>
      <c r="B62" s="681" t="s">
        <v>1071</v>
      </c>
      <c r="C62" s="659">
        <f t="shared" si="16"/>
        <v>45</v>
      </c>
      <c r="D62" s="663">
        <f>SUM(E62:F62)</f>
        <v>45</v>
      </c>
      <c r="E62" s="663">
        <v>45</v>
      </c>
      <c r="F62" s="664"/>
      <c r="G62" s="664"/>
      <c r="H62" s="664"/>
      <c r="I62" s="664"/>
      <c r="J62" s="664"/>
      <c r="K62" s="664"/>
      <c r="L62" s="664"/>
      <c r="M62" s="664"/>
      <c r="N62" s="664"/>
      <c r="O62" s="664"/>
      <c r="P62" s="663"/>
      <c r="Q62" s="663"/>
      <c r="R62" s="664"/>
      <c r="S62" s="664"/>
      <c r="T62" s="664"/>
      <c r="U62" s="664"/>
      <c r="V62" s="664"/>
      <c r="W62" s="664"/>
      <c r="X62" s="664"/>
      <c r="Y62" s="664"/>
      <c r="Z62" s="664"/>
      <c r="AA62" s="664"/>
      <c r="AB62" s="664"/>
      <c r="AC62" s="672"/>
      <c r="AD62" s="670"/>
      <c r="AE62" s="670"/>
      <c r="AF62" s="670"/>
      <c r="AG62" s="670"/>
      <c r="AH62" s="670"/>
      <c r="AI62" s="670"/>
      <c r="AJ62" s="670"/>
      <c r="AK62" s="670"/>
      <c r="AL62" s="670"/>
      <c r="AM62" s="670"/>
      <c r="AN62" s="670"/>
    </row>
    <row r="63" spans="1:40" s="671" customFormat="1" ht="13.5">
      <c r="A63" s="668"/>
      <c r="B63" s="681" t="s">
        <v>1077</v>
      </c>
      <c r="C63" s="659">
        <f t="shared" si="16"/>
        <v>20.582</v>
      </c>
      <c r="D63" s="663">
        <f>SUM(E63:F63)</f>
        <v>20.582</v>
      </c>
      <c r="E63" s="663">
        <v>20.582</v>
      </c>
      <c r="F63" s="664"/>
      <c r="G63" s="664"/>
      <c r="H63" s="664"/>
      <c r="I63" s="664"/>
      <c r="J63" s="664"/>
      <c r="K63" s="664"/>
      <c r="L63" s="664"/>
      <c r="M63" s="664"/>
      <c r="N63" s="664"/>
      <c r="O63" s="664"/>
      <c r="P63" s="663"/>
      <c r="Q63" s="663"/>
      <c r="R63" s="664"/>
      <c r="S63" s="664"/>
      <c r="T63" s="664"/>
      <c r="U63" s="664"/>
      <c r="V63" s="664"/>
      <c r="W63" s="664"/>
      <c r="X63" s="664"/>
      <c r="Y63" s="664"/>
      <c r="Z63" s="664"/>
      <c r="AA63" s="664"/>
      <c r="AB63" s="664"/>
      <c r="AC63" s="672"/>
      <c r="AD63" s="670"/>
      <c r="AE63" s="670"/>
      <c r="AF63" s="670"/>
      <c r="AG63" s="670"/>
      <c r="AH63" s="670"/>
      <c r="AI63" s="670"/>
      <c r="AJ63" s="670"/>
      <c r="AK63" s="670"/>
      <c r="AL63" s="670"/>
      <c r="AM63" s="670"/>
      <c r="AN63" s="670"/>
    </row>
    <row r="64" spans="1:40" s="656" customFormat="1" ht="13.5">
      <c r="A64" s="651" t="s">
        <v>1100</v>
      </c>
      <c r="B64" s="652" t="s">
        <v>1101</v>
      </c>
      <c r="C64" s="664">
        <f>C65+C69+C78+C81+C84+C86+C92+C95+C99</f>
        <v>621.848023</v>
      </c>
      <c r="D64" s="664">
        <f aca="true" t="shared" si="18" ref="D64:AB64">D65+D69+D78+D81+D84+D86+D92+D95+D99</f>
        <v>621.848023</v>
      </c>
      <c r="E64" s="664">
        <f t="shared" si="18"/>
        <v>0</v>
      </c>
      <c r="F64" s="664">
        <f t="shared" si="18"/>
        <v>621.848023</v>
      </c>
      <c r="G64" s="664">
        <f t="shared" si="18"/>
        <v>108.355</v>
      </c>
      <c r="H64" s="664">
        <f t="shared" si="18"/>
        <v>54.262</v>
      </c>
      <c r="I64" s="664">
        <f t="shared" si="18"/>
        <v>92.8818</v>
      </c>
      <c r="J64" s="664">
        <f t="shared" si="18"/>
        <v>145.93758300000002</v>
      </c>
      <c r="K64" s="664">
        <f t="shared" si="18"/>
        <v>52.81864</v>
      </c>
      <c r="L64" s="664">
        <f t="shared" si="18"/>
        <v>8.984</v>
      </c>
      <c r="M64" s="664">
        <f t="shared" si="18"/>
        <v>8.95</v>
      </c>
      <c r="N64" s="664">
        <f t="shared" si="18"/>
        <v>64.94200000000001</v>
      </c>
      <c r="O64" s="664">
        <f t="shared" si="18"/>
        <v>84.71700000000001</v>
      </c>
      <c r="P64" s="664">
        <f t="shared" si="18"/>
        <v>0</v>
      </c>
      <c r="Q64" s="664">
        <f t="shared" si="18"/>
        <v>0</v>
      </c>
      <c r="R64" s="664">
        <f t="shared" si="18"/>
        <v>0</v>
      </c>
      <c r="S64" s="664">
        <f t="shared" si="18"/>
        <v>0</v>
      </c>
      <c r="T64" s="664">
        <f t="shared" si="18"/>
        <v>0</v>
      </c>
      <c r="U64" s="664">
        <f t="shared" si="18"/>
        <v>0</v>
      </c>
      <c r="V64" s="664">
        <f t="shared" si="18"/>
        <v>0</v>
      </c>
      <c r="W64" s="664">
        <f t="shared" si="18"/>
        <v>0</v>
      </c>
      <c r="X64" s="664">
        <f t="shared" si="18"/>
        <v>0</v>
      </c>
      <c r="Y64" s="664">
        <f t="shared" si="18"/>
        <v>0</v>
      </c>
      <c r="Z64" s="664">
        <f t="shared" si="18"/>
        <v>0</v>
      </c>
      <c r="AA64" s="664">
        <f t="shared" si="18"/>
        <v>0</v>
      </c>
      <c r="AB64" s="664">
        <f t="shared" si="18"/>
        <v>0</v>
      </c>
      <c r="AC64" s="664"/>
      <c r="AD64" s="655"/>
      <c r="AE64" s="655"/>
      <c r="AF64" s="655"/>
      <c r="AG64" s="655"/>
      <c r="AH64" s="655"/>
      <c r="AI64" s="655"/>
      <c r="AJ64" s="655"/>
      <c r="AK64" s="655"/>
      <c r="AL64" s="655"/>
      <c r="AM64" s="655"/>
      <c r="AN64" s="655"/>
    </row>
    <row r="65" spans="1:40" s="656" customFormat="1" ht="12.75">
      <c r="A65" s="651">
        <v>1</v>
      </c>
      <c r="B65" s="652" t="s">
        <v>589</v>
      </c>
      <c r="C65" s="653">
        <f>SUM(C66:C68)</f>
        <v>37.051583</v>
      </c>
      <c r="D65" s="653">
        <f aca="true" t="shared" si="19" ref="D65:O65">SUM(D66:D68)</f>
        <v>37.051583</v>
      </c>
      <c r="E65" s="653">
        <f t="shared" si="19"/>
        <v>0</v>
      </c>
      <c r="F65" s="653">
        <f t="shared" si="19"/>
        <v>37.051583</v>
      </c>
      <c r="G65" s="653">
        <f t="shared" si="19"/>
        <v>0</v>
      </c>
      <c r="H65" s="653">
        <f t="shared" si="19"/>
        <v>5.855</v>
      </c>
      <c r="I65" s="653">
        <f t="shared" si="19"/>
        <v>0</v>
      </c>
      <c r="J65" s="653">
        <f t="shared" si="19"/>
        <v>31.196583</v>
      </c>
      <c r="K65" s="653">
        <f t="shared" si="19"/>
        <v>0</v>
      </c>
      <c r="L65" s="653">
        <f t="shared" si="19"/>
        <v>0</v>
      </c>
      <c r="M65" s="653">
        <f t="shared" si="19"/>
        <v>0</v>
      </c>
      <c r="N65" s="653">
        <f t="shared" si="19"/>
        <v>0</v>
      </c>
      <c r="O65" s="653">
        <f t="shared" si="19"/>
        <v>0</v>
      </c>
      <c r="P65" s="653">
        <f aca="true" t="shared" si="20" ref="P65:AB65">SUM(P66)</f>
        <v>0</v>
      </c>
      <c r="Q65" s="653">
        <f t="shared" si="20"/>
        <v>0</v>
      </c>
      <c r="R65" s="653">
        <f t="shared" si="20"/>
        <v>0</v>
      </c>
      <c r="S65" s="653">
        <f t="shared" si="20"/>
        <v>0</v>
      </c>
      <c r="T65" s="653">
        <f t="shared" si="20"/>
        <v>0</v>
      </c>
      <c r="U65" s="653">
        <f t="shared" si="20"/>
        <v>0</v>
      </c>
      <c r="V65" s="653">
        <f t="shared" si="20"/>
        <v>0</v>
      </c>
      <c r="W65" s="653">
        <f t="shared" si="20"/>
        <v>0</v>
      </c>
      <c r="X65" s="653">
        <f t="shared" si="20"/>
        <v>0</v>
      </c>
      <c r="Y65" s="653">
        <f t="shared" si="20"/>
        <v>0</v>
      </c>
      <c r="Z65" s="653">
        <f t="shared" si="20"/>
        <v>0</v>
      </c>
      <c r="AA65" s="653">
        <f t="shared" si="20"/>
        <v>0</v>
      </c>
      <c r="AB65" s="653">
        <f t="shared" si="20"/>
        <v>0</v>
      </c>
      <c r="AC65" s="653"/>
      <c r="AD65" s="655"/>
      <c r="AE65" s="655">
        <f>SUM(AF65:AN65)</f>
        <v>0</v>
      </c>
      <c r="AF65" s="655"/>
      <c r="AG65" s="655"/>
      <c r="AH65" s="655"/>
      <c r="AI65" s="655"/>
      <c r="AJ65" s="655"/>
      <c r="AK65" s="655"/>
      <c r="AL65" s="655"/>
      <c r="AM65" s="655"/>
      <c r="AN65" s="655"/>
    </row>
    <row r="66" spans="1:40" s="667" customFormat="1" ht="12.75">
      <c r="A66" s="711" t="s">
        <v>840</v>
      </c>
      <c r="B66" s="712" t="s">
        <v>1102</v>
      </c>
      <c r="C66" s="659">
        <f aca="true" t="shared" si="21" ref="C66:C79">D66+P66</f>
        <v>0</v>
      </c>
      <c r="D66" s="663">
        <f>E66+F66</f>
        <v>0</v>
      </c>
      <c r="E66" s="663"/>
      <c r="F66" s="663">
        <f>SUM(G66:O66)</f>
        <v>0</v>
      </c>
      <c r="G66" s="663"/>
      <c r="H66" s="663"/>
      <c r="I66" s="663"/>
      <c r="J66" s="663"/>
      <c r="K66" s="663"/>
      <c r="L66" s="663"/>
      <c r="M66" s="663"/>
      <c r="N66" s="663"/>
      <c r="O66" s="663"/>
      <c r="P66" s="663"/>
      <c r="Q66" s="663"/>
      <c r="R66" s="663"/>
      <c r="S66" s="663"/>
      <c r="T66" s="663"/>
      <c r="U66" s="663"/>
      <c r="V66" s="663"/>
      <c r="W66" s="663"/>
      <c r="X66" s="663"/>
      <c r="Y66" s="663"/>
      <c r="Z66" s="663"/>
      <c r="AA66" s="663"/>
      <c r="AB66" s="663"/>
      <c r="AC66" s="665"/>
      <c r="AD66" s="666"/>
      <c r="AE66" s="666"/>
      <c r="AF66" s="666"/>
      <c r="AG66" s="666"/>
      <c r="AH66" s="666"/>
      <c r="AI66" s="666"/>
      <c r="AJ66" s="666"/>
      <c r="AK66" s="666"/>
      <c r="AL66" s="666"/>
      <c r="AM66" s="666"/>
      <c r="AN66" s="666"/>
    </row>
    <row r="67" spans="1:40" s="667" customFormat="1" ht="12.75">
      <c r="A67" s="711" t="s">
        <v>840</v>
      </c>
      <c r="B67" s="712" t="s">
        <v>1103</v>
      </c>
      <c r="C67" s="659">
        <f t="shared" si="21"/>
        <v>7.97188</v>
      </c>
      <c r="D67" s="663">
        <f>E67+F67</f>
        <v>7.97188</v>
      </c>
      <c r="E67" s="663"/>
      <c r="F67" s="663">
        <f>SUM(G67:O67)</f>
        <v>7.97188</v>
      </c>
      <c r="G67" s="663"/>
      <c r="H67" s="663"/>
      <c r="I67" s="663"/>
      <c r="J67" s="663">
        <v>7.97188</v>
      </c>
      <c r="K67" s="663"/>
      <c r="L67" s="663"/>
      <c r="M67" s="663"/>
      <c r="N67" s="663"/>
      <c r="O67" s="663"/>
      <c r="P67" s="663"/>
      <c r="Q67" s="663"/>
      <c r="R67" s="663"/>
      <c r="S67" s="663"/>
      <c r="T67" s="663"/>
      <c r="U67" s="663"/>
      <c r="V67" s="663"/>
      <c r="W67" s="663"/>
      <c r="X67" s="663"/>
      <c r="Y67" s="663"/>
      <c r="Z67" s="663"/>
      <c r="AA67" s="663"/>
      <c r="AB67" s="663"/>
      <c r="AC67" s="665"/>
      <c r="AD67" s="666"/>
      <c r="AE67" s="666"/>
      <c r="AF67" s="666"/>
      <c r="AG67" s="666"/>
      <c r="AH67" s="666"/>
      <c r="AI67" s="666"/>
      <c r="AJ67" s="666"/>
      <c r="AK67" s="666"/>
      <c r="AL67" s="666"/>
      <c r="AM67" s="666"/>
      <c r="AN67" s="666"/>
    </row>
    <row r="68" spans="1:40" s="667" customFormat="1" ht="12.75">
      <c r="A68" s="711" t="s">
        <v>840</v>
      </c>
      <c r="B68" s="712" t="s">
        <v>1104</v>
      </c>
      <c r="C68" s="659">
        <f t="shared" si="21"/>
        <v>29.079703000000002</v>
      </c>
      <c r="D68" s="663">
        <f>E68+F68</f>
        <v>29.079703000000002</v>
      </c>
      <c r="E68" s="663"/>
      <c r="F68" s="663">
        <f>SUM(G68:O68)</f>
        <v>29.079703000000002</v>
      </c>
      <c r="G68" s="663"/>
      <c r="H68" s="663">
        <v>5.855</v>
      </c>
      <c r="I68" s="663"/>
      <c r="J68" s="663">
        <v>23.224703</v>
      </c>
      <c r="K68" s="663"/>
      <c r="L68" s="663"/>
      <c r="M68" s="663"/>
      <c r="N68" s="663"/>
      <c r="O68" s="663"/>
      <c r="P68" s="663"/>
      <c r="Q68" s="663"/>
      <c r="R68" s="663"/>
      <c r="S68" s="663"/>
      <c r="T68" s="663"/>
      <c r="U68" s="663"/>
      <c r="V68" s="663"/>
      <c r="W68" s="663"/>
      <c r="X68" s="663"/>
      <c r="Y68" s="663"/>
      <c r="Z68" s="663"/>
      <c r="AA68" s="663"/>
      <c r="AB68" s="663"/>
      <c r="AC68" s="665"/>
      <c r="AD68" s="666"/>
      <c r="AE68" s="666"/>
      <c r="AF68" s="666"/>
      <c r="AG68" s="666"/>
      <c r="AH68" s="666"/>
      <c r="AI68" s="666"/>
      <c r="AJ68" s="666"/>
      <c r="AK68" s="666"/>
      <c r="AL68" s="666"/>
      <c r="AM68" s="666"/>
      <c r="AN68" s="666"/>
    </row>
    <row r="69" spans="1:40" s="671" customFormat="1" ht="13.5">
      <c r="A69" s="668">
        <v>2</v>
      </c>
      <c r="B69" s="669" t="s">
        <v>590</v>
      </c>
      <c r="C69" s="664">
        <f>SUM(C70:C77)</f>
        <v>149.30180000000001</v>
      </c>
      <c r="D69" s="664">
        <f aca="true" t="shared" si="22" ref="D69:AB69">SUM(D70:D77)</f>
        <v>149.30180000000001</v>
      </c>
      <c r="E69" s="664">
        <f t="shared" si="22"/>
        <v>0</v>
      </c>
      <c r="F69" s="664">
        <f t="shared" si="22"/>
        <v>149.30180000000001</v>
      </c>
      <c r="G69" s="664">
        <f t="shared" si="22"/>
        <v>11.7</v>
      </c>
      <c r="H69" s="664">
        <f t="shared" si="22"/>
        <v>0</v>
      </c>
      <c r="I69" s="664">
        <f t="shared" si="22"/>
        <v>1.8738</v>
      </c>
      <c r="J69" s="664">
        <f t="shared" si="22"/>
        <v>67.286</v>
      </c>
      <c r="K69" s="664">
        <f t="shared" si="22"/>
        <v>0</v>
      </c>
      <c r="L69" s="664">
        <f t="shared" si="22"/>
        <v>0</v>
      </c>
      <c r="M69" s="664">
        <f t="shared" si="22"/>
        <v>0</v>
      </c>
      <c r="N69" s="664">
        <f t="shared" si="22"/>
        <v>0</v>
      </c>
      <c r="O69" s="664">
        <f t="shared" si="22"/>
        <v>68.44200000000001</v>
      </c>
      <c r="P69" s="664">
        <f>SUM(P70:P77)</f>
        <v>0</v>
      </c>
      <c r="Q69" s="664">
        <f t="shared" si="22"/>
        <v>0</v>
      </c>
      <c r="R69" s="664">
        <f t="shared" si="22"/>
        <v>0</v>
      </c>
      <c r="S69" s="664">
        <f t="shared" si="22"/>
        <v>0</v>
      </c>
      <c r="T69" s="664">
        <f t="shared" si="22"/>
        <v>0</v>
      </c>
      <c r="U69" s="664">
        <f t="shared" si="22"/>
        <v>0</v>
      </c>
      <c r="V69" s="664">
        <f t="shared" si="22"/>
        <v>0</v>
      </c>
      <c r="W69" s="664">
        <f t="shared" si="22"/>
        <v>0</v>
      </c>
      <c r="X69" s="664">
        <f t="shared" si="22"/>
        <v>0</v>
      </c>
      <c r="Y69" s="664">
        <f t="shared" si="22"/>
        <v>0</v>
      </c>
      <c r="Z69" s="664">
        <f t="shared" si="22"/>
        <v>0</v>
      </c>
      <c r="AA69" s="664">
        <f t="shared" si="22"/>
        <v>0</v>
      </c>
      <c r="AB69" s="664">
        <f t="shared" si="22"/>
        <v>0</v>
      </c>
      <c r="AC69" s="664"/>
      <c r="AD69" s="670"/>
      <c r="AE69" s="655">
        <f>SUM(AF69:AN69)</f>
        <v>0</v>
      </c>
      <c r="AF69" s="670"/>
      <c r="AG69" s="670"/>
      <c r="AH69" s="670"/>
      <c r="AI69" s="670"/>
      <c r="AJ69" s="670"/>
      <c r="AK69" s="670"/>
      <c r="AL69" s="670"/>
      <c r="AM69" s="670"/>
      <c r="AN69" s="670"/>
    </row>
    <row r="70" spans="1:40" s="667" customFormat="1" ht="25.5">
      <c r="A70" s="711" t="s">
        <v>840</v>
      </c>
      <c r="B70" s="712" t="s">
        <v>1105</v>
      </c>
      <c r="C70" s="659">
        <f t="shared" si="21"/>
        <v>4</v>
      </c>
      <c r="D70" s="663">
        <f aca="true" t="shared" si="23" ref="D70:D79">E70+F70</f>
        <v>4</v>
      </c>
      <c r="E70" s="665"/>
      <c r="F70" s="663">
        <f aca="true" t="shared" si="24" ref="F70:F77">SUM(G70:O70)</f>
        <v>4</v>
      </c>
      <c r="G70" s="663">
        <v>4</v>
      </c>
      <c r="H70" s="663"/>
      <c r="I70" s="663"/>
      <c r="J70" s="663"/>
      <c r="K70" s="663"/>
      <c r="L70" s="663"/>
      <c r="M70" s="663"/>
      <c r="N70" s="663"/>
      <c r="O70" s="663"/>
      <c r="P70" s="663"/>
      <c r="Q70" s="663"/>
      <c r="R70" s="663"/>
      <c r="S70" s="663"/>
      <c r="T70" s="663"/>
      <c r="U70" s="663"/>
      <c r="V70" s="663"/>
      <c r="W70" s="663"/>
      <c r="X70" s="663"/>
      <c r="Y70" s="663"/>
      <c r="Z70" s="663"/>
      <c r="AA70" s="663"/>
      <c r="AB70" s="663"/>
      <c r="AC70" s="665"/>
      <c r="AD70" s="666"/>
      <c r="AE70" s="666"/>
      <c r="AF70" s="666"/>
      <c r="AG70" s="666"/>
      <c r="AH70" s="666"/>
      <c r="AI70" s="666"/>
      <c r="AJ70" s="666"/>
      <c r="AK70" s="666"/>
      <c r="AL70" s="666"/>
      <c r="AM70" s="666"/>
      <c r="AN70" s="666"/>
    </row>
    <row r="71" spans="1:40" s="667" customFormat="1" ht="51" customHeight="1">
      <c r="A71" s="711" t="s">
        <v>840</v>
      </c>
      <c r="B71" s="712" t="s">
        <v>1106</v>
      </c>
      <c r="C71" s="659">
        <f t="shared" si="21"/>
        <v>7.7</v>
      </c>
      <c r="D71" s="663">
        <f t="shared" si="23"/>
        <v>7.7</v>
      </c>
      <c r="E71" s="713"/>
      <c r="F71" s="663">
        <f t="shared" si="24"/>
        <v>7.7</v>
      </c>
      <c r="G71" s="663">
        <v>7.7</v>
      </c>
      <c r="H71" s="663"/>
      <c r="I71" s="663"/>
      <c r="J71" s="663"/>
      <c r="K71" s="663"/>
      <c r="L71" s="663"/>
      <c r="M71" s="663"/>
      <c r="N71" s="663"/>
      <c r="O71" s="663"/>
      <c r="P71" s="663"/>
      <c r="Q71" s="663"/>
      <c r="R71" s="663"/>
      <c r="S71" s="663"/>
      <c r="T71" s="663"/>
      <c r="U71" s="663"/>
      <c r="V71" s="663"/>
      <c r="W71" s="663"/>
      <c r="X71" s="663"/>
      <c r="Y71" s="663"/>
      <c r="Z71" s="663"/>
      <c r="AA71" s="663"/>
      <c r="AB71" s="663"/>
      <c r="AC71" s="665"/>
      <c r="AD71" s="666"/>
      <c r="AE71" s="666"/>
      <c r="AF71" s="666"/>
      <c r="AG71" s="666"/>
      <c r="AH71" s="666"/>
      <c r="AI71" s="666"/>
      <c r="AJ71" s="666"/>
      <c r="AK71" s="666"/>
      <c r="AL71" s="666"/>
      <c r="AM71" s="666"/>
      <c r="AN71" s="666"/>
    </row>
    <row r="72" spans="1:40" s="667" customFormat="1" ht="12.75">
      <c r="A72" s="711" t="s">
        <v>840</v>
      </c>
      <c r="B72" s="712" t="s">
        <v>1107</v>
      </c>
      <c r="C72" s="659">
        <f t="shared" si="21"/>
        <v>1.8738</v>
      </c>
      <c r="D72" s="663">
        <f t="shared" si="23"/>
        <v>1.8738</v>
      </c>
      <c r="E72" s="663"/>
      <c r="F72" s="663">
        <f t="shared" si="24"/>
        <v>1.8738</v>
      </c>
      <c r="G72" s="663"/>
      <c r="H72" s="663"/>
      <c r="I72" s="663">
        <v>1.8738</v>
      </c>
      <c r="J72" s="663"/>
      <c r="K72" s="663"/>
      <c r="L72" s="663"/>
      <c r="M72" s="663"/>
      <c r="N72" s="663"/>
      <c r="O72" s="663"/>
      <c r="P72" s="663"/>
      <c r="Q72" s="663"/>
      <c r="R72" s="663"/>
      <c r="S72" s="663"/>
      <c r="T72" s="663"/>
      <c r="U72" s="663"/>
      <c r="V72" s="663"/>
      <c r="W72" s="663"/>
      <c r="X72" s="663"/>
      <c r="Y72" s="663"/>
      <c r="Z72" s="663"/>
      <c r="AA72" s="663"/>
      <c r="AB72" s="663"/>
      <c r="AC72" s="665"/>
      <c r="AD72" s="666"/>
      <c r="AE72" s="666"/>
      <c r="AF72" s="666"/>
      <c r="AG72" s="666"/>
      <c r="AH72" s="666"/>
      <c r="AI72" s="666"/>
      <c r="AJ72" s="666"/>
      <c r="AK72" s="666"/>
      <c r="AL72" s="666"/>
      <c r="AM72" s="666"/>
      <c r="AN72" s="666"/>
    </row>
    <row r="73" spans="1:40" s="667" customFormat="1" ht="12.75">
      <c r="A73" s="711" t="s">
        <v>840</v>
      </c>
      <c r="B73" s="712" t="s">
        <v>1108</v>
      </c>
      <c r="C73" s="659">
        <f t="shared" si="21"/>
        <v>2.26</v>
      </c>
      <c r="D73" s="663">
        <f t="shared" si="23"/>
        <v>2.26</v>
      </c>
      <c r="E73" s="663"/>
      <c r="F73" s="663">
        <f t="shared" si="24"/>
        <v>2.26</v>
      </c>
      <c r="G73" s="663"/>
      <c r="H73" s="663"/>
      <c r="I73" s="663"/>
      <c r="J73" s="663">
        <v>2.26</v>
      </c>
      <c r="K73" s="663"/>
      <c r="L73" s="663"/>
      <c r="M73" s="663"/>
      <c r="N73" s="663"/>
      <c r="O73" s="663"/>
      <c r="P73" s="663"/>
      <c r="Q73" s="663"/>
      <c r="R73" s="663"/>
      <c r="S73" s="663"/>
      <c r="T73" s="663"/>
      <c r="U73" s="663"/>
      <c r="V73" s="663"/>
      <c r="W73" s="663"/>
      <c r="X73" s="663"/>
      <c r="Y73" s="663"/>
      <c r="Z73" s="663"/>
      <c r="AA73" s="663"/>
      <c r="AB73" s="663"/>
      <c r="AC73" s="665"/>
      <c r="AD73" s="666"/>
      <c r="AE73" s="666"/>
      <c r="AF73" s="666"/>
      <c r="AG73" s="666"/>
      <c r="AH73" s="666"/>
      <c r="AI73" s="666"/>
      <c r="AJ73" s="666"/>
      <c r="AK73" s="666"/>
      <c r="AL73" s="666"/>
      <c r="AM73" s="666"/>
      <c r="AN73" s="666"/>
    </row>
    <row r="74" spans="1:40" s="667" customFormat="1" ht="25.5">
      <c r="A74" s="711" t="s">
        <v>840</v>
      </c>
      <c r="B74" s="712" t="s">
        <v>1109</v>
      </c>
      <c r="C74" s="659">
        <f t="shared" si="21"/>
        <v>65.026</v>
      </c>
      <c r="D74" s="663">
        <f t="shared" si="23"/>
        <v>65.026</v>
      </c>
      <c r="E74" s="663"/>
      <c r="F74" s="663">
        <f t="shared" si="24"/>
        <v>65.026</v>
      </c>
      <c r="G74" s="663"/>
      <c r="H74" s="663"/>
      <c r="I74" s="663"/>
      <c r="J74" s="663">
        <v>65.026</v>
      </c>
      <c r="K74" s="663"/>
      <c r="L74" s="663"/>
      <c r="M74" s="663"/>
      <c r="N74" s="663"/>
      <c r="O74" s="663"/>
      <c r="P74" s="663"/>
      <c r="Q74" s="663"/>
      <c r="R74" s="663"/>
      <c r="S74" s="663"/>
      <c r="T74" s="663"/>
      <c r="U74" s="663"/>
      <c r="V74" s="663"/>
      <c r="W74" s="663"/>
      <c r="X74" s="663"/>
      <c r="Y74" s="663"/>
      <c r="Z74" s="663"/>
      <c r="AA74" s="663"/>
      <c r="AB74" s="663"/>
      <c r="AC74" s="665"/>
      <c r="AD74" s="666"/>
      <c r="AE74" s="666"/>
      <c r="AF74" s="666"/>
      <c r="AG74" s="666"/>
      <c r="AH74" s="666"/>
      <c r="AI74" s="666"/>
      <c r="AJ74" s="666"/>
      <c r="AK74" s="666"/>
      <c r="AL74" s="666"/>
      <c r="AM74" s="666"/>
      <c r="AN74" s="666"/>
    </row>
    <row r="75" spans="1:40" s="667" customFormat="1" ht="25.5">
      <c r="A75" s="711" t="s">
        <v>840</v>
      </c>
      <c r="B75" s="712" t="s">
        <v>1110</v>
      </c>
      <c r="C75" s="659">
        <f t="shared" si="21"/>
        <v>50</v>
      </c>
      <c r="D75" s="663">
        <f t="shared" si="23"/>
        <v>50</v>
      </c>
      <c r="E75" s="663"/>
      <c r="F75" s="663">
        <f t="shared" si="24"/>
        <v>50</v>
      </c>
      <c r="G75" s="663"/>
      <c r="H75" s="663"/>
      <c r="I75" s="663"/>
      <c r="J75" s="663"/>
      <c r="K75" s="663"/>
      <c r="L75" s="663"/>
      <c r="M75" s="663"/>
      <c r="N75" s="663"/>
      <c r="O75" s="663">
        <v>50</v>
      </c>
      <c r="P75" s="663"/>
      <c r="Q75" s="663"/>
      <c r="R75" s="663"/>
      <c r="S75" s="663"/>
      <c r="T75" s="663"/>
      <c r="U75" s="663"/>
      <c r="V75" s="663"/>
      <c r="W75" s="663"/>
      <c r="X75" s="663"/>
      <c r="Y75" s="663"/>
      <c r="Z75" s="663"/>
      <c r="AA75" s="663"/>
      <c r="AB75" s="663"/>
      <c r="AC75" s="665"/>
      <c r="AD75" s="666"/>
      <c r="AE75" s="666"/>
      <c r="AF75" s="666"/>
      <c r="AG75" s="666"/>
      <c r="AH75" s="666"/>
      <c r="AI75" s="666"/>
      <c r="AJ75" s="666"/>
      <c r="AK75" s="666"/>
      <c r="AL75" s="666"/>
      <c r="AM75" s="666"/>
      <c r="AN75" s="666"/>
    </row>
    <row r="76" spans="1:40" s="667" customFormat="1" ht="12.75">
      <c r="A76" s="711" t="s">
        <v>840</v>
      </c>
      <c r="B76" s="662" t="s">
        <v>1111</v>
      </c>
      <c r="C76" s="659">
        <f t="shared" si="21"/>
        <v>9.5</v>
      </c>
      <c r="D76" s="663">
        <f t="shared" si="23"/>
        <v>9.5</v>
      </c>
      <c r="E76" s="663"/>
      <c r="F76" s="663">
        <f t="shared" si="24"/>
        <v>9.5</v>
      </c>
      <c r="G76" s="663"/>
      <c r="H76" s="663"/>
      <c r="I76" s="663"/>
      <c r="J76" s="663"/>
      <c r="K76" s="663"/>
      <c r="L76" s="663"/>
      <c r="M76" s="663"/>
      <c r="N76" s="663"/>
      <c r="O76" s="663">
        <v>9.5</v>
      </c>
      <c r="P76" s="663"/>
      <c r="Q76" s="663"/>
      <c r="R76" s="663"/>
      <c r="S76" s="663"/>
      <c r="T76" s="663"/>
      <c r="U76" s="663"/>
      <c r="V76" s="663"/>
      <c r="W76" s="663"/>
      <c r="X76" s="663"/>
      <c r="Y76" s="663"/>
      <c r="Z76" s="663"/>
      <c r="AA76" s="663"/>
      <c r="AB76" s="663"/>
      <c r="AC76" s="665"/>
      <c r="AD76" s="666"/>
      <c r="AE76" s="666"/>
      <c r="AF76" s="666"/>
      <c r="AG76" s="666"/>
      <c r="AH76" s="666"/>
      <c r="AI76" s="666"/>
      <c r="AJ76" s="666"/>
      <c r="AK76" s="666"/>
      <c r="AL76" s="666"/>
      <c r="AM76" s="666"/>
      <c r="AN76" s="666"/>
    </row>
    <row r="77" spans="1:40" s="667" customFormat="1" ht="12.75">
      <c r="A77" s="711" t="s">
        <v>840</v>
      </c>
      <c r="B77" s="662" t="s">
        <v>1112</v>
      </c>
      <c r="C77" s="659">
        <f t="shared" si="21"/>
        <v>8.942</v>
      </c>
      <c r="D77" s="663">
        <f t="shared" si="23"/>
        <v>8.942</v>
      </c>
      <c r="E77" s="663"/>
      <c r="F77" s="663">
        <f t="shared" si="24"/>
        <v>8.942</v>
      </c>
      <c r="G77" s="663"/>
      <c r="H77" s="663"/>
      <c r="I77" s="663"/>
      <c r="J77" s="663"/>
      <c r="K77" s="663"/>
      <c r="L77" s="663"/>
      <c r="M77" s="663"/>
      <c r="N77" s="663"/>
      <c r="O77" s="663">
        <v>8.942</v>
      </c>
      <c r="P77" s="663"/>
      <c r="Q77" s="663"/>
      <c r="R77" s="663"/>
      <c r="S77" s="663"/>
      <c r="T77" s="663"/>
      <c r="U77" s="663"/>
      <c r="V77" s="663"/>
      <c r="W77" s="663"/>
      <c r="X77" s="663"/>
      <c r="Y77" s="663"/>
      <c r="Z77" s="663"/>
      <c r="AA77" s="663"/>
      <c r="AB77" s="663"/>
      <c r="AC77" s="665"/>
      <c r="AD77" s="666"/>
      <c r="AE77" s="666"/>
      <c r="AF77" s="666"/>
      <c r="AG77" s="666"/>
      <c r="AH77" s="666"/>
      <c r="AI77" s="666"/>
      <c r="AJ77" s="666"/>
      <c r="AK77" s="666"/>
      <c r="AL77" s="666"/>
      <c r="AM77" s="666"/>
      <c r="AN77" s="666"/>
    </row>
    <row r="78" spans="1:40" s="671" customFormat="1" ht="13.5">
      <c r="A78" s="668">
        <v>3</v>
      </c>
      <c r="B78" s="669" t="s">
        <v>591</v>
      </c>
      <c r="C78" s="664">
        <f>SUM(C79:C80)</f>
        <v>16.308</v>
      </c>
      <c r="D78" s="664">
        <f aca="true" t="shared" si="25" ref="D78:AB78">SUM(D79:D80)</f>
        <v>16.308</v>
      </c>
      <c r="E78" s="664">
        <f t="shared" si="25"/>
        <v>0</v>
      </c>
      <c r="F78" s="664">
        <f t="shared" si="25"/>
        <v>16.308</v>
      </c>
      <c r="G78" s="664">
        <f t="shared" si="25"/>
        <v>0</v>
      </c>
      <c r="H78" s="664">
        <f t="shared" si="25"/>
        <v>0</v>
      </c>
      <c r="I78" s="664">
        <f t="shared" si="25"/>
        <v>16.308</v>
      </c>
      <c r="J78" s="664">
        <f t="shared" si="25"/>
        <v>0</v>
      </c>
      <c r="K78" s="664">
        <f t="shared" si="25"/>
        <v>0</v>
      </c>
      <c r="L78" s="664">
        <f t="shared" si="25"/>
        <v>0</v>
      </c>
      <c r="M78" s="664">
        <f t="shared" si="25"/>
        <v>0</v>
      </c>
      <c r="N78" s="664">
        <f t="shared" si="25"/>
        <v>0</v>
      </c>
      <c r="O78" s="664">
        <f t="shared" si="25"/>
        <v>0</v>
      </c>
      <c r="P78" s="664">
        <f t="shared" si="25"/>
        <v>0</v>
      </c>
      <c r="Q78" s="664">
        <f t="shared" si="25"/>
        <v>0</v>
      </c>
      <c r="R78" s="664">
        <f t="shared" si="25"/>
        <v>0</v>
      </c>
      <c r="S78" s="664">
        <f t="shared" si="25"/>
        <v>0</v>
      </c>
      <c r="T78" s="664">
        <f t="shared" si="25"/>
        <v>0</v>
      </c>
      <c r="U78" s="664">
        <f t="shared" si="25"/>
        <v>0</v>
      </c>
      <c r="V78" s="664">
        <f t="shared" si="25"/>
        <v>0</v>
      </c>
      <c r="W78" s="664">
        <f t="shared" si="25"/>
        <v>0</v>
      </c>
      <c r="X78" s="664">
        <f t="shared" si="25"/>
        <v>0</v>
      </c>
      <c r="Y78" s="664">
        <f t="shared" si="25"/>
        <v>0</v>
      </c>
      <c r="Z78" s="664">
        <f t="shared" si="25"/>
        <v>0</v>
      </c>
      <c r="AA78" s="664">
        <f t="shared" si="25"/>
        <v>0</v>
      </c>
      <c r="AB78" s="664">
        <f t="shared" si="25"/>
        <v>0</v>
      </c>
      <c r="AC78" s="664">
        <f>SUM(AC79:AC79)</f>
        <v>0</v>
      </c>
      <c r="AD78" s="670"/>
      <c r="AE78" s="655">
        <f>SUM(AF78:AN78)</f>
        <v>0</v>
      </c>
      <c r="AF78" s="670"/>
      <c r="AG78" s="670"/>
      <c r="AH78" s="670"/>
      <c r="AI78" s="670"/>
      <c r="AJ78" s="670"/>
      <c r="AK78" s="670"/>
      <c r="AL78" s="670"/>
      <c r="AM78" s="670"/>
      <c r="AN78" s="670"/>
    </row>
    <row r="79" spans="1:40" s="667" customFormat="1" ht="12.75">
      <c r="A79" s="711" t="s">
        <v>840</v>
      </c>
      <c r="B79" s="662" t="s">
        <v>1113</v>
      </c>
      <c r="C79" s="659">
        <f t="shared" si="21"/>
        <v>16.308</v>
      </c>
      <c r="D79" s="663">
        <f t="shared" si="23"/>
        <v>16.308</v>
      </c>
      <c r="E79" s="659"/>
      <c r="F79" s="663">
        <f>SUM(G79:O79)</f>
        <v>16.308</v>
      </c>
      <c r="G79" s="663"/>
      <c r="H79" s="663"/>
      <c r="I79" s="663">
        <v>16.308</v>
      </c>
      <c r="J79" s="663"/>
      <c r="K79" s="663"/>
      <c r="L79" s="663"/>
      <c r="M79" s="663"/>
      <c r="N79" s="663"/>
      <c r="O79" s="663"/>
      <c r="P79" s="663"/>
      <c r="Q79" s="663"/>
      <c r="R79" s="663"/>
      <c r="S79" s="663"/>
      <c r="T79" s="663"/>
      <c r="U79" s="663"/>
      <c r="V79" s="663"/>
      <c r="W79" s="663"/>
      <c r="X79" s="663"/>
      <c r="Y79" s="663"/>
      <c r="Z79" s="663"/>
      <c r="AA79" s="663"/>
      <c r="AB79" s="663"/>
      <c r="AC79" s="665"/>
      <c r="AD79" s="666"/>
      <c r="AE79" s="655"/>
      <c r="AF79" s="666"/>
      <c r="AG79" s="666"/>
      <c r="AH79" s="666"/>
      <c r="AI79" s="666"/>
      <c r="AJ79" s="666"/>
      <c r="AK79" s="666"/>
      <c r="AL79" s="666"/>
      <c r="AM79" s="666"/>
      <c r="AN79" s="666"/>
    </row>
    <row r="80" spans="1:40" s="667" customFormat="1" ht="12.75" hidden="1">
      <c r="A80" s="661"/>
      <c r="B80" s="714"/>
      <c r="C80" s="659"/>
      <c r="D80" s="659"/>
      <c r="E80" s="659"/>
      <c r="F80" s="659"/>
      <c r="G80" s="663"/>
      <c r="H80" s="663"/>
      <c r="I80" s="663"/>
      <c r="J80" s="663"/>
      <c r="K80" s="663"/>
      <c r="L80" s="663"/>
      <c r="M80" s="663"/>
      <c r="N80" s="663"/>
      <c r="O80" s="663"/>
      <c r="P80" s="663"/>
      <c r="Q80" s="663"/>
      <c r="R80" s="663"/>
      <c r="S80" s="663"/>
      <c r="T80" s="663"/>
      <c r="U80" s="663"/>
      <c r="V80" s="663"/>
      <c r="W80" s="663"/>
      <c r="X80" s="663"/>
      <c r="Y80" s="663"/>
      <c r="Z80" s="663"/>
      <c r="AA80" s="663"/>
      <c r="AB80" s="663"/>
      <c r="AC80" s="665"/>
      <c r="AD80" s="666"/>
      <c r="AE80" s="655"/>
      <c r="AF80" s="666"/>
      <c r="AG80" s="666"/>
      <c r="AH80" s="666"/>
      <c r="AI80" s="666"/>
      <c r="AJ80" s="666"/>
      <c r="AK80" s="666"/>
      <c r="AL80" s="666"/>
      <c r="AM80" s="666"/>
      <c r="AN80" s="666"/>
    </row>
    <row r="81" spans="1:40" s="671" customFormat="1" ht="13.5">
      <c r="A81" s="668">
        <v>4</v>
      </c>
      <c r="B81" s="669" t="s">
        <v>772</v>
      </c>
      <c r="C81" s="664">
        <f>SUM(C82:C83)</f>
        <v>0</v>
      </c>
      <c r="D81" s="664">
        <f aca="true" t="shared" si="26" ref="D81:AB81">SUM(D82:D83)</f>
        <v>0</v>
      </c>
      <c r="E81" s="664">
        <f t="shared" si="26"/>
        <v>0</v>
      </c>
      <c r="F81" s="664">
        <f t="shared" si="26"/>
        <v>0</v>
      </c>
      <c r="G81" s="664">
        <f t="shared" si="26"/>
        <v>0</v>
      </c>
      <c r="H81" s="664">
        <f t="shared" si="26"/>
        <v>0</v>
      </c>
      <c r="I81" s="664">
        <f t="shared" si="26"/>
        <v>0</v>
      </c>
      <c r="J81" s="664">
        <f t="shared" si="26"/>
        <v>0</v>
      </c>
      <c r="K81" s="664">
        <f t="shared" si="26"/>
        <v>0</v>
      </c>
      <c r="L81" s="664">
        <f t="shared" si="26"/>
        <v>0</v>
      </c>
      <c r="M81" s="664">
        <f t="shared" si="26"/>
        <v>0</v>
      </c>
      <c r="N81" s="664">
        <f t="shared" si="26"/>
        <v>0</v>
      </c>
      <c r="O81" s="664">
        <f t="shared" si="26"/>
        <v>0</v>
      </c>
      <c r="P81" s="664">
        <f t="shared" si="26"/>
        <v>0</v>
      </c>
      <c r="Q81" s="664">
        <f t="shared" si="26"/>
        <v>0</v>
      </c>
      <c r="R81" s="664">
        <f t="shared" si="26"/>
        <v>0</v>
      </c>
      <c r="S81" s="664">
        <f t="shared" si="26"/>
        <v>0</v>
      </c>
      <c r="T81" s="664">
        <f t="shared" si="26"/>
        <v>0</v>
      </c>
      <c r="U81" s="664">
        <f t="shared" si="26"/>
        <v>0</v>
      </c>
      <c r="V81" s="664">
        <f t="shared" si="26"/>
        <v>0</v>
      </c>
      <c r="W81" s="664">
        <f t="shared" si="26"/>
        <v>0</v>
      </c>
      <c r="X81" s="664">
        <f t="shared" si="26"/>
        <v>0</v>
      </c>
      <c r="Y81" s="664">
        <f t="shared" si="26"/>
        <v>0</v>
      </c>
      <c r="Z81" s="664">
        <f t="shared" si="26"/>
        <v>0</v>
      </c>
      <c r="AA81" s="664">
        <f t="shared" si="26"/>
        <v>0</v>
      </c>
      <c r="AB81" s="664">
        <f t="shared" si="26"/>
        <v>0</v>
      </c>
      <c r="AC81" s="672"/>
      <c r="AD81" s="670"/>
      <c r="AE81" s="655">
        <f>SUM(AF81:AN81)</f>
        <v>0</v>
      </c>
      <c r="AF81" s="670"/>
      <c r="AG81" s="670"/>
      <c r="AH81" s="670"/>
      <c r="AI81" s="670"/>
      <c r="AJ81" s="670"/>
      <c r="AK81" s="670"/>
      <c r="AL81" s="670"/>
      <c r="AM81" s="670"/>
      <c r="AN81" s="670"/>
    </row>
    <row r="82" spans="1:40" s="667" customFormat="1" ht="12.75" hidden="1">
      <c r="A82" s="661"/>
      <c r="B82" s="662"/>
      <c r="C82" s="659"/>
      <c r="D82" s="659"/>
      <c r="E82" s="663"/>
      <c r="F82" s="663"/>
      <c r="G82" s="663"/>
      <c r="H82" s="663"/>
      <c r="I82" s="663"/>
      <c r="J82" s="663"/>
      <c r="K82" s="663"/>
      <c r="L82" s="663"/>
      <c r="M82" s="663"/>
      <c r="N82" s="663"/>
      <c r="O82" s="663"/>
      <c r="P82" s="663"/>
      <c r="Q82" s="663"/>
      <c r="R82" s="663"/>
      <c r="S82" s="663"/>
      <c r="T82" s="663"/>
      <c r="U82" s="663"/>
      <c r="V82" s="663"/>
      <c r="W82" s="663"/>
      <c r="X82" s="663"/>
      <c r="Y82" s="663"/>
      <c r="Z82" s="663"/>
      <c r="AA82" s="663"/>
      <c r="AB82" s="663"/>
      <c r="AC82" s="665"/>
      <c r="AD82" s="666"/>
      <c r="AE82" s="640"/>
      <c r="AF82" s="666"/>
      <c r="AG82" s="666"/>
      <c r="AH82" s="666"/>
      <c r="AI82" s="666"/>
      <c r="AJ82" s="666"/>
      <c r="AK82" s="666"/>
      <c r="AL82" s="666"/>
      <c r="AM82" s="666"/>
      <c r="AN82" s="666"/>
    </row>
    <row r="83" spans="1:40" s="667" customFormat="1" ht="12.75" hidden="1">
      <c r="A83" s="661"/>
      <c r="B83" s="714"/>
      <c r="C83" s="659"/>
      <c r="D83" s="659"/>
      <c r="E83" s="663"/>
      <c r="F83" s="663"/>
      <c r="G83" s="663"/>
      <c r="H83" s="663"/>
      <c r="I83" s="663"/>
      <c r="J83" s="663"/>
      <c r="K83" s="663"/>
      <c r="L83" s="663"/>
      <c r="M83" s="663"/>
      <c r="N83" s="663"/>
      <c r="O83" s="663"/>
      <c r="P83" s="663"/>
      <c r="Q83" s="663"/>
      <c r="R83" s="663"/>
      <c r="S83" s="663"/>
      <c r="T83" s="663"/>
      <c r="U83" s="663"/>
      <c r="V83" s="663"/>
      <c r="W83" s="663"/>
      <c r="X83" s="663"/>
      <c r="Y83" s="663"/>
      <c r="Z83" s="663"/>
      <c r="AA83" s="663"/>
      <c r="AB83" s="663"/>
      <c r="AC83" s="665"/>
      <c r="AD83" s="666"/>
      <c r="AE83" s="640"/>
      <c r="AF83" s="666"/>
      <c r="AG83" s="666"/>
      <c r="AH83" s="666"/>
      <c r="AI83" s="666"/>
      <c r="AJ83" s="666"/>
      <c r="AK83" s="666"/>
      <c r="AL83" s="666"/>
      <c r="AM83" s="666"/>
      <c r="AN83" s="666"/>
    </row>
    <row r="84" spans="1:40" s="656" customFormat="1" ht="12.75">
      <c r="A84" s="651">
        <v>5</v>
      </c>
      <c r="B84" s="652" t="s">
        <v>1114</v>
      </c>
      <c r="C84" s="653">
        <f>SUM(C85)</f>
        <v>0</v>
      </c>
      <c r="D84" s="653">
        <f aca="true" t="shared" si="27" ref="D84:AB84">SUM(D85)</f>
        <v>0</v>
      </c>
      <c r="E84" s="653">
        <f t="shared" si="27"/>
        <v>0</v>
      </c>
      <c r="F84" s="653">
        <f t="shared" si="27"/>
        <v>0</v>
      </c>
      <c r="G84" s="653">
        <f t="shared" si="27"/>
        <v>0</v>
      </c>
      <c r="H84" s="653">
        <f t="shared" si="27"/>
        <v>0</v>
      </c>
      <c r="I84" s="653">
        <f t="shared" si="27"/>
        <v>0</v>
      </c>
      <c r="J84" s="653">
        <f t="shared" si="27"/>
        <v>0</v>
      </c>
      <c r="K84" s="653">
        <f t="shared" si="27"/>
        <v>0</v>
      </c>
      <c r="L84" s="653">
        <f t="shared" si="27"/>
        <v>0</v>
      </c>
      <c r="M84" s="653">
        <f t="shared" si="27"/>
        <v>0</v>
      </c>
      <c r="N84" s="653">
        <f t="shared" si="27"/>
        <v>0</v>
      </c>
      <c r="O84" s="653">
        <f t="shared" si="27"/>
        <v>0</v>
      </c>
      <c r="P84" s="653">
        <f t="shared" si="27"/>
        <v>0</v>
      </c>
      <c r="Q84" s="653">
        <f t="shared" si="27"/>
        <v>0</v>
      </c>
      <c r="R84" s="653">
        <f t="shared" si="27"/>
        <v>0</v>
      </c>
      <c r="S84" s="653">
        <f t="shared" si="27"/>
        <v>0</v>
      </c>
      <c r="T84" s="653">
        <f t="shared" si="27"/>
        <v>0</v>
      </c>
      <c r="U84" s="653">
        <f t="shared" si="27"/>
        <v>0</v>
      </c>
      <c r="V84" s="653">
        <f t="shared" si="27"/>
        <v>0</v>
      </c>
      <c r="W84" s="653">
        <f t="shared" si="27"/>
        <v>0</v>
      </c>
      <c r="X84" s="653">
        <f t="shared" si="27"/>
        <v>0</v>
      </c>
      <c r="Y84" s="653">
        <f t="shared" si="27"/>
        <v>0</v>
      </c>
      <c r="Z84" s="653">
        <f t="shared" si="27"/>
        <v>0</v>
      </c>
      <c r="AA84" s="653">
        <f t="shared" si="27"/>
        <v>0</v>
      </c>
      <c r="AB84" s="653">
        <f t="shared" si="27"/>
        <v>0</v>
      </c>
      <c r="AC84" s="653">
        <f>SUM(AC86:AC94)</f>
        <v>0</v>
      </c>
      <c r="AD84" s="655"/>
      <c r="AE84" s="655">
        <f>SUM(AF84:AN84)</f>
        <v>0</v>
      </c>
      <c r="AF84" s="655"/>
      <c r="AG84" s="655"/>
      <c r="AH84" s="655"/>
      <c r="AI84" s="655"/>
      <c r="AJ84" s="655"/>
      <c r="AK84" s="655"/>
      <c r="AL84" s="655"/>
      <c r="AM84" s="655"/>
      <c r="AN84" s="655"/>
    </row>
    <row r="85" spans="1:40" s="656" customFormat="1" ht="12.75" hidden="1">
      <c r="A85" s="651"/>
      <c r="B85" s="662"/>
      <c r="C85" s="659"/>
      <c r="D85" s="659"/>
      <c r="E85" s="653"/>
      <c r="F85" s="653"/>
      <c r="G85" s="653"/>
      <c r="H85" s="653"/>
      <c r="I85" s="653"/>
      <c r="J85" s="653"/>
      <c r="K85" s="653"/>
      <c r="L85" s="653"/>
      <c r="M85" s="653"/>
      <c r="N85" s="653"/>
      <c r="O85" s="653"/>
      <c r="P85" s="653"/>
      <c r="Q85" s="653"/>
      <c r="R85" s="653"/>
      <c r="S85" s="653"/>
      <c r="T85" s="653"/>
      <c r="U85" s="653"/>
      <c r="V85" s="653"/>
      <c r="W85" s="653"/>
      <c r="X85" s="653"/>
      <c r="Y85" s="653"/>
      <c r="Z85" s="653"/>
      <c r="AA85" s="653"/>
      <c r="AB85" s="653"/>
      <c r="AC85" s="653"/>
      <c r="AD85" s="655"/>
      <c r="AE85" s="655"/>
      <c r="AF85" s="655"/>
      <c r="AG85" s="655"/>
      <c r="AH85" s="655"/>
      <c r="AI85" s="655"/>
      <c r="AJ85" s="655"/>
      <c r="AK85" s="655"/>
      <c r="AL85" s="655"/>
      <c r="AM85" s="655"/>
      <c r="AN85" s="655"/>
    </row>
    <row r="86" spans="1:40" s="667" customFormat="1" ht="12.75">
      <c r="A86" s="651">
        <v>6</v>
      </c>
      <c r="B86" s="652" t="s">
        <v>561</v>
      </c>
      <c r="C86" s="653">
        <f aca="true" t="shared" si="28" ref="C86:O86">SUM(C87:C91)</f>
        <v>389.178</v>
      </c>
      <c r="D86" s="653">
        <f t="shared" si="28"/>
        <v>389.178</v>
      </c>
      <c r="E86" s="653">
        <f t="shared" si="28"/>
        <v>0</v>
      </c>
      <c r="F86" s="653">
        <f t="shared" si="28"/>
        <v>389.178</v>
      </c>
      <c r="G86" s="653">
        <f t="shared" si="28"/>
        <v>96.655</v>
      </c>
      <c r="H86" s="653">
        <f t="shared" si="28"/>
        <v>46.407000000000004</v>
      </c>
      <c r="I86" s="653">
        <f t="shared" si="28"/>
        <v>74.7</v>
      </c>
      <c r="J86" s="653">
        <f t="shared" si="28"/>
        <v>42.655</v>
      </c>
      <c r="K86" s="653">
        <f t="shared" si="28"/>
        <v>29.61</v>
      </c>
      <c r="L86" s="653">
        <f t="shared" si="28"/>
        <v>8.984</v>
      </c>
      <c r="M86" s="653">
        <f t="shared" si="28"/>
        <v>8.95</v>
      </c>
      <c r="N86" s="653">
        <f t="shared" si="28"/>
        <v>64.94200000000001</v>
      </c>
      <c r="O86" s="653">
        <f t="shared" si="28"/>
        <v>16.275</v>
      </c>
      <c r="P86" s="663"/>
      <c r="Q86" s="663"/>
      <c r="R86" s="663"/>
      <c r="S86" s="663"/>
      <c r="T86" s="663"/>
      <c r="U86" s="663"/>
      <c r="V86" s="663"/>
      <c r="W86" s="663"/>
      <c r="X86" s="663"/>
      <c r="Y86" s="663"/>
      <c r="Z86" s="663"/>
      <c r="AA86" s="663"/>
      <c r="AB86" s="663"/>
      <c r="AC86" s="665"/>
      <c r="AD86" s="666"/>
      <c r="AE86" s="655"/>
      <c r="AF86" s="666"/>
      <c r="AG86" s="666"/>
      <c r="AH86" s="666"/>
      <c r="AI86" s="666"/>
      <c r="AJ86" s="666"/>
      <c r="AK86" s="666"/>
      <c r="AL86" s="666"/>
      <c r="AM86" s="666"/>
      <c r="AN86" s="666"/>
    </row>
    <row r="87" spans="1:40" s="667" customFormat="1" ht="25.5">
      <c r="A87" s="711" t="s">
        <v>840</v>
      </c>
      <c r="B87" s="662" t="s">
        <v>1115</v>
      </c>
      <c r="C87" s="659">
        <f>D87+P87</f>
        <v>224.86499999999998</v>
      </c>
      <c r="D87" s="663">
        <f>E87+F87</f>
        <v>224.86499999999998</v>
      </c>
      <c r="E87" s="659"/>
      <c r="F87" s="663">
        <f>SUM(G87:O87)</f>
        <v>224.86499999999998</v>
      </c>
      <c r="G87" s="663">
        <v>49.14</v>
      </c>
      <c r="H87" s="663">
        <v>37.17</v>
      </c>
      <c r="I87" s="663">
        <v>29.7</v>
      </c>
      <c r="J87" s="663">
        <v>33.39</v>
      </c>
      <c r="K87" s="663">
        <v>29.61</v>
      </c>
      <c r="L87" s="663"/>
      <c r="M87" s="663"/>
      <c r="N87" s="663">
        <v>29.58</v>
      </c>
      <c r="O87" s="663">
        <v>16.275</v>
      </c>
      <c r="P87" s="663"/>
      <c r="Q87" s="663"/>
      <c r="R87" s="663"/>
      <c r="S87" s="663"/>
      <c r="T87" s="663"/>
      <c r="U87" s="663"/>
      <c r="V87" s="663"/>
      <c r="W87" s="663"/>
      <c r="X87" s="663"/>
      <c r="Y87" s="663"/>
      <c r="Z87" s="663"/>
      <c r="AA87" s="663"/>
      <c r="AB87" s="663"/>
      <c r="AC87" s="665"/>
      <c r="AD87" s="666"/>
      <c r="AE87" s="655"/>
      <c r="AF87" s="666"/>
      <c r="AG87" s="666"/>
      <c r="AH87" s="666"/>
      <c r="AI87" s="666"/>
      <c r="AJ87" s="666"/>
      <c r="AK87" s="666"/>
      <c r="AL87" s="666"/>
      <c r="AM87" s="666"/>
      <c r="AN87" s="666"/>
    </row>
    <row r="88" spans="1:40" s="667" customFormat="1" ht="12.75">
      <c r="A88" s="711" t="s">
        <v>840</v>
      </c>
      <c r="B88" s="662" t="s">
        <v>1112</v>
      </c>
      <c r="C88" s="659">
        <f>D88+P88</f>
        <v>92.898</v>
      </c>
      <c r="D88" s="663">
        <f>E88+F88</f>
        <v>92.898</v>
      </c>
      <c r="E88" s="659"/>
      <c r="F88" s="663">
        <f>SUM(G88:O88)</f>
        <v>92.898</v>
      </c>
      <c r="G88" s="663">
        <v>47.515</v>
      </c>
      <c r="H88" s="663">
        <v>9.237</v>
      </c>
      <c r="I88" s="663"/>
      <c r="J88" s="663">
        <v>9.265</v>
      </c>
      <c r="K88" s="663"/>
      <c r="L88" s="663">
        <v>8.984</v>
      </c>
      <c r="M88" s="663">
        <v>8.95</v>
      </c>
      <c r="N88" s="663">
        <v>8.947</v>
      </c>
      <c r="O88" s="663"/>
      <c r="P88" s="663"/>
      <c r="Q88" s="663"/>
      <c r="R88" s="663"/>
      <c r="S88" s="663"/>
      <c r="T88" s="663"/>
      <c r="U88" s="663"/>
      <c r="V88" s="663"/>
      <c r="W88" s="663"/>
      <c r="X88" s="663"/>
      <c r="Y88" s="663"/>
      <c r="Z88" s="663"/>
      <c r="AA88" s="663"/>
      <c r="AB88" s="663"/>
      <c r="AC88" s="665"/>
      <c r="AD88" s="666"/>
      <c r="AE88" s="655"/>
      <c r="AF88" s="666"/>
      <c r="AG88" s="666"/>
      <c r="AH88" s="666"/>
      <c r="AI88" s="666"/>
      <c r="AJ88" s="666"/>
      <c r="AK88" s="666"/>
      <c r="AL88" s="666"/>
      <c r="AM88" s="666"/>
      <c r="AN88" s="666"/>
    </row>
    <row r="89" spans="1:40" s="667" customFormat="1" ht="12.75">
      <c r="A89" s="711" t="s">
        <v>840</v>
      </c>
      <c r="B89" s="662" t="s">
        <v>1116</v>
      </c>
      <c r="C89" s="659">
        <f>D89+P89</f>
        <v>45</v>
      </c>
      <c r="D89" s="663">
        <f>E89+F89</f>
        <v>45</v>
      </c>
      <c r="E89" s="659"/>
      <c r="F89" s="663">
        <f>SUM(G89:O89)</f>
        <v>45</v>
      </c>
      <c r="G89" s="663"/>
      <c r="H89" s="663"/>
      <c r="I89" s="663">
        <v>45</v>
      </c>
      <c r="J89" s="663"/>
      <c r="K89" s="663"/>
      <c r="L89" s="663"/>
      <c r="M89" s="663"/>
      <c r="N89" s="663"/>
      <c r="O89" s="663"/>
      <c r="P89" s="663"/>
      <c r="Q89" s="663"/>
      <c r="R89" s="663"/>
      <c r="S89" s="663"/>
      <c r="T89" s="663"/>
      <c r="U89" s="663"/>
      <c r="V89" s="663"/>
      <c r="W89" s="663"/>
      <c r="X89" s="663"/>
      <c r="Y89" s="663"/>
      <c r="Z89" s="663"/>
      <c r="AA89" s="663"/>
      <c r="AB89" s="663"/>
      <c r="AC89" s="665"/>
      <c r="AD89" s="666"/>
      <c r="AE89" s="655"/>
      <c r="AF89" s="666"/>
      <c r="AG89" s="666"/>
      <c r="AH89" s="666"/>
      <c r="AI89" s="666"/>
      <c r="AJ89" s="666"/>
      <c r="AK89" s="666"/>
      <c r="AL89" s="666"/>
      <c r="AM89" s="666"/>
      <c r="AN89" s="666"/>
    </row>
    <row r="90" spans="1:40" s="667" customFormat="1" ht="12.75">
      <c r="A90" s="711" t="s">
        <v>840</v>
      </c>
      <c r="B90" s="662" t="s">
        <v>1117</v>
      </c>
      <c r="C90" s="659">
        <f>D90+P90</f>
        <v>26.415</v>
      </c>
      <c r="D90" s="663">
        <f>E90+F90</f>
        <v>26.415</v>
      </c>
      <c r="E90" s="659"/>
      <c r="F90" s="663">
        <f>SUM(G90:O90)</f>
        <v>26.415</v>
      </c>
      <c r="G90" s="663"/>
      <c r="H90" s="663"/>
      <c r="I90" s="663"/>
      <c r="J90" s="663"/>
      <c r="K90" s="663"/>
      <c r="L90" s="663"/>
      <c r="M90" s="663"/>
      <c r="N90" s="663">
        <v>26.415</v>
      </c>
      <c r="O90" s="663"/>
      <c r="P90" s="663"/>
      <c r="Q90" s="663"/>
      <c r="R90" s="663"/>
      <c r="S90" s="663"/>
      <c r="T90" s="663"/>
      <c r="U90" s="663"/>
      <c r="V90" s="663"/>
      <c r="W90" s="663"/>
      <c r="X90" s="663"/>
      <c r="Y90" s="663"/>
      <c r="Z90" s="663"/>
      <c r="AA90" s="663"/>
      <c r="AB90" s="663"/>
      <c r="AC90" s="665"/>
      <c r="AD90" s="666"/>
      <c r="AE90" s="655"/>
      <c r="AF90" s="666"/>
      <c r="AG90" s="666"/>
      <c r="AH90" s="666"/>
      <c r="AI90" s="666"/>
      <c r="AJ90" s="666"/>
      <c r="AK90" s="666"/>
      <c r="AL90" s="666"/>
      <c r="AM90" s="666"/>
      <c r="AN90" s="666"/>
    </row>
    <row r="91" spans="1:40" s="667" customFormat="1" ht="15.75" customHeight="1" hidden="1">
      <c r="A91" s="711" t="s">
        <v>840</v>
      </c>
      <c r="B91" s="662"/>
      <c r="C91" s="659"/>
      <c r="D91" s="659"/>
      <c r="E91" s="659"/>
      <c r="F91" s="663">
        <f>SUM(G91:O91)</f>
        <v>0</v>
      </c>
      <c r="G91" s="663"/>
      <c r="H91" s="663"/>
      <c r="I91" s="663"/>
      <c r="J91" s="663"/>
      <c r="K91" s="663"/>
      <c r="L91" s="663"/>
      <c r="M91" s="663"/>
      <c r="N91" s="663"/>
      <c r="O91" s="663"/>
      <c r="P91" s="663"/>
      <c r="Q91" s="663"/>
      <c r="R91" s="663"/>
      <c r="S91" s="663"/>
      <c r="T91" s="663"/>
      <c r="U91" s="663"/>
      <c r="V91" s="663"/>
      <c r="W91" s="663"/>
      <c r="X91" s="663"/>
      <c r="Y91" s="663"/>
      <c r="Z91" s="663"/>
      <c r="AA91" s="663"/>
      <c r="AB91" s="663"/>
      <c r="AC91" s="665"/>
      <c r="AD91" s="666"/>
      <c r="AE91" s="655"/>
      <c r="AF91" s="666"/>
      <c r="AG91" s="666"/>
      <c r="AH91" s="666"/>
      <c r="AI91" s="666"/>
      <c r="AJ91" s="666"/>
      <c r="AK91" s="666"/>
      <c r="AL91" s="666"/>
      <c r="AM91" s="666"/>
      <c r="AN91" s="666"/>
    </row>
    <row r="92" spans="1:40" s="667" customFormat="1" ht="12.75">
      <c r="A92" s="651">
        <v>7</v>
      </c>
      <c r="B92" s="652" t="s">
        <v>817</v>
      </c>
      <c r="C92" s="653">
        <f>SUM(C93:C94)</f>
        <v>0</v>
      </c>
      <c r="D92" s="653">
        <f>SUM(D93:D94)</f>
        <v>0</v>
      </c>
      <c r="E92" s="653">
        <f>SUM(E93:E94)</f>
        <v>0</v>
      </c>
      <c r="F92" s="653">
        <f>SUM(F93:F94)</f>
        <v>0</v>
      </c>
      <c r="G92" s="663"/>
      <c r="H92" s="663"/>
      <c r="I92" s="663"/>
      <c r="J92" s="663"/>
      <c r="K92" s="663"/>
      <c r="L92" s="663"/>
      <c r="M92" s="663"/>
      <c r="N92" s="663"/>
      <c r="O92" s="663"/>
      <c r="P92" s="663"/>
      <c r="Q92" s="663"/>
      <c r="R92" s="663"/>
      <c r="S92" s="663"/>
      <c r="T92" s="663"/>
      <c r="U92" s="663"/>
      <c r="V92" s="663"/>
      <c r="W92" s="663"/>
      <c r="X92" s="663"/>
      <c r="Y92" s="663"/>
      <c r="Z92" s="663"/>
      <c r="AA92" s="663"/>
      <c r="AB92" s="663"/>
      <c r="AC92" s="665"/>
      <c r="AD92" s="666"/>
      <c r="AE92" s="655"/>
      <c r="AF92" s="666"/>
      <c r="AG92" s="666"/>
      <c r="AH92" s="666"/>
      <c r="AI92" s="666"/>
      <c r="AJ92" s="666"/>
      <c r="AK92" s="666"/>
      <c r="AL92" s="666"/>
      <c r="AM92" s="666"/>
      <c r="AN92" s="666"/>
    </row>
    <row r="93" spans="1:40" s="667" customFormat="1" ht="12.75" hidden="1">
      <c r="A93" s="651"/>
      <c r="B93" s="662"/>
      <c r="C93" s="659"/>
      <c r="D93" s="659"/>
      <c r="E93" s="659"/>
      <c r="F93" s="659"/>
      <c r="G93" s="663"/>
      <c r="H93" s="663"/>
      <c r="I93" s="663"/>
      <c r="J93" s="663"/>
      <c r="K93" s="663"/>
      <c r="L93" s="663"/>
      <c r="M93" s="663"/>
      <c r="N93" s="663"/>
      <c r="O93" s="663"/>
      <c r="P93" s="663"/>
      <c r="Q93" s="663"/>
      <c r="R93" s="663"/>
      <c r="S93" s="663"/>
      <c r="T93" s="663"/>
      <c r="U93" s="663"/>
      <c r="V93" s="663"/>
      <c r="W93" s="663"/>
      <c r="X93" s="663"/>
      <c r="Y93" s="663"/>
      <c r="Z93" s="663"/>
      <c r="AA93" s="663"/>
      <c r="AB93" s="663"/>
      <c r="AC93" s="665"/>
      <c r="AD93" s="666"/>
      <c r="AE93" s="655"/>
      <c r="AF93" s="666"/>
      <c r="AG93" s="666"/>
      <c r="AH93" s="666"/>
      <c r="AI93" s="666"/>
      <c r="AJ93" s="666"/>
      <c r="AK93" s="666"/>
      <c r="AL93" s="666"/>
      <c r="AM93" s="666"/>
      <c r="AN93" s="666"/>
    </row>
    <row r="94" spans="1:40" s="667" customFormat="1" ht="12.75" hidden="1">
      <c r="A94" s="651"/>
      <c r="B94" s="662"/>
      <c r="C94" s="659"/>
      <c r="D94" s="659"/>
      <c r="E94" s="659"/>
      <c r="F94" s="659"/>
      <c r="G94" s="663"/>
      <c r="H94" s="663"/>
      <c r="I94" s="663"/>
      <c r="J94" s="663"/>
      <c r="K94" s="663"/>
      <c r="L94" s="663"/>
      <c r="M94" s="663"/>
      <c r="N94" s="663"/>
      <c r="O94" s="663"/>
      <c r="P94" s="663"/>
      <c r="Q94" s="663"/>
      <c r="R94" s="663"/>
      <c r="S94" s="663"/>
      <c r="T94" s="663"/>
      <c r="U94" s="663"/>
      <c r="V94" s="663"/>
      <c r="W94" s="663"/>
      <c r="X94" s="663"/>
      <c r="Y94" s="663"/>
      <c r="Z94" s="663"/>
      <c r="AA94" s="663"/>
      <c r="AB94" s="663"/>
      <c r="AC94" s="665"/>
      <c r="AD94" s="666"/>
      <c r="AE94" s="655"/>
      <c r="AF94" s="666"/>
      <c r="AG94" s="666"/>
      <c r="AH94" s="666"/>
      <c r="AI94" s="666"/>
      <c r="AJ94" s="666"/>
      <c r="AK94" s="666"/>
      <c r="AL94" s="666"/>
      <c r="AM94" s="666"/>
      <c r="AN94" s="666"/>
    </row>
    <row r="95" spans="1:40" s="656" customFormat="1" ht="12.75">
      <c r="A95" s="651">
        <v>8</v>
      </c>
      <c r="B95" s="652" t="s">
        <v>593</v>
      </c>
      <c r="C95" s="653">
        <f>SUM(C96:C98)</f>
        <v>0</v>
      </c>
      <c r="D95" s="653">
        <f>SUM(D96:D98)</f>
        <v>0</v>
      </c>
      <c r="E95" s="653">
        <f>SUM(E96:E98)</f>
        <v>0</v>
      </c>
      <c r="F95" s="653">
        <f>SUM(F96:F98)</f>
        <v>0</v>
      </c>
      <c r="G95" s="653">
        <f aca="true" t="shared" si="29" ref="G95:AC95">SUM(G96:G98)</f>
        <v>0</v>
      </c>
      <c r="H95" s="653">
        <f t="shared" si="29"/>
        <v>0</v>
      </c>
      <c r="I95" s="653">
        <f t="shared" si="29"/>
        <v>0</v>
      </c>
      <c r="J95" s="653">
        <f t="shared" si="29"/>
        <v>0</v>
      </c>
      <c r="K95" s="653">
        <f t="shared" si="29"/>
        <v>0</v>
      </c>
      <c r="L95" s="653">
        <f t="shared" si="29"/>
        <v>0</v>
      </c>
      <c r="M95" s="653">
        <f t="shared" si="29"/>
        <v>0</v>
      </c>
      <c r="N95" s="653">
        <f t="shared" si="29"/>
        <v>0</v>
      </c>
      <c r="O95" s="653">
        <f t="shared" si="29"/>
        <v>0</v>
      </c>
      <c r="P95" s="653">
        <f>Q95+R95</f>
        <v>0</v>
      </c>
      <c r="Q95" s="653">
        <f>SUM(Q96:Q108)</f>
        <v>0</v>
      </c>
      <c r="R95" s="653"/>
      <c r="S95" s="653">
        <f t="shared" si="29"/>
        <v>0</v>
      </c>
      <c r="T95" s="653">
        <f t="shared" si="29"/>
        <v>0</v>
      </c>
      <c r="U95" s="653">
        <f t="shared" si="29"/>
        <v>0</v>
      </c>
      <c r="V95" s="653">
        <f t="shared" si="29"/>
        <v>0</v>
      </c>
      <c r="W95" s="653">
        <f t="shared" si="29"/>
        <v>0</v>
      </c>
      <c r="X95" s="653">
        <f t="shared" si="29"/>
        <v>0</v>
      </c>
      <c r="Y95" s="653">
        <f t="shared" si="29"/>
        <v>0</v>
      </c>
      <c r="Z95" s="653">
        <f t="shared" si="29"/>
        <v>0</v>
      </c>
      <c r="AA95" s="653">
        <f t="shared" si="29"/>
        <v>0</v>
      </c>
      <c r="AB95" s="653">
        <f t="shared" si="29"/>
        <v>0</v>
      </c>
      <c r="AC95" s="653">
        <f t="shared" si="29"/>
        <v>0</v>
      </c>
      <c r="AD95" s="655"/>
      <c r="AE95" s="655">
        <f>SUM(AF95:AN95)</f>
        <v>0</v>
      </c>
      <c r="AF95" s="655"/>
      <c r="AG95" s="655"/>
      <c r="AH95" s="655"/>
      <c r="AI95" s="655"/>
      <c r="AJ95" s="655"/>
      <c r="AK95" s="655"/>
      <c r="AL95" s="655"/>
      <c r="AM95" s="655"/>
      <c r="AN95" s="655"/>
    </row>
    <row r="96" spans="1:40" s="667" customFormat="1" ht="12.75" hidden="1">
      <c r="A96" s="651"/>
      <c r="B96" s="662"/>
      <c r="C96" s="659"/>
      <c r="D96" s="659"/>
      <c r="E96" s="659"/>
      <c r="F96" s="659"/>
      <c r="G96" s="663"/>
      <c r="H96" s="663"/>
      <c r="I96" s="663"/>
      <c r="J96" s="663"/>
      <c r="K96" s="663"/>
      <c r="L96" s="663"/>
      <c r="M96" s="663"/>
      <c r="N96" s="663"/>
      <c r="O96" s="663"/>
      <c r="P96" s="663"/>
      <c r="Q96" s="663"/>
      <c r="R96" s="663"/>
      <c r="S96" s="663"/>
      <c r="T96" s="663"/>
      <c r="U96" s="663"/>
      <c r="V96" s="663"/>
      <c r="W96" s="663"/>
      <c r="X96" s="663"/>
      <c r="Y96" s="663"/>
      <c r="Z96" s="663"/>
      <c r="AA96" s="663"/>
      <c r="AB96" s="663"/>
      <c r="AC96" s="665"/>
      <c r="AD96" s="666"/>
      <c r="AE96" s="655"/>
      <c r="AF96" s="666"/>
      <c r="AG96" s="666"/>
      <c r="AH96" s="666"/>
      <c r="AI96" s="666"/>
      <c r="AJ96" s="666"/>
      <c r="AK96" s="666"/>
      <c r="AL96" s="666"/>
      <c r="AM96" s="666"/>
      <c r="AN96" s="666"/>
    </row>
    <row r="97" spans="1:40" s="667" customFormat="1" ht="12.75" hidden="1">
      <c r="A97" s="651"/>
      <c r="B97" s="662"/>
      <c r="C97" s="659"/>
      <c r="D97" s="659"/>
      <c r="E97" s="659"/>
      <c r="F97" s="659"/>
      <c r="G97" s="663"/>
      <c r="H97" s="663"/>
      <c r="I97" s="663"/>
      <c r="J97" s="663"/>
      <c r="K97" s="663"/>
      <c r="L97" s="663"/>
      <c r="M97" s="663"/>
      <c r="N97" s="663"/>
      <c r="O97" s="663"/>
      <c r="P97" s="663"/>
      <c r="Q97" s="663"/>
      <c r="R97" s="663"/>
      <c r="S97" s="663"/>
      <c r="T97" s="663"/>
      <c r="U97" s="663"/>
      <c r="V97" s="663"/>
      <c r="W97" s="663"/>
      <c r="X97" s="663"/>
      <c r="Y97" s="663"/>
      <c r="Z97" s="663"/>
      <c r="AA97" s="663"/>
      <c r="AB97" s="663"/>
      <c r="AC97" s="665"/>
      <c r="AD97" s="666"/>
      <c r="AE97" s="655"/>
      <c r="AF97" s="666"/>
      <c r="AG97" s="666"/>
      <c r="AH97" s="666"/>
      <c r="AI97" s="666"/>
      <c r="AJ97" s="666"/>
      <c r="AK97" s="666"/>
      <c r="AL97" s="666"/>
      <c r="AM97" s="666"/>
      <c r="AN97" s="666"/>
    </row>
    <row r="98" spans="1:40" s="667" customFormat="1" ht="12.75" hidden="1">
      <c r="A98" s="651"/>
      <c r="B98" s="662"/>
      <c r="C98" s="659"/>
      <c r="D98" s="659"/>
      <c r="E98" s="659"/>
      <c r="F98" s="659"/>
      <c r="G98" s="663"/>
      <c r="H98" s="663"/>
      <c r="I98" s="663"/>
      <c r="J98" s="663"/>
      <c r="K98" s="663"/>
      <c r="L98" s="663"/>
      <c r="M98" s="663"/>
      <c r="N98" s="663"/>
      <c r="O98" s="663"/>
      <c r="P98" s="663"/>
      <c r="Q98" s="663"/>
      <c r="R98" s="663"/>
      <c r="S98" s="663"/>
      <c r="T98" s="663"/>
      <c r="U98" s="663"/>
      <c r="V98" s="663"/>
      <c r="W98" s="663"/>
      <c r="X98" s="663"/>
      <c r="Y98" s="663"/>
      <c r="Z98" s="663"/>
      <c r="AA98" s="663"/>
      <c r="AB98" s="663"/>
      <c r="AC98" s="665"/>
      <c r="AD98" s="666"/>
      <c r="AE98" s="655"/>
      <c r="AF98" s="666"/>
      <c r="AG98" s="666"/>
      <c r="AH98" s="666"/>
      <c r="AI98" s="666"/>
      <c r="AJ98" s="666"/>
      <c r="AK98" s="666"/>
      <c r="AL98" s="666"/>
      <c r="AM98" s="666"/>
      <c r="AN98" s="666"/>
    </row>
    <row r="99" spans="1:40" s="671" customFormat="1" ht="13.5">
      <c r="A99" s="651">
        <v>7</v>
      </c>
      <c r="B99" s="652" t="s">
        <v>821</v>
      </c>
      <c r="C99" s="653">
        <f>SUM(C100:C103)</f>
        <v>30.00864</v>
      </c>
      <c r="D99" s="653">
        <f aca="true" t="shared" si="30" ref="D99:O99">SUM(D100:D103)</f>
        <v>30.00864</v>
      </c>
      <c r="E99" s="653">
        <f t="shared" si="30"/>
        <v>0</v>
      </c>
      <c r="F99" s="653">
        <f t="shared" si="30"/>
        <v>30.00864</v>
      </c>
      <c r="G99" s="653">
        <f t="shared" si="30"/>
        <v>0</v>
      </c>
      <c r="H99" s="653">
        <f t="shared" si="30"/>
        <v>2</v>
      </c>
      <c r="I99" s="653">
        <f t="shared" si="30"/>
        <v>0</v>
      </c>
      <c r="J99" s="653">
        <f t="shared" si="30"/>
        <v>4.8</v>
      </c>
      <c r="K99" s="653">
        <f t="shared" si="30"/>
        <v>23.20864</v>
      </c>
      <c r="L99" s="653">
        <f t="shared" si="30"/>
        <v>0</v>
      </c>
      <c r="M99" s="653">
        <f t="shared" si="30"/>
        <v>0</v>
      </c>
      <c r="N99" s="653">
        <f t="shared" si="30"/>
        <v>0</v>
      </c>
      <c r="O99" s="653">
        <f t="shared" si="30"/>
        <v>0</v>
      </c>
      <c r="P99" s="653">
        <f aca="true" t="shared" si="31" ref="P99:AB99">SUM(P100:P101)</f>
        <v>0</v>
      </c>
      <c r="Q99" s="653">
        <f t="shared" si="31"/>
        <v>0</v>
      </c>
      <c r="R99" s="653">
        <f t="shared" si="31"/>
        <v>0</v>
      </c>
      <c r="S99" s="653">
        <f t="shared" si="31"/>
        <v>0</v>
      </c>
      <c r="T99" s="653">
        <f t="shared" si="31"/>
        <v>0</v>
      </c>
      <c r="U99" s="653">
        <f t="shared" si="31"/>
        <v>0</v>
      </c>
      <c r="V99" s="653">
        <f t="shared" si="31"/>
        <v>0</v>
      </c>
      <c r="W99" s="653">
        <f t="shared" si="31"/>
        <v>0</v>
      </c>
      <c r="X99" s="653">
        <f t="shared" si="31"/>
        <v>0</v>
      </c>
      <c r="Y99" s="653">
        <f t="shared" si="31"/>
        <v>0</v>
      </c>
      <c r="Z99" s="653">
        <f t="shared" si="31"/>
        <v>0</v>
      </c>
      <c r="AA99" s="653">
        <f t="shared" si="31"/>
        <v>0</v>
      </c>
      <c r="AB99" s="653">
        <f t="shared" si="31"/>
        <v>0</v>
      </c>
      <c r="AC99" s="672"/>
      <c r="AD99" s="670"/>
      <c r="AE99" s="655"/>
      <c r="AF99" s="670"/>
      <c r="AG99" s="670"/>
      <c r="AH99" s="670"/>
      <c r="AI99" s="670"/>
      <c r="AJ99" s="670"/>
      <c r="AK99" s="670"/>
      <c r="AL99" s="670"/>
      <c r="AM99" s="670"/>
      <c r="AN99" s="670"/>
    </row>
    <row r="100" spans="1:40" s="667" customFormat="1" ht="25.5">
      <c r="A100" s="711" t="s">
        <v>840</v>
      </c>
      <c r="B100" s="662" t="s">
        <v>1118</v>
      </c>
      <c r="C100" s="659">
        <f>D100+P100</f>
        <v>4.8</v>
      </c>
      <c r="D100" s="663">
        <f>E100+F100</f>
        <v>4.8</v>
      </c>
      <c r="E100" s="659"/>
      <c r="F100" s="663">
        <f>SUM(G100:O100)</f>
        <v>4.8</v>
      </c>
      <c r="G100" s="663"/>
      <c r="H100" s="663"/>
      <c r="I100" s="663"/>
      <c r="J100" s="663">
        <v>4.8</v>
      </c>
      <c r="K100" s="663"/>
      <c r="L100" s="663"/>
      <c r="M100" s="663"/>
      <c r="N100" s="663"/>
      <c r="O100" s="663"/>
      <c r="P100" s="663"/>
      <c r="Q100" s="663"/>
      <c r="R100" s="663"/>
      <c r="S100" s="663"/>
      <c r="T100" s="663"/>
      <c r="U100" s="663"/>
      <c r="V100" s="663"/>
      <c r="W100" s="663"/>
      <c r="X100" s="663"/>
      <c r="Y100" s="663"/>
      <c r="Z100" s="663"/>
      <c r="AA100" s="663"/>
      <c r="AB100" s="663"/>
      <c r="AC100" s="665"/>
      <c r="AD100" s="666"/>
      <c r="AE100" s="655"/>
      <c r="AF100" s="666"/>
      <c r="AG100" s="666"/>
      <c r="AH100" s="666"/>
      <c r="AI100" s="666"/>
      <c r="AJ100" s="666"/>
      <c r="AK100" s="666"/>
      <c r="AL100" s="666"/>
      <c r="AM100" s="666"/>
      <c r="AN100" s="666"/>
    </row>
    <row r="101" spans="1:40" s="667" customFormat="1" ht="13.5">
      <c r="A101" s="711" t="s">
        <v>840</v>
      </c>
      <c r="B101" s="712" t="s">
        <v>1119</v>
      </c>
      <c r="C101" s="659">
        <f>D101+P101</f>
        <v>2</v>
      </c>
      <c r="D101" s="663">
        <f>E101+F101</f>
        <v>2</v>
      </c>
      <c r="E101" s="663"/>
      <c r="F101" s="663">
        <f>SUM(G101:O101)</f>
        <v>2</v>
      </c>
      <c r="G101" s="663"/>
      <c r="H101" s="663">
        <v>2</v>
      </c>
      <c r="I101" s="663"/>
      <c r="J101" s="663"/>
      <c r="K101" s="663"/>
      <c r="L101" s="663"/>
      <c r="M101" s="663"/>
      <c r="N101" s="663"/>
      <c r="O101" s="663"/>
      <c r="P101" s="663"/>
      <c r="Q101" s="663"/>
      <c r="R101" s="663"/>
      <c r="S101" s="663"/>
      <c r="T101" s="663"/>
      <c r="U101" s="663"/>
      <c r="V101" s="663"/>
      <c r="W101" s="663"/>
      <c r="X101" s="663"/>
      <c r="Y101" s="663"/>
      <c r="Z101" s="663"/>
      <c r="AA101" s="663"/>
      <c r="AB101" s="663"/>
      <c r="AC101" s="665"/>
      <c r="AD101" s="666"/>
      <c r="AE101" s="670"/>
      <c r="AF101" s="666"/>
      <c r="AG101" s="666"/>
      <c r="AH101" s="666"/>
      <c r="AI101" s="666"/>
      <c r="AJ101" s="666"/>
      <c r="AK101" s="666"/>
      <c r="AL101" s="666"/>
      <c r="AM101" s="666"/>
      <c r="AN101" s="666"/>
    </row>
    <row r="102" spans="1:40" s="667" customFormat="1" ht="13.5">
      <c r="A102" s="711" t="s">
        <v>840</v>
      </c>
      <c r="B102" s="712" t="s">
        <v>1120</v>
      </c>
      <c r="C102" s="659">
        <f>D102+P102</f>
        <v>8.651</v>
      </c>
      <c r="D102" s="663">
        <f>E102+F102</f>
        <v>8.651</v>
      </c>
      <c r="E102" s="663"/>
      <c r="F102" s="663">
        <f>SUM(G102:O102)</f>
        <v>8.651</v>
      </c>
      <c r="G102" s="663"/>
      <c r="H102" s="663"/>
      <c r="I102" s="663"/>
      <c r="J102" s="663"/>
      <c r="K102" s="663">
        <v>8.651</v>
      </c>
      <c r="L102" s="663"/>
      <c r="M102" s="663"/>
      <c r="N102" s="663"/>
      <c r="O102" s="663"/>
      <c r="P102" s="663"/>
      <c r="Q102" s="663"/>
      <c r="R102" s="663"/>
      <c r="S102" s="663"/>
      <c r="T102" s="663"/>
      <c r="U102" s="663"/>
      <c r="V102" s="663"/>
      <c r="W102" s="663"/>
      <c r="X102" s="663"/>
      <c r="Y102" s="663"/>
      <c r="Z102" s="663"/>
      <c r="AA102" s="663"/>
      <c r="AB102" s="663"/>
      <c r="AC102" s="665"/>
      <c r="AD102" s="666"/>
      <c r="AE102" s="670"/>
      <c r="AF102" s="666"/>
      <c r="AG102" s="666"/>
      <c r="AH102" s="666"/>
      <c r="AI102" s="666"/>
      <c r="AJ102" s="666"/>
      <c r="AK102" s="666"/>
      <c r="AL102" s="666"/>
      <c r="AM102" s="666"/>
      <c r="AN102" s="666"/>
    </row>
    <row r="103" spans="1:40" s="667" customFormat="1" ht="13.5">
      <c r="A103" s="711" t="s">
        <v>840</v>
      </c>
      <c r="B103" s="712" t="s">
        <v>1121</v>
      </c>
      <c r="C103" s="659">
        <f>D103+P103</f>
        <v>14.55764</v>
      </c>
      <c r="D103" s="663">
        <f>E103+F103</f>
        <v>14.55764</v>
      </c>
      <c r="E103" s="663"/>
      <c r="F103" s="663">
        <f>SUM(G103:O103)</f>
        <v>14.55764</v>
      </c>
      <c r="G103" s="663"/>
      <c r="H103" s="663"/>
      <c r="I103" s="663"/>
      <c r="J103" s="663"/>
      <c r="K103" s="663">
        <v>14.55764</v>
      </c>
      <c r="L103" s="663"/>
      <c r="M103" s="663"/>
      <c r="N103" s="663"/>
      <c r="O103" s="663"/>
      <c r="P103" s="663"/>
      <c r="Q103" s="663"/>
      <c r="R103" s="663"/>
      <c r="S103" s="663"/>
      <c r="T103" s="663"/>
      <c r="U103" s="663"/>
      <c r="V103" s="663"/>
      <c r="W103" s="663"/>
      <c r="X103" s="663"/>
      <c r="Y103" s="663"/>
      <c r="Z103" s="663"/>
      <c r="AA103" s="663"/>
      <c r="AB103" s="663"/>
      <c r="AC103" s="665"/>
      <c r="AD103" s="666"/>
      <c r="AE103" s="670"/>
      <c r="AF103" s="666"/>
      <c r="AG103" s="666"/>
      <c r="AH103" s="666"/>
      <c r="AI103" s="666"/>
      <c r="AJ103" s="666"/>
      <c r="AK103" s="666"/>
      <c r="AL103" s="666"/>
      <c r="AM103" s="666"/>
      <c r="AN103" s="666"/>
    </row>
    <row r="104" spans="1:40" s="656" customFormat="1" ht="13.5">
      <c r="A104" s="651" t="s">
        <v>822</v>
      </c>
      <c r="B104" s="652" t="s">
        <v>813</v>
      </c>
      <c r="C104" s="664"/>
      <c r="D104" s="664"/>
      <c r="E104" s="664"/>
      <c r="F104" s="664"/>
      <c r="G104" s="664"/>
      <c r="H104" s="664"/>
      <c r="I104" s="664"/>
      <c r="J104" s="664"/>
      <c r="K104" s="664"/>
      <c r="L104" s="664"/>
      <c r="M104" s="664"/>
      <c r="N104" s="664"/>
      <c r="O104" s="664"/>
      <c r="P104" s="664"/>
      <c r="Q104" s="664"/>
      <c r="R104" s="664"/>
      <c r="S104" s="664"/>
      <c r="T104" s="664"/>
      <c r="U104" s="664"/>
      <c r="V104" s="664"/>
      <c r="W104" s="664"/>
      <c r="X104" s="664"/>
      <c r="Y104" s="664"/>
      <c r="Z104" s="664"/>
      <c r="AA104" s="664"/>
      <c r="AB104" s="664"/>
      <c r="AC104" s="654"/>
      <c r="AD104" s="655"/>
      <c r="AE104" s="655"/>
      <c r="AF104" s="655"/>
      <c r="AG104" s="655"/>
      <c r="AH104" s="655"/>
      <c r="AI104" s="655"/>
      <c r="AJ104" s="655"/>
      <c r="AK104" s="655"/>
      <c r="AL104" s="655"/>
      <c r="AM104" s="655"/>
      <c r="AN104" s="655"/>
    </row>
    <row r="105" spans="1:40" s="656" customFormat="1" ht="12.75">
      <c r="A105" s="651">
        <v>1</v>
      </c>
      <c r="B105" s="652" t="s">
        <v>589</v>
      </c>
      <c r="C105" s="673"/>
      <c r="D105" s="673"/>
      <c r="E105" s="673"/>
      <c r="F105" s="673"/>
      <c r="G105" s="673"/>
      <c r="H105" s="673"/>
      <c r="I105" s="673"/>
      <c r="J105" s="673"/>
      <c r="K105" s="673"/>
      <c r="L105" s="673"/>
      <c r="M105" s="673"/>
      <c r="N105" s="673"/>
      <c r="O105" s="673"/>
      <c r="P105" s="673"/>
      <c r="Q105" s="673"/>
      <c r="R105" s="673"/>
      <c r="S105" s="673"/>
      <c r="T105" s="673"/>
      <c r="U105" s="673"/>
      <c r="V105" s="673"/>
      <c r="W105" s="673"/>
      <c r="X105" s="673"/>
      <c r="Y105" s="673"/>
      <c r="Z105" s="673"/>
      <c r="AA105" s="673"/>
      <c r="AB105" s="673"/>
      <c r="AC105" s="673"/>
      <c r="AD105" s="655"/>
      <c r="AE105" s="655">
        <f>SUM(AF105:AN105)</f>
        <v>0</v>
      </c>
      <c r="AF105" s="655"/>
      <c r="AG105" s="655"/>
      <c r="AH105" s="655"/>
      <c r="AI105" s="655"/>
      <c r="AJ105" s="655"/>
      <c r="AK105" s="655"/>
      <c r="AL105" s="655"/>
      <c r="AM105" s="655"/>
      <c r="AN105" s="655"/>
    </row>
    <row r="106" spans="1:31" ht="12.75">
      <c r="A106" s="674" t="s">
        <v>594</v>
      </c>
      <c r="B106" s="675" t="s">
        <v>594</v>
      </c>
      <c r="C106" s="676"/>
      <c r="D106" s="676"/>
      <c r="E106" s="676"/>
      <c r="F106" s="676"/>
      <c r="G106" s="676"/>
      <c r="H106" s="676"/>
      <c r="I106" s="676"/>
      <c r="J106" s="676"/>
      <c r="K106" s="676"/>
      <c r="L106" s="676"/>
      <c r="M106" s="676"/>
      <c r="N106" s="676"/>
      <c r="O106" s="676"/>
      <c r="P106" s="676"/>
      <c r="Q106" s="676"/>
      <c r="R106" s="676"/>
      <c r="S106" s="676"/>
      <c r="T106" s="676"/>
      <c r="U106" s="676"/>
      <c r="V106" s="676"/>
      <c r="W106" s="676"/>
      <c r="X106" s="676"/>
      <c r="Y106" s="676"/>
      <c r="Z106" s="676"/>
      <c r="AA106" s="676"/>
      <c r="AB106" s="676"/>
      <c r="AC106" s="674"/>
      <c r="AE106" s="655">
        <f>SUM(AF106:AN106)</f>
        <v>0</v>
      </c>
    </row>
    <row r="107" ht="12.75">
      <c r="A107" s="667" t="s">
        <v>595</v>
      </c>
    </row>
    <row r="109" spans="17:29" ht="12.75">
      <c r="Q109" s="1057" t="s">
        <v>1081</v>
      </c>
      <c r="R109" s="1057"/>
      <c r="S109" s="1057"/>
      <c r="T109" s="1057"/>
      <c r="U109" s="1057"/>
      <c r="V109" s="1057"/>
      <c r="W109" s="1057"/>
      <c r="X109" s="1057"/>
      <c r="Y109" s="1057"/>
      <c r="Z109" s="1057"/>
      <c r="AA109" s="1057"/>
      <c r="AB109" s="1057"/>
      <c r="AC109" s="1057"/>
    </row>
    <row r="110" spans="17:29" ht="12.75">
      <c r="Q110" s="1060" t="s">
        <v>282</v>
      </c>
      <c r="R110" s="1060"/>
      <c r="S110" s="1060"/>
      <c r="T110" s="1060"/>
      <c r="U110" s="1060"/>
      <c r="V110" s="1060"/>
      <c r="W110" s="1060"/>
      <c r="X110" s="1060"/>
      <c r="Y110" s="1060"/>
      <c r="Z110" s="1060"/>
      <c r="AA110" s="1060"/>
      <c r="AB110" s="1060"/>
      <c r="AC110" s="1060"/>
    </row>
    <row r="111" spans="17:29" ht="12.75">
      <c r="Q111" s="1060" t="s">
        <v>285</v>
      </c>
      <c r="R111" s="1060"/>
      <c r="S111" s="1060"/>
      <c r="T111" s="1060"/>
      <c r="U111" s="1060"/>
      <c r="V111" s="1060"/>
      <c r="W111" s="1060"/>
      <c r="X111" s="1060"/>
      <c r="Y111" s="1060"/>
      <c r="Z111" s="1060"/>
      <c r="AA111" s="1060"/>
      <c r="AB111" s="1060"/>
      <c r="AC111" s="1060"/>
    </row>
  </sheetData>
  <sheetProtection/>
  <mergeCells count="14">
    <mergeCell ref="Q110:AC110"/>
    <mergeCell ref="Q111:AC111"/>
    <mergeCell ref="A7:A8"/>
    <mergeCell ref="B7:B8"/>
    <mergeCell ref="C7:C8"/>
    <mergeCell ref="AC7:AC8"/>
    <mergeCell ref="A3:AC3"/>
    <mergeCell ref="A4:AC4"/>
    <mergeCell ref="A5:AC5"/>
    <mergeCell ref="D7:AB7"/>
    <mergeCell ref="AF8:AN8"/>
    <mergeCell ref="Q109:AC109"/>
    <mergeCell ref="AE8:AE9"/>
    <mergeCell ref="AC17:AC18"/>
  </mergeCells>
  <printOptions/>
  <pageMargins left="0.23" right="0.25" top="0.55" bottom="0.41" header="0.3" footer="0.3"/>
  <pageSetup blackAndWhite="1" horizontalDpi="600" verticalDpi="600" orientation="landscape" scale="68" r:id="rId4"/>
  <drawing r:id="rId3"/>
  <legacyDrawing r:id="rId2"/>
</worksheet>
</file>

<file path=xl/worksheets/sheet17.xml><?xml version="1.0" encoding="utf-8"?>
<worksheet xmlns="http://schemas.openxmlformats.org/spreadsheetml/2006/main" xmlns:r="http://schemas.openxmlformats.org/officeDocument/2006/relationships">
  <sheetPr>
    <tabColor rgb="FFFF0000"/>
  </sheetPr>
  <dimension ref="A1:I62"/>
  <sheetViews>
    <sheetView zoomScalePageLayoutView="0" workbookViewId="0" topLeftCell="A1">
      <selection activeCell="D60" sqref="D60"/>
    </sheetView>
  </sheetViews>
  <sheetFormatPr defaultColWidth="9.33203125" defaultRowHeight="12.75"/>
  <cols>
    <col min="1" max="1" width="5.66015625" style="0" customWidth="1"/>
    <col min="2" max="2" width="45.66015625" style="0" customWidth="1"/>
    <col min="3" max="3" width="18" style="188" customWidth="1"/>
    <col min="4" max="4" width="14.33203125" style="0" customWidth="1"/>
    <col min="5" max="5" width="17.83203125" style="0" customWidth="1"/>
    <col min="6" max="6" width="13.16015625" style="0" customWidth="1"/>
    <col min="7" max="7" width="17.16015625" style="0" customWidth="1"/>
    <col min="8" max="8" width="13.16015625" style="0" customWidth="1"/>
    <col min="9" max="9" width="19.33203125" style="0" customWidth="1"/>
  </cols>
  <sheetData>
    <row r="1" spans="1:9" ht="12.75">
      <c r="A1" s="20"/>
      <c r="I1" s="20" t="s">
        <v>596</v>
      </c>
    </row>
    <row r="3" spans="1:9" ht="12.75">
      <c r="A3" s="1062" t="s">
        <v>1083</v>
      </c>
      <c r="B3" s="1062"/>
      <c r="C3" s="1062"/>
      <c r="D3" s="1062"/>
      <c r="E3" s="1062"/>
      <c r="F3" s="1062"/>
      <c r="G3" s="1062"/>
      <c r="H3" s="1062"/>
      <c r="I3" s="1062"/>
    </row>
    <row r="4" spans="1:9" ht="12.75" hidden="1">
      <c r="A4" s="963" t="s">
        <v>597</v>
      </c>
      <c r="B4" s="963"/>
      <c r="C4" s="963"/>
      <c r="D4" s="963"/>
      <c r="E4" s="963"/>
      <c r="F4" s="963"/>
      <c r="G4" s="963"/>
      <c r="H4" s="963"/>
      <c r="I4" s="963"/>
    </row>
    <row r="5" ht="12.75">
      <c r="I5" s="143" t="s">
        <v>247</v>
      </c>
    </row>
    <row r="6" spans="1:9" ht="34.5" customHeight="1">
      <c r="A6" s="978" t="s">
        <v>3</v>
      </c>
      <c r="B6" s="978" t="s">
        <v>289</v>
      </c>
      <c r="C6" s="978" t="s">
        <v>598</v>
      </c>
      <c r="D6" s="978"/>
      <c r="E6" s="978" t="s">
        <v>1084</v>
      </c>
      <c r="F6" s="978"/>
      <c r="G6" s="978" t="s">
        <v>599</v>
      </c>
      <c r="H6" s="978"/>
      <c r="I6" s="978" t="s">
        <v>539</v>
      </c>
    </row>
    <row r="7" spans="1:9" ht="41.25" customHeight="1">
      <c r="A7" s="978"/>
      <c r="B7" s="978"/>
      <c r="C7" s="634" t="s">
        <v>600</v>
      </c>
      <c r="D7" s="635" t="s">
        <v>601</v>
      </c>
      <c r="E7" s="635" t="s">
        <v>600</v>
      </c>
      <c r="F7" s="635" t="s">
        <v>601</v>
      </c>
      <c r="G7" s="635" t="s">
        <v>600</v>
      </c>
      <c r="H7" s="635" t="s">
        <v>601</v>
      </c>
      <c r="I7" s="978"/>
    </row>
    <row r="8" spans="1:9" ht="25.5">
      <c r="A8" s="152" t="s">
        <v>307</v>
      </c>
      <c r="B8" s="153" t="s">
        <v>602</v>
      </c>
      <c r="C8" s="154">
        <f aca="true" t="shared" si="0" ref="C8:H8">C9</f>
        <v>0</v>
      </c>
      <c r="D8" s="154">
        <f t="shared" si="0"/>
        <v>0</v>
      </c>
      <c r="E8" s="154">
        <f t="shared" si="0"/>
        <v>0</v>
      </c>
      <c r="F8" s="154">
        <f t="shared" si="0"/>
        <v>0</v>
      </c>
      <c r="G8" s="154">
        <f t="shared" si="0"/>
        <v>0</v>
      </c>
      <c r="H8" s="154">
        <f t="shared" si="0"/>
        <v>0</v>
      </c>
      <c r="I8" s="146"/>
    </row>
    <row r="9" spans="1:9" ht="12.75">
      <c r="A9" s="29">
        <v>1</v>
      </c>
      <c r="B9" s="633" t="s">
        <v>603</v>
      </c>
      <c r="C9" s="155">
        <f>C10</f>
        <v>0</v>
      </c>
      <c r="D9" s="155">
        <f>D10</f>
        <v>0</v>
      </c>
      <c r="E9" s="155">
        <f>E10</f>
        <v>0</v>
      </c>
      <c r="F9" s="155">
        <f>F10</f>
        <v>0</v>
      </c>
      <c r="G9" s="155">
        <f>G10</f>
        <v>0</v>
      </c>
      <c r="H9" s="155"/>
      <c r="I9" s="636"/>
    </row>
    <row r="10" spans="1:9" s="150" customFormat="1" ht="15.75">
      <c r="A10" s="156"/>
      <c r="B10" s="157" t="s">
        <v>604</v>
      </c>
      <c r="C10" s="158"/>
      <c r="D10" s="157"/>
      <c r="E10" s="159"/>
      <c r="F10" s="157"/>
      <c r="G10" s="160">
        <f>C10-E10</f>
        <v>0</v>
      </c>
      <c r="H10" s="157"/>
      <c r="I10" s="157"/>
    </row>
    <row r="11" spans="1:9" ht="25.5">
      <c r="A11" s="29">
        <v>2</v>
      </c>
      <c r="B11" s="633" t="s">
        <v>605</v>
      </c>
      <c r="C11" s="155"/>
      <c r="D11" s="155"/>
      <c r="E11" s="155"/>
      <c r="F11" s="155"/>
      <c r="G11" s="155"/>
      <c r="H11" s="155"/>
      <c r="I11" s="636"/>
    </row>
    <row r="12" spans="1:9" ht="12.75">
      <c r="A12" s="29">
        <v>3</v>
      </c>
      <c r="B12" s="633" t="s">
        <v>606</v>
      </c>
      <c r="C12" s="155"/>
      <c r="D12" s="155"/>
      <c r="E12" s="155"/>
      <c r="F12" s="155"/>
      <c r="G12" s="155"/>
      <c r="H12" s="155"/>
      <c r="I12" s="636"/>
    </row>
    <row r="13" spans="1:9" s="150" customFormat="1" ht="15.75">
      <c r="A13" s="156"/>
      <c r="B13" s="75" t="s">
        <v>607</v>
      </c>
      <c r="C13" s="158"/>
      <c r="D13" s="157"/>
      <c r="E13" s="159"/>
      <c r="F13" s="157"/>
      <c r="G13" s="160"/>
      <c r="H13" s="157"/>
      <c r="I13" s="157"/>
    </row>
    <row r="14" spans="1:9" s="150" customFormat="1" ht="15.75">
      <c r="A14" s="156"/>
      <c r="B14" s="75" t="s">
        <v>608</v>
      </c>
      <c r="C14" s="157"/>
      <c r="D14" s="157"/>
      <c r="E14" s="157"/>
      <c r="F14" s="157"/>
      <c r="G14" s="157"/>
      <c r="H14" s="157"/>
      <c r="I14" s="157"/>
    </row>
    <row r="15" spans="1:9" ht="12.75" hidden="1">
      <c r="A15" s="636">
        <v>1</v>
      </c>
      <c r="B15" s="28" t="s">
        <v>609</v>
      </c>
      <c r="C15" s="553"/>
      <c r="D15" s="636"/>
      <c r="E15" s="636"/>
      <c r="F15" s="636"/>
      <c r="G15" s="636"/>
      <c r="H15" s="636"/>
      <c r="I15" s="636"/>
    </row>
    <row r="16" spans="1:9" ht="12.75" hidden="1">
      <c r="A16" s="636"/>
      <c r="B16" s="161" t="s">
        <v>870</v>
      </c>
      <c r="C16" s="553"/>
      <c r="D16" s="636"/>
      <c r="E16" s="636"/>
      <c r="F16" s="636"/>
      <c r="G16" s="636"/>
      <c r="H16" s="636"/>
      <c r="I16" s="636"/>
    </row>
    <row r="17" spans="1:9" ht="12.75" hidden="1">
      <c r="A17" s="636"/>
      <c r="B17" s="28" t="s">
        <v>610</v>
      </c>
      <c r="C17" s="553"/>
      <c r="D17" s="636"/>
      <c r="E17" s="636"/>
      <c r="F17" s="636"/>
      <c r="G17" s="636"/>
      <c r="H17" s="636"/>
      <c r="I17" s="636"/>
    </row>
    <row r="18" spans="1:9" ht="12.75" hidden="1">
      <c r="A18" s="636">
        <v>2</v>
      </c>
      <c r="B18" s="28" t="s">
        <v>605</v>
      </c>
      <c r="C18" s="553"/>
      <c r="D18" s="636"/>
      <c r="E18" s="636"/>
      <c r="F18" s="636"/>
      <c r="G18" s="636"/>
      <c r="H18" s="636"/>
      <c r="I18" s="636"/>
    </row>
    <row r="19" spans="1:9" ht="12.75" hidden="1">
      <c r="A19" s="636"/>
      <c r="B19" s="161" t="s">
        <v>611</v>
      </c>
      <c r="C19" s="553"/>
      <c r="D19" s="636"/>
      <c r="E19" s="636"/>
      <c r="F19" s="636"/>
      <c r="G19" s="636"/>
      <c r="H19" s="636"/>
      <c r="I19" s="636"/>
    </row>
    <row r="20" spans="1:9" ht="12.75" hidden="1">
      <c r="A20" s="636"/>
      <c r="B20" s="161" t="s">
        <v>612</v>
      </c>
      <c r="C20" s="553"/>
      <c r="D20" s="636"/>
      <c r="E20" s="636"/>
      <c r="F20" s="636"/>
      <c r="G20" s="636"/>
      <c r="H20" s="636"/>
      <c r="I20" s="636"/>
    </row>
    <row r="21" spans="1:9" ht="12.75" hidden="1">
      <c r="A21" s="636">
        <v>3</v>
      </c>
      <c r="B21" s="28" t="s">
        <v>613</v>
      </c>
      <c r="C21" s="553"/>
      <c r="D21" s="636"/>
      <c r="E21" s="636"/>
      <c r="F21" s="636"/>
      <c r="G21" s="636"/>
      <c r="H21" s="636"/>
      <c r="I21" s="636"/>
    </row>
    <row r="22" spans="1:9" ht="12.75" hidden="1">
      <c r="A22" s="636" t="s">
        <v>614</v>
      </c>
      <c r="B22" s="28" t="s">
        <v>615</v>
      </c>
      <c r="C22" s="553"/>
      <c r="D22" s="636"/>
      <c r="E22" s="636"/>
      <c r="F22" s="636"/>
      <c r="G22" s="636"/>
      <c r="H22" s="636"/>
      <c r="I22" s="636"/>
    </row>
    <row r="23" spans="1:9" ht="12.75" hidden="1">
      <c r="A23" s="636"/>
      <c r="B23" s="161" t="s">
        <v>616</v>
      </c>
      <c r="C23" s="553"/>
      <c r="D23" s="636"/>
      <c r="E23" s="636"/>
      <c r="F23" s="636"/>
      <c r="G23" s="636"/>
      <c r="H23" s="636"/>
      <c r="I23" s="636"/>
    </row>
    <row r="24" spans="1:9" ht="12.75" hidden="1">
      <c r="A24" s="636"/>
      <c r="B24" s="161" t="s">
        <v>617</v>
      </c>
      <c r="C24" s="553"/>
      <c r="D24" s="636"/>
      <c r="E24" s="636"/>
      <c r="F24" s="636"/>
      <c r="G24" s="636"/>
      <c r="H24" s="636"/>
      <c r="I24" s="636"/>
    </row>
    <row r="25" spans="1:9" ht="12.75" hidden="1">
      <c r="A25" s="636" t="s">
        <v>618</v>
      </c>
      <c r="B25" s="28" t="s">
        <v>619</v>
      </c>
      <c r="C25" s="553"/>
      <c r="D25" s="636"/>
      <c r="E25" s="636"/>
      <c r="F25" s="636"/>
      <c r="G25" s="636"/>
      <c r="H25" s="636"/>
      <c r="I25" s="636"/>
    </row>
    <row r="26" spans="1:9" ht="12.75" hidden="1">
      <c r="A26" s="636"/>
      <c r="B26" s="161" t="s">
        <v>616</v>
      </c>
      <c r="C26" s="553"/>
      <c r="D26" s="636"/>
      <c r="E26" s="636"/>
      <c r="F26" s="636"/>
      <c r="G26" s="636"/>
      <c r="H26" s="636"/>
      <c r="I26" s="636"/>
    </row>
    <row r="27" spans="1:9" ht="12.75" hidden="1">
      <c r="A27" s="636"/>
      <c r="B27" s="161" t="s">
        <v>620</v>
      </c>
      <c r="C27" s="553"/>
      <c r="D27" s="636"/>
      <c r="E27" s="636"/>
      <c r="F27" s="636"/>
      <c r="G27" s="636"/>
      <c r="H27" s="636"/>
      <c r="I27" s="636"/>
    </row>
    <row r="28" spans="1:9" ht="12.75" hidden="1">
      <c r="A28" s="636">
        <v>4</v>
      </c>
      <c r="B28" s="28" t="s">
        <v>621</v>
      </c>
      <c r="C28" s="553"/>
      <c r="D28" s="636"/>
      <c r="E28" s="636"/>
      <c r="F28" s="636"/>
      <c r="G28" s="636"/>
      <c r="H28" s="636"/>
      <c r="I28" s="636"/>
    </row>
    <row r="29" spans="1:9" ht="12.75" hidden="1">
      <c r="A29" s="636"/>
      <c r="B29" s="161" t="s">
        <v>616</v>
      </c>
      <c r="C29" s="553"/>
      <c r="D29" s="636"/>
      <c r="E29" s="636"/>
      <c r="F29" s="636"/>
      <c r="G29" s="636"/>
      <c r="H29" s="636"/>
      <c r="I29" s="636"/>
    </row>
    <row r="30" spans="1:9" ht="12.75" hidden="1">
      <c r="A30" s="636"/>
      <c r="B30" s="161" t="s">
        <v>622</v>
      </c>
      <c r="C30" s="553"/>
      <c r="D30" s="636"/>
      <c r="E30" s="636"/>
      <c r="F30" s="636"/>
      <c r="G30" s="636"/>
      <c r="H30" s="636"/>
      <c r="I30" s="636"/>
    </row>
    <row r="31" spans="1:9" ht="31.5">
      <c r="A31" s="162" t="s">
        <v>363</v>
      </c>
      <c r="B31" s="163" t="s">
        <v>623</v>
      </c>
      <c r="C31" s="164">
        <f>C32</f>
        <v>58550812</v>
      </c>
      <c r="D31" s="164"/>
      <c r="E31" s="164">
        <f>E32</f>
        <v>58550812</v>
      </c>
      <c r="F31" s="164"/>
      <c r="G31" s="164"/>
      <c r="H31" s="164"/>
      <c r="I31" s="378"/>
    </row>
    <row r="32" spans="1:9" s="202" customFormat="1" ht="15.75" customHeight="1">
      <c r="A32" s="379">
        <v>1</v>
      </c>
      <c r="B32" s="380" t="s">
        <v>603</v>
      </c>
      <c r="C32" s="381">
        <f>C33</f>
        <v>58550812</v>
      </c>
      <c r="D32" s="380"/>
      <c r="E32" s="381">
        <f>E33</f>
        <v>58550812</v>
      </c>
      <c r="F32" s="380"/>
      <c r="G32" s="380"/>
      <c r="H32" s="380"/>
      <c r="I32" s="382"/>
    </row>
    <row r="33" spans="1:9" s="202" customFormat="1" ht="12.75">
      <c r="A33" s="383"/>
      <c r="B33" s="384" t="s">
        <v>624</v>
      </c>
      <c r="C33" s="385">
        <f>13986000+14942812+14447000+15175000</f>
        <v>58550812</v>
      </c>
      <c r="D33" s="380"/>
      <c r="E33" s="522">
        <f>C33</f>
        <v>58550812</v>
      </c>
      <c r="F33" s="380"/>
      <c r="G33" s="381">
        <f>C33-E33</f>
        <v>0</v>
      </c>
      <c r="H33" s="380"/>
      <c r="I33" s="386"/>
    </row>
    <row r="34" spans="1:9" s="202" customFormat="1" ht="12.75">
      <c r="A34" s="383"/>
      <c r="B34" s="384" t="s">
        <v>625</v>
      </c>
      <c r="C34" s="385"/>
      <c r="D34" s="380"/>
      <c r="E34" s="381"/>
      <c r="F34" s="380"/>
      <c r="G34" s="380"/>
      <c r="H34" s="380"/>
      <c r="I34" s="386"/>
    </row>
    <row r="35" spans="1:9" s="203" customFormat="1" ht="12.75">
      <c r="A35" s="387">
        <v>2</v>
      </c>
      <c r="B35" s="388" t="s">
        <v>605</v>
      </c>
      <c r="C35" s="389"/>
      <c r="D35" s="387"/>
      <c r="E35" s="387"/>
      <c r="F35" s="387"/>
      <c r="G35" s="387"/>
      <c r="H35" s="387"/>
      <c r="I35" s="387"/>
    </row>
    <row r="36" spans="1:9" s="203" customFormat="1" ht="12.75">
      <c r="A36" s="387"/>
      <c r="B36" s="390" t="s">
        <v>779</v>
      </c>
      <c r="C36" s="389"/>
      <c r="D36" s="387"/>
      <c r="E36" s="387"/>
      <c r="F36" s="387"/>
      <c r="G36" s="387"/>
      <c r="H36" s="387"/>
      <c r="I36" s="387"/>
    </row>
    <row r="37" spans="1:9" s="202" customFormat="1" ht="12.75">
      <c r="A37" s="375">
        <v>3</v>
      </c>
      <c r="B37" s="376" t="s">
        <v>606</v>
      </c>
      <c r="C37" s="377"/>
      <c r="D37" s="377"/>
      <c r="E37" s="377"/>
      <c r="F37" s="377"/>
      <c r="G37" s="377"/>
      <c r="H37" s="377"/>
      <c r="I37" s="375"/>
    </row>
    <row r="38" spans="1:9" s="253" customFormat="1" ht="13.5">
      <c r="A38" s="391" t="s">
        <v>614</v>
      </c>
      <c r="B38" s="392" t="s">
        <v>615</v>
      </c>
      <c r="C38" s="393"/>
      <c r="D38" s="393"/>
      <c r="E38" s="393"/>
      <c r="F38" s="393"/>
      <c r="G38" s="393"/>
      <c r="H38" s="393"/>
      <c r="I38" s="391"/>
    </row>
    <row r="39" spans="1:9" s="203" customFormat="1" ht="12.75">
      <c r="A39" s="387"/>
      <c r="B39" s="390" t="s">
        <v>616</v>
      </c>
      <c r="C39" s="389"/>
      <c r="D39" s="387"/>
      <c r="E39" s="389"/>
      <c r="F39" s="387"/>
      <c r="G39" s="387"/>
      <c r="H39" s="387"/>
      <c r="I39" s="387"/>
    </row>
    <row r="40" spans="1:9" s="203" customFormat="1" ht="12.75">
      <c r="A40" s="387"/>
      <c r="B40" s="390" t="s">
        <v>617</v>
      </c>
      <c r="C40" s="389"/>
      <c r="D40" s="387"/>
      <c r="E40" s="389"/>
      <c r="F40" s="387"/>
      <c r="G40" s="394"/>
      <c r="H40" s="387"/>
      <c r="I40" s="387"/>
    </row>
    <row r="41" spans="1:9" s="253" customFormat="1" ht="13.5">
      <c r="A41" s="391" t="s">
        <v>618</v>
      </c>
      <c r="B41" s="392" t="s">
        <v>626</v>
      </c>
      <c r="C41" s="393">
        <f>C42</f>
        <v>0</v>
      </c>
      <c r="D41" s="391"/>
      <c r="E41" s="393">
        <f>C41</f>
        <v>0</v>
      </c>
      <c r="F41" s="391"/>
      <c r="G41" s="391"/>
      <c r="H41" s="391"/>
      <c r="I41" s="391"/>
    </row>
    <row r="42" spans="1:9" s="203" customFormat="1" ht="12.75">
      <c r="A42" s="387"/>
      <c r="B42" s="395" t="s">
        <v>616</v>
      </c>
      <c r="C42" s="389"/>
      <c r="D42" s="387"/>
      <c r="E42" s="389"/>
      <c r="F42" s="387"/>
      <c r="G42" s="387"/>
      <c r="H42" s="387"/>
      <c r="I42" s="387"/>
    </row>
    <row r="43" spans="1:9" s="203" customFormat="1" ht="12.75">
      <c r="A43" s="387"/>
      <c r="B43" s="390" t="s">
        <v>622</v>
      </c>
      <c r="C43" s="389"/>
      <c r="D43" s="387"/>
      <c r="E43" s="387"/>
      <c r="F43" s="387"/>
      <c r="G43" s="387"/>
      <c r="H43" s="387"/>
      <c r="I43" s="387"/>
    </row>
    <row r="44" spans="1:9" ht="15.75">
      <c r="A44" s="165">
        <v>4</v>
      </c>
      <c r="B44" s="168" t="s">
        <v>627</v>
      </c>
      <c r="C44" s="166"/>
      <c r="D44" s="165"/>
      <c r="E44" s="165"/>
      <c r="F44" s="165"/>
      <c r="G44" s="165"/>
      <c r="H44" s="165"/>
      <c r="I44" s="165"/>
    </row>
    <row r="45" spans="1:9" ht="15.75">
      <c r="A45" s="165"/>
      <c r="B45" s="167" t="s">
        <v>616</v>
      </c>
      <c r="C45" s="166"/>
      <c r="D45" s="165"/>
      <c r="E45" s="165"/>
      <c r="F45" s="165"/>
      <c r="G45" s="165"/>
      <c r="H45" s="165"/>
      <c r="I45" s="165"/>
    </row>
    <row r="46" spans="1:9" ht="15.75">
      <c r="A46" s="165"/>
      <c r="B46" s="167" t="s">
        <v>622</v>
      </c>
      <c r="C46" s="166"/>
      <c r="D46" s="165"/>
      <c r="E46" s="165"/>
      <c r="F46" s="165"/>
      <c r="G46" s="165"/>
      <c r="H46" s="165"/>
      <c r="I46" s="165"/>
    </row>
    <row r="47" spans="1:9" ht="15.75">
      <c r="A47" s="165">
        <v>5</v>
      </c>
      <c r="B47" s="168" t="s">
        <v>628</v>
      </c>
      <c r="C47" s="166">
        <v>0</v>
      </c>
      <c r="D47" s="166">
        <v>0</v>
      </c>
      <c r="E47" s="166">
        <v>0</v>
      </c>
      <c r="F47" s="166">
        <v>0</v>
      </c>
      <c r="G47" s="166">
        <v>0</v>
      </c>
      <c r="H47" s="166">
        <v>0</v>
      </c>
      <c r="I47" s="165"/>
    </row>
    <row r="48" spans="1:9" ht="31.5">
      <c r="A48" s="162" t="s">
        <v>381</v>
      </c>
      <c r="B48" s="163" t="s">
        <v>629</v>
      </c>
      <c r="C48" s="166"/>
      <c r="D48" s="166"/>
      <c r="E48" s="165"/>
      <c r="F48" s="165"/>
      <c r="G48" s="165"/>
      <c r="H48" s="165"/>
      <c r="I48" s="165"/>
    </row>
    <row r="49" spans="1:9" ht="12.75" customHeight="1" hidden="1">
      <c r="A49" s="29"/>
      <c r="B49" s="633"/>
      <c r="C49" s="553"/>
      <c r="D49" s="636"/>
      <c r="E49" s="636"/>
      <c r="F49" s="636"/>
      <c r="G49" s="636"/>
      <c r="H49" s="636"/>
      <c r="I49" s="636"/>
    </row>
    <row r="50" spans="1:9" ht="12.75" customHeight="1" hidden="1">
      <c r="A50" s="29"/>
      <c r="B50" s="633"/>
      <c r="C50" s="553"/>
      <c r="D50" s="636"/>
      <c r="E50" s="636"/>
      <c r="F50" s="636"/>
      <c r="G50" s="636"/>
      <c r="H50" s="636"/>
      <c r="I50" s="636"/>
    </row>
    <row r="51" spans="1:9" ht="12.75" customHeight="1" hidden="1">
      <c r="A51" s="29"/>
      <c r="B51" s="633"/>
      <c r="C51" s="553"/>
      <c r="D51" s="636"/>
      <c r="E51" s="636"/>
      <c r="F51" s="636"/>
      <c r="G51" s="636"/>
      <c r="H51" s="636"/>
      <c r="I51" s="636"/>
    </row>
    <row r="52" spans="1:9" ht="12.75" customHeight="1" hidden="1">
      <c r="A52" s="29"/>
      <c r="B52" s="633"/>
      <c r="C52" s="553"/>
      <c r="D52" s="636"/>
      <c r="E52" s="636"/>
      <c r="F52" s="636"/>
      <c r="G52" s="636"/>
      <c r="H52" s="636"/>
      <c r="I52" s="636"/>
    </row>
    <row r="53" spans="1:9" ht="12.75" customHeight="1" hidden="1">
      <c r="A53" s="29"/>
      <c r="B53" s="633"/>
      <c r="C53" s="553"/>
      <c r="D53" s="636"/>
      <c r="E53" s="636"/>
      <c r="F53" s="636"/>
      <c r="G53" s="636"/>
      <c r="H53" s="636"/>
      <c r="I53" s="636"/>
    </row>
    <row r="54" spans="1:9" ht="12.75" customHeight="1" hidden="1">
      <c r="A54" s="29"/>
      <c r="B54" s="633"/>
      <c r="C54" s="553"/>
      <c r="D54" s="636"/>
      <c r="E54" s="636"/>
      <c r="F54" s="636"/>
      <c r="G54" s="636"/>
      <c r="H54" s="636"/>
      <c r="I54" s="636"/>
    </row>
    <row r="55" spans="1:9" ht="12.75" customHeight="1" hidden="1">
      <c r="A55" s="29"/>
      <c r="B55" s="633"/>
      <c r="C55" s="553"/>
      <c r="D55" s="636"/>
      <c r="E55" s="636"/>
      <c r="F55" s="636"/>
      <c r="G55" s="636"/>
      <c r="H55" s="636"/>
      <c r="I55" s="636"/>
    </row>
    <row r="56" spans="1:9" ht="12.75" customHeight="1" hidden="1">
      <c r="A56" s="29"/>
      <c r="B56" s="633"/>
      <c r="C56" s="553"/>
      <c r="D56" s="636"/>
      <c r="E56" s="636"/>
      <c r="F56" s="636"/>
      <c r="G56" s="636"/>
      <c r="H56" s="636"/>
      <c r="I56" s="636"/>
    </row>
    <row r="57" spans="1:9" ht="12.75" customHeight="1" hidden="1">
      <c r="A57" s="636"/>
      <c r="B57" s="28" t="s">
        <v>630</v>
      </c>
      <c r="C57" s="553"/>
      <c r="D57" s="636"/>
      <c r="E57" s="636"/>
      <c r="F57" s="636"/>
      <c r="G57" s="636"/>
      <c r="H57" s="636"/>
      <c r="I57" s="636"/>
    </row>
    <row r="58" spans="1:9" ht="12.75">
      <c r="A58" s="31"/>
      <c r="B58" s="32"/>
      <c r="C58" s="138"/>
      <c r="D58" s="31"/>
      <c r="E58" s="31"/>
      <c r="F58" s="31"/>
      <c r="G58" s="31"/>
      <c r="H58" s="31"/>
      <c r="I58" s="31"/>
    </row>
    <row r="60" spans="6:9" ht="18.75">
      <c r="F60" s="1039" t="s">
        <v>1081</v>
      </c>
      <c r="G60" s="1039"/>
      <c r="H60" s="1039"/>
      <c r="I60" s="1039"/>
    </row>
    <row r="61" spans="6:9" ht="15.75">
      <c r="F61" s="1038" t="s">
        <v>282</v>
      </c>
      <c r="G61" s="1038"/>
      <c r="H61" s="1038"/>
      <c r="I61" s="1038"/>
    </row>
    <row r="62" spans="6:9" ht="15.75">
      <c r="F62" s="1038" t="s">
        <v>285</v>
      </c>
      <c r="G62" s="1038"/>
      <c r="H62" s="1038"/>
      <c r="I62" s="1038"/>
    </row>
  </sheetData>
  <sheetProtection/>
  <mergeCells count="11">
    <mergeCell ref="F60:I60"/>
    <mergeCell ref="F61:I61"/>
    <mergeCell ref="F62:I62"/>
    <mergeCell ref="A6:A7"/>
    <mergeCell ref="B6:B7"/>
    <mergeCell ref="I6:I7"/>
    <mergeCell ref="A3:I3"/>
    <mergeCell ref="A4:I4"/>
    <mergeCell ref="C6:D6"/>
    <mergeCell ref="E6:F6"/>
    <mergeCell ref="G6:H6"/>
  </mergeCells>
  <printOptions/>
  <pageMargins left="0.61" right="0.22" top="0.54" bottom="0.32" header="0.21" footer="0.18"/>
  <pageSetup blackAndWhite="1" horizontalDpi="600" verticalDpi="600" orientation="landscape" scale="85" r:id="rId2"/>
  <drawing r:id="rId1"/>
</worksheet>
</file>

<file path=xl/worksheets/sheet18.xml><?xml version="1.0" encoding="utf-8"?>
<worksheet xmlns="http://schemas.openxmlformats.org/spreadsheetml/2006/main" xmlns:r="http://schemas.openxmlformats.org/officeDocument/2006/relationships">
  <sheetPr>
    <tabColor rgb="FFFF0000"/>
  </sheetPr>
  <dimension ref="A1:AH22"/>
  <sheetViews>
    <sheetView zoomScalePageLayoutView="0" workbookViewId="0" topLeftCell="A1">
      <pane xSplit="3" ySplit="9" topLeftCell="P10" activePane="bottomRight" state="frozen"/>
      <selection pane="topLeft" activeCell="D60" sqref="D60"/>
      <selection pane="topRight" activeCell="D60" sqref="D60"/>
      <selection pane="bottomLeft" activeCell="D60" sqref="D60"/>
      <selection pane="bottomRight" activeCell="D60" sqref="D60"/>
    </sheetView>
  </sheetViews>
  <sheetFormatPr defaultColWidth="9.33203125" defaultRowHeight="12.75"/>
  <cols>
    <col min="1" max="1" width="6.5" style="0" customWidth="1"/>
    <col min="2" max="2" width="44" style="0" customWidth="1"/>
    <col min="3" max="3" width="8" style="263" customWidth="1"/>
    <col min="4" max="6" width="19.83203125" style="188" customWidth="1"/>
    <col min="7" max="15" width="19.83203125" style="188" hidden="1" customWidth="1"/>
    <col min="16" max="16" width="20.66015625" style="188" customWidth="1"/>
    <col min="17" max="18" width="19" style="188" customWidth="1"/>
    <col min="19" max="27" width="19.83203125" style="188" hidden="1" customWidth="1"/>
    <col min="28" max="30" width="19.83203125" style="0" customWidth="1"/>
    <col min="31" max="31" width="15.16015625" style="0" customWidth="1"/>
    <col min="32" max="32" width="24" style="0" customWidth="1"/>
    <col min="33" max="33" width="16.83203125" style="0" bestFit="1" customWidth="1"/>
  </cols>
  <sheetData>
    <row r="1" spans="1:32" ht="12.75">
      <c r="A1" s="20"/>
      <c r="AF1" s="478" t="s">
        <v>631</v>
      </c>
    </row>
    <row r="2" ht="12.75"/>
    <row r="3" spans="1:32" ht="12.75">
      <c r="A3" s="999" t="s">
        <v>1082</v>
      </c>
      <c r="B3" s="999"/>
      <c r="C3" s="999"/>
      <c r="D3" s="999"/>
      <c r="E3" s="999"/>
      <c r="F3" s="999"/>
      <c r="G3" s="999"/>
      <c r="H3" s="999"/>
      <c r="I3" s="999"/>
      <c r="J3" s="999"/>
      <c r="K3" s="999"/>
      <c r="L3" s="999"/>
      <c r="M3" s="999"/>
      <c r="N3" s="999"/>
      <c r="O3" s="999"/>
      <c r="P3" s="999"/>
      <c r="Q3" s="999"/>
      <c r="R3" s="999"/>
      <c r="S3" s="999"/>
      <c r="T3" s="999"/>
      <c r="U3" s="999"/>
      <c r="V3" s="999"/>
      <c r="W3" s="999"/>
      <c r="X3" s="999"/>
      <c r="Y3" s="999"/>
      <c r="Z3" s="999"/>
      <c r="AA3" s="999"/>
      <c r="AB3" s="999"/>
      <c r="AC3" s="999"/>
      <c r="AD3" s="999"/>
      <c r="AE3" s="999"/>
      <c r="AF3" s="999"/>
    </row>
    <row r="4" spans="1:32" ht="12.75" hidden="1">
      <c r="A4" s="962" t="s">
        <v>496</v>
      </c>
      <c r="B4" s="962"/>
      <c r="C4" s="962"/>
      <c r="D4" s="962"/>
      <c r="E4" s="962"/>
      <c r="F4" s="962"/>
      <c r="G4" s="962"/>
      <c r="H4" s="962"/>
      <c r="I4" s="962"/>
      <c r="J4" s="962"/>
      <c r="K4" s="962"/>
      <c r="L4" s="962"/>
      <c r="M4" s="962"/>
      <c r="N4" s="962"/>
      <c r="O4" s="962"/>
      <c r="P4" s="962"/>
      <c r="Q4" s="962"/>
      <c r="R4" s="962"/>
      <c r="S4" s="962"/>
      <c r="T4" s="962"/>
      <c r="U4" s="962"/>
      <c r="V4" s="962"/>
      <c r="W4" s="962"/>
      <c r="X4" s="962"/>
      <c r="Y4" s="962"/>
      <c r="Z4" s="962"/>
      <c r="AA4" s="962"/>
      <c r="AB4" s="962"/>
      <c r="AC4" s="962"/>
      <c r="AD4" s="962"/>
      <c r="AE4" s="962"/>
      <c r="AF4" s="962"/>
    </row>
    <row r="5" ht="12.75">
      <c r="AF5" s="143" t="s">
        <v>247</v>
      </c>
    </row>
    <row r="6" spans="1:32" ht="33" customHeight="1">
      <c r="A6" s="1063" t="s">
        <v>3</v>
      </c>
      <c r="B6" s="1063" t="s">
        <v>289</v>
      </c>
      <c r="C6" s="1066" t="s">
        <v>819</v>
      </c>
      <c r="D6" s="1069" t="s">
        <v>632</v>
      </c>
      <c r="E6" s="1064" t="s">
        <v>538</v>
      </c>
      <c r="F6" s="1065"/>
      <c r="G6" s="1064" t="s">
        <v>830</v>
      </c>
      <c r="H6" s="1068"/>
      <c r="I6" s="1068"/>
      <c r="J6" s="1068"/>
      <c r="K6" s="1068"/>
      <c r="L6" s="1068"/>
      <c r="M6" s="1068"/>
      <c r="N6" s="1068"/>
      <c r="O6" s="1065"/>
      <c r="P6" s="1069" t="s">
        <v>633</v>
      </c>
      <c r="Q6" s="1064" t="s">
        <v>538</v>
      </c>
      <c r="R6" s="1065"/>
      <c r="S6" s="1064" t="s">
        <v>830</v>
      </c>
      <c r="T6" s="1068"/>
      <c r="U6" s="1068"/>
      <c r="V6" s="1068"/>
      <c r="W6" s="1068"/>
      <c r="X6" s="1068"/>
      <c r="Y6" s="1068"/>
      <c r="Z6" s="1068"/>
      <c r="AA6" s="1065"/>
      <c r="AB6" s="1063" t="s">
        <v>634</v>
      </c>
      <c r="AC6" s="1063"/>
      <c r="AD6" s="1063"/>
      <c r="AE6" s="1063"/>
      <c r="AF6" s="1063" t="s">
        <v>635</v>
      </c>
    </row>
    <row r="7" spans="1:32" ht="51" customHeight="1">
      <c r="A7" s="1063"/>
      <c r="B7" s="1063"/>
      <c r="C7" s="1067"/>
      <c r="D7" s="1069"/>
      <c r="E7" s="481" t="s">
        <v>636</v>
      </c>
      <c r="F7" s="481" t="s">
        <v>637</v>
      </c>
      <c r="G7" s="481" t="s">
        <v>565</v>
      </c>
      <c r="H7" s="481" t="s">
        <v>566</v>
      </c>
      <c r="I7" s="481" t="s">
        <v>567</v>
      </c>
      <c r="J7" s="481" t="s">
        <v>568</v>
      </c>
      <c r="K7" s="481" t="s">
        <v>569</v>
      </c>
      <c r="L7" s="481" t="s">
        <v>570</v>
      </c>
      <c r="M7" s="481" t="s">
        <v>571</v>
      </c>
      <c r="N7" s="481" t="s">
        <v>572</v>
      </c>
      <c r="O7" s="481" t="s">
        <v>573</v>
      </c>
      <c r="P7" s="1069"/>
      <c r="Q7" s="481" t="s">
        <v>636</v>
      </c>
      <c r="R7" s="481" t="s">
        <v>637</v>
      </c>
      <c r="S7" s="481" t="s">
        <v>565</v>
      </c>
      <c r="T7" s="481" t="s">
        <v>566</v>
      </c>
      <c r="U7" s="481" t="s">
        <v>567</v>
      </c>
      <c r="V7" s="481" t="s">
        <v>568</v>
      </c>
      <c r="W7" s="481" t="s">
        <v>569</v>
      </c>
      <c r="X7" s="481" t="s">
        <v>570</v>
      </c>
      <c r="Y7" s="481" t="s">
        <v>571</v>
      </c>
      <c r="Z7" s="481" t="s">
        <v>572</v>
      </c>
      <c r="AA7" s="481" t="s">
        <v>573</v>
      </c>
      <c r="AB7" s="481" t="s">
        <v>638</v>
      </c>
      <c r="AC7" s="481" t="s">
        <v>636</v>
      </c>
      <c r="AD7" s="481" t="s">
        <v>637</v>
      </c>
      <c r="AE7" s="481" t="s">
        <v>639</v>
      </c>
      <c r="AF7" s="1063"/>
    </row>
    <row r="8" spans="1:32" s="263" customFormat="1" ht="12.75">
      <c r="A8" s="23" t="s">
        <v>296</v>
      </c>
      <c r="B8" s="23" t="s">
        <v>297</v>
      </c>
      <c r="C8" s="23"/>
      <c r="D8" s="134">
        <v>1</v>
      </c>
      <c r="E8" s="134"/>
      <c r="F8" s="134"/>
      <c r="G8" s="134"/>
      <c r="H8" s="134"/>
      <c r="I8" s="134"/>
      <c r="J8" s="134"/>
      <c r="K8" s="134"/>
      <c r="L8" s="134"/>
      <c r="M8" s="134"/>
      <c r="N8" s="134"/>
      <c r="O8" s="134"/>
      <c r="P8" s="134">
        <v>2</v>
      </c>
      <c r="Q8" s="134"/>
      <c r="R8" s="134"/>
      <c r="S8" s="134"/>
      <c r="T8" s="134"/>
      <c r="U8" s="134"/>
      <c r="V8" s="134"/>
      <c r="W8" s="134"/>
      <c r="X8" s="134"/>
      <c r="Y8" s="134"/>
      <c r="Z8" s="134"/>
      <c r="AA8" s="134"/>
      <c r="AB8" s="23" t="s">
        <v>640</v>
      </c>
      <c r="AC8" s="23"/>
      <c r="AD8" s="23"/>
      <c r="AE8" s="23" t="s">
        <v>641</v>
      </c>
      <c r="AF8" s="23">
        <v>5</v>
      </c>
    </row>
    <row r="9" spans="1:34" s="202" customFormat="1" ht="12.75">
      <c r="A9" s="514"/>
      <c r="B9" s="514" t="s">
        <v>684</v>
      </c>
      <c r="C9" s="514"/>
      <c r="D9" s="515">
        <v>83783253546</v>
      </c>
      <c r="E9" s="515">
        <v>79096471426</v>
      </c>
      <c r="F9" s="515">
        <v>4686782120</v>
      </c>
      <c r="G9" s="515">
        <f aca="true" t="shared" si="0" ref="G9:AE9">SUM(G10:G17)</f>
        <v>3004122256</v>
      </c>
      <c r="H9" s="515">
        <f t="shared" si="0"/>
        <v>737543343</v>
      </c>
      <c r="I9" s="515">
        <f t="shared" si="0"/>
        <v>112553773</v>
      </c>
      <c r="J9" s="515">
        <f t="shared" si="0"/>
        <v>203178941</v>
      </c>
      <c r="K9" s="515">
        <f t="shared" si="0"/>
        <v>420140029</v>
      </c>
      <c r="L9" s="515">
        <f t="shared" si="0"/>
        <v>38229526</v>
      </c>
      <c r="M9" s="515">
        <f t="shared" si="0"/>
        <v>165361564</v>
      </c>
      <c r="N9" s="515">
        <f t="shared" si="0"/>
        <v>718187297</v>
      </c>
      <c r="O9" s="515">
        <f t="shared" si="0"/>
        <v>100997289</v>
      </c>
      <c r="P9" s="515">
        <f t="shared" si="0"/>
        <v>102874080831</v>
      </c>
      <c r="Q9" s="515">
        <f t="shared" si="0"/>
        <v>98099358054</v>
      </c>
      <c r="R9" s="515">
        <f>SUM(R10:R17)</f>
        <v>4774722777</v>
      </c>
      <c r="S9" s="515">
        <f t="shared" si="0"/>
        <v>2453313794</v>
      </c>
      <c r="T9" s="515">
        <f t="shared" si="0"/>
        <v>385838632</v>
      </c>
      <c r="U9" s="515">
        <f t="shared" si="0"/>
        <v>227915106</v>
      </c>
      <c r="V9" s="515">
        <f t="shared" si="0"/>
        <v>341612237</v>
      </c>
      <c r="W9" s="515">
        <f t="shared" si="0"/>
        <v>299514705</v>
      </c>
      <c r="X9" s="515">
        <f t="shared" si="0"/>
        <v>216979735</v>
      </c>
      <c r="Y9" s="515">
        <f t="shared" si="0"/>
        <v>71212534</v>
      </c>
      <c r="Z9" s="515">
        <f t="shared" si="0"/>
        <v>454926960</v>
      </c>
      <c r="AA9" s="515">
        <f t="shared" si="0"/>
        <v>235468417</v>
      </c>
      <c r="AB9" s="515">
        <f t="shared" si="0"/>
        <v>19090827285</v>
      </c>
      <c r="AC9" s="515">
        <f t="shared" si="0"/>
        <v>19002886628</v>
      </c>
      <c r="AD9" s="515">
        <f t="shared" si="0"/>
        <v>87940657</v>
      </c>
      <c r="AE9" s="716">
        <f t="shared" si="0"/>
        <v>30.816842044381165</v>
      </c>
      <c r="AF9" s="514"/>
      <c r="AH9" s="202" t="s">
        <v>642</v>
      </c>
    </row>
    <row r="10" spans="1:34" ht="102">
      <c r="A10" s="26">
        <v>1</v>
      </c>
      <c r="B10" s="135" t="s">
        <v>643</v>
      </c>
      <c r="C10" s="510" t="s">
        <v>858</v>
      </c>
      <c r="D10" s="136">
        <v>113927961</v>
      </c>
      <c r="E10" s="136">
        <v>0</v>
      </c>
      <c r="F10" s="144">
        <v>113927961</v>
      </c>
      <c r="G10" s="136">
        <v>12112000</v>
      </c>
      <c r="H10" s="136">
        <v>17941750</v>
      </c>
      <c r="I10" s="136"/>
      <c r="J10" s="136">
        <v>7315000</v>
      </c>
      <c r="K10" s="479">
        <v>53178000</v>
      </c>
      <c r="L10" s="136"/>
      <c r="M10" s="136">
        <v>3643000</v>
      </c>
      <c r="N10" s="136">
        <v>17060000</v>
      </c>
      <c r="O10" s="136">
        <v>54084935</v>
      </c>
      <c r="P10" s="136">
        <f>Q10+R10</f>
        <v>3365033533</v>
      </c>
      <c r="Q10" s="136">
        <v>3202683000</v>
      </c>
      <c r="R10" s="144">
        <v>162350533</v>
      </c>
      <c r="S10" s="136">
        <v>9020026</v>
      </c>
      <c r="T10" s="136"/>
      <c r="U10" s="136"/>
      <c r="V10" s="136">
        <v>7315000</v>
      </c>
      <c r="W10" s="479">
        <v>53178000</v>
      </c>
      <c r="X10" s="136"/>
      <c r="Y10" s="136">
        <v>3643000</v>
      </c>
      <c r="Z10" s="136">
        <v>3826000</v>
      </c>
      <c r="AA10" s="136">
        <v>36945935</v>
      </c>
      <c r="AB10" s="145">
        <f aca="true" t="shared" si="1" ref="AB10:AD17">+P10-D10</f>
        <v>3251105572</v>
      </c>
      <c r="AC10" s="145">
        <f t="shared" si="1"/>
        <v>3202683000</v>
      </c>
      <c r="AD10" s="145">
        <f>+R10-F10</f>
        <v>48422572</v>
      </c>
      <c r="AE10" s="147">
        <f>AB10/D10</f>
        <v>28.536502746678668</v>
      </c>
      <c r="AF10" s="146"/>
      <c r="AH10" t="s">
        <v>644</v>
      </c>
    </row>
    <row r="11" spans="1:32" ht="51">
      <c r="A11" s="480">
        <v>2</v>
      </c>
      <c r="B11" s="28" t="s">
        <v>645</v>
      </c>
      <c r="C11" s="511" t="s">
        <v>859</v>
      </c>
      <c r="D11" s="479">
        <v>0</v>
      </c>
      <c r="E11" s="479">
        <v>0</v>
      </c>
      <c r="F11" s="145">
        <v>0</v>
      </c>
      <c r="G11" s="479"/>
      <c r="H11" s="479"/>
      <c r="I11" s="479"/>
      <c r="J11" s="479"/>
      <c r="K11" s="479"/>
      <c r="L11" s="479"/>
      <c r="M11" s="479"/>
      <c r="N11" s="479"/>
      <c r="O11" s="479"/>
      <c r="P11" s="479">
        <f aca="true" t="shared" si="2" ref="P11:P17">Q11+R11</f>
        <v>0</v>
      </c>
      <c r="Q11" s="479">
        <v>0</v>
      </c>
      <c r="R11" s="484">
        <f>SUM(S11:AA11)</f>
        <v>0</v>
      </c>
      <c r="S11" s="479"/>
      <c r="T11" s="479"/>
      <c r="U11" s="479"/>
      <c r="V11" s="479"/>
      <c r="W11" s="479"/>
      <c r="X11" s="479"/>
      <c r="Y11" s="479"/>
      <c r="Z11" s="479"/>
      <c r="AA11" s="479"/>
      <c r="AB11" s="145">
        <f t="shared" si="1"/>
        <v>0</v>
      </c>
      <c r="AC11" s="145">
        <f t="shared" si="1"/>
        <v>0</v>
      </c>
      <c r="AD11" s="145">
        <f t="shared" si="1"/>
        <v>0</v>
      </c>
      <c r="AE11" s="147"/>
      <c r="AF11" s="480"/>
    </row>
    <row r="12" spans="1:32" ht="38.25">
      <c r="A12" s="480">
        <v>3</v>
      </c>
      <c r="B12" s="28" t="s">
        <v>646</v>
      </c>
      <c r="C12" s="511" t="s">
        <v>860</v>
      </c>
      <c r="D12" s="479">
        <v>51303274602</v>
      </c>
      <c r="E12" s="479">
        <v>50578542787</v>
      </c>
      <c r="F12" s="145">
        <v>724731815</v>
      </c>
      <c r="G12" s="479">
        <v>122434027</v>
      </c>
      <c r="H12" s="479">
        <v>3928741</v>
      </c>
      <c r="I12" s="479">
        <v>5480600</v>
      </c>
      <c r="J12" s="479">
        <v>32073335</v>
      </c>
      <c r="K12" s="479">
        <v>80872465</v>
      </c>
      <c r="L12" s="479">
        <v>4959055</v>
      </c>
      <c r="M12" s="479">
        <v>541461</v>
      </c>
      <c r="N12" s="479">
        <v>37389545</v>
      </c>
      <c r="O12" s="479"/>
      <c r="P12" s="479">
        <f t="shared" si="2"/>
        <v>938522111</v>
      </c>
      <c r="Q12" s="479">
        <v>140679787</v>
      </c>
      <c r="R12" s="145">
        <v>797842324</v>
      </c>
      <c r="S12" s="479">
        <v>158813027</v>
      </c>
      <c r="T12" s="479">
        <v>47097207</v>
      </c>
      <c r="U12" s="479">
        <v>106864853</v>
      </c>
      <c r="V12" s="479">
        <v>130858356</v>
      </c>
      <c r="W12" s="479">
        <v>87495704</v>
      </c>
      <c r="X12" s="479">
        <v>25010460</v>
      </c>
      <c r="Y12" s="479">
        <v>50351203</v>
      </c>
      <c r="Z12" s="479">
        <v>25421381</v>
      </c>
      <c r="AA12" s="479">
        <v>92819624</v>
      </c>
      <c r="AB12" s="145">
        <f t="shared" si="1"/>
        <v>-50364752491</v>
      </c>
      <c r="AC12" s="145">
        <f t="shared" si="1"/>
        <v>-50437863000</v>
      </c>
      <c r="AD12" s="145">
        <f t="shared" si="1"/>
        <v>73110509</v>
      </c>
      <c r="AE12" s="147">
        <f aca="true" t="shared" si="3" ref="AE12:AE17">AB12/D12</f>
        <v>-0.9817063897328026</v>
      </c>
      <c r="AF12" s="480"/>
    </row>
    <row r="13" spans="1:32" ht="63.75">
      <c r="A13" s="480">
        <v>4</v>
      </c>
      <c r="B13" s="28" t="s">
        <v>647</v>
      </c>
      <c r="C13" s="511" t="s">
        <v>861</v>
      </c>
      <c r="D13" s="479">
        <v>1171057798</v>
      </c>
      <c r="E13" s="479">
        <v>93701661</v>
      </c>
      <c r="F13" s="145">
        <v>1077356137</v>
      </c>
      <c r="G13" s="479">
        <v>969015777</v>
      </c>
      <c r="H13" s="479">
        <v>45473037</v>
      </c>
      <c r="I13" s="479">
        <v>1025607</v>
      </c>
      <c r="J13" s="479"/>
      <c r="K13" s="479"/>
      <c r="L13" s="479"/>
      <c r="M13" s="479">
        <v>48</v>
      </c>
      <c r="N13" s="479">
        <v>166302167</v>
      </c>
      <c r="O13" s="479">
        <v>14816849</v>
      </c>
      <c r="P13" s="479">
        <f t="shared" si="2"/>
        <v>364230195</v>
      </c>
      <c r="Q13" s="479">
        <v>89337240</v>
      </c>
      <c r="R13" s="145">
        <v>274892955</v>
      </c>
      <c r="S13" s="479">
        <v>939337948</v>
      </c>
      <c r="T13" s="479">
        <v>67007051</v>
      </c>
      <c r="U13" s="479">
        <v>171015</v>
      </c>
      <c r="V13" s="479"/>
      <c r="W13" s="479"/>
      <c r="X13" s="479"/>
      <c r="Y13" s="479">
        <v>2907227</v>
      </c>
      <c r="Z13" s="479">
        <v>30840785</v>
      </c>
      <c r="AA13" s="479">
        <v>37092111</v>
      </c>
      <c r="AB13" s="145">
        <f t="shared" si="1"/>
        <v>-806827603</v>
      </c>
      <c r="AC13" s="145">
        <f t="shared" si="1"/>
        <v>-4364421</v>
      </c>
      <c r="AD13" s="145">
        <f t="shared" si="1"/>
        <v>-802463182</v>
      </c>
      <c r="AE13" s="147">
        <f>AB13/D13</f>
        <v>-0.6889733404943349</v>
      </c>
      <c r="AF13" s="480"/>
    </row>
    <row r="14" spans="1:32" ht="76.5">
      <c r="A14" s="480">
        <v>5</v>
      </c>
      <c r="B14" s="28" t="s">
        <v>648</v>
      </c>
      <c r="C14" s="511" t="s">
        <v>862</v>
      </c>
      <c r="D14" s="479">
        <v>1660060666</v>
      </c>
      <c r="E14" s="479">
        <v>1658551466</v>
      </c>
      <c r="F14" s="145">
        <v>1509200</v>
      </c>
      <c r="G14" s="479">
        <v>18325820</v>
      </c>
      <c r="H14" s="479">
        <v>318800000</v>
      </c>
      <c r="I14" s="479"/>
      <c r="J14" s="479">
        <v>8799000</v>
      </c>
      <c r="K14" s="479">
        <v>8799000</v>
      </c>
      <c r="L14" s="479"/>
      <c r="M14" s="479">
        <v>5000000</v>
      </c>
      <c r="N14" s="479">
        <v>8800000</v>
      </c>
      <c r="O14" s="479">
        <v>8799000</v>
      </c>
      <c r="P14" s="479">
        <f t="shared" si="2"/>
        <v>438112016</v>
      </c>
      <c r="Q14" s="479">
        <v>382252000</v>
      </c>
      <c r="R14" s="145">
        <v>55860016</v>
      </c>
      <c r="S14" s="479"/>
      <c r="T14" s="479"/>
      <c r="U14" s="479"/>
      <c r="V14" s="479"/>
      <c r="W14" s="479"/>
      <c r="X14" s="479"/>
      <c r="Y14" s="479">
        <v>1003200</v>
      </c>
      <c r="Z14" s="479">
        <v>506000</v>
      </c>
      <c r="AA14" s="479"/>
      <c r="AB14" s="145">
        <f t="shared" si="1"/>
        <v>-1221948650</v>
      </c>
      <c r="AC14" s="145">
        <f t="shared" si="1"/>
        <v>-1276299466</v>
      </c>
      <c r="AD14" s="145">
        <f t="shared" si="1"/>
        <v>54350816</v>
      </c>
      <c r="AE14" s="147">
        <f t="shared" si="3"/>
        <v>-0.7360867437118108</v>
      </c>
      <c r="AF14" s="480"/>
    </row>
    <row r="15" spans="1:33" ht="51">
      <c r="A15" s="480">
        <v>6</v>
      </c>
      <c r="B15" s="28" t="s">
        <v>649</v>
      </c>
      <c r="C15" s="511" t="s">
        <v>863</v>
      </c>
      <c r="D15" s="479">
        <v>0</v>
      </c>
      <c r="E15" s="479"/>
      <c r="F15" s="145">
        <v>0</v>
      </c>
      <c r="G15" s="479"/>
      <c r="H15" s="479"/>
      <c r="I15" s="479"/>
      <c r="J15" s="479"/>
      <c r="K15" s="479"/>
      <c r="L15" s="479"/>
      <c r="M15" s="479"/>
      <c r="N15" s="479"/>
      <c r="O15" s="479"/>
      <c r="P15" s="479">
        <f t="shared" si="2"/>
        <v>0</v>
      </c>
      <c r="Q15" s="479"/>
      <c r="R15" s="145">
        <f>SUM(S15:AA15)</f>
        <v>0</v>
      </c>
      <c r="S15" s="479"/>
      <c r="T15" s="479"/>
      <c r="U15" s="479"/>
      <c r="V15" s="479"/>
      <c r="W15" s="479"/>
      <c r="X15" s="479"/>
      <c r="Y15" s="479"/>
      <c r="Z15" s="479"/>
      <c r="AA15" s="479"/>
      <c r="AB15" s="145">
        <f t="shared" si="1"/>
        <v>0</v>
      </c>
      <c r="AC15" s="145">
        <f t="shared" si="1"/>
        <v>0</v>
      </c>
      <c r="AD15" s="145">
        <f t="shared" si="1"/>
        <v>0</v>
      </c>
      <c r="AE15" s="147"/>
      <c r="AF15" s="480"/>
      <c r="AG15" s="148">
        <f>33089059584-SUM(D10:D16)</f>
        <v>-40383298043</v>
      </c>
    </row>
    <row r="16" spans="1:32" ht="63.75">
      <c r="A16" s="182">
        <v>7</v>
      </c>
      <c r="B16" s="463" t="s">
        <v>650</v>
      </c>
      <c r="C16" s="512" t="s">
        <v>864</v>
      </c>
      <c r="D16" s="479">
        <v>19224036600</v>
      </c>
      <c r="E16" s="479">
        <v>17354660000</v>
      </c>
      <c r="F16" s="145">
        <v>1869376600</v>
      </c>
      <c r="G16" s="479">
        <v>1689651266</v>
      </c>
      <c r="H16" s="479">
        <v>235157695</v>
      </c>
      <c r="I16" s="479">
        <v>86197566</v>
      </c>
      <c r="J16" s="479">
        <v>71327936</v>
      </c>
      <c r="K16" s="479">
        <v>264075264</v>
      </c>
      <c r="L16" s="479">
        <v>17360471</v>
      </c>
      <c r="M16" s="479">
        <v>38446775</v>
      </c>
      <c r="N16" s="479">
        <v>272359749</v>
      </c>
      <c r="O16" s="479">
        <v>13516505</v>
      </c>
      <c r="P16" s="479">
        <f t="shared" si="2"/>
        <v>62155510828</v>
      </c>
      <c r="Q16" s="479">
        <v>59925196000</v>
      </c>
      <c r="R16" s="145">
        <v>2230314828</v>
      </c>
      <c r="S16" s="479">
        <v>1074709448</v>
      </c>
      <c r="T16" s="479">
        <v>160765508</v>
      </c>
      <c r="U16" s="479">
        <v>80329238</v>
      </c>
      <c r="V16" s="479">
        <v>116730761</v>
      </c>
      <c r="W16" s="479">
        <v>86412089</v>
      </c>
      <c r="X16" s="479">
        <v>142235259</v>
      </c>
      <c r="Y16" s="479"/>
      <c r="Z16" s="479">
        <v>153162550</v>
      </c>
      <c r="AA16" s="479">
        <v>55031747</v>
      </c>
      <c r="AB16" s="145">
        <f t="shared" si="1"/>
        <v>42931474228</v>
      </c>
      <c r="AC16" s="145">
        <f t="shared" si="1"/>
        <v>42570536000</v>
      </c>
      <c r="AD16" s="145">
        <f t="shared" si="1"/>
        <v>360938228</v>
      </c>
      <c r="AE16" s="147">
        <f t="shared" si="3"/>
        <v>2.2332185025074285</v>
      </c>
      <c r="AF16" s="480"/>
    </row>
    <row r="17" spans="1:32" ht="29.25" customHeight="1">
      <c r="A17" s="31">
        <v>8</v>
      </c>
      <c r="B17" s="32" t="s">
        <v>651</v>
      </c>
      <c r="C17" s="513" t="s">
        <v>865</v>
      </c>
      <c r="D17" s="138">
        <v>10310895919</v>
      </c>
      <c r="E17" s="138">
        <v>9411015512</v>
      </c>
      <c r="F17" s="149">
        <v>899880407</v>
      </c>
      <c r="G17" s="138">
        <v>192583366</v>
      </c>
      <c r="H17" s="138">
        <v>116242120</v>
      </c>
      <c r="I17" s="138">
        <v>19850000</v>
      </c>
      <c r="J17" s="138">
        <v>83663670</v>
      </c>
      <c r="K17" s="138">
        <v>13215300</v>
      </c>
      <c r="L17" s="138">
        <v>15910000</v>
      </c>
      <c r="M17" s="138">
        <v>117730280</v>
      </c>
      <c r="N17" s="138">
        <v>216275836</v>
      </c>
      <c r="O17" s="138">
        <v>9780000</v>
      </c>
      <c r="P17" s="138">
        <f t="shared" si="2"/>
        <v>35612672148</v>
      </c>
      <c r="Q17" s="149">
        <v>34359210027</v>
      </c>
      <c r="R17" s="149">
        <v>1253462121</v>
      </c>
      <c r="S17" s="138">
        <v>271433345</v>
      </c>
      <c r="T17" s="138">
        <v>110968866</v>
      </c>
      <c r="U17" s="138">
        <v>40550000</v>
      </c>
      <c r="V17" s="138">
        <v>86708120</v>
      </c>
      <c r="W17" s="138">
        <v>72428912</v>
      </c>
      <c r="X17" s="138">
        <v>49734016</v>
      </c>
      <c r="Y17" s="138">
        <v>13307904</v>
      </c>
      <c r="Z17" s="138">
        <v>241170244</v>
      </c>
      <c r="AA17" s="138">
        <v>13579000</v>
      </c>
      <c r="AB17" s="138">
        <f t="shared" si="1"/>
        <v>25301776229</v>
      </c>
      <c r="AC17" s="149">
        <f t="shared" si="1"/>
        <v>24948194515</v>
      </c>
      <c r="AD17" s="149">
        <f t="shared" si="1"/>
        <v>353581714</v>
      </c>
      <c r="AE17" s="715">
        <f t="shared" si="3"/>
        <v>2.453887269134018</v>
      </c>
      <c r="AF17" s="31"/>
    </row>
    <row r="18" spans="1:32" s="131" customFormat="1" ht="18" customHeight="1" hidden="1">
      <c r="A18" s="139"/>
      <c r="B18" s="140"/>
      <c r="C18" s="139"/>
      <c r="D18" s="141">
        <f aca="true" t="shared" si="4" ref="D18:AD18">D10+D11+D12+D13+D14+D15+D16+D17</f>
        <v>83783253546</v>
      </c>
      <c r="E18" s="141">
        <f t="shared" si="4"/>
        <v>79096471426</v>
      </c>
      <c r="F18" s="141">
        <f t="shared" si="4"/>
        <v>4686782120</v>
      </c>
      <c r="G18" s="141">
        <f t="shared" si="4"/>
        <v>3004122256</v>
      </c>
      <c r="H18" s="141">
        <f t="shared" si="4"/>
        <v>737543343</v>
      </c>
      <c r="I18" s="141">
        <f t="shared" si="4"/>
        <v>112553773</v>
      </c>
      <c r="J18" s="141">
        <f t="shared" si="4"/>
        <v>203178941</v>
      </c>
      <c r="K18" s="141">
        <f t="shared" si="4"/>
        <v>420140029</v>
      </c>
      <c r="L18" s="141">
        <f t="shared" si="4"/>
        <v>38229526</v>
      </c>
      <c r="M18" s="141">
        <f t="shared" si="4"/>
        <v>165361564</v>
      </c>
      <c r="N18" s="141">
        <f t="shared" si="4"/>
        <v>718187297</v>
      </c>
      <c r="O18" s="141">
        <f t="shared" si="4"/>
        <v>100997289</v>
      </c>
      <c r="P18" s="141">
        <f t="shared" si="4"/>
        <v>102874080831</v>
      </c>
      <c r="Q18" s="141">
        <f t="shared" si="4"/>
        <v>98099358054</v>
      </c>
      <c r="R18" s="141">
        <f>R10+R11+R12+R13+R14+R15+R16+R17</f>
        <v>4774722777</v>
      </c>
      <c r="S18" s="141">
        <f t="shared" si="4"/>
        <v>2453313794</v>
      </c>
      <c r="T18" s="141">
        <f t="shared" si="4"/>
        <v>385838632</v>
      </c>
      <c r="U18" s="141">
        <f t="shared" si="4"/>
        <v>227915106</v>
      </c>
      <c r="V18" s="141">
        <f t="shared" si="4"/>
        <v>341612237</v>
      </c>
      <c r="W18" s="141">
        <f t="shared" si="4"/>
        <v>299514705</v>
      </c>
      <c r="X18" s="141">
        <f t="shared" si="4"/>
        <v>216979735</v>
      </c>
      <c r="Y18" s="141">
        <f>Y10+Y11+Y12+Y13+Y14+Y15+Y16+Y17</f>
        <v>71212534</v>
      </c>
      <c r="Z18" s="141">
        <f>Z10+Z11+Z12+Z13+Z14+Z15+Z16+Z17</f>
        <v>454926960</v>
      </c>
      <c r="AA18" s="141">
        <f>AA10+AA11+AA12+AA13+AA14+AA15+AA16+AA17</f>
        <v>235468417</v>
      </c>
      <c r="AB18" s="141">
        <f t="shared" si="4"/>
        <v>19090827285</v>
      </c>
      <c r="AC18" s="141">
        <f t="shared" si="4"/>
        <v>19002886628</v>
      </c>
      <c r="AD18" s="141">
        <f t="shared" si="4"/>
        <v>87940657</v>
      </c>
      <c r="AE18" s="141"/>
      <c r="AF18" s="139"/>
    </row>
    <row r="19" ht="12.75" hidden="1">
      <c r="A19" s="142" t="s">
        <v>652</v>
      </c>
    </row>
    <row r="20" spans="29:32" ht="18.75">
      <c r="AC20" s="1039" t="s">
        <v>1081</v>
      </c>
      <c r="AD20" s="1039"/>
      <c r="AE20" s="1039"/>
      <c r="AF20" s="1039"/>
    </row>
    <row r="21" spans="29:32" ht="15.75">
      <c r="AC21" s="1038" t="s">
        <v>282</v>
      </c>
      <c r="AD21" s="1038"/>
      <c r="AE21" s="1038"/>
      <c r="AF21" s="1038"/>
    </row>
    <row r="22" spans="29:32" ht="15.75">
      <c r="AC22" s="1038" t="s">
        <v>285</v>
      </c>
      <c r="AD22" s="1038"/>
      <c r="AE22" s="1038"/>
      <c r="AF22" s="1038"/>
    </row>
  </sheetData>
  <sheetProtection/>
  <mergeCells count="16">
    <mergeCell ref="C6:C7"/>
    <mergeCell ref="A3:AF3"/>
    <mergeCell ref="A4:AF4"/>
    <mergeCell ref="G6:O6"/>
    <mergeCell ref="A6:A7"/>
    <mergeCell ref="B6:B7"/>
    <mergeCell ref="D6:D7"/>
    <mergeCell ref="P6:P7"/>
    <mergeCell ref="S6:AA6"/>
    <mergeCell ref="AB6:AE6"/>
    <mergeCell ref="AF6:AF7"/>
    <mergeCell ref="AC20:AF20"/>
    <mergeCell ref="AC21:AF21"/>
    <mergeCell ref="AC22:AF22"/>
    <mergeCell ref="E6:F6"/>
    <mergeCell ref="Q6:R6"/>
  </mergeCells>
  <printOptions/>
  <pageMargins left="0.51" right="0.2" top="0.6" bottom="0.48" header="0.3" footer="0.3"/>
  <pageSetup blackAndWhite="1" horizontalDpi="600" verticalDpi="600" orientation="landscape" scale="53" r:id="rId4"/>
  <drawing r:id="rId3"/>
  <legacyDrawing r:id="rId2"/>
</worksheet>
</file>

<file path=xl/worksheets/sheet19.xml><?xml version="1.0" encoding="utf-8"?>
<worksheet xmlns="http://schemas.openxmlformats.org/spreadsheetml/2006/main" xmlns:r="http://schemas.openxmlformats.org/officeDocument/2006/relationships">
  <sheetPr>
    <tabColor rgb="FFFF0000"/>
  </sheetPr>
  <dimension ref="A1:I468"/>
  <sheetViews>
    <sheetView zoomScalePageLayoutView="0" workbookViewId="0" topLeftCell="A148">
      <selection activeCell="D60" sqref="D60"/>
    </sheetView>
  </sheetViews>
  <sheetFormatPr defaultColWidth="10.66015625" defaultRowHeight="12.75"/>
  <cols>
    <col min="1" max="1" width="12" style="718" customWidth="1"/>
    <col min="2" max="2" width="89.66015625" style="718" customWidth="1"/>
    <col min="3" max="3" width="14.33203125" style="719" customWidth="1"/>
    <col min="4" max="4" width="21.5" style="719" customWidth="1"/>
    <col min="5" max="5" width="24.33203125" style="719" customWidth="1"/>
    <col min="6" max="6" width="25.5" style="719" customWidth="1"/>
    <col min="7" max="7" width="55.66015625" style="718" customWidth="1"/>
    <col min="8" max="8" width="10.66015625" style="718" customWidth="1"/>
    <col min="9" max="9" width="26" style="718" bestFit="1" customWidth="1"/>
    <col min="10" max="16384" width="10.66015625" style="718" customWidth="1"/>
  </cols>
  <sheetData>
    <row r="1" spans="1:7" ht="15.75">
      <c r="A1" s="717"/>
      <c r="G1" s="720" t="s">
        <v>1127</v>
      </c>
    </row>
    <row r="2" ht="15.75">
      <c r="A2" s="720"/>
    </row>
    <row r="3" spans="1:7" ht="18.75">
      <c r="A3" s="1054" t="s">
        <v>1128</v>
      </c>
      <c r="B3" s="1054"/>
      <c r="C3" s="1054"/>
      <c r="D3" s="1054"/>
      <c r="E3" s="1054"/>
      <c r="F3" s="1054"/>
      <c r="G3" s="1054"/>
    </row>
    <row r="4" spans="1:7" ht="15.75" hidden="1">
      <c r="A4" s="1079" t="s">
        <v>1129</v>
      </c>
      <c r="B4" s="1079"/>
      <c r="C4" s="1079"/>
      <c r="D4" s="1079"/>
      <c r="E4" s="1079"/>
      <c r="F4" s="1079"/>
      <c r="G4" s="1079"/>
    </row>
    <row r="5" spans="2:7" ht="15.75">
      <c r="B5" s="721"/>
      <c r="D5" s="722"/>
      <c r="E5" s="722"/>
      <c r="F5" s="722"/>
      <c r="G5" s="718" t="s">
        <v>1130</v>
      </c>
    </row>
    <row r="6" spans="1:7" ht="15.75">
      <c r="A6" s="1080" t="s">
        <v>3</v>
      </c>
      <c r="B6" s="1080" t="s">
        <v>289</v>
      </c>
      <c r="C6" s="1070" t="s">
        <v>1131</v>
      </c>
      <c r="D6" s="1070" t="s">
        <v>1132</v>
      </c>
      <c r="E6" s="1070" t="s">
        <v>504</v>
      </c>
      <c r="F6" s="1070" t="s">
        <v>1133</v>
      </c>
      <c r="G6" s="1072" t="s">
        <v>1134</v>
      </c>
    </row>
    <row r="7" spans="1:7" ht="15.75">
      <c r="A7" s="1080"/>
      <c r="B7" s="1080"/>
      <c r="C7" s="1071"/>
      <c r="D7" s="1071"/>
      <c r="E7" s="1071"/>
      <c r="F7" s="1071"/>
      <c r="G7" s="1073"/>
    </row>
    <row r="8" spans="1:9" s="725" customFormat="1" ht="15.75">
      <c r="A8" s="723" t="s">
        <v>296</v>
      </c>
      <c r="B8" s="723" t="s">
        <v>297</v>
      </c>
      <c r="C8" s="724">
        <v>1</v>
      </c>
      <c r="D8" s="724" t="s">
        <v>1135</v>
      </c>
      <c r="E8" s="724">
        <v>3</v>
      </c>
      <c r="F8" s="724">
        <v>4</v>
      </c>
      <c r="G8" s="723">
        <v>5</v>
      </c>
      <c r="I8" s="726"/>
    </row>
    <row r="9" spans="1:7" s="731" customFormat="1" ht="15.75">
      <c r="A9" s="727"/>
      <c r="B9" s="727" t="s">
        <v>688</v>
      </c>
      <c r="C9" s="728"/>
      <c r="D9" s="729">
        <f>D10+D73+D79+D129+D151+D165+D176+D203</f>
        <v>102874.081831</v>
      </c>
      <c r="E9" s="729">
        <f>E10+E73+E79+E129+E151+E165+E176+E203</f>
        <v>98099.359054</v>
      </c>
      <c r="F9" s="729">
        <f>F10+F73+F79+F129+F151+F165+F176+F203</f>
        <v>4774.722776999999</v>
      </c>
      <c r="G9" s="730"/>
    </row>
    <row r="10" spans="1:7" s="737" customFormat="1" ht="69.75" customHeight="1">
      <c r="A10" s="732" t="s">
        <v>307</v>
      </c>
      <c r="B10" s="733" t="s">
        <v>643</v>
      </c>
      <c r="C10" s="734" t="s">
        <v>858</v>
      </c>
      <c r="D10" s="735">
        <f>D11+D52</f>
        <v>3402.440105</v>
      </c>
      <c r="E10" s="735">
        <f>E11+E52</f>
        <v>3202.684</v>
      </c>
      <c r="F10" s="735">
        <f>F11+F52</f>
        <v>199.75610500000002</v>
      </c>
      <c r="G10" s="736"/>
    </row>
    <row r="11" spans="1:7" s="743" customFormat="1" ht="31.5">
      <c r="A11" s="738" t="s">
        <v>815</v>
      </c>
      <c r="B11" s="739" t="s">
        <v>1136</v>
      </c>
      <c r="C11" s="740"/>
      <c r="D11" s="741">
        <f>D12+D25</f>
        <v>3202.684</v>
      </c>
      <c r="E11" s="741">
        <f>E12+E25</f>
        <v>3202.684</v>
      </c>
      <c r="F11" s="741"/>
      <c r="G11" s="742" t="s">
        <v>1137</v>
      </c>
    </row>
    <row r="12" spans="1:7" s="750" customFormat="1" ht="15.75">
      <c r="A12" s="744" t="s">
        <v>1138</v>
      </c>
      <c r="B12" s="745" t="s">
        <v>1139</v>
      </c>
      <c r="C12" s="746"/>
      <c r="D12" s="747">
        <f>D13+D18+D22</f>
        <v>1036.341</v>
      </c>
      <c r="E12" s="747">
        <f>E13+E18+E22</f>
        <v>1036.341</v>
      </c>
      <c r="F12" s="748"/>
      <c r="G12" s="749"/>
    </row>
    <row r="13" spans="1:7" s="750" customFormat="1" ht="15.75">
      <c r="A13" s="744" t="s">
        <v>1140</v>
      </c>
      <c r="B13" s="751" t="s">
        <v>1141</v>
      </c>
      <c r="C13" s="746"/>
      <c r="D13" s="747">
        <f>SUM(D14:D17)</f>
        <v>262.60699999999997</v>
      </c>
      <c r="E13" s="747">
        <f>SUM(E14:E17)</f>
        <v>262.60699999999997</v>
      </c>
      <c r="F13" s="748"/>
      <c r="G13" s="749"/>
    </row>
    <row r="14" spans="1:7" s="750" customFormat="1" ht="31.5">
      <c r="A14" s="752"/>
      <c r="B14" s="753" t="s">
        <v>943</v>
      </c>
      <c r="C14" s="746"/>
      <c r="D14" s="748">
        <f>E14+F14</f>
        <v>235</v>
      </c>
      <c r="E14" s="754">
        <v>235</v>
      </c>
      <c r="F14" s="748"/>
      <c r="G14" s="749"/>
    </row>
    <row r="15" spans="1:7" s="750" customFormat="1" ht="31.5">
      <c r="A15" s="752"/>
      <c r="B15" s="753" t="s">
        <v>945</v>
      </c>
      <c r="C15" s="746"/>
      <c r="D15" s="748">
        <f aca="true" t="shared" si="0" ref="D15:D51">E15+F15</f>
        <v>5.325</v>
      </c>
      <c r="E15" s="754">
        <v>5.325</v>
      </c>
      <c r="F15" s="748"/>
      <c r="G15" s="749"/>
    </row>
    <row r="16" spans="1:7" s="750" customFormat="1" ht="15.75">
      <c r="A16" s="752"/>
      <c r="B16" s="753" t="s">
        <v>953</v>
      </c>
      <c r="C16" s="746"/>
      <c r="D16" s="748">
        <f t="shared" si="0"/>
        <v>7.282</v>
      </c>
      <c r="E16" s="754">
        <v>7.282</v>
      </c>
      <c r="F16" s="748"/>
      <c r="G16" s="749"/>
    </row>
    <row r="17" spans="1:7" s="750" customFormat="1" ht="15.75">
      <c r="A17" s="752"/>
      <c r="B17" s="753" t="s">
        <v>1142</v>
      </c>
      <c r="C17" s="746"/>
      <c r="D17" s="748">
        <f t="shared" si="0"/>
        <v>15</v>
      </c>
      <c r="E17" s="754">
        <v>15</v>
      </c>
      <c r="F17" s="748"/>
      <c r="G17" s="749"/>
    </row>
    <row r="18" spans="1:7" s="750" customFormat="1" ht="15.75">
      <c r="A18" s="744" t="s">
        <v>1143</v>
      </c>
      <c r="B18" s="751" t="s">
        <v>1144</v>
      </c>
      <c r="C18" s="746"/>
      <c r="D18" s="747">
        <f>SUM(D19:D21)</f>
        <v>665.874</v>
      </c>
      <c r="E18" s="747">
        <f>SUM(E19:E21)</f>
        <v>665.874</v>
      </c>
      <c r="F18" s="748"/>
      <c r="G18" s="749"/>
    </row>
    <row r="19" spans="1:7" s="750" customFormat="1" ht="15.75">
      <c r="A19" s="752"/>
      <c r="B19" s="753" t="s">
        <v>959</v>
      </c>
      <c r="C19" s="746"/>
      <c r="D19" s="748">
        <f t="shared" si="0"/>
        <v>378.233</v>
      </c>
      <c r="E19" s="754">
        <f>378.232+0.001</f>
        <v>378.233</v>
      </c>
      <c r="F19" s="748"/>
      <c r="G19" s="749"/>
    </row>
    <row r="20" spans="1:7" s="750" customFormat="1" ht="47.25">
      <c r="A20" s="752"/>
      <c r="B20" s="753" t="s">
        <v>967</v>
      </c>
      <c r="C20" s="746"/>
      <c r="D20" s="748">
        <f t="shared" si="0"/>
        <v>182.541</v>
      </c>
      <c r="E20" s="754">
        <v>182.541</v>
      </c>
      <c r="F20" s="748"/>
      <c r="G20" s="749"/>
    </row>
    <row r="21" spans="1:7" s="750" customFormat="1" ht="31.5">
      <c r="A21" s="752"/>
      <c r="B21" s="753" t="s">
        <v>1145</v>
      </c>
      <c r="C21" s="746"/>
      <c r="D21" s="748">
        <f t="shared" si="0"/>
        <v>105.1</v>
      </c>
      <c r="E21" s="754">
        <v>105.1</v>
      </c>
      <c r="F21" s="748"/>
      <c r="G21" s="749"/>
    </row>
    <row r="22" spans="1:7" s="750" customFormat="1" ht="15.75">
      <c r="A22" s="744" t="s">
        <v>1146</v>
      </c>
      <c r="B22" s="751" t="s">
        <v>1147</v>
      </c>
      <c r="C22" s="746"/>
      <c r="D22" s="747">
        <f>SUM(D23:D24)</f>
        <v>107.86</v>
      </c>
      <c r="E22" s="747">
        <f>SUM(E23:E24)</f>
        <v>107.86</v>
      </c>
      <c r="F22" s="748"/>
      <c r="G22" s="749"/>
    </row>
    <row r="23" spans="1:7" s="750" customFormat="1" ht="30.75">
      <c r="A23" s="752"/>
      <c r="B23" s="753" t="s">
        <v>1148</v>
      </c>
      <c r="C23" s="746"/>
      <c r="D23" s="748">
        <f t="shared" si="0"/>
        <v>21.26</v>
      </c>
      <c r="E23" s="754">
        <v>21.26</v>
      </c>
      <c r="F23" s="748"/>
      <c r="G23" s="749"/>
    </row>
    <row r="24" spans="1:7" s="750" customFormat="1" ht="15.75">
      <c r="A24" s="752"/>
      <c r="B24" s="753" t="s">
        <v>1149</v>
      </c>
      <c r="C24" s="746"/>
      <c r="D24" s="748">
        <f t="shared" si="0"/>
        <v>86.6</v>
      </c>
      <c r="E24" s="754">
        <v>86.6</v>
      </c>
      <c r="F24" s="748"/>
      <c r="G24" s="749"/>
    </row>
    <row r="25" spans="1:7" s="750" customFormat="1" ht="31.5">
      <c r="A25" s="744" t="s">
        <v>1150</v>
      </c>
      <c r="B25" s="751" t="s">
        <v>1151</v>
      </c>
      <c r="C25" s="746"/>
      <c r="D25" s="747">
        <f>D26+D30+D33+D36+D38+D41+D47</f>
        <v>2166.3430000000003</v>
      </c>
      <c r="E25" s="747">
        <f>E26+E30+E33+E36+E38+E41+E47</f>
        <v>2166.3430000000003</v>
      </c>
      <c r="F25" s="748"/>
      <c r="G25" s="749"/>
    </row>
    <row r="26" spans="1:7" s="750" customFormat="1" ht="15.75">
      <c r="A26" s="752" t="s">
        <v>1152</v>
      </c>
      <c r="B26" s="755" t="s">
        <v>1153</v>
      </c>
      <c r="C26" s="746"/>
      <c r="D26" s="747">
        <f>SUM(D27:D29)</f>
        <v>517.011</v>
      </c>
      <c r="E26" s="747">
        <f>SUM(E27:E29)</f>
        <v>517.011</v>
      </c>
      <c r="F26" s="748"/>
      <c r="G26" s="749"/>
    </row>
    <row r="27" spans="1:7" s="750" customFormat="1" ht="15.75">
      <c r="A27" s="756"/>
      <c r="B27" s="753" t="s">
        <v>984</v>
      </c>
      <c r="C27" s="746"/>
      <c r="D27" s="748">
        <f t="shared" si="0"/>
        <v>6.713</v>
      </c>
      <c r="E27" s="754">
        <v>6.713</v>
      </c>
      <c r="F27" s="748"/>
      <c r="G27" s="749"/>
    </row>
    <row r="28" spans="1:7" s="750" customFormat="1" ht="15.75">
      <c r="A28" s="756"/>
      <c r="B28" s="753" t="s">
        <v>1154</v>
      </c>
      <c r="C28" s="746"/>
      <c r="D28" s="748">
        <f t="shared" si="0"/>
        <v>195.298</v>
      </c>
      <c r="E28" s="754">
        <v>195.298</v>
      </c>
      <c r="F28" s="748"/>
      <c r="G28" s="749"/>
    </row>
    <row r="29" spans="1:7" s="750" customFormat="1" ht="15.75">
      <c r="A29" s="756"/>
      <c r="B29" s="753" t="s">
        <v>1155</v>
      </c>
      <c r="C29" s="746"/>
      <c r="D29" s="748">
        <f t="shared" si="0"/>
        <v>315</v>
      </c>
      <c r="E29" s="754">
        <v>315</v>
      </c>
      <c r="F29" s="748"/>
      <c r="G29" s="749"/>
    </row>
    <row r="30" spans="1:7" s="750" customFormat="1" ht="15.75">
      <c r="A30" s="752" t="s">
        <v>1156</v>
      </c>
      <c r="B30" s="755" t="s">
        <v>986</v>
      </c>
      <c r="C30" s="746"/>
      <c r="D30" s="748">
        <f t="shared" si="0"/>
        <v>0</v>
      </c>
      <c r="E30" s="747">
        <f>SUM(E31:E32)</f>
        <v>0</v>
      </c>
      <c r="F30" s="748"/>
      <c r="G30" s="749"/>
    </row>
    <row r="31" spans="1:7" s="750" customFormat="1" ht="15.75">
      <c r="A31" s="756"/>
      <c r="B31" s="753" t="s">
        <v>987</v>
      </c>
      <c r="C31" s="746"/>
      <c r="D31" s="748">
        <f t="shared" si="0"/>
        <v>0</v>
      </c>
      <c r="E31" s="754"/>
      <c r="F31" s="748"/>
      <c r="G31" s="749"/>
    </row>
    <row r="32" spans="1:7" s="750" customFormat="1" ht="15.75">
      <c r="A32" s="756"/>
      <c r="B32" s="753" t="s">
        <v>989</v>
      </c>
      <c r="C32" s="746"/>
      <c r="D32" s="748">
        <f t="shared" si="0"/>
        <v>0</v>
      </c>
      <c r="E32" s="754"/>
      <c r="F32" s="748"/>
      <c r="G32" s="749"/>
    </row>
    <row r="33" spans="1:7" s="750" customFormat="1" ht="15.75">
      <c r="A33" s="752" t="s">
        <v>1157</v>
      </c>
      <c r="B33" s="755" t="s">
        <v>1158</v>
      </c>
      <c r="C33" s="746"/>
      <c r="D33" s="747">
        <f>SUM(D34:D35)</f>
        <v>303.8</v>
      </c>
      <c r="E33" s="747">
        <f>SUM(E34:E35)</f>
        <v>303.8</v>
      </c>
      <c r="F33" s="748"/>
      <c r="G33" s="749"/>
    </row>
    <row r="34" spans="1:7" s="750" customFormat="1" ht="31.5">
      <c r="A34" s="752"/>
      <c r="B34" s="753" t="s">
        <v>1159</v>
      </c>
      <c r="C34" s="746"/>
      <c r="D34" s="748">
        <f t="shared" si="0"/>
        <v>72.8</v>
      </c>
      <c r="E34" s="754">
        <v>72.8</v>
      </c>
      <c r="F34" s="748"/>
      <c r="G34" s="749"/>
    </row>
    <row r="35" spans="1:7" s="750" customFormat="1" ht="15.75">
      <c r="A35" s="752"/>
      <c r="B35" s="753" t="s">
        <v>1160</v>
      </c>
      <c r="C35" s="746"/>
      <c r="D35" s="748">
        <f t="shared" si="0"/>
        <v>231</v>
      </c>
      <c r="E35" s="754">
        <v>231</v>
      </c>
      <c r="F35" s="748"/>
      <c r="G35" s="749"/>
    </row>
    <row r="36" spans="1:7" s="750" customFormat="1" ht="15.75">
      <c r="A36" s="752" t="s">
        <v>1161</v>
      </c>
      <c r="B36" s="755" t="s">
        <v>1162</v>
      </c>
      <c r="C36" s="746"/>
      <c r="D36" s="748">
        <f t="shared" si="0"/>
        <v>57.7</v>
      </c>
      <c r="E36" s="747">
        <f>SUM(E37)</f>
        <v>57.7</v>
      </c>
      <c r="F36" s="748"/>
      <c r="G36" s="749"/>
    </row>
    <row r="37" spans="1:7" s="750" customFormat="1" ht="31.5">
      <c r="A37" s="752"/>
      <c r="B37" s="753" t="s">
        <v>1163</v>
      </c>
      <c r="C37" s="746"/>
      <c r="D37" s="748">
        <f t="shared" si="0"/>
        <v>57.7</v>
      </c>
      <c r="E37" s="754">
        <v>57.7</v>
      </c>
      <c r="F37" s="748"/>
      <c r="G37" s="749"/>
    </row>
    <row r="38" spans="1:7" s="750" customFormat="1" ht="15.75">
      <c r="A38" s="752" t="s">
        <v>1164</v>
      </c>
      <c r="B38" s="755" t="s">
        <v>1141</v>
      </c>
      <c r="C38" s="746"/>
      <c r="D38" s="748">
        <f t="shared" si="0"/>
        <v>179.257</v>
      </c>
      <c r="E38" s="747">
        <f>SUM(E39:E40)</f>
        <v>179.257</v>
      </c>
      <c r="F38" s="748"/>
      <c r="G38" s="749"/>
    </row>
    <row r="39" spans="1:7" s="750" customFormat="1" ht="15.75">
      <c r="A39" s="752"/>
      <c r="B39" s="753" t="s">
        <v>1004</v>
      </c>
      <c r="C39" s="746"/>
      <c r="D39" s="748">
        <f t="shared" si="0"/>
        <v>176</v>
      </c>
      <c r="E39" s="754">
        <v>176</v>
      </c>
      <c r="F39" s="748"/>
      <c r="G39" s="749"/>
    </row>
    <row r="40" spans="1:7" s="750" customFormat="1" ht="15.75">
      <c r="A40" s="752"/>
      <c r="B40" s="753" t="s">
        <v>1005</v>
      </c>
      <c r="C40" s="746"/>
      <c r="D40" s="748">
        <f t="shared" si="0"/>
        <v>3.257</v>
      </c>
      <c r="E40" s="754">
        <v>3.257</v>
      </c>
      <c r="F40" s="748"/>
      <c r="G40" s="749"/>
    </row>
    <row r="41" spans="1:7" s="750" customFormat="1" ht="15.75">
      <c r="A41" s="752" t="s">
        <v>1165</v>
      </c>
      <c r="B41" s="751" t="s">
        <v>1144</v>
      </c>
      <c r="C41" s="746"/>
      <c r="D41" s="747">
        <f>SUM(D42:D46)</f>
        <v>992.11</v>
      </c>
      <c r="E41" s="747">
        <f>SUM(E42:E46)</f>
        <v>992.11</v>
      </c>
      <c r="F41" s="748"/>
      <c r="G41" s="749"/>
    </row>
    <row r="42" spans="1:7" s="750" customFormat="1" ht="31.5">
      <c r="A42" s="752"/>
      <c r="B42" s="753" t="s">
        <v>1007</v>
      </c>
      <c r="C42" s="746"/>
      <c r="D42" s="748">
        <f t="shared" si="0"/>
        <v>122.94</v>
      </c>
      <c r="E42" s="754">
        <v>122.94</v>
      </c>
      <c r="F42" s="748"/>
      <c r="G42" s="749"/>
    </row>
    <row r="43" spans="1:7" s="750" customFormat="1" ht="47.25">
      <c r="A43" s="752"/>
      <c r="B43" s="753" t="s">
        <v>1008</v>
      </c>
      <c r="C43" s="746"/>
      <c r="D43" s="748">
        <f t="shared" si="0"/>
        <v>18.37</v>
      </c>
      <c r="E43" s="754">
        <v>18.37</v>
      </c>
      <c r="F43" s="748"/>
      <c r="G43" s="749"/>
    </row>
    <row r="44" spans="1:7" s="750" customFormat="1" ht="15.75">
      <c r="A44" s="752"/>
      <c r="B44" s="753" t="s">
        <v>1166</v>
      </c>
      <c r="C44" s="746"/>
      <c r="D44" s="748">
        <f t="shared" si="0"/>
        <v>324.5</v>
      </c>
      <c r="E44" s="754">
        <v>324.5</v>
      </c>
      <c r="F44" s="748"/>
      <c r="G44" s="749"/>
    </row>
    <row r="45" spans="1:7" s="750" customFormat="1" ht="15.75">
      <c r="A45" s="752"/>
      <c r="B45" s="753" t="s">
        <v>1167</v>
      </c>
      <c r="C45" s="746"/>
      <c r="D45" s="748">
        <f>E45+F45</f>
        <v>357.3</v>
      </c>
      <c r="E45" s="754">
        <v>357.3</v>
      </c>
      <c r="F45" s="748"/>
      <c r="G45" s="749"/>
    </row>
    <row r="46" spans="1:7" s="750" customFormat="1" ht="15.75">
      <c r="A46" s="752"/>
      <c r="B46" s="753" t="s">
        <v>1160</v>
      </c>
      <c r="C46" s="746"/>
      <c r="D46" s="748">
        <f t="shared" si="0"/>
        <v>169</v>
      </c>
      <c r="E46" s="754">
        <v>169</v>
      </c>
      <c r="F46" s="748"/>
      <c r="G46" s="749"/>
    </row>
    <row r="47" spans="1:7" s="750" customFormat="1" ht="15.75">
      <c r="A47" s="752" t="s">
        <v>1168</v>
      </c>
      <c r="B47" s="755" t="s">
        <v>1147</v>
      </c>
      <c r="C47" s="746"/>
      <c r="D47" s="747">
        <f>SUM(D48:D51)</f>
        <v>116.465</v>
      </c>
      <c r="E47" s="747">
        <f>SUM(E48:E51)</f>
        <v>116.465</v>
      </c>
      <c r="F47" s="748"/>
      <c r="G47" s="749"/>
    </row>
    <row r="48" spans="1:7" s="750" customFormat="1" ht="15.75">
      <c r="A48" s="752"/>
      <c r="B48" s="753" t="s">
        <v>1009</v>
      </c>
      <c r="C48" s="746"/>
      <c r="D48" s="748">
        <f t="shared" si="0"/>
        <v>50.733</v>
      </c>
      <c r="E48" s="754">
        <v>50.733</v>
      </c>
      <c r="F48" s="748"/>
      <c r="G48" s="749"/>
    </row>
    <row r="49" spans="1:7" s="750" customFormat="1" ht="15.75">
      <c r="A49" s="752"/>
      <c r="B49" s="753" t="s">
        <v>1010</v>
      </c>
      <c r="C49" s="746"/>
      <c r="D49" s="748">
        <f t="shared" si="0"/>
        <v>30.724</v>
      </c>
      <c r="E49" s="754">
        <v>30.724</v>
      </c>
      <c r="F49" s="748"/>
      <c r="G49" s="749"/>
    </row>
    <row r="50" spans="1:7" s="750" customFormat="1" ht="15.75">
      <c r="A50" s="752"/>
      <c r="B50" s="753" t="s">
        <v>1011</v>
      </c>
      <c r="C50" s="746"/>
      <c r="D50" s="748">
        <f t="shared" si="0"/>
        <v>34.954</v>
      </c>
      <c r="E50" s="754">
        <v>34.954</v>
      </c>
      <c r="F50" s="748"/>
      <c r="G50" s="749"/>
    </row>
    <row r="51" spans="1:7" s="750" customFormat="1" ht="31.5">
      <c r="A51" s="752"/>
      <c r="B51" s="753" t="s">
        <v>1012</v>
      </c>
      <c r="C51" s="746"/>
      <c r="D51" s="748">
        <f t="shared" si="0"/>
        <v>0.054</v>
      </c>
      <c r="E51" s="754">
        <v>0.054</v>
      </c>
      <c r="F51" s="748"/>
      <c r="G51" s="749"/>
    </row>
    <row r="52" spans="1:7" s="762" customFormat="1" ht="15.75">
      <c r="A52" s="757" t="s">
        <v>816</v>
      </c>
      <c r="B52" s="758" t="s">
        <v>1169</v>
      </c>
      <c r="C52" s="759"/>
      <c r="D52" s="760">
        <f>SUM(D53:D72)</f>
        <v>199.75610500000002</v>
      </c>
      <c r="E52" s="760">
        <f>SUM(E53:E72)</f>
        <v>0</v>
      </c>
      <c r="F52" s="760">
        <f>SUM(F53:F72)</f>
        <v>199.75610500000002</v>
      </c>
      <c r="G52" s="761"/>
    </row>
    <row r="53" spans="1:7" s="767" customFormat="1" ht="47.25">
      <c r="A53" s="763" t="s">
        <v>840</v>
      </c>
      <c r="B53" s="764" t="s">
        <v>1170</v>
      </c>
      <c r="C53" s="765"/>
      <c r="D53" s="766">
        <f>E53+F53</f>
        <v>5.387026</v>
      </c>
      <c r="E53" s="766"/>
      <c r="F53" s="766">
        <v>5.387026</v>
      </c>
      <c r="G53" s="749" t="s">
        <v>1171</v>
      </c>
    </row>
    <row r="54" spans="1:7" s="767" customFormat="1" ht="31.5">
      <c r="A54" s="763" t="s">
        <v>840</v>
      </c>
      <c r="B54" s="764" t="s">
        <v>1172</v>
      </c>
      <c r="C54" s="765"/>
      <c r="D54" s="766">
        <f aca="true" t="shared" si="1" ref="D54:D72">E54+F54</f>
        <v>1.697</v>
      </c>
      <c r="E54" s="766"/>
      <c r="F54" s="766">
        <v>1.697</v>
      </c>
      <c r="G54" s="749" t="s">
        <v>1171</v>
      </c>
    </row>
    <row r="55" spans="1:7" s="767" customFormat="1" ht="47.25">
      <c r="A55" s="763" t="s">
        <v>840</v>
      </c>
      <c r="B55" s="764" t="s">
        <v>1173</v>
      </c>
      <c r="C55" s="765"/>
      <c r="D55" s="766">
        <f t="shared" si="1"/>
        <v>1.936</v>
      </c>
      <c r="E55" s="766"/>
      <c r="F55" s="766">
        <v>1.936</v>
      </c>
      <c r="G55" s="749" t="s">
        <v>1171</v>
      </c>
    </row>
    <row r="56" spans="1:7" s="767" customFormat="1" ht="63">
      <c r="A56" s="763" t="s">
        <v>840</v>
      </c>
      <c r="B56" s="764" t="s">
        <v>1174</v>
      </c>
      <c r="C56" s="765"/>
      <c r="D56" s="766">
        <f t="shared" si="1"/>
        <v>5.694195</v>
      </c>
      <c r="E56" s="766"/>
      <c r="F56" s="766">
        <v>5.694195</v>
      </c>
      <c r="G56" s="749" t="s">
        <v>1171</v>
      </c>
    </row>
    <row r="57" spans="1:7" s="767" customFormat="1" ht="31.5">
      <c r="A57" s="763" t="s">
        <v>840</v>
      </c>
      <c r="B57" s="764" t="s">
        <v>1175</v>
      </c>
      <c r="C57" s="765"/>
      <c r="D57" s="766">
        <f t="shared" si="1"/>
        <v>3.13</v>
      </c>
      <c r="E57" s="766"/>
      <c r="F57" s="766">
        <v>3.13</v>
      </c>
      <c r="G57" s="749" t="s">
        <v>1171</v>
      </c>
    </row>
    <row r="58" spans="1:7" s="767" customFormat="1" ht="15.75">
      <c r="A58" s="763" t="s">
        <v>840</v>
      </c>
      <c r="B58" s="764" t="s">
        <v>1176</v>
      </c>
      <c r="C58" s="765"/>
      <c r="D58" s="766">
        <f t="shared" si="1"/>
        <v>48</v>
      </c>
      <c r="E58" s="766"/>
      <c r="F58" s="766">
        <v>48</v>
      </c>
      <c r="G58" s="749" t="s">
        <v>1171</v>
      </c>
    </row>
    <row r="59" spans="1:7" s="767" customFormat="1" ht="15.75">
      <c r="A59" s="763" t="s">
        <v>840</v>
      </c>
      <c r="B59" s="764" t="s">
        <v>1177</v>
      </c>
      <c r="C59" s="765"/>
      <c r="D59" s="766">
        <f t="shared" si="1"/>
        <v>0.835</v>
      </c>
      <c r="E59" s="766"/>
      <c r="F59" s="766">
        <v>0.835</v>
      </c>
      <c r="G59" s="749" t="s">
        <v>1171</v>
      </c>
    </row>
    <row r="60" spans="1:7" s="767" customFormat="1" ht="15.75">
      <c r="A60" s="763" t="s">
        <v>840</v>
      </c>
      <c r="B60" s="764" t="s">
        <v>1178</v>
      </c>
      <c r="C60" s="765"/>
      <c r="D60" s="766">
        <f t="shared" si="1"/>
        <v>13.6212</v>
      </c>
      <c r="E60" s="766"/>
      <c r="F60" s="766">
        <v>13.6212</v>
      </c>
      <c r="G60" s="749" t="s">
        <v>1171</v>
      </c>
    </row>
    <row r="61" spans="1:7" s="767" customFormat="1" ht="15.75">
      <c r="A61" s="763" t="s">
        <v>840</v>
      </c>
      <c r="B61" s="764" t="s">
        <v>1179</v>
      </c>
      <c r="C61" s="765"/>
      <c r="D61" s="766">
        <f t="shared" si="1"/>
        <v>3</v>
      </c>
      <c r="E61" s="766"/>
      <c r="F61" s="766">
        <v>3</v>
      </c>
      <c r="G61" s="749" t="s">
        <v>1171</v>
      </c>
    </row>
    <row r="62" spans="1:7" s="767" customFormat="1" ht="15.75">
      <c r="A62" s="763" t="s">
        <v>840</v>
      </c>
      <c r="B62" s="764" t="s">
        <v>1180</v>
      </c>
      <c r="C62" s="765"/>
      <c r="D62" s="766">
        <f t="shared" si="1"/>
        <v>48.493684</v>
      </c>
      <c r="E62" s="766"/>
      <c r="F62" s="766">
        <v>48.493684</v>
      </c>
      <c r="G62" s="749" t="s">
        <v>1171</v>
      </c>
    </row>
    <row r="63" spans="1:7" s="767" customFormat="1" ht="15.75">
      <c r="A63" s="763" t="s">
        <v>840</v>
      </c>
      <c r="B63" s="764" t="s">
        <v>1181</v>
      </c>
      <c r="C63" s="765"/>
      <c r="D63" s="766">
        <f t="shared" si="1"/>
        <v>7.315</v>
      </c>
      <c r="E63" s="766"/>
      <c r="F63" s="766">
        <v>7.315</v>
      </c>
      <c r="G63" s="749" t="s">
        <v>1171</v>
      </c>
    </row>
    <row r="64" spans="1:7" s="767" customFormat="1" ht="15.75">
      <c r="A64" s="763" t="s">
        <v>840</v>
      </c>
      <c r="B64" s="764" t="s">
        <v>1182</v>
      </c>
      <c r="C64" s="765"/>
      <c r="D64" s="766">
        <f t="shared" si="1"/>
        <v>18</v>
      </c>
      <c r="E64" s="766"/>
      <c r="F64" s="766">
        <v>18</v>
      </c>
      <c r="G64" s="749" t="s">
        <v>1171</v>
      </c>
    </row>
    <row r="65" spans="1:7" s="767" customFormat="1" ht="31.5">
      <c r="A65" s="763" t="s">
        <v>840</v>
      </c>
      <c r="B65" s="764" t="s">
        <v>1183</v>
      </c>
      <c r="C65" s="765"/>
      <c r="D65" s="766">
        <f t="shared" si="1"/>
        <v>35</v>
      </c>
      <c r="E65" s="766"/>
      <c r="F65" s="766">
        <v>35</v>
      </c>
      <c r="G65" s="749" t="s">
        <v>1171</v>
      </c>
    </row>
    <row r="66" spans="1:7" s="767" customFormat="1" ht="15.75">
      <c r="A66" s="763" t="s">
        <v>840</v>
      </c>
      <c r="B66" s="764" t="s">
        <v>1182</v>
      </c>
      <c r="C66" s="765"/>
      <c r="D66" s="766">
        <f t="shared" si="1"/>
        <v>0.178</v>
      </c>
      <c r="E66" s="766"/>
      <c r="F66" s="766">
        <v>0.178</v>
      </c>
      <c r="G66" s="749" t="s">
        <v>1171</v>
      </c>
    </row>
    <row r="67" spans="1:7" s="767" customFormat="1" ht="15.75">
      <c r="A67" s="763" t="s">
        <v>840</v>
      </c>
      <c r="B67" s="764" t="s">
        <v>1184</v>
      </c>
      <c r="C67" s="765"/>
      <c r="D67" s="766">
        <f t="shared" si="1"/>
        <v>1.246</v>
      </c>
      <c r="E67" s="766"/>
      <c r="F67" s="766">
        <v>1.246</v>
      </c>
      <c r="G67" s="749" t="s">
        <v>1171</v>
      </c>
    </row>
    <row r="68" spans="1:7" s="767" customFormat="1" ht="31.5">
      <c r="A68" s="763" t="s">
        <v>840</v>
      </c>
      <c r="B68" s="764" t="s">
        <v>1185</v>
      </c>
      <c r="C68" s="765"/>
      <c r="D68" s="766">
        <f t="shared" si="1"/>
        <v>2.397</v>
      </c>
      <c r="E68" s="766"/>
      <c r="F68" s="766">
        <v>2.397</v>
      </c>
      <c r="G68" s="749" t="s">
        <v>1171</v>
      </c>
    </row>
    <row r="69" spans="1:7" s="767" customFormat="1" ht="31.5">
      <c r="A69" s="763" t="s">
        <v>840</v>
      </c>
      <c r="B69" s="764" t="s">
        <v>1186</v>
      </c>
      <c r="C69" s="765"/>
      <c r="D69" s="766">
        <f t="shared" si="1"/>
        <v>0.77</v>
      </c>
      <c r="E69" s="766"/>
      <c r="F69" s="766">
        <v>0.77</v>
      </c>
      <c r="G69" s="749" t="s">
        <v>1171</v>
      </c>
    </row>
    <row r="70" spans="1:7" s="767" customFormat="1" ht="31.5">
      <c r="A70" s="763" t="s">
        <v>840</v>
      </c>
      <c r="B70" s="764" t="s">
        <v>1186</v>
      </c>
      <c r="C70" s="765"/>
      <c r="D70" s="766">
        <f t="shared" si="1"/>
        <v>1.971</v>
      </c>
      <c r="E70" s="766"/>
      <c r="F70" s="766">
        <v>1.971</v>
      </c>
      <c r="G70" s="749" t="s">
        <v>1171</v>
      </c>
    </row>
    <row r="71" spans="1:7" s="767" customFormat="1" ht="31.5">
      <c r="A71" s="763" t="s">
        <v>840</v>
      </c>
      <c r="B71" s="764" t="s">
        <v>1187</v>
      </c>
      <c r="C71" s="765"/>
      <c r="D71" s="766">
        <f t="shared" si="1"/>
        <v>0.448</v>
      </c>
      <c r="E71" s="766"/>
      <c r="F71" s="766">
        <v>0.448</v>
      </c>
      <c r="G71" s="749" t="s">
        <v>1171</v>
      </c>
    </row>
    <row r="72" spans="1:7" s="767" customFormat="1" ht="31.5">
      <c r="A72" s="763" t="s">
        <v>840</v>
      </c>
      <c r="B72" s="764" t="s">
        <v>1188</v>
      </c>
      <c r="C72" s="765"/>
      <c r="D72" s="766">
        <f t="shared" si="1"/>
        <v>0.637</v>
      </c>
      <c r="E72" s="766"/>
      <c r="F72" s="766">
        <v>0.637</v>
      </c>
      <c r="G72" s="749" t="s">
        <v>1171</v>
      </c>
    </row>
    <row r="73" spans="1:7" s="737" customFormat="1" ht="31.5">
      <c r="A73" s="732" t="s">
        <v>363</v>
      </c>
      <c r="B73" s="733" t="s">
        <v>645</v>
      </c>
      <c r="C73" s="768" t="s">
        <v>859</v>
      </c>
      <c r="D73" s="735"/>
      <c r="E73" s="735"/>
      <c r="F73" s="735"/>
      <c r="G73" s="736"/>
    </row>
    <row r="74" spans="1:7" s="743" customFormat="1" ht="15.75" hidden="1">
      <c r="A74" s="738" t="s">
        <v>1189</v>
      </c>
      <c r="B74" s="739" t="s">
        <v>1190</v>
      </c>
      <c r="C74" s="740"/>
      <c r="D74" s="741"/>
      <c r="E74" s="741"/>
      <c r="F74" s="741"/>
      <c r="G74" s="769"/>
    </row>
    <row r="75" spans="1:7" s="750" customFormat="1" ht="15.75" hidden="1">
      <c r="A75" s="770"/>
      <c r="B75" s="771" t="s">
        <v>1191</v>
      </c>
      <c r="C75" s="746"/>
      <c r="D75" s="748"/>
      <c r="E75" s="748"/>
      <c r="F75" s="748"/>
      <c r="G75" s="749"/>
    </row>
    <row r="76" spans="1:7" s="750" customFormat="1" ht="15.75" hidden="1">
      <c r="A76" s="770" t="s">
        <v>840</v>
      </c>
      <c r="B76" s="772" t="s">
        <v>1192</v>
      </c>
      <c r="C76" s="746"/>
      <c r="D76" s="748"/>
      <c r="E76" s="748"/>
      <c r="F76" s="748"/>
      <c r="G76" s="749"/>
    </row>
    <row r="77" spans="1:7" s="750" customFormat="1" ht="15.75" hidden="1">
      <c r="A77" s="770" t="s">
        <v>840</v>
      </c>
      <c r="B77" s="772" t="s">
        <v>1192</v>
      </c>
      <c r="C77" s="746"/>
      <c r="D77" s="748"/>
      <c r="E77" s="748"/>
      <c r="F77" s="748"/>
      <c r="G77" s="749"/>
    </row>
    <row r="78" spans="1:7" s="750" customFormat="1" ht="15.75" hidden="1">
      <c r="A78" s="770" t="s">
        <v>840</v>
      </c>
      <c r="B78" s="772" t="s">
        <v>1192</v>
      </c>
      <c r="C78" s="746"/>
      <c r="D78" s="748"/>
      <c r="E78" s="748"/>
      <c r="F78" s="748"/>
      <c r="G78" s="749"/>
    </row>
    <row r="79" spans="1:7" s="737" customFormat="1" ht="31.5">
      <c r="A79" s="732" t="s">
        <v>381</v>
      </c>
      <c r="B79" s="733" t="s">
        <v>646</v>
      </c>
      <c r="C79" s="734" t="s">
        <v>860</v>
      </c>
      <c r="D79" s="773">
        <f>D80+D85</f>
        <v>938.5221109999998</v>
      </c>
      <c r="E79" s="773">
        <f>E80+E85</f>
        <v>140.67978699999998</v>
      </c>
      <c r="F79" s="773">
        <f>F80+F85</f>
        <v>797.8423239999998</v>
      </c>
      <c r="G79" s="736"/>
    </row>
    <row r="80" spans="1:7" s="743" customFormat="1" ht="15.75">
      <c r="A80" s="738" t="s">
        <v>814</v>
      </c>
      <c r="B80" s="739" t="s">
        <v>1193</v>
      </c>
      <c r="C80" s="740"/>
      <c r="D80" s="741"/>
      <c r="E80" s="741"/>
      <c r="F80" s="741"/>
      <c r="G80" s="769"/>
    </row>
    <row r="81" spans="1:7" s="750" customFormat="1" ht="15.75" hidden="1">
      <c r="A81" s="770"/>
      <c r="B81" s="771" t="s">
        <v>1191</v>
      </c>
      <c r="C81" s="746"/>
      <c r="D81" s="748"/>
      <c r="E81" s="748"/>
      <c r="F81" s="748"/>
      <c r="G81" s="749"/>
    </row>
    <row r="82" spans="1:7" s="750" customFormat="1" ht="15.75" hidden="1">
      <c r="A82" s="770" t="s">
        <v>840</v>
      </c>
      <c r="B82" s="772" t="s">
        <v>1192</v>
      </c>
      <c r="C82" s="746"/>
      <c r="D82" s="748"/>
      <c r="E82" s="748"/>
      <c r="F82" s="748"/>
      <c r="G82" s="749"/>
    </row>
    <row r="83" spans="1:7" s="750" customFormat="1" ht="15.75" hidden="1">
      <c r="A83" s="770" t="s">
        <v>840</v>
      </c>
      <c r="B83" s="772" t="s">
        <v>1192</v>
      </c>
      <c r="C83" s="746"/>
      <c r="D83" s="748"/>
      <c r="E83" s="748"/>
      <c r="F83" s="748"/>
      <c r="G83" s="749"/>
    </row>
    <row r="84" spans="1:7" s="750" customFormat="1" ht="15.75" hidden="1">
      <c r="A84" s="770" t="s">
        <v>840</v>
      </c>
      <c r="B84" s="772" t="s">
        <v>1192</v>
      </c>
      <c r="C84" s="746"/>
      <c r="D84" s="748"/>
      <c r="E84" s="748"/>
      <c r="F84" s="748"/>
      <c r="G84" s="749"/>
    </row>
    <row r="85" spans="1:7" s="743" customFormat="1" ht="15.75">
      <c r="A85" s="738" t="s">
        <v>822</v>
      </c>
      <c r="B85" s="739" t="s">
        <v>1190</v>
      </c>
      <c r="C85" s="740"/>
      <c r="D85" s="741">
        <f>D86+D102+D104+D107+D109+D111+D113+D128</f>
        <v>938.5221109999998</v>
      </c>
      <c r="E85" s="741">
        <f>E86+E102+E104+E107+E109+E111+E113+E128</f>
        <v>140.67978699999998</v>
      </c>
      <c r="F85" s="741">
        <f>F86+F102+F104+F107+F109+F111+F113+F128</f>
        <v>797.8423239999998</v>
      </c>
      <c r="G85" s="769"/>
    </row>
    <row r="86" spans="1:7" s="750" customFormat="1" ht="15.75">
      <c r="A86" s="774" t="s">
        <v>1194</v>
      </c>
      <c r="B86" s="775" t="s">
        <v>1195</v>
      </c>
      <c r="C86" s="746"/>
      <c r="D86" s="776">
        <f>D87+D99</f>
        <v>31.077271</v>
      </c>
      <c r="E86" s="776">
        <f>E87+E99</f>
        <v>31.077271</v>
      </c>
      <c r="F86" s="748"/>
      <c r="G86" s="749"/>
    </row>
    <row r="87" spans="1:7" s="750" customFormat="1" ht="15.75">
      <c r="A87" s="774" t="s">
        <v>1196</v>
      </c>
      <c r="B87" s="775" t="s">
        <v>1197</v>
      </c>
      <c r="C87" s="746"/>
      <c r="D87" s="776">
        <f>D88+D89+D97</f>
        <v>30.916699</v>
      </c>
      <c r="E87" s="776">
        <f>E88+E89+E97</f>
        <v>30.916699</v>
      </c>
      <c r="F87" s="748"/>
      <c r="G87" s="749"/>
    </row>
    <row r="88" spans="1:7" s="750" customFormat="1" ht="15.75">
      <c r="A88" s="774" t="s">
        <v>1198</v>
      </c>
      <c r="B88" s="777" t="s">
        <v>1199</v>
      </c>
      <c r="C88" s="746"/>
      <c r="D88" s="748"/>
      <c r="E88" s="748"/>
      <c r="F88" s="748"/>
      <c r="G88" s="749"/>
    </row>
    <row r="89" spans="1:7" s="750" customFormat="1" ht="15.75">
      <c r="A89" s="774" t="s">
        <v>1198</v>
      </c>
      <c r="B89" s="777" t="s">
        <v>1200</v>
      </c>
      <c r="C89" s="746"/>
      <c r="D89" s="776">
        <f>SUM(D90:D96)</f>
        <v>20.480953</v>
      </c>
      <c r="E89" s="776">
        <f>SUM(E90:E96)</f>
        <v>20.480953</v>
      </c>
      <c r="F89" s="748"/>
      <c r="G89" s="749"/>
    </row>
    <row r="90" spans="1:7" s="743" customFormat="1" ht="15.75">
      <c r="A90" s="778"/>
      <c r="B90" s="779" t="s">
        <v>1201</v>
      </c>
      <c r="C90" s="780"/>
      <c r="D90" s="780">
        <f>E90+F90</f>
        <v>6.188475</v>
      </c>
      <c r="E90" s="781">
        <f>6188475/1000000</f>
        <v>6.188475</v>
      </c>
      <c r="F90" s="781"/>
      <c r="G90" s="782"/>
    </row>
    <row r="91" spans="1:7" s="743" customFormat="1" ht="15.75">
      <c r="A91" s="778"/>
      <c r="B91" s="779" t="s">
        <v>1202</v>
      </c>
      <c r="C91" s="780"/>
      <c r="D91" s="780">
        <f aca="true" t="shared" si="2" ref="D91:D103">E91+F91</f>
        <v>1.347762</v>
      </c>
      <c r="E91" s="781">
        <f>1347762/1000000</f>
        <v>1.347762</v>
      </c>
      <c r="F91" s="781"/>
      <c r="G91" s="782"/>
    </row>
    <row r="92" spans="1:7" s="743" customFormat="1" ht="15.75">
      <c r="A92" s="778"/>
      <c r="B92" s="779" t="s">
        <v>1203</v>
      </c>
      <c r="C92" s="780"/>
      <c r="D92" s="780">
        <f t="shared" si="2"/>
        <v>4.004265</v>
      </c>
      <c r="E92" s="781">
        <f>4004265/1000000</f>
        <v>4.004265</v>
      </c>
      <c r="F92" s="781"/>
      <c r="G92" s="782"/>
    </row>
    <row r="93" spans="1:7" s="743" customFormat="1" ht="15.75">
      <c r="A93" s="778"/>
      <c r="B93" s="779" t="s">
        <v>1204</v>
      </c>
      <c r="C93" s="780"/>
      <c r="D93" s="780">
        <f t="shared" si="2"/>
        <v>0.620151</v>
      </c>
      <c r="E93" s="781">
        <f>620151/1000000</f>
        <v>0.620151</v>
      </c>
      <c r="F93" s="781"/>
      <c r="G93" s="782"/>
    </row>
    <row r="94" spans="1:7" s="743" customFormat="1" ht="15.75">
      <c r="A94" s="778"/>
      <c r="B94" s="779" t="s">
        <v>1205</v>
      </c>
      <c r="C94" s="780"/>
      <c r="D94" s="780">
        <f t="shared" si="2"/>
        <v>0.247802</v>
      </c>
      <c r="E94" s="781">
        <f>247802/1000000</f>
        <v>0.247802</v>
      </c>
      <c r="F94" s="781"/>
      <c r="G94" s="782"/>
    </row>
    <row r="95" spans="1:7" s="743" customFormat="1" ht="15.75">
      <c r="A95" s="778"/>
      <c r="B95" s="779" t="s">
        <v>1206</v>
      </c>
      <c r="C95" s="780"/>
      <c r="D95" s="780">
        <f t="shared" si="2"/>
        <v>4.832389</v>
      </c>
      <c r="E95" s="781">
        <f>4832389/1000000</f>
        <v>4.832389</v>
      </c>
      <c r="F95" s="781"/>
      <c r="G95" s="782"/>
    </row>
    <row r="96" spans="1:7" s="743" customFormat="1" ht="15.75">
      <c r="A96" s="778"/>
      <c r="B96" s="779" t="s">
        <v>1207</v>
      </c>
      <c r="C96" s="780"/>
      <c r="D96" s="780">
        <f t="shared" si="2"/>
        <v>3.240109</v>
      </c>
      <c r="E96" s="781">
        <f>3240109/1000000</f>
        <v>3.240109</v>
      </c>
      <c r="F96" s="781"/>
      <c r="G96" s="782"/>
    </row>
    <row r="97" spans="1:7" s="743" customFormat="1" ht="15.75">
      <c r="A97" s="774" t="s">
        <v>1208</v>
      </c>
      <c r="B97" s="777" t="s">
        <v>1209</v>
      </c>
      <c r="C97" s="740"/>
      <c r="D97" s="741">
        <f>SUM(D98)</f>
        <v>10.435746</v>
      </c>
      <c r="E97" s="741">
        <f>SUM(E98)</f>
        <v>10.435746</v>
      </c>
      <c r="F97" s="741"/>
      <c r="G97" s="769"/>
    </row>
    <row r="98" spans="1:7" s="743" customFormat="1" ht="15.75">
      <c r="A98" s="738"/>
      <c r="B98" s="779" t="s">
        <v>1210</v>
      </c>
      <c r="C98" s="740"/>
      <c r="D98" s="780">
        <f t="shared" si="2"/>
        <v>10.435746</v>
      </c>
      <c r="E98" s="781">
        <f>10435746/1000000</f>
        <v>10.435746</v>
      </c>
      <c r="F98" s="741"/>
      <c r="G98" s="769"/>
    </row>
    <row r="99" spans="1:7" s="743" customFormat="1" ht="15.75">
      <c r="A99" s="774" t="s">
        <v>1211</v>
      </c>
      <c r="B99" s="739" t="s">
        <v>1212</v>
      </c>
      <c r="C99" s="740"/>
      <c r="D99" s="741">
        <f>D100</f>
        <v>0.160572</v>
      </c>
      <c r="E99" s="741">
        <f>E100</f>
        <v>0.160572</v>
      </c>
      <c r="F99" s="741"/>
      <c r="G99" s="769"/>
    </row>
    <row r="100" spans="1:7" s="743" customFormat="1" ht="15.75">
      <c r="A100" s="774" t="s">
        <v>1213</v>
      </c>
      <c r="B100" s="777" t="s">
        <v>1214</v>
      </c>
      <c r="C100" s="740"/>
      <c r="D100" s="741">
        <f>SUM(D101)</f>
        <v>0.160572</v>
      </c>
      <c r="E100" s="741">
        <f>SUM(E101)</f>
        <v>0.160572</v>
      </c>
      <c r="F100" s="741"/>
      <c r="G100" s="769"/>
    </row>
    <row r="101" spans="1:7" s="743" customFormat="1" ht="15.75">
      <c r="A101" s="778"/>
      <c r="B101" s="779" t="s">
        <v>1210</v>
      </c>
      <c r="C101" s="740"/>
      <c r="D101" s="780">
        <f t="shared" si="2"/>
        <v>0.160572</v>
      </c>
      <c r="E101" s="781">
        <f>160572/1000000</f>
        <v>0.160572</v>
      </c>
      <c r="F101" s="741"/>
      <c r="G101" s="769"/>
    </row>
    <row r="102" spans="1:7" s="743" customFormat="1" ht="15.75">
      <c r="A102" s="774" t="s">
        <v>1215</v>
      </c>
      <c r="B102" s="775" t="s">
        <v>1216</v>
      </c>
      <c r="C102" s="740"/>
      <c r="D102" s="741">
        <f>D103</f>
        <v>75.378398</v>
      </c>
      <c r="E102" s="741">
        <f>E103</f>
        <v>75.378398</v>
      </c>
      <c r="F102" s="741"/>
      <c r="G102" s="769"/>
    </row>
    <row r="103" spans="1:7" s="743" customFormat="1" ht="15.75">
      <c r="A103" s="778"/>
      <c r="B103" s="779" t="s">
        <v>1210</v>
      </c>
      <c r="C103" s="740"/>
      <c r="D103" s="780">
        <f t="shared" si="2"/>
        <v>75.378398</v>
      </c>
      <c r="E103" s="783">
        <f>75378398/1000000</f>
        <v>75.378398</v>
      </c>
      <c r="F103" s="741"/>
      <c r="G103" s="769"/>
    </row>
    <row r="104" spans="1:7" s="743" customFormat="1" ht="15.75">
      <c r="A104" s="774" t="s">
        <v>1217</v>
      </c>
      <c r="B104" s="775" t="s">
        <v>1218</v>
      </c>
      <c r="C104" s="740"/>
      <c r="D104" s="741">
        <f>D105</f>
        <v>0.02646</v>
      </c>
      <c r="E104" s="741">
        <f>E105</f>
        <v>0.02646</v>
      </c>
      <c r="F104" s="741"/>
      <c r="G104" s="769"/>
    </row>
    <row r="105" spans="1:7" s="743" customFormat="1" ht="15.75">
      <c r="A105" s="774" t="s">
        <v>1219</v>
      </c>
      <c r="B105" s="775" t="s">
        <v>1220</v>
      </c>
      <c r="C105" s="740"/>
      <c r="D105" s="741">
        <f>D106</f>
        <v>0.02646</v>
      </c>
      <c r="E105" s="741">
        <f>E106</f>
        <v>0.02646</v>
      </c>
      <c r="F105" s="741"/>
      <c r="G105" s="769"/>
    </row>
    <row r="106" spans="1:7" s="743" customFormat="1" ht="15.75">
      <c r="A106" s="778"/>
      <c r="B106" s="779" t="s">
        <v>1210</v>
      </c>
      <c r="C106" s="740"/>
      <c r="D106" s="780">
        <f aca="true" t="shared" si="3" ref="D106:D127">E106+F106</f>
        <v>0.02646</v>
      </c>
      <c r="E106" s="783">
        <f>26460/1000000</f>
        <v>0.02646</v>
      </c>
      <c r="F106" s="741"/>
      <c r="G106" s="769"/>
    </row>
    <row r="107" spans="1:7" s="743" customFormat="1" ht="15.75">
      <c r="A107" s="774" t="s">
        <v>1221</v>
      </c>
      <c r="B107" s="775" t="s">
        <v>787</v>
      </c>
      <c r="C107" s="740"/>
      <c r="D107" s="741">
        <f>D108</f>
        <v>2.57874</v>
      </c>
      <c r="E107" s="741">
        <f>E108</f>
        <v>2.57874</v>
      </c>
      <c r="F107" s="741"/>
      <c r="G107" s="769"/>
    </row>
    <row r="108" spans="1:7" s="743" customFormat="1" ht="15.75">
      <c r="A108" s="778"/>
      <c r="B108" s="779" t="s">
        <v>1210</v>
      </c>
      <c r="C108" s="740"/>
      <c r="D108" s="780">
        <f t="shared" si="3"/>
        <v>2.57874</v>
      </c>
      <c r="E108" s="783">
        <f>2578740/1000000</f>
        <v>2.57874</v>
      </c>
      <c r="F108" s="741"/>
      <c r="G108" s="769"/>
    </row>
    <row r="109" spans="1:7" s="743" customFormat="1" ht="15.75">
      <c r="A109" s="774" t="s">
        <v>1222</v>
      </c>
      <c r="B109" s="775" t="s">
        <v>1223</v>
      </c>
      <c r="C109" s="740"/>
      <c r="D109" s="741">
        <f>SUM(D110)</f>
        <v>0.003587</v>
      </c>
      <c r="E109" s="741">
        <f>SUM(E110)</f>
        <v>0.003587</v>
      </c>
      <c r="F109" s="741"/>
      <c r="G109" s="769"/>
    </row>
    <row r="110" spans="1:7" s="743" customFormat="1" ht="15.75">
      <c r="A110" s="778"/>
      <c r="B110" s="779" t="s">
        <v>1210</v>
      </c>
      <c r="C110" s="740"/>
      <c r="D110" s="780">
        <f t="shared" si="3"/>
        <v>0.003587</v>
      </c>
      <c r="E110" s="783">
        <f>3587/1000000</f>
        <v>0.003587</v>
      </c>
      <c r="F110" s="741"/>
      <c r="G110" s="769"/>
    </row>
    <row r="111" spans="1:7" s="743" customFormat="1" ht="15.75">
      <c r="A111" s="774" t="s">
        <v>1224</v>
      </c>
      <c r="B111" s="775" t="s">
        <v>1225</v>
      </c>
      <c r="C111" s="740"/>
      <c r="D111" s="741">
        <f>SUM(D112)</f>
        <v>0.01208</v>
      </c>
      <c r="E111" s="741">
        <f>SUM(E112)</f>
        <v>0.01208</v>
      </c>
      <c r="F111" s="741"/>
      <c r="G111" s="769"/>
    </row>
    <row r="112" spans="1:7" s="743" customFormat="1" ht="15.75">
      <c r="A112" s="774"/>
      <c r="B112" s="779" t="s">
        <v>1210</v>
      </c>
      <c r="C112" s="740"/>
      <c r="D112" s="780">
        <f t="shared" si="3"/>
        <v>0.01208</v>
      </c>
      <c r="E112" s="783">
        <f>12080/1000000</f>
        <v>0.01208</v>
      </c>
      <c r="F112" s="741"/>
      <c r="G112" s="769"/>
    </row>
    <row r="113" spans="1:7" s="743" customFormat="1" ht="15.75">
      <c r="A113" s="774" t="s">
        <v>1226</v>
      </c>
      <c r="B113" s="775" t="s">
        <v>589</v>
      </c>
      <c r="C113" s="740"/>
      <c r="D113" s="741">
        <f>SUM(D114:D127)</f>
        <v>31.603251</v>
      </c>
      <c r="E113" s="741">
        <f>SUM(E114:E127)</f>
        <v>31.603251</v>
      </c>
      <c r="F113" s="741"/>
      <c r="G113" s="769"/>
    </row>
    <row r="114" spans="1:7" s="743" customFormat="1" ht="15.75">
      <c r="A114" s="778">
        <v>2</v>
      </c>
      <c r="B114" s="779" t="s">
        <v>1210</v>
      </c>
      <c r="C114" s="740"/>
      <c r="D114" s="780">
        <f t="shared" si="3"/>
        <v>0.08815</v>
      </c>
      <c r="E114" s="783">
        <f>88150/1000000</f>
        <v>0.08815</v>
      </c>
      <c r="F114" s="741"/>
      <c r="G114" s="769"/>
    </row>
    <row r="115" spans="1:7" s="743" customFormat="1" ht="15.75">
      <c r="A115" s="778">
        <v>3</v>
      </c>
      <c r="B115" s="779" t="s">
        <v>1210</v>
      </c>
      <c r="C115" s="740"/>
      <c r="D115" s="780">
        <f t="shared" si="3"/>
        <v>0.03203</v>
      </c>
      <c r="E115" s="783">
        <f>32030/1000000</f>
        <v>0.03203</v>
      </c>
      <c r="F115" s="741"/>
      <c r="G115" s="769"/>
    </row>
    <row r="116" spans="1:7" s="743" customFormat="1" ht="15.75">
      <c r="A116" s="778">
        <v>4</v>
      </c>
      <c r="B116" s="779" t="s">
        <v>1210</v>
      </c>
      <c r="C116" s="740"/>
      <c r="D116" s="780">
        <f t="shared" si="3"/>
        <v>0.255495</v>
      </c>
      <c r="E116" s="783">
        <f>255495/1000000</f>
        <v>0.255495</v>
      </c>
      <c r="F116" s="741"/>
      <c r="G116" s="769"/>
    </row>
    <row r="117" spans="1:7" s="743" customFormat="1" ht="15.75">
      <c r="A117" s="778">
        <v>5</v>
      </c>
      <c r="B117" s="779" t="s">
        <v>1210</v>
      </c>
      <c r="C117" s="740"/>
      <c r="D117" s="780">
        <f t="shared" si="3"/>
        <v>1.028108</v>
      </c>
      <c r="E117" s="783">
        <f>1028108/1000000</f>
        <v>1.028108</v>
      </c>
      <c r="F117" s="741"/>
      <c r="G117" s="769"/>
    </row>
    <row r="118" spans="1:7" s="743" customFormat="1" ht="15.75">
      <c r="A118" s="778">
        <v>7</v>
      </c>
      <c r="B118" s="779" t="s">
        <v>1210</v>
      </c>
      <c r="C118" s="740"/>
      <c r="D118" s="780">
        <f t="shared" si="3"/>
        <v>25.214874</v>
      </c>
      <c r="E118" s="783">
        <f>25214874/1000000</f>
        <v>25.214874</v>
      </c>
      <c r="F118" s="741"/>
      <c r="G118" s="769"/>
    </row>
    <row r="119" spans="1:7" s="743" customFormat="1" ht="15.75">
      <c r="A119" s="778">
        <v>8</v>
      </c>
      <c r="B119" s="779" t="s">
        <v>1210</v>
      </c>
      <c r="C119" s="740"/>
      <c r="D119" s="780">
        <f t="shared" si="3"/>
        <v>1.011182</v>
      </c>
      <c r="E119" s="783">
        <f>1011182/1000000</f>
        <v>1.011182</v>
      </c>
      <c r="F119" s="741"/>
      <c r="G119" s="769"/>
    </row>
    <row r="120" spans="1:7" s="743" customFormat="1" ht="15.75">
      <c r="A120" s="778">
        <v>9</v>
      </c>
      <c r="B120" s="779" t="s">
        <v>1210</v>
      </c>
      <c r="C120" s="740"/>
      <c r="D120" s="780">
        <f t="shared" si="3"/>
        <v>1.017042</v>
      </c>
      <c r="E120" s="783">
        <f>1017042/1000000</f>
        <v>1.017042</v>
      </c>
      <c r="F120" s="741"/>
      <c r="G120" s="769"/>
    </row>
    <row r="121" spans="1:7" s="743" customFormat="1" ht="15.75">
      <c r="A121" s="778">
        <v>10</v>
      </c>
      <c r="B121" s="779" t="s">
        <v>1210</v>
      </c>
      <c r="C121" s="740"/>
      <c r="D121" s="780">
        <f t="shared" si="3"/>
        <v>2.257283</v>
      </c>
      <c r="E121" s="783">
        <f>2257283/1000000</f>
        <v>2.257283</v>
      </c>
      <c r="F121" s="741"/>
      <c r="G121" s="769"/>
    </row>
    <row r="122" spans="1:7" s="743" customFormat="1" ht="15.75">
      <c r="A122" s="778">
        <v>12</v>
      </c>
      <c r="B122" s="779" t="s">
        <v>1210</v>
      </c>
      <c r="C122" s="740"/>
      <c r="D122" s="780">
        <f t="shared" si="3"/>
        <v>0.0003</v>
      </c>
      <c r="E122" s="783">
        <f>300/1000000</f>
        <v>0.0003</v>
      </c>
      <c r="F122" s="741"/>
      <c r="G122" s="769"/>
    </row>
    <row r="123" spans="1:7" s="743" customFormat="1" ht="15.75">
      <c r="A123" s="778">
        <v>14</v>
      </c>
      <c r="B123" s="779" t="s">
        <v>1210</v>
      </c>
      <c r="C123" s="740"/>
      <c r="D123" s="780">
        <f t="shared" si="3"/>
        <v>0.650647</v>
      </c>
      <c r="E123" s="783">
        <f>650647/1000000</f>
        <v>0.650647</v>
      </c>
      <c r="F123" s="741"/>
      <c r="G123" s="769"/>
    </row>
    <row r="124" spans="1:7" s="743" customFormat="1" ht="15.75">
      <c r="A124" s="778">
        <v>15</v>
      </c>
      <c r="B124" s="779" t="s">
        <v>1210</v>
      </c>
      <c r="C124" s="740"/>
      <c r="D124" s="780">
        <f t="shared" si="3"/>
        <v>0.00432</v>
      </c>
      <c r="E124" s="783">
        <f>4320/1000000</f>
        <v>0.00432</v>
      </c>
      <c r="F124" s="741"/>
      <c r="G124" s="769"/>
    </row>
    <row r="125" spans="1:7" s="743" customFormat="1" ht="15.75">
      <c r="A125" s="778">
        <v>16</v>
      </c>
      <c r="B125" s="779" t="s">
        <v>1210</v>
      </c>
      <c r="C125" s="740"/>
      <c r="D125" s="780">
        <f t="shared" si="3"/>
        <v>0.00382</v>
      </c>
      <c r="E125" s="783">
        <f>3820/1000000</f>
        <v>0.00382</v>
      </c>
      <c r="F125" s="741"/>
      <c r="G125" s="769"/>
    </row>
    <row r="126" spans="1:7" s="743" customFormat="1" ht="15.75">
      <c r="A126" s="778">
        <v>17</v>
      </c>
      <c r="B126" s="779" t="s">
        <v>1210</v>
      </c>
      <c r="C126" s="740"/>
      <c r="D126" s="780">
        <f t="shared" si="3"/>
        <v>0.018</v>
      </c>
      <c r="E126" s="783">
        <f>18000/1000000</f>
        <v>0.018</v>
      </c>
      <c r="F126" s="741"/>
      <c r="G126" s="769"/>
    </row>
    <row r="127" spans="1:7" s="743" customFormat="1" ht="15.75">
      <c r="A127" s="778">
        <v>18</v>
      </c>
      <c r="B127" s="779" t="s">
        <v>1210</v>
      </c>
      <c r="C127" s="740"/>
      <c r="D127" s="780">
        <f t="shared" si="3"/>
        <v>0.022</v>
      </c>
      <c r="E127" s="783">
        <f>22000/1000000</f>
        <v>0.022</v>
      </c>
      <c r="F127" s="741"/>
      <c r="G127" s="769"/>
    </row>
    <row r="128" spans="1:7" s="767" customFormat="1" ht="15.75">
      <c r="A128" s="763">
        <v>19</v>
      </c>
      <c r="B128" s="764" t="s">
        <v>1227</v>
      </c>
      <c r="C128" s="784"/>
      <c r="D128" s="766">
        <f>E128+F128</f>
        <v>797.8423239999998</v>
      </c>
      <c r="E128" s="766"/>
      <c r="F128" s="766">
        <v>797.8423239999998</v>
      </c>
      <c r="G128" s="749" t="s">
        <v>1171</v>
      </c>
    </row>
    <row r="129" spans="1:7" s="737" customFormat="1" ht="51.75" customHeight="1">
      <c r="A129" s="732" t="s">
        <v>397</v>
      </c>
      <c r="B129" s="733" t="s">
        <v>647</v>
      </c>
      <c r="C129" s="734" t="s">
        <v>861</v>
      </c>
      <c r="D129" s="785">
        <f>D131+D136+D139</f>
        <v>364.230195</v>
      </c>
      <c r="E129" s="785">
        <f>E131+E136+E139</f>
        <v>89.33724</v>
      </c>
      <c r="F129" s="785">
        <f>F131+F136+F139</f>
        <v>274.89295500000003</v>
      </c>
      <c r="G129" s="736"/>
    </row>
    <row r="130" spans="1:7" s="743" customFormat="1" ht="15.75">
      <c r="A130" s="738" t="s">
        <v>1228</v>
      </c>
      <c r="B130" s="739" t="s">
        <v>1190</v>
      </c>
      <c r="C130" s="740"/>
      <c r="D130" s="741"/>
      <c r="E130" s="741"/>
      <c r="F130" s="741"/>
      <c r="G130" s="769"/>
    </row>
    <row r="131" spans="1:7" s="743" customFormat="1" ht="15.75">
      <c r="A131" s="738" t="s">
        <v>1229</v>
      </c>
      <c r="B131" s="775" t="s">
        <v>1195</v>
      </c>
      <c r="C131" s="740"/>
      <c r="D131" s="741">
        <f aca="true" t="shared" si="4" ref="D131:E134">D132</f>
        <v>16.75225</v>
      </c>
      <c r="E131" s="741">
        <f t="shared" si="4"/>
        <v>16.75225</v>
      </c>
      <c r="F131" s="741"/>
      <c r="G131" s="769"/>
    </row>
    <row r="132" spans="1:7" s="743" customFormat="1" ht="15.75">
      <c r="A132" s="738" t="s">
        <v>1230</v>
      </c>
      <c r="B132" s="775" t="s">
        <v>1197</v>
      </c>
      <c r="C132" s="740"/>
      <c r="D132" s="741">
        <f t="shared" si="4"/>
        <v>16.75225</v>
      </c>
      <c r="E132" s="741">
        <f t="shared" si="4"/>
        <v>16.75225</v>
      </c>
      <c r="F132" s="741"/>
      <c r="G132" s="769"/>
    </row>
    <row r="133" spans="1:7" s="743" customFormat="1" ht="15.75">
      <c r="A133" s="786" t="s">
        <v>614</v>
      </c>
      <c r="B133" s="777" t="s">
        <v>1199</v>
      </c>
      <c r="C133" s="740"/>
      <c r="D133" s="741">
        <f t="shared" si="4"/>
        <v>16.75225</v>
      </c>
      <c r="E133" s="741">
        <f t="shared" si="4"/>
        <v>16.75225</v>
      </c>
      <c r="F133" s="741"/>
      <c r="G133" s="769"/>
    </row>
    <row r="134" spans="1:7" s="743" customFormat="1" ht="15.75">
      <c r="A134" s="786" t="s">
        <v>618</v>
      </c>
      <c r="B134" s="777" t="s">
        <v>1200</v>
      </c>
      <c r="C134" s="740"/>
      <c r="D134" s="741">
        <f t="shared" si="4"/>
        <v>16.75225</v>
      </c>
      <c r="E134" s="741">
        <f t="shared" si="4"/>
        <v>16.75225</v>
      </c>
      <c r="F134" s="741"/>
      <c r="G134" s="769"/>
    </row>
    <row r="135" spans="1:7" s="743" customFormat="1" ht="30">
      <c r="A135" s="787"/>
      <c r="B135" s="788" t="s">
        <v>1231</v>
      </c>
      <c r="C135" s="740"/>
      <c r="D135" s="780">
        <f>E135+F135</f>
        <v>16.75225</v>
      </c>
      <c r="E135" s="783">
        <v>16.75225</v>
      </c>
      <c r="F135" s="741"/>
      <c r="G135" s="769"/>
    </row>
    <row r="136" spans="1:7" s="743" customFormat="1" ht="15.75">
      <c r="A136" s="738" t="s">
        <v>1232</v>
      </c>
      <c r="B136" s="775" t="s">
        <v>1218</v>
      </c>
      <c r="C136" s="740"/>
      <c r="D136" s="741">
        <f>D137</f>
        <v>0.000175</v>
      </c>
      <c r="E136" s="741">
        <f>E137</f>
        <v>0.000175</v>
      </c>
      <c r="F136" s="741"/>
      <c r="G136" s="769"/>
    </row>
    <row r="137" spans="1:7" s="743" customFormat="1" ht="15.75">
      <c r="A137" s="738" t="s">
        <v>614</v>
      </c>
      <c r="B137" s="775" t="s">
        <v>1220</v>
      </c>
      <c r="C137" s="740"/>
      <c r="D137" s="741">
        <f>D138</f>
        <v>0.000175</v>
      </c>
      <c r="E137" s="741">
        <f>E138</f>
        <v>0.000175</v>
      </c>
      <c r="F137" s="741"/>
      <c r="G137" s="769"/>
    </row>
    <row r="138" spans="1:7" s="743" customFormat="1" ht="15.75">
      <c r="A138" s="738"/>
      <c r="B138" s="779" t="s">
        <v>1233</v>
      </c>
      <c r="C138" s="740"/>
      <c r="D138" s="780">
        <f aca="true" t="shared" si="5" ref="D138:D150">E138+F138</f>
        <v>0.000175</v>
      </c>
      <c r="E138" s="783">
        <f>175/1000000</f>
        <v>0.000175</v>
      </c>
      <c r="F138" s="741"/>
      <c r="G138" s="769"/>
    </row>
    <row r="139" spans="1:7" s="743" customFormat="1" ht="15.75">
      <c r="A139" s="738" t="s">
        <v>1234</v>
      </c>
      <c r="B139" s="775" t="s">
        <v>589</v>
      </c>
      <c r="C139" s="740"/>
      <c r="D139" s="741">
        <f>SUM(D140:D150)</f>
        <v>347.47776999999996</v>
      </c>
      <c r="E139" s="741">
        <f>SUM(E140:E150)</f>
        <v>72.58481499999999</v>
      </c>
      <c r="F139" s="741">
        <f>SUM(F140:F150)</f>
        <v>274.89295500000003</v>
      </c>
      <c r="G139" s="769"/>
    </row>
    <row r="140" spans="1:7" s="743" customFormat="1" ht="16.5">
      <c r="A140" s="738"/>
      <c r="B140" s="789" t="s">
        <v>1235</v>
      </c>
      <c r="C140" s="740"/>
      <c r="D140" s="780">
        <f t="shared" si="5"/>
        <v>14.89095</v>
      </c>
      <c r="E140" s="783">
        <v>14.89095</v>
      </c>
      <c r="F140" s="741"/>
      <c r="G140" s="769"/>
    </row>
    <row r="141" spans="1:7" s="743" customFormat="1" ht="15.75">
      <c r="A141" s="738"/>
      <c r="B141" s="779" t="s">
        <v>1236</v>
      </c>
      <c r="C141" s="740"/>
      <c r="D141" s="780">
        <f t="shared" si="5"/>
        <v>2.90103</v>
      </c>
      <c r="E141" s="783">
        <f>2901030/1000000</f>
        <v>2.90103</v>
      </c>
      <c r="F141" s="741"/>
      <c r="G141" s="769"/>
    </row>
    <row r="142" spans="1:7" s="743" customFormat="1" ht="15.75">
      <c r="A142" s="738"/>
      <c r="B142" s="779" t="s">
        <v>1236</v>
      </c>
      <c r="C142" s="740"/>
      <c r="D142" s="780">
        <f t="shared" si="5"/>
        <v>6.019029</v>
      </c>
      <c r="E142" s="783">
        <v>6.019029</v>
      </c>
      <c r="F142" s="741"/>
      <c r="G142" s="769"/>
    </row>
    <row r="143" spans="1:7" s="743" customFormat="1" ht="15.75">
      <c r="A143" s="738"/>
      <c r="B143" s="779" t="s">
        <v>1236</v>
      </c>
      <c r="C143" s="740"/>
      <c r="D143" s="780">
        <f t="shared" si="5"/>
        <v>48.773806</v>
      </c>
      <c r="E143" s="783">
        <v>48.773806</v>
      </c>
      <c r="F143" s="741"/>
      <c r="G143" s="769"/>
    </row>
    <row r="144" spans="1:7" s="767" customFormat="1" ht="15.75">
      <c r="A144" s="763" t="s">
        <v>840</v>
      </c>
      <c r="B144" s="790" t="s">
        <v>1237</v>
      </c>
      <c r="C144" s="765"/>
      <c r="D144" s="766">
        <f t="shared" si="5"/>
        <v>124.62153900000001</v>
      </c>
      <c r="E144" s="766"/>
      <c r="F144" s="766">
        <v>124.62153900000001</v>
      </c>
      <c r="G144" s="749" t="s">
        <v>1171</v>
      </c>
    </row>
    <row r="145" spans="1:7" s="767" customFormat="1" ht="15.75">
      <c r="A145" s="763" t="s">
        <v>840</v>
      </c>
      <c r="B145" s="790" t="s">
        <v>1238</v>
      </c>
      <c r="C145" s="765"/>
      <c r="D145" s="766">
        <f t="shared" si="5"/>
        <v>10.858799000000001</v>
      </c>
      <c r="E145" s="766"/>
      <c r="F145" s="766">
        <v>10.858799000000001</v>
      </c>
      <c r="G145" s="749" t="s">
        <v>1171</v>
      </c>
    </row>
    <row r="146" spans="1:7" s="767" customFormat="1" ht="15.75">
      <c r="A146" s="763" t="s">
        <v>840</v>
      </c>
      <c r="B146" s="790" t="s">
        <v>1239</v>
      </c>
      <c r="C146" s="765"/>
      <c r="D146" s="766">
        <f t="shared" si="5"/>
        <v>0.126923</v>
      </c>
      <c r="E146" s="766"/>
      <c r="F146" s="766">
        <v>0.126923</v>
      </c>
      <c r="G146" s="749" t="s">
        <v>1171</v>
      </c>
    </row>
    <row r="147" spans="1:7" s="767" customFormat="1" ht="15.75">
      <c r="A147" s="763" t="s">
        <v>840</v>
      </c>
      <c r="B147" s="790" t="s">
        <v>1240</v>
      </c>
      <c r="C147" s="765"/>
      <c r="D147" s="766">
        <f t="shared" si="5"/>
        <v>40.306803</v>
      </c>
      <c r="E147" s="766"/>
      <c r="F147" s="766">
        <v>40.306803</v>
      </c>
      <c r="G147" s="749" t="s">
        <v>1171</v>
      </c>
    </row>
    <row r="148" spans="1:7" s="767" customFormat="1" ht="15.75">
      <c r="A148" s="763" t="s">
        <v>840</v>
      </c>
      <c r="B148" s="790" t="s">
        <v>1240</v>
      </c>
      <c r="C148" s="765"/>
      <c r="D148" s="766">
        <f t="shared" si="5"/>
        <v>48.105199999999996</v>
      </c>
      <c r="E148" s="766"/>
      <c r="F148" s="766">
        <v>48.105199999999996</v>
      </c>
      <c r="G148" s="749" t="s">
        <v>1241</v>
      </c>
    </row>
    <row r="149" spans="1:7" s="767" customFormat="1" ht="15.75">
      <c r="A149" s="763" t="s">
        <v>840</v>
      </c>
      <c r="B149" s="790" t="s">
        <v>1242</v>
      </c>
      <c r="C149" s="765"/>
      <c r="D149" s="766">
        <f t="shared" si="5"/>
        <v>35.973691</v>
      </c>
      <c r="E149" s="766"/>
      <c r="F149" s="766">
        <v>35.973691</v>
      </c>
      <c r="G149" s="749" t="s">
        <v>1171</v>
      </c>
    </row>
    <row r="150" spans="1:7" s="767" customFormat="1" ht="15.75">
      <c r="A150" s="763" t="s">
        <v>840</v>
      </c>
      <c r="B150" s="790" t="s">
        <v>1243</v>
      </c>
      <c r="C150" s="765"/>
      <c r="D150" s="766">
        <f t="shared" si="5"/>
        <v>14.9</v>
      </c>
      <c r="E150" s="766"/>
      <c r="F150" s="766">
        <v>14.9</v>
      </c>
      <c r="G150" s="749" t="s">
        <v>1171</v>
      </c>
    </row>
    <row r="151" spans="1:7" s="737" customFormat="1" ht="47.25">
      <c r="A151" s="732" t="s">
        <v>393</v>
      </c>
      <c r="B151" s="733" t="s">
        <v>648</v>
      </c>
      <c r="C151" s="734" t="s">
        <v>862</v>
      </c>
      <c r="D151" s="735">
        <f>D152+D158+D160</f>
        <v>559.6450159999999</v>
      </c>
      <c r="E151" s="735">
        <f>E152+E158+E160</f>
        <v>382.252</v>
      </c>
      <c r="F151" s="735">
        <f>F152+F158+F160</f>
        <v>177.393016</v>
      </c>
      <c r="G151" s="736"/>
    </row>
    <row r="152" spans="1:7" s="743" customFormat="1" ht="15.75">
      <c r="A152" s="738" t="s">
        <v>1244</v>
      </c>
      <c r="B152" s="739" t="s">
        <v>1193</v>
      </c>
      <c r="C152" s="740"/>
      <c r="D152" s="741">
        <f>D153</f>
        <v>2.252</v>
      </c>
      <c r="E152" s="741">
        <f>E153</f>
        <v>2.252</v>
      </c>
      <c r="F152" s="741"/>
      <c r="G152" s="769"/>
    </row>
    <row r="153" spans="1:7" s="743" customFormat="1" ht="15.75">
      <c r="A153" s="791"/>
      <c r="B153" s="792" t="s">
        <v>1245</v>
      </c>
      <c r="C153" s="740"/>
      <c r="D153" s="741">
        <f>SUM(D154:D157)</f>
        <v>2.252</v>
      </c>
      <c r="E153" s="741">
        <f>SUM(E154:E157)</f>
        <v>2.252</v>
      </c>
      <c r="F153" s="741"/>
      <c r="G153" s="769"/>
    </row>
    <row r="154" spans="1:7" s="750" customFormat="1" ht="15.75">
      <c r="A154" s="770"/>
      <c r="B154" s="788" t="s">
        <v>1246</v>
      </c>
      <c r="C154" s="746"/>
      <c r="D154" s="780">
        <f aca="true" t="shared" si="6" ref="D154:D159">E154+F154</f>
        <v>0.15</v>
      </c>
      <c r="E154" s="748">
        <f>150000/1000000</f>
        <v>0.15</v>
      </c>
      <c r="F154" s="748"/>
      <c r="G154" s="749"/>
    </row>
    <row r="155" spans="1:7" s="750" customFormat="1" ht="15.75">
      <c r="A155" s="770"/>
      <c r="B155" s="788" t="s">
        <v>1247</v>
      </c>
      <c r="C155" s="746"/>
      <c r="D155" s="780">
        <f t="shared" si="6"/>
        <v>0.3</v>
      </c>
      <c r="E155" s="748">
        <f>300000/1000000</f>
        <v>0.3</v>
      </c>
      <c r="F155" s="748"/>
      <c r="G155" s="749"/>
    </row>
    <row r="156" spans="1:7" s="750" customFormat="1" ht="15.75">
      <c r="A156" s="770"/>
      <c r="B156" s="788" t="s">
        <v>855</v>
      </c>
      <c r="C156" s="746"/>
      <c r="D156" s="780">
        <f t="shared" si="6"/>
        <v>1.8</v>
      </c>
      <c r="E156" s="748">
        <f>1800000/1000000</f>
        <v>1.8</v>
      </c>
      <c r="F156" s="748"/>
      <c r="G156" s="749"/>
    </row>
    <row r="157" spans="1:7" s="750" customFormat="1" ht="15.75">
      <c r="A157" s="770"/>
      <c r="B157" s="788" t="s">
        <v>1248</v>
      </c>
      <c r="C157" s="746"/>
      <c r="D157" s="780">
        <f t="shared" si="6"/>
        <v>0.002</v>
      </c>
      <c r="E157" s="748">
        <f>2000/1000000</f>
        <v>0.002</v>
      </c>
      <c r="F157" s="748"/>
      <c r="G157" s="749"/>
    </row>
    <row r="158" spans="1:7" s="743" customFormat="1" ht="15.75">
      <c r="A158" s="738" t="s">
        <v>1249</v>
      </c>
      <c r="B158" s="739" t="s">
        <v>1250</v>
      </c>
      <c r="C158" s="740"/>
      <c r="D158" s="741">
        <f>D159</f>
        <v>380</v>
      </c>
      <c r="E158" s="741">
        <f>E159</f>
        <v>380</v>
      </c>
      <c r="F158" s="741"/>
      <c r="G158" s="769"/>
    </row>
    <row r="159" spans="1:7" s="750" customFormat="1" ht="15.75">
      <c r="A159" s="770"/>
      <c r="B159" s="772" t="s">
        <v>1251</v>
      </c>
      <c r="C159" s="746"/>
      <c r="D159" s="780">
        <f t="shared" si="6"/>
        <v>380</v>
      </c>
      <c r="E159" s="748">
        <v>380</v>
      </c>
      <c r="F159" s="748"/>
      <c r="G159" s="749"/>
    </row>
    <row r="160" spans="1:7" s="743" customFormat="1" ht="15.75">
      <c r="A160" s="738" t="s">
        <v>1249</v>
      </c>
      <c r="B160" s="739" t="s">
        <v>1190</v>
      </c>
      <c r="C160" s="740"/>
      <c r="D160" s="741">
        <f>SUM(D161:D162)</f>
        <v>177.393016</v>
      </c>
      <c r="E160" s="741">
        <f>SUM(E161:E162)</f>
        <v>0</v>
      </c>
      <c r="F160" s="741">
        <f>SUM(F161:F162)</f>
        <v>177.393016</v>
      </c>
      <c r="G160" s="769"/>
    </row>
    <row r="161" spans="1:7" s="767" customFormat="1" ht="15.75">
      <c r="A161" s="763" t="s">
        <v>840</v>
      </c>
      <c r="B161" s="764" t="s">
        <v>1252</v>
      </c>
      <c r="C161" s="765"/>
      <c r="D161" s="766">
        <f>E161+F161</f>
        <v>39.100016</v>
      </c>
      <c r="E161" s="766"/>
      <c r="F161" s="766">
        <v>39.100016</v>
      </c>
      <c r="G161" s="749" t="s">
        <v>1241</v>
      </c>
    </row>
    <row r="162" spans="1:7" s="767" customFormat="1" ht="15.75">
      <c r="A162" s="793" t="s">
        <v>840</v>
      </c>
      <c r="B162" s="764" t="s">
        <v>1253</v>
      </c>
      <c r="C162" s="765"/>
      <c r="D162" s="766">
        <f>E162+F162</f>
        <v>138.293</v>
      </c>
      <c r="E162" s="766"/>
      <c r="F162" s="766">
        <v>138.293</v>
      </c>
      <c r="G162" s="749" t="s">
        <v>1171</v>
      </c>
    </row>
    <row r="163" spans="1:7" s="750" customFormat="1" ht="15.75" hidden="1">
      <c r="A163" s="770" t="s">
        <v>840</v>
      </c>
      <c r="B163" s="772" t="s">
        <v>1192</v>
      </c>
      <c r="C163" s="746"/>
      <c r="D163" s="748"/>
      <c r="E163" s="748"/>
      <c r="F163" s="748"/>
      <c r="G163" s="749"/>
    </row>
    <row r="164" spans="1:7" s="750" customFormat="1" ht="15.75" hidden="1">
      <c r="A164" s="770" t="s">
        <v>840</v>
      </c>
      <c r="B164" s="772" t="s">
        <v>1192</v>
      </c>
      <c r="C164" s="746"/>
      <c r="D164" s="748"/>
      <c r="E164" s="748"/>
      <c r="F164" s="748"/>
      <c r="G164" s="749"/>
    </row>
    <row r="165" spans="1:7" s="737" customFormat="1" ht="31.5">
      <c r="A165" s="732" t="s">
        <v>391</v>
      </c>
      <c r="B165" s="733" t="s">
        <v>649</v>
      </c>
      <c r="C165" s="734" t="s">
        <v>863</v>
      </c>
      <c r="D165" s="735"/>
      <c r="E165" s="735"/>
      <c r="F165" s="735"/>
      <c r="G165" s="736"/>
    </row>
    <row r="166" spans="1:7" s="743" customFormat="1" ht="15.75">
      <c r="A166" s="738" t="s">
        <v>1254</v>
      </c>
      <c r="B166" s="739" t="s">
        <v>1193</v>
      </c>
      <c r="C166" s="740"/>
      <c r="D166" s="741"/>
      <c r="E166" s="741"/>
      <c r="F166" s="741"/>
      <c r="G166" s="769"/>
    </row>
    <row r="167" spans="1:7" s="750" customFormat="1" ht="15.75" hidden="1">
      <c r="A167" s="770"/>
      <c r="B167" s="771" t="s">
        <v>1191</v>
      </c>
      <c r="C167" s="746"/>
      <c r="D167" s="748"/>
      <c r="E167" s="748"/>
      <c r="F167" s="748"/>
      <c r="G167" s="749"/>
    </row>
    <row r="168" spans="1:7" s="750" customFormat="1" ht="15.75" hidden="1">
      <c r="A168" s="770" t="s">
        <v>840</v>
      </c>
      <c r="B168" s="772" t="s">
        <v>1192</v>
      </c>
      <c r="C168" s="746"/>
      <c r="D168" s="748"/>
      <c r="E168" s="748"/>
      <c r="F168" s="748"/>
      <c r="G168" s="749"/>
    </row>
    <row r="169" spans="1:7" s="750" customFormat="1" ht="15.75" hidden="1">
      <c r="A169" s="770" t="s">
        <v>840</v>
      </c>
      <c r="B169" s="772" t="s">
        <v>1192</v>
      </c>
      <c r="C169" s="746"/>
      <c r="D169" s="748"/>
      <c r="E169" s="748"/>
      <c r="F169" s="748"/>
      <c r="G169" s="749"/>
    </row>
    <row r="170" spans="1:7" s="750" customFormat="1" ht="15.75" hidden="1">
      <c r="A170" s="770" t="s">
        <v>840</v>
      </c>
      <c r="B170" s="772" t="s">
        <v>1192</v>
      </c>
      <c r="C170" s="746"/>
      <c r="D170" s="748"/>
      <c r="E170" s="748"/>
      <c r="F170" s="748"/>
      <c r="G170" s="749"/>
    </row>
    <row r="171" spans="1:7" s="743" customFormat="1" ht="15.75">
      <c r="A171" s="738" t="s">
        <v>1255</v>
      </c>
      <c r="B171" s="739" t="s">
        <v>1190</v>
      </c>
      <c r="C171" s="740"/>
      <c r="D171" s="741"/>
      <c r="E171" s="741"/>
      <c r="F171" s="741"/>
      <c r="G171" s="769"/>
    </row>
    <row r="172" spans="1:7" s="750" customFormat="1" ht="15.75" hidden="1">
      <c r="A172" s="770"/>
      <c r="B172" s="771" t="s">
        <v>1191</v>
      </c>
      <c r="C172" s="746"/>
      <c r="D172" s="748"/>
      <c r="E172" s="748"/>
      <c r="F172" s="748"/>
      <c r="G172" s="749"/>
    </row>
    <row r="173" spans="1:7" s="750" customFormat="1" ht="15.75" hidden="1">
      <c r="A173" s="770" t="s">
        <v>840</v>
      </c>
      <c r="B173" s="772" t="s">
        <v>1192</v>
      </c>
      <c r="C173" s="746"/>
      <c r="D173" s="748"/>
      <c r="E173" s="748"/>
      <c r="F173" s="748"/>
      <c r="G173" s="749"/>
    </row>
    <row r="174" spans="1:7" s="750" customFormat="1" ht="15.75" hidden="1">
      <c r="A174" s="770" t="s">
        <v>840</v>
      </c>
      <c r="B174" s="772" t="s">
        <v>1192</v>
      </c>
      <c r="C174" s="746"/>
      <c r="D174" s="748"/>
      <c r="E174" s="748"/>
      <c r="F174" s="748"/>
      <c r="G174" s="749"/>
    </row>
    <row r="175" spans="1:7" s="750" customFormat="1" ht="15.75" hidden="1">
      <c r="A175" s="770" t="s">
        <v>840</v>
      </c>
      <c r="B175" s="772" t="s">
        <v>1192</v>
      </c>
      <c r="C175" s="746"/>
      <c r="D175" s="748"/>
      <c r="E175" s="748"/>
      <c r="F175" s="748"/>
      <c r="G175" s="749"/>
    </row>
    <row r="176" spans="1:7" s="737" customFormat="1" ht="47.25">
      <c r="A176" s="732" t="s">
        <v>1256</v>
      </c>
      <c r="B176" s="733" t="s">
        <v>650</v>
      </c>
      <c r="C176" s="734" t="s">
        <v>864</v>
      </c>
      <c r="D176" s="735">
        <f>D177</f>
        <v>62118.105255999995</v>
      </c>
      <c r="E176" s="735">
        <f>E177</f>
        <v>59925.195999999996</v>
      </c>
      <c r="F176" s="735">
        <f>F177</f>
        <v>2192.909256</v>
      </c>
      <c r="G176" s="732"/>
    </row>
    <row r="177" spans="1:7" s="743" customFormat="1" ht="15.75">
      <c r="A177" s="738" t="s">
        <v>1257</v>
      </c>
      <c r="B177" s="739" t="s">
        <v>1190</v>
      </c>
      <c r="C177" s="740"/>
      <c r="D177" s="741">
        <f>D178+D179+D182+SUM(D183:D202)</f>
        <v>62118.105255999995</v>
      </c>
      <c r="E177" s="741">
        <f>E178+E179+E182+SUM(E183:E202)</f>
        <v>59925.195999999996</v>
      </c>
      <c r="F177" s="741">
        <f>F178+F179+F182+SUM(F183:F202)</f>
        <v>2192.909256</v>
      </c>
      <c r="G177" s="769"/>
    </row>
    <row r="178" spans="1:7" s="798" customFormat="1" ht="15.75">
      <c r="A178" s="794" t="s">
        <v>1258</v>
      </c>
      <c r="B178" s="795" t="s">
        <v>1259</v>
      </c>
      <c r="C178" s="796"/>
      <c r="D178" s="783">
        <f>E178+F178</f>
        <v>4708.446</v>
      </c>
      <c r="E178" s="783">
        <v>4708.446</v>
      </c>
      <c r="F178" s="783"/>
      <c r="G178" s="797"/>
    </row>
    <row r="179" spans="1:7" s="798" customFormat="1" ht="15.75">
      <c r="A179" s="794" t="s">
        <v>1260</v>
      </c>
      <c r="B179" s="795" t="s">
        <v>1261</v>
      </c>
      <c r="C179" s="796"/>
      <c r="D179" s="783">
        <f aca="true" t="shared" si="7" ref="D179:D202">E179+F179</f>
        <v>25233.739999999998</v>
      </c>
      <c r="E179" s="783">
        <f>SUM(E180:E181)</f>
        <v>25233.739999999998</v>
      </c>
      <c r="F179" s="783"/>
      <c r="G179" s="797"/>
    </row>
    <row r="180" spans="1:7" s="798" customFormat="1" ht="15.75">
      <c r="A180" s="794" t="s">
        <v>614</v>
      </c>
      <c r="B180" s="795" t="s">
        <v>826</v>
      </c>
      <c r="C180" s="796"/>
      <c r="D180" s="783">
        <f t="shared" si="7"/>
        <v>17663.62</v>
      </c>
      <c r="E180" s="783">
        <v>17663.62</v>
      </c>
      <c r="F180" s="783"/>
      <c r="G180" s="797"/>
    </row>
    <row r="181" spans="1:7" s="798" customFormat="1" ht="15.75">
      <c r="A181" s="794" t="s">
        <v>618</v>
      </c>
      <c r="B181" s="795" t="s">
        <v>827</v>
      </c>
      <c r="C181" s="796"/>
      <c r="D181" s="783">
        <f t="shared" si="7"/>
        <v>7570.12</v>
      </c>
      <c r="E181" s="783">
        <v>7570.12</v>
      </c>
      <c r="F181" s="783"/>
      <c r="G181" s="797"/>
    </row>
    <row r="182" spans="1:7" s="743" customFormat="1" ht="15.75">
      <c r="A182" s="794" t="s">
        <v>1262</v>
      </c>
      <c r="B182" s="795" t="s">
        <v>1263</v>
      </c>
      <c r="C182" s="740"/>
      <c r="D182" s="783">
        <f t="shared" si="7"/>
        <v>29983.01</v>
      </c>
      <c r="E182" s="783">
        <v>29983.01</v>
      </c>
      <c r="F182" s="741"/>
      <c r="G182" s="769"/>
    </row>
    <row r="183" spans="1:7" s="767" customFormat="1" ht="15.75">
      <c r="A183" s="763" t="s">
        <v>840</v>
      </c>
      <c r="B183" s="799" t="s">
        <v>1264</v>
      </c>
      <c r="C183" s="784"/>
      <c r="D183" s="766">
        <f t="shared" si="7"/>
        <v>149.022879</v>
      </c>
      <c r="E183" s="766"/>
      <c r="F183" s="800">
        <v>149.022879</v>
      </c>
      <c r="G183" s="749" t="s">
        <v>1171</v>
      </c>
    </row>
    <row r="184" spans="1:7" s="767" customFormat="1" ht="15.75">
      <c r="A184" s="793" t="s">
        <v>840</v>
      </c>
      <c r="B184" s="799" t="s">
        <v>1265</v>
      </c>
      <c r="C184" s="784"/>
      <c r="D184" s="766">
        <f t="shared" si="7"/>
        <v>149.283114</v>
      </c>
      <c r="E184" s="766"/>
      <c r="F184" s="800">
        <v>149.283114</v>
      </c>
      <c r="G184" s="749" t="s">
        <v>1171</v>
      </c>
    </row>
    <row r="185" spans="1:7" s="767" customFormat="1" ht="15.75">
      <c r="A185" s="793" t="s">
        <v>840</v>
      </c>
      <c r="B185" s="801" t="s">
        <v>1266</v>
      </c>
      <c r="C185" s="784"/>
      <c r="D185" s="766">
        <f t="shared" si="7"/>
        <v>542.86124</v>
      </c>
      <c r="E185" s="766"/>
      <c r="F185" s="800">
        <v>542.86124</v>
      </c>
      <c r="G185" s="749" t="s">
        <v>1171</v>
      </c>
    </row>
    <row r="186" spans="1:7" s="767" customFormat="1" ht="15.75">
      <c r="A186" s="793" t="s">
        <v>840</v>
      </c>
      <c r="B186" s="801" t="s">
        <v>1267</v>
      </c>
      <c r="C186" s="784"/>
      <c r="D186" s="766">
        <f t="shared" si="7"/>
        <v>66.21642</v>
      </c>
      <c r="E186" s="766"/>
      <c r="F186" s="802">
        <v>66.21642</v>
      </c>
      <c r="G186" s="749" t="s">
        <v>1171</v>
      </c>
    </row>
    <row r="187" spans="1:7" s="767" customFormat="1" ht="15.75">
      <c r="A187" s="793" t="s">
        <v>840</v>
      </c>
      <c r="B187" s="801" t="s">
        <v>1268</v>
      </c>
      <c r="C187" s="784"/>
      <c r="D187" s="766">
        <f t="shared" si="7"/>
        <v>6.541711</v>
      </c>
      <c r="E187" s="766"/>
      <c r="F187" s="766">
        <v>6.541711</v>
      </c>
      <c r="G187" s="749" t="s">
        <v>1171</v>
      </c>
    </row>
    <row r="188" spans="1:7" s="767" customFormat="1" ht="15.75">
      <c r="A188" s="793" t="s">
        <v>840</v>
      </c>
      <c r="B188" s="801" t="s">
        <v>1269</v>
      </c>
      <c r="C188" s="784"/>
      <c r="D188" s="766">
        <f t="shared" si="7"/>
        <v>16.449686</v>
      </c>
      <c r="E188" s="766"/>
      <c r="F188" s="766">
        <v>16.449686</v>
      </c>
      <c r="G188" s="749" t="s">
        <v>1171</v>
      </c>
    </row>
    <row r="189" spans="1:7" s="767" customFormat="1" ht="15.75">
      <c r="A189" s="793" t="s">
        <v>840</v>
      </c>
      <c r="B189" s="799" t="s">
        <v>1270</v>
      </c>
      <c r="C189" s="784"/>
      <c r="D189" s="766">
        <f t="shared" si="7"/>
        <v>4.459533</v>
      </c>
      <c r="E189" s="766"/>
      <c r="F189" s="766">
        <v>4.459533</v>
      </c>
      <c r="G189" s="749" t="s">
        <v>1171</v>
      </c>
    </row>
    <row r="190" spans="1:7" s="767" customFormat="1" ht="15.75">
      <c r="A190" s="793" t="s">
        <v>840</v>
      </c>
      <c r="B190" s="801" t="s">
        <v>1271</v>
      </c>
      <c r="C190" s="784"/>
      <c r="D190" s="766">
        <f t="shared" si="7"/>
        <v>30.864716</v>
      </c>
      <c r="E190" s="766"/>
      <c r="F190" s="803">
        <v>30.864716</v>
      </c>
      <c r="G190" s="749" t="s">
        <v>1171</v>
      </c>
    </row>
    <row r="191" spans="1:7" s="767" customFormat="1" ht="15.75">
      <c r="A191" s="793" t="s">
        <v>840</v>
      </c>
      <c r="B191" s="801" t="s">
        <v>1272</v>
      </c>
      <c r="C191" s="784"/>
      <c r="D191" s="766">
        <f t="shared" si="7"/>
        <v>2.80359</v>
      </c>
      <c r="E191" s="766"/>
      <c r="F191" s="802">
        <v>2.80359</v>
      </c>
      <c r="G191" s="749" t="s">
        <v>1171</v>
      </c>
    </row>
    <row r="192" spans="1:7" s="767" customFormat="1" ht="15.75">
      <c r="A192" s="793" t="s">
        <v>840</v>
      </c>
      <c r="B192" s="799" t="s">
        <v>1273</v>
      </c>
      <c r="C192" s="784"/>
      <c r="D192" s="766">
        <f t="shared" si="7"/>
        <v>83.64546</v>
      </c>
      <c r="E192" s="766"/>
      <c r="F192" s="800">
        <v>83.64546</v>
      </c>
      <c r="G192" s="749" t="s">
        <v>1171</v>
      </c>
    </row>
    <row r="193" spans="1:7" s="767" customFormat="1" ht="15.75">
      <c r="A193" s="763" t="s">
        <v>840</v>
      </c>
      <c r="B193" s="801" t="s">
        <v>1274</v>
      </c>
      <c r="C193" s="784"/>
      <c r="D193" s="766">
        <f t="shared" si="7"/>
        <v>222.897813</v>
      </c>
      <c r="E193" s="766"/>
      <c r="F193" s="766">
        <v>222.897813</v>
      </c>
      <c r="G193" s="749" t="s">
        <v>1171</v>
      </c>
    </row>
    <row r="194" spans="1:7" s="767" customFormat="1" ht="15.75">
      <c r="A194" s="793" t="s">
        <v>840</v>
      </c>
      <c r="B194" s="801" t="s">
        <v>1275</v>
      </c>
      <c r="C194" s="784"/>
      <c r="D194" s="766">
        <f t="shared" si="7"/>
        <v>108.493</v>
      </c>
      <c r="E194" s="766"/>
      <c r="F194" s="766">
        <v>108.493</v>
      </c>
      <c r="G194" s="749" t="s">
        <v>1171</v>
      </c>
    </row>
    <row r="195" spans="1:7" s="767" customFormat="1" ht="15.75">
      <c r="A195" s="793" t="s">
        <v>840</v>
      </c>
      <c r="B195" s="764" t="s">
        <v>1276</v>
      </c>
      <c r="C195" s="784"/>
      <c r="D195" s="766">
        <f t="shared" si="7"/>
        <v>18.85</v>
      </c>
      <c r="E195" s="766"/>
      <c r="F195" s="803">
        <v>18.85</v>
      </c>
      <c r="G195" s="749" t="s">
        <v>1171</v>
      </c>
    </row>
    <row r="196" spans="1:7" s="767" customFormat="1" ht="15.75">
      <c r="A196" s="763" t="s">
        <v>840</v>
      </c>
      <c r="B196" s="801" t="s">
        <v>1277</v>
      </c>
      <c r="C196" s="784"/>
      <c r="D196" s="766">
        <f t="shared" si="7"/>
        <v>59.15</v>
      </c>
      <c r="E196" s="766"/>
      <c r="F196" s="803">
        <v>59.15</v>
      </c>
      <c r="G196" s="749" t="s">
        <v>1171</v>
      </c>
    </row>
    <row r="197" spans="1:7" s="767" customFormat="1" ht="15.75">
      <c r="A197" s="763" t="s">
        <v>840</v>
      </c>
      <c r="B197" s="801" t="s">
        <v>1278</v>
      </c>
      <c r="C197" s="784"/>
      <c r="D197" s="766">
        <f t="shared" si="7"/>
        <v>398.8403</v>
      </c>
      <c r="E197" s="766"/>
      <c r="F197" s="766">
        <v>398.8403</v>
      </c>
      <c r="G197" s="749" t="s">
        <v>1171</v>
      </c>
    </row>
    <row r="198" spans="1:7" s="767" customFormat="1" ht="15.75">
      <c r="A198" s="793" t="s">
        <v>840</v>
      </c>
      <c r="B198" s="764" t="s">
        <v>1279</v>
      </c>
      <c r="C198" s="765"/>
      <c r="D198" s="766">
        <f t="shared" si="7"/>
        <v>25.214473</v>
      </c>
      <c r="E198" s="766"/>
      <c r="F198" s="766">
        <v>25.214473</v>
      </c>
      <c r="G198" s="749" t="s">
        <v>1171</v>
      </c>
    </row>
    <row r="199" spans="1:7" s="767" customFormat="1" ht="15.75">
      <c r="A199" s="793" t="s">
        <v>840</v>
      </c>
      <c r="B199" s="764" t="s">
        <v>1280</v>
      </c>
      <c r="C199" s="765"/>
      <c r="D199" s="766">
        <f t="shared" si="7"/>
        <v>5.971</v>
      </c>
      <c r="E199" s="766"/>
      <c r="F199" s="766">
        <v>5.971</v>
      </c>
      <c r="G199" s="749" t="s">
        <v>1171</v>
      </c>
    </row>
    <row r="200" spans="1:7" s="767" customFormat="1" ht="15.75">
      <c r="A200" s="793" t="s">
        <v>840</v>
      </c>
      <c r="B200" s="764" t="s">
        <v>1281</v>
      </c>
      <c r="C200" s="765"/>
      <c r="D200" s="766">
        <f t="shared" si="7"/>
        <v>7.0913</v>
      </c>
      <c r="E200" s="766"/>
      <c r="F200" s="766">
        <v>7.0913</v>
      </c>
      <c r="G200" s="749" t="s">
        <v>1171</v>
      </c>
    </row>
    <row r="201" spans="1:7" s="767" customFormat="1" ht="15.75">
      <c r="A201" s="793" t="s">
        <v>840</v>
      </c>
      <c r="B201" s="764" t="s">
        <v>1282</v>
      </c>
      <c r="C201" s="765"/>
      <c r="D201" s="766">
        <f t="shared" si="7"/>
        <v>2.08</v>
      </c>
      <c r="E201" s="766"/>
      <c r="F201" s="766">
        <v>2.08</v>
      </c>
      <c r="G201" s="749" t="s">
        <v>1171</v>
      </c>
    </row>
    <row r="202" spans="1:7" s="767" customFormat="1" ht="15.75">
      <c r="A202" s="793" t="s">
        <v>840</v>
      </c>
      <c r="B202" s="801" t="s">
        <v>1283</v>
      </c>
      <c r="C202" s="784"/>
      <c r="D202" s="766">
        <f t="shared" si="7"/>
        <v>292.173021</v>
      </c>
      <c r="E202" s="766"/>
      <c r="F202" s="766">
        <v>292.173021</v>
      </c>
      <c r="G202" s="749" t="s">
        <v>1171</v>
      </c>
    </row>
    <row r="203" spans="1:7" s="737" customFormat="1" ht="15.75">
      <c r="A203" s="732" t="s">
        <v>1284</v>
      </c>
      <c r="B203" s="733" t="s">
        <v>1285</v>
      </c>
      <c r="C203" s="734" t="s">
        <v>865</v>
      </c>
      <c r="D203" s="735">
        <f>D204+D378+D396</f>
        <v>35491.139148</v>
      </c>
      <c r="E203" s="773">
        <f>E204+E378+E396</f>
        <v>34359.210027</v>
      </c>
      <c r="F203" s="773">
        <f>F204+F378+F396</f>
        <v>1131.9291209999997</v>
      </c>
      <c r="G203" s="736"/>
    </row>
    <row r="204" spans="1:7" s="743" customFormat="1" ht="15.75">
      <c r="A204" s="732" t="s">
        <v>1286</v>
      </c>
      <c r="B204" s="739" t="s">
        <v>1193</v>
      </c>
      <c r="C204" s="740"/>
      <c r="D204" s="735">
        <f>D205+D375</f>
        <v>17004.665527999998</v>
      </c>
      <c r="E204" s="735">
        <f>E205+E375</f>
        <v>17004.665527999998</v>
      </c>
      <c r="F204" s="735">
        <f>F205+F375</f>
        <v>0</v>
      </c>
      <c r="G204" s="769"/>
    </row>
    <row r="205" spans="1:7" s="743" customFormat="1" ht="15.75">
      <c r="A205" s="732" t="s">
        <v>1287</v>
      </c>
      <c r="B205" s="771" t="s">
        <v>1288</v>
      </c>
      <c r="C205" s="740"/>
      <c r="D205" s="741">
        <f>D206+D211</f>
        <v>17004.665527999998</v>
      </c>
      <c r="E205" s="741">
        <f>E206+E211</f>
        <v>17004.665527999998</v>
      </c>
      <c r="F205" s="741">
        <f>F206+F211</f>
        <v>0</v>
      </c>
      <c r="G205" s="769"/>
    </row>
    <row r="206" spans="1:7" s="743" customFormat="1" ht="15.75">
      <c r="A206" s="732" t="s">
        <v>1289</v>
      </c>
      <c r="B206" s="771" t="s">
        <v>1290</v>
      </c>
      <c r="C206" s="740"/>
      <c r="D206" s="741">
        <f>D207</f>
        <v>7403.707</v>
      </c>
      <c r="E206" s="741">
        <f>E207</f>
        <v>7403.707</v>
      </c>
      <c r="F206" s="741">
        <f>F207</f>
        <v>0</v>
      </c>
      <c r="G206" s="769"/>
    </row>
    <row r="207" spans="1:7" s="743" customFormat="1" ht="31.5">
      <c r="A207" s="791" t="s">
        <v>1291</v>
      </c>
      <c r="B207" s="751" t="s">
        <v>1151</v>
      </c>
      <c r="C207" s="740"/>
      <c r="D207" s="741">
        <f>SUM(D208:D210)</f>
        <v>7403.707</v>
      </c>
      <c r="E207" s="741">
        <f>SUM(E208:E210)</f>
        <v>7403.707</v>
      </c>
      <c r="F207" s="741">
        <f>SUM(F208:F210)</f>
        <v>0</v>
      </c>
      <c r="G207" s="804" t="s">
        <v>1292</v>
      </c>
    </row>
    <row r="208" spans="1:7" s="743" customFormat="1" ht="15.75">
      <c r="A208" s="791"/>
      <c r="B208" s="753" t="s">
        <v>1154</v>
      </c>
      <c r="C208" s="740"/>
      <c r="D208" s="748">
        <f>E208+F208</f>
        <v>511.702</v>
      </c>
      <c r="E208" s="754">
        <v>511.702</v>
      </c>
      <c r="F208" s="741"/>
      <c r="G208" s="769"/>
    </row>
    <row r="209" spans="1:7" s="743" customFormat="1" ht="15.75">
      <c r="A209" s="791"/>
      <c r="B209" s="753" t="s">
        <v>987</v>
      </c>
      <c r="C209" s="740"/>
      <c r="D209" s="748">
        <f>E209+F209</f>
        <v>4400</v>
      </c>
      <c r="E209" s="754">
        <v>4400</v>
      </c>
      <c r="F209" s="741"/>
      <c r="G209" s="769"/>
    </row>
    <row r="210" spans="1:7" s="743" customFormat="1" ht="15.75">
      <c r="A210" s="791"/>
      <c r="B210" s="753" t="s">
        <v>989</v>
      </c>
      <c r="C210" s="740"/>
      <c r="D210" s="748">
        <f>E210+F210</f>
        <v>2492.005</v>
      </c>
      <c r="E210" s="754">
        <v>2492.005</v>
      </c>
      <c r="F210" s="741"/>
      <c r="G210" s="769"/>
    </row>
    <row r="211" spans="1:7" s="743" customFormat="1" ht="15.75">
      <c r="A211" s="732" t="s">
        <v>1293</v>
      </c>
      <c r="B211" s="771" t="s">
        <v>528</v>
      </c>
      <c r="C211" s="740"/>
      <c r="D211" s="741">
        <f>D212+D254+D331</f>
        <v>9600.958528</v>
      </c>
      <c r="E211" s="741">
        <f>E212+E254+E331</f>
        <v>9600.958528</v>
      </c>
      <c r="F211" s="741"/>
      <c r="G211" s="769"/>
    </row>
    <row r="212" spans="1:7" s="750" customFormat="1" ht="31.5">
      <c r="A212" s="770" t="s">
        <v>1291</v>
      </c>
      <c r="B212" s="805" t="s">
        <v>1139</v>
      </c>
      <c r="C212" s="746"/>
      <c r="D212" s="747">
        <f>D213+D215+D217+D226+D234+D244</f>
        <v>1400.7726400000001</v>
      </c>
      <c r="E212" s="747">
        <f>E213+E215+E217+E226+E234+E244</f>
        <v>1400.7726400000001</v>
      </c>
      <c r="F212" s="748"/>
      <c r="G212" s="742" t="s">
        <v>1137</v>
      </c>
    </row>
    <row r="213" spans="1:7" s="750" customFormat="1" ht="15.75">
      <c r="A213" s="770"/>
      <c r="B213" s="751" t="s">
        <v>1294</v>
      </c>
      <c r="C213" s="746"/>
      <c r="D213" s="747">
        <f>D214</f>
        <v>300</v>
      </c>
      <c r="E213" s="747">
        <f>E214</f>
        <v>300</v>
      </c>
      <c r="F213" s="748"/>
      <c r="G213" s="749"/>
    </row>
    <row r="214" spans="1:7" s="750" customFormat="1" ht="15.75">
      <c r="A214" s="770"/>
      <c r="B214" s="806" t="s">
        <v>1295</v>
      </c>
      <c r="C214" s="746"/>
      <c r="D214" s="748">
        <f aca="true" t="shared" si="8" ref="D214:D275">E214+F214</f>
        <v>300</v>
      </c>
      <c r="E214" s="754">
        <v>300</v>
      </c>
      <c r="F214" s="748"/>
      <c r="G214" s="749"/>
    </row>
    <row r="215" spans="1:7" s="750" customFormat="1" ht="31.5">
      <c r="A215" s="770"/>
      <c r="B215" s="751" t="s">
        <v>1296</v>
      </c>
      <c r="C215" s="746"/>
      <c r="D215" s="747">
        <f>D216</f>
        <v>100</v>
      </c>
      <c r="E215" s="747">
        <f>E216</f>
        <v>100</v>
      </c>
      <c r="F215" s="748"/>
      <c r="G215" s="749"/>
    </row>
    <row r="216" spans="1:7" s="750" customFormat="1" ht="15.75">
      <c r="A216" s="770"/>
      <c r="B216" s="806" t="s">
        <v>1295</v>
      </c>
      <c r="C216" s="746"/>
      <c r="D216" s="748">
        <f t="shared" si="8"/>
        <v>100</v>
      </c>
      <c r="E216" s="754">
        <v>100</v>
      </c>
      <c r="F216" s="748"/>
      <c r="G216" s="749"/>
    </row>
    <row r="217" spans="1:7" s="750" customFormat="1" ht="31.5">
      <c r="A217" s="770"/>
      <c r="B217" s="751" t="s">
        <v>1297</v>
      </c>
      <c r="C217" s="746"/>
      <c r="D217" s="747">
        <f>SUM(D218:D225)</f>
        <v>500</v>
      </c>
      <c r="E217" s="747">
        <f>SUM(E218:E225)</f>
        <v>500</v>
      </c>
      <c r="F217" s="748"/>
      <c r="G217" s="749"/>
    </row>
    <row r="218" spans="1:7" s="750" customFormat="1" ht="15.75">
      <c r="A218" s="770"/>
      <c r="B218" s="806" t="s">
        <v>1298</v>
      </c>
      <c r="C218" s="746"/>
      <c r="D218" s="748">
        <f t="shared" si="8"/>
        <v>50</v>
      </c>
      <c r="E218" s="754">
        <v>50</v>
      </c>
      <c r="F218" s="748"/>
      <c r="G218" s="749"/>
    </row>
    <row r="219" spans="1:7" s="750" customFormat="1" ht="15.75">
      <c r="A219" s="770"/>
      <c r="B219" s="806" t="s">
        <v>1299</v>
      </c>
      <c r="C219" s="746"/>
      <c r="D219" s="748">
        <f t="shared" si="8"/>
        <v>50</v>
      </c>
      <c r="E219" s="754">
        <v>50</v>
      </c>
      <c r="F219" s="748"/>
      <c r="G219" s="749"/>
    </row>
    <row r="220" spans="1:7" s="750" customFormat="1" ht="15.75">
      <c r="A220" s="770"/>
      <c r="B220" s="806" t="s">
        <v>1300</v>
      </c>
      <c r="C220" s="746"/>
      <c r="D220" s="748">
        <f t="shared" si="8"/>
        <v>50</v>
      </c>
      <c r="E220" s="754">
        <v>50</v>
      </c>
      <c r="F220" s="748"/>
      <c r="G220" s="749"/>
    </row>
    <row r="221" spans="1:7" s="750" customFormat="1" ht="15.75">
      <c r="A221" s="770"/>
      <c r="B221" s="806" t="s">
        <v>1301</v>
      </c>
      <c r="C221" s="746"/>
      <c r="D221" s="748">
        <f t="shared" si="8"/>
        <v>50</v>
      </c>
      <c r="E221" s="754">
        <v>50</v>
      </c>
      <c r="F221" s="748"/>
      <c r="G221" s="749"/>
    </row>
    <row r="222" spans="1:7" s="750" customFormat="1" ht="15.75">
      <c r="A222" s="770"/>
      <c r="B222" s="806" t="s">
        <v>1162</v>
      </c>
      <c r="C222" s="746"/>
      <c r="D222" s="748">
        <f t="shared" si="8"/>
        <v>150</v>
      </c>
      <c r="E222" s="754">
        <v>150</v>
      </c>
      <c r="F222" s="748"/>
      <c r="G222" s="749"/>
    </row>
    <row r="223" spans="1:7" s="750" customFormat="1" ht="15.75">
      <c r="A223" s="770"/>
      <c r="B223" s="806" t="s">
        <v>1141</v>
      </c>
      <c r="C223" s="746"/>
      <c r="D223" s="748">
        <f t="shared" si="8"/>
        <v>50</v>
      </c>
      <c r="E223" s="754">
        <v>50</v>
      </c>
      <c r="F223" s="748"/>
      <c r="G223" s="749"/>
    </row>
    <row r="224" spans="1:7" s="750" customFormat="1" ht="15.75">
      <c r="A224" s="770"/>
      <c r="B224" s="806" t="s">
        <v>1144</v>
      </c>
      <c r="C224" s="746"/>
      <c r="D224" s="748">
        <f t="shared" si="8"/>
        <v>50</v>
      </c>
      <c r="E224" s="754">
        <v>50</v>
      </c>
      <c r="F224" s="748"/>
      <c r="G224" s="749"/>
    </row>
    <row r="225" spans="1:7" s="750" customFormat="1" ht="15.75">
      <c r="A225" s="770"/>
      <c r="B225" s="806" t="s">
        <v>1147</v>
      </c>
      <c r="C225" s="746"/>
      <c r="D225" s="748">
        <f t="shared" si="8"/>
        <v>50</v>
      </c>
      <c r="E225" s="754">
        <v>50</v>
      </c>
      <c r="F225" s="748"/>
      <c r="G225" s="749"/>
    </row>
    <row r="226" spans="1:7" s="750" customFormat="1" ht="15.75">
      <c r="A226" s="770"/>
      <c r="B226" s="751" t="s">
        <v>978</v>
      </c>
      <c r="C226" s="746"/>
      <c r="D226" s="747">
        <f>SUM(D227:D233)</f>
        <v>35</v>
      </c>
      <c r="E226" s="747">
        <f>SUM(E227:E233)</f>
        <v>35</v>
      </c>
      <c r="F226" s="748"/>
      <c r="G226" s="749"/>
    </row>
    <row r="227" spans="1:7" s="750" customFormat="1" ht="15.75">
      <c r="A227" s="770"/>
      <c r="B227" s="806" t="s">
        <v>1298</v>
      </c>
      <c r="C227" s="746"/>
      <c r="D227" s="748">
        <f t="shared" si="8"/>
        <v>5</v>
      </c>
      <c r="E227" s="754">
        <v>5</v>
      </c>
      <c r="F227" s="748"/>
      <c r="G227" s="749"/>
    </row>
    <row r="228" spans="1:7" s="750" customFormat="1" ht="15.75">
      <c r="A228" s="770"/>
      <c r="B228" s="806" t="s">
        <v>1299</v>
      </c>
      <c r="C228" s="746"/>
      <c r="D228" s="748">
        <f t="shared" si="8"/>
        <v>5</v>
      </c>
      <c r="E228" s="754">
        <v>5</v>
      </c>
      <c r="F228" s="748"/>
      <c r="G228" s="749"/>
    </row>
    <row r="229" spans="1:7" s="750" customFormat="1" ht="15.75">
      <c r="A229" s="770"/>
      <c r="B229" s="806" t="s">
        <v>1301</v>
      </c>
      <c r="C229" s="746"/>
      <c r="D229" s="748">
        <f t="shared" si="8"/>
        <v>5</v>
      </c>
      <c r="E229" s="754">
        <v>5</v>
      </c>
      <c r="F229" s="748"/>
      <c r="G229" s="749"/>
    </row>
    <row r="230" spans="1:7" s="750" customFormat="1" ht="15.75">
      <c r="A230" s="770"/>
      <c r="B230" s="806" t="s">
        <v>1162</v>
      </c>
      <c r="C230" s="746"/>
      <c r="D230" s="748">
        <f t="shared" si="8"/>
        <v>5</v>
      </c>
      <c r="E230" s="754">
        <v>5</v>
      </c>
      <c r="F230" s="748"/>
      <c r="G230" s="749"/>
    </row>
    <row r="231" spans="1:7" s="750" customFormat="1" ht="15.75">
      <c r="A231" s="770"/>
      <c r="B231" s="806" t="s">
        <v>1141</v>
      </c>
      <c r="C231" s="746"/>
      <c r="D231" s="748">
        <f t="shared" si="8"/>
        <v>5</v>
      </c>
      <c r="E231" s="754">
        <v>5</v>
      </c>
      <c r="F231" s="748"/>
      <c r="G231" s="749"/>
    </row>
    <row r="232" spans="1:7" s="750" customFormat="1" ht="15.75">
      <c r="A232" s="770"/>
      <c r="B232" s="806" t="s">
        <v>1144</v>
      </c>
      <c r="C232" s="746"/>
      <c r="D232" s="748">
        <f t="shared" si="8"/>
        <v>5</v>
      </c>
      <c r="E232" s="754">
        <v>5</v>
      </c>
      <c r="F232" s="748"/>
      <c r="G232" s="749"/>
    </row>
    <row r="233" spans="1:7" s="750" customFormat="1" ht="15.75">
      <c r="A233" s="770"/>
      <c r="B233" s="806" t="s">
        <v>1147</v>
      </c>
      <c r="C233" s="746"/>
      <c r="D233" s="748">
        <f t="shared" si="8"/>
        <v>5</v>
      </c>
      <c r="E233" s="754">
        <v>5</v>
      </c>
      <c r="F233" s="748"/>
      <c r="G233" s="749"/>
    </row>
    <row r="234" spans="1:7" s="750" customFormat="1" ht="15.75">
      <c r="A234" s="770"/>
      <c r="B234" s="751" t="s">
        <v>981</v>
      </c>
      <c r="C234" s="746"/>
      <c r="D234" s="747">
        <f>SUM(D235:D243)</f>
        <v>165.77264000000002</v>
      </c>
      <c r="E234" s="747">
        <f>SUM(E235:E243)</f>
        <v>165.77264000000002</v>
      </c>
      <c r="F234" s="748"/>
      <c r="G234" s="749"/>
    </row>
    <row r="235" spans="1:7" s="750" customFormat="1" ht="15.75">
      <c r="A235" s="770"/>
      <c r="B235" s="806" t="s">
        <v>1295</v>
      </c>
      <c r="C235" s="746"/>
      <c r="D235" s="748">
        <f t="shared" si="8"/>
        <v>30</v>
      </c>
      <c r="E235" s="754">
        <v>30</v>
      </c>
      <c r="F235" s="748"/>
      <c r="G235" s="749"/>
    </row>
    <row r="236" spans="1:7" s="750" customFormat="1" ht="15.75">
      <c r="A236" s="770"/>
      <c r="B236" s="806" t="s">
        <v>1298</v>
      </c>
      <c r="C236" s="746"/>
      <c r="D236" s="748">
        <f t="shared" si="8"/>
        <v>20</v>
      </c>
      <c r="E236" s="754">
        <v>20</v>
      </c>
      <c r="F236" s="748"/>
      <c r="G236" s="749"/>
    </row>
    <row r="237" spans="1:7" s="750" customFormat="1" ht="15.75">
      <c r="A237" s="770"/>
      <c r="B237" s="806" t="s">
        <v>1299</v>
      </c>
      <c r="C237" s="746"/>
      <c r="D237" s="748">
        <f t="shared" si="8"/>
        <v>20</v>
      </c>
      <c r="E237" s="754">
        <v>20</v>
      </c>
      <c r="F237" s="748"/>
      <c r="G237" s="749"/>
    </row>
    <row r="238" spans="1:7" s="750" customFormat="1" ht="15.75">
      <c r="A238" s="770"/>
      <c r="B238" s="806" t="s">
        <v>1300</v>
      </c>
      <c r="C238" s="746"/>
      <c r="D238" s="748">
        <f t="shared" si="8"/>
        <v>12.62</v>
      </c>
      <c r="E238" s="754">
        <v>12.62</v>
      </c>
      <c r="F238" s="748"/>
      <c r="G238" s="749"/>
    </row>
    <row r="239" spans="1:7" s="750" customFormat="1" ht="15.75">
      <c r="A239" s="770"/>
      <c r="B239" s="806" t="s">
        <v>1301</v>
      </c>
      <c r="C239" s="746"/>
      <c r="D239" s="748">
        <f t="shared" si="8"/>
        <v>4.95264</v>
      </c>
      <c r="E239" s="754">
        <v>4.95264</v>
      </c>
      <c r="F239" s="748"/>
      <c r="G239" s="749"/>
    </row>
    <row r="240" spans="1:7" s="750" customFormat="1" ht="15.75">
      <c r="A240" s="770"/>
      <c r="B240" s="806" t="s">
        <v>1162</v>
      </c>
      <c r="C240" s="746"/>
      <c r="D240" s="748">
        <f t="shared" si="8"/>
        <v>18.2</v>
      </c>
      <c r="E240" s="754">
        <v>18.2</v>
      </c>
      <c r="F240" s="748"/>
      <c r="G240" s="749"/>
    </row>
    <row r="241" spans="1:7" s="750" customFormat="1" ht="15.75">
      <c r="A241" s="770"/>
      <c r="B241" s="806" t="s">
        <v>1141</v>
      </c>
      <c r="C241" s="746"/>
      <c r="D241" s="748">
        <f t="shared" si="8"/>
        <v>20</v>
      </c>
      <c r="E241" s="754">
        <v>20</v>
      </c>
      <c r="F241" s="748"/>
      <c r="G241" s="749"/>
    </row>
    <row r="242" spans="1:7" s="750" customFormat="1" ht="15.75">
      <c r="A242" s="770"/>
      <c r="B242" s="806" t="s">
        <v>1144</v>
      </c>
      <c r="C242" s="746"/>
      <c r="D242" s="748">
        <f t="shared" si="8"/>
        <v>20</v>
      </c>
      <c r="E242" s="754">
        <v>20</v>
      </c>
      <c r="F242" s="748"/>
      <c r="G242" s="749"/>
    </row>
    <row r="243" spans="1:7" s="750" customFormat="1" ht="15.75">
      <c r="A243" s="770"/>
      <c r="B243" s="806" t="s">
        <v>1147</v>
      </c>
      <c r="C243" s="746"/>
      <c r="D243" s="748">
        <f t="shared" si="8"/>
        <v>20</v>
      </c>
      <c r="E243" s="754">
        <v>20</v>
      </c>
      <c r="F243" s="748"/>
      <c r="G243" s="749"/>
    </row>
    <row r="244" spans="1:7" s="750" customFormat="1" ht="15.75">
      <c r="A244" s="770"/>
      <c r="B244" s="751" t="s">
        <v>1302</v>
      </c>
      <c r="C244" s="746"/>
      <c r="D244" s="747">
        <f>SUM(D245:D253)</f>
        <v>300</v>
      </c>
      <c r="E244" s="747">
        <f>SUM(E245:E253)</f>
        <v>300</v>
      </c>
      <c r="F244" s="748"/>
      <c r="G244" s="749"/>
    </row>
    <row r="245" spans="1:7" s="750" customFormat="1" ht="15.75">
      <c r="A245" s="770"/>
      <c r="B245" s="806" t="s">
        <v>1295</v>
      </c>
      <c r="C245" s="746"/>
      <c r="D245" s="748">
        <f t="shared" si="8"/>
        <v>60</v>
      </c>
      <c r="E245" s="754">
        <v>60</v>
      </c>
      <c r="F245" s="748"/>
      <c r="G245" s="749"/>
    </row>
    <row r="246" spans="1:7" s="750" customFormat="1" ht="15.75">
      <c r="A246" s="770"/>
      <c r="B246" s="806" t="s">
        <v>1298</v>
      </c>
      <c r="C246" s="746"/>
      <c r="D246" s="748">
        <f t="shared" si="8"/>
        <v>30</v>
      </c>
      <c r="E246" s="754">
        <v>30</v>
      </c>
      <c r="F246" s="748"/>
      <c r="G246" s="749"/>
    </row>
    <row r="247" spans="1:7" s="750" customFormat="1" ht="15.75">
      <c r="A247" s="770"/>
      <c r="B247" s="806" t="s">
        <v>1299</v>
      </c>
      <c r="C247" s="746"/>
      <c r="D247" s="748">
        <f t="shared" si="8"/>
        <v>30</v>
      </c>
      <c r="E247" s="754">
        <v>30</v>
      </c>
      <c r="F247" s="748"/>
      <c r="G247" s="749"/>
    </row>
    <row r="248" spans="1:7" s="750" customFormat="1" ht="15.75">
      <c r="A248" s="770"/>
      <c r="B248" s="806" t="s">
        <v>1300</v>
      </c>
      <c r="C248" s="746"/>
      <c r="D248" s="748">
        <f t="shared" si="8"/>
        <v>30</v>
      </c>
      <c r="E248" s="754">
        <v>30</v>
      </c>
      <c r="F248" s="748"/>
      <c r="G248" s="749"/>
    </row>
    <row r="249" spans="1:7" s="750" customFormat="1" ht="15.75">
      <c r="A249" s="770"/>
      <c r="B249" s="806" t="s">
        <v>1301</v>
      </c>
      <c r="C249" s="746"/>
      <c r="D249" s="748">
        <f t="shared" si="8"/>
        <v>30</v>
      </c>
      <c r="E249" s="754">
        <v>30</v>
      </c>
      <c r="F249" s="748"/>
      <c r="G249" s="749"/>
    </row>
    <row r="250" spans="1:7" s="750" customFormat="1" ht="15.75">
      <c r="A250" s="770"/>
      <c r="B250" s="806" t="s">
        <v>1162</v>
      </c>
      <c r="C250" s="746"/>
      <c r="D250" s="748">
        <f t="shared" si="8"/>
        <v>30</v>
      </c>
      <c r="E250" s="754">
        <v>30</v>
      </c>
      <c r="F250" s="748"/>
      <c r="G250" s="749"/>
    </row>
    <row r="251" spans="1:7" s="750" customFormat="1" ht="15.75">
      <c r="A251" s="770"/>
      <c r="B251" s="806" t="s">
        <v>1141</v>
      </c>
      <c r="C251" s="746"/>
      <c r="D251" s="748">
        <f t="shared" si="8"/>
        <v>30</v>
      </c>
      <c r="E251" s="754">
        <v>30</v>
      </c>
      <c r="F251" s="748"/>
      <c r="G251" s="749"/>
    </row>
    <row r="252" spans="1:7" s="750" customFormat="1" ht="15.75">
      <c r="A252" s="770"/>
      <c r="B252" s="806" t="s">
        <v>1144</v>
      </c>
      <c r="C252" s="746"/>
      <c r="D252" s="748">
        <f t="shared" si="8"/>
        <v>30</v>
      </c>
      <c r="E252" s="754">
        <v>30</v>
      </c>
      <c r="F252" s="748"/>
      <c r="G252" s="749"/>
    </row>
    <row r="253" spans="1:7" s="750" customFormat="1" ht="15.75">
      <c r="A253" s="770"/>
      <c r="B253" s="806" t="s">
        <v>1147</v>
      </c>
      <c r="C253" s="746"/>
      <c r="D253" s="748">
        <f t="shared" si="8"/>
        <v>30</v>
      </c>
      <c r="E253" s="754">
        <v>30</v>
      </c>
      <c r="F253" s="748"/>
      <c r="G253" s="749"/>
    </row>
    <row r="254" spans="1:7" s="717" customFormat="1" ht="31.5">
      <c r="A254" s="807" t="s">
        <v>1291</v>
      </c>
      <c r="B254" s="805" t="s">
        <v>1043</v>
      </c>
      <c r="C254" s="808"/>
      <c r="D254" s="747">
        <f>D255+D265+D276+D282+D303+D323</f>
        <v>3615.8703750000004</v>
      </c>
      <c r="E254" s="747">
        <f>E255+E265+E276+E282+E303+E323</f>
        <v>3615.8703750000004</v>
      </c>
      <c r="F254" s="776"/>
      <c r="G254" s="742" t="s">
        <v>1137</v>
      </c>
    </row>
    <row r="255" spans="1:7" s="750" customFormat="1" ht="15.75">
      <c r="A255" s="770"/>
      <c r="B255" s="805" t="s">
        <v>1303</v>
      </c>
      <c r="C255" s="746"/>
      <c r="D255" s="747">
        <f>SUM(D256:D264)</f>
        <v>1149</v>
      </c>
      <c r="E255" s="747">
        <f>SUM(E256:E264)</f>
        <v>1149</v>
      </c>
      <c r="F255" s="748"/>
      <c r="G255" s="749"/>
    </row>
    <row r="256" spans="1:7" s="750" customFormat="1" ht="15.75">
      <c r="A256" s="770"/>
      <c r="B256" s="806" t="s">
        <v>1298</v>
      </c>
      <c r="C256" s="746"/>
      <c r="D256" s="748">
        <f t="shared" si="8"/>
        <v>111.4</v>
      </c>
      <c r="E256" s="754">
        <v>111.4</v>
      </c>
      <c r="F256" s="748"/>
      <c r="G256" s="749"/>
    </row>
    <row r="257" spans="1:7" s="750" customFormat="1" ht="15.75">
      <c r="A257" s="770"/>
      <c r="B257" s="806" t="s">
        <v>1299</v>
      </c>
      <c r="C257" s="746"/>
      <c r="D257" s="748">
        <f t="shared" si="8"/>
        <v>162</v>
      </c>
      <c r="E257" s="754">
        <v>162</v>
      </c>
      <c r="F257" s="748"/>
      <c r="G257" s="749"/>
    </row>
    <row r="258" spans="1:7" s="750" customFormat="1" ht="15.75">
      <c r="A258" s="770"/>
      <c r="B258" s="806" t="s">
        <v>1300</v>
      </c>
      <c r="C258" s="746"/>
      <c r="D258" s="748">
        <f t="shared" si="8"/>
        <v>91.6</v>
      </c>
      <c r="E258" s="754">
        <v>91.6</v>
      </c>
      <c r="F258" s="748"/>
      <c r="G258" s="749"/>
    </row>
    <row r="259" spans="1:7" s="750" customFormat="1" ht="15.75">
      <c r="A259" s="770"/>
      <c r="B259" s="806" t="s">
        <v>1301</v>
      </c>
      <c r="C259" s="746"/>
      <c r="D259" s="748">
        <f t="shared" si="8"/>
        <v>141.8</v>
      </c>
      <c r="E259" s="754">
        <v>141.8</v>
      </c>
      <c r="F259" s="748"/>
      <c r="G259" s="749"/>
    </row>
    <row r="260" spans="1:7" s="750" customFormat="1" ht="15.75">
      <c r="A260" s="770"/>
      <c r="B260" s="806" t="s">
        <v>1162</v>
      </c>
      <c r="C260" s="746"/>
      <c r="D260" s="748">
        <f t="shared" si="8"/>
        <v>111.4</v>
      </c>
      <c r="E260" s="754">
        <v>111.4</v>
      </c>
      <c r="F260" s="748"/>
      <c r="G260" s="749"/>
    </row>
    <row r="261" spans="1:7" s="750" customFormat="1" ht="15.75">
      <c r="A261" s="770"/>
      <c r="B261" s="806" t="s">
        <v>1141</v>
      </c>
      <c r="C261" s="746"/>
      <c r="D261" s="748">
        <f t="shared" si="8"/>
        <v>131.6</v>
      </c>
      <c r="E261" s="754">
        <v>131.6</v>
      </c>
      <c r="F261" s="748"/>
      <c r="G261" s="749"/>
    </row>
    <row r="262" spans="1:7" s="750" customFormat="1" ht="15.75">
      <c r="A262" s="770"/>
      <c r="B262" s="806" t="s">
        <v>1144</v>
      </c>
      <c r="C262" s="746"/>
      <c r="D262" s="748">
        <f t="shared" si="8"/>
        <v>162</v>
      </c>
      <c r="E262" s="754">
        <v>162</v>
      </c>
      <c r="F262" s="748"/>
      <c r="G262" s="749"/>
    </row>
    <row r="263" spans="1:7" s="750" customFormat="1" ht="15.75">
      <c r="A263" s="770"/>
      <c r="B263" s="806" t="s">
        <v>1147</v>
      </c>
      <c r="C263" s="746"/>
      <c r="D263" s="748">
        <f t="shared" si="8"/>
        <v>131.6</v>
      </c>
      <c r="E263" s="754">
        <v>131.6</v>
      </c>
      <c r="F263" s="748"/>
      <c r="G263" s="749"/>
    </row>
    <row r="264" spans="1:7" s="750" customFormat="1" ht="15.75">
      <c r="A264" s="770"/>
      <c r="B264" s="806" t="s">
        <v>1304</v>
      </c>
      <c r="C264" s="746"/>
      <c r="D264" s="748">
        <f t="shared" si="8"/>
        <v>105.6</v>
      </c>
      <c r="E264" s="754">
        <v>105.6</v>
      </c>
      <c r="F264" s="748"/>
      <c r="G264" s="749"/>
    </row>
    <row r="265" spans="1:7" s="750" customFormat="1" ht="31.5">
      <c r="A265" s="770"/>
      <c r="B265" s="805" t="s">
        <v>1305</v>
      </c>
      <c r="C265" s="746"/>
      <c r="D265" s="747">
        <f>SUM(D266:D275)</f>
        <v>487</v>
      </c>
      <c r="E265" s="747">
        <f>SUM(E266:E275)</f>
        <v>487</v>
      </c>
      <c r="F265" s="748"/>
      <c r="G265" s="749"/>
    </row>
    <row r="266" spans="1:7" s="750" customFormat="1" ht="15.75">
      <c r="A266" s="770"/>
      <c r="B266" s="806" t="s">
        <v>979</v>
      </c>
      <c r="C266" s="746"/>
      <c r="D266" s="748">
        <f t="shared" si="8"/>
        <v>9.7</v>
      </c>
      <c r="E266" s="754">
        <v>9.7</v>
      </c>
      <c r="F266" s="748"/>
      <c r="G266" s="749"/>
    </row>
    <row r="267" spans="1:7" s="750" customFormat="1" ht="15.75">
      <c r="A267" s="770"/>
      <c r="B267" s="806" t="s">
        <v>1298</v>
      </c>
      <c r="C267" s="746"/>
      <c r="D267" s="748">
        <f t="shared" si="8"/>
        <v>46.3</v>
      </c>
      <c r="E267" s="754">
        <v>46.3</v>
      </c>
      <c r="F267" s="748"/>
      <c r="G267" s="749"/>
    </row>
    <row r="268" spans="1:7" s="750" customFormat="1" ht="15.75">
      <c r="A268" s="770"/>
      <c r="B268" s="806" t="s">
        <v>1299</v>
      </c>
      <c r="C268" s="746"/>
      <c r="D268" s="748">
        <f t="shared" si="8"/>
        <v>67.3</v>
      </c>
      <c r="E268" s="754">
        <v>67.3</v>
      </c>
      <c r="F268" s="748"/>
      <c r="G268" s="749"/>
    </row>
    <row r="269" spans="1:7" s="750" customFormat="1" ht="15.75">
      <c r="A269" s="770"/>
      <c r="B269" s="806" t="s">
        <v>1300</v>
      </c>
      <c r="C269" s="746"/>
      <c r="D269" s="748">
        <f t="shared" si="8"/>
        <v>38</v>
      </c>
      <c r="E269" s="754">
        <v>38</v>
      </c>
      <c r="F269" s="748"/>
      <c r="G269" s="749"/>
    </row>
    <row r="270" spans="1:7" s="750" customFormat="1" ht="15.75">
      <c r="A270" s="770"/>
      <c r="B270" s="806" t="s">
        <v>1301</v>
      </c>
      <c r="C270" s="746"/>
      <c r="D270" s="748">
        <f t="shared" si="8"/>
        <v>58.9</v>
      </c>
      <c r="E270" s="754">
        <v>58.9</v>
      </c>
      <c r="F270" s="748"/>
      <c r="G270" s="749"/>
    </row>
    <row r="271" spans="1:7" s="750" customFormat="1" ht="15.75">
      <c r="A271" s="770"/>
      <c r="B271" s="806" t="s">
        <v>1162</v>
      </c>
      <c r="C271" s="746"/>
      <c r="D271" s="748">
        <f t="shared" si="8"/>
        <v>46.3</v>
      </c>
      <c r="E271" s="754">
        <v>46.3</v>
      </c>
      <c r="F271" s="748"/>
      <c r="G271" s="749"/>
    </row>
    <row r="272" spans="1:7" s="750" customFormat="1" ht="15.75">
      <c r="A272" s="770"/>
      <c r="B272" s="806" t="s">
        <v>1141</v>
      </c>
      <c r="C272" s="746"/>
      <c r="D272" s="748">
        <f t="shared" si="8"/>
        <v>54.7</v>
      </c>
      <c r="E272" s="754">
        <v>54.7</v>
      </c>
      <c r="F272" s="748"/>
      <c r="G272" s="749"/>
    </row>
    <row r="273" spans="1:7" s="750" customFormat="1" ht="15.75">
      <c r="A273" s="770"/>
      <c r="B273" s="806" t="s">
        <v>1144</v>
      </c>
      <c r="C273" s="746"/>
      <c r="D273" s="748">
        <f t="shared" si="8"/>
        <v>67.3</v>
      </c>
      <c r="E273" s="754">
        <v>67.3</v>
      </c>
      <c r="F273" s="748"/>
      <c r="G273" s="749"/>
    </row>
    <row r="274" spans="1:7" s="750" customFormat="1" ht="15.75">
      <c r="A274" s="770"/>
      <c r="B274" s="806" t="s">
        <v>1147</v>
      </c>
      <c r="C274" s="746"/>
      <c r="D274" s="748">
        <f t="shared" si="8"/>
        <v>54.7</v>
      </c>
      <c r="E274" s="754">
        <v>54.7</v>
      </c>
      <c r="F274" s="748"/>
      <c r="G274" s="749"/>
    </row>
    <row r="275" spans="1:7" s="750" customFormat="1" ht="15.75">
      <c r="A275" s="770"/>
      <c r="B275" s="806" t="s">
        <v>1304</v>
      </c>
      <c r="C275" s="746"/>
      <c r="D275" s="748">
        <f t="shared" si="8"/>
        <v>43.8</v>
      </c>
      <c r="E275" s="754">
        <v>43.8</v>
      </c>
      <c r="F275" s="748"/>
      <c r="G275" s="749"/>
    </row>
    <row r="276" spans="1:7" s="750" customFormat="1" ht="15.75">
      <c r="A276" s="770"/>
      <c r="B276" s="805" t="s">
        <v>1306</v>
      </c>
      <c r="C276" s="746"/>
      <c r="D276" s="747">
        <f>D277+D280</f>
        <v>1344.969151</v>
      </c>
      <c r="E276" s="747">
        <f>E277+E280</f>
        <v>1344.969151</v>
      </c>
      <c r="F276" s="748"/>
      <c r="G276" s="749"/>
    </row>
    <row r="277" spans="1:7" s="750" customFormat="1" ht="15.75">
      <c r="A277" s="770"/>
      <c r="B277" s="805" t="s">
        <v>1307</v>
      </c>
      <c r="C277" s="746"/>
      <c r="D277" s="747">
        <f>SUM(D278:D279)</f>
        <v>1129.969151</v>
      </c>
      <c r="E277" s="747">
        <f>SUM(E278:E279)</f>
        <v>1129.969151</v>
      </c>
      <c r="F277" s="748"/>
      <c r="G277" s="749"/>
    </row>
    <row r="278" spans="1:7" s="750" customFormat="1" ht="15.75">
      <c r="A278" s="770"/>
      <c r="B278" s="806" t="s">
        <v>1308</v>
      </c>
      <c r="C278" s="746"/>
      <c r="D278" s="748">
        <f aca="true" t="shared" si="9" ref="D278:D341">E278+F278</f>
        <v>253.6</v>
      </c>
      <c r="E278" s="754">
        <v>253.6</v>
      </c>
      <c r="F278" s="748"/>
      <c r="G278" s="749"/>
    </row>
    <row r="279" spans="1:7" s="750" customFormat="1" ht="15.75">
      <c r="A279" s="770"/>
      <c r="B279" s="806" t="s">
        <v>1030</v>
      </c>
      <c r="C279" s="746"/>
      <c r="D279" s="748">
        <f t="shared" si="9"/>
        <v>876.369151</v>
      </c>
      <c r="E279" s="754">
        <v>876.369151</v>
      </c>
      <c r="F279" s="748"/>
      <c r="G279" s="749"/>
    </row>
    <row r="280" spans="1:7" s="750" customFormat="1" ht="15.75">
      <c r="A280" s="770"/>
      <c r="B280" s="805" t="s">
        <v>1309</v>
      </c>
      <c r="C280" s="746"/>
      <c r="D280" s="747">
        <f>D281</f>
        <v>215</v>
      </c>
      <c r="E280" s="747">
        <f>E281</f>
        <v>215</v>
      </c>
      <c r="F280" s="748"/>
      <c r="G280" s="749"/>
    </row>
    <row r="281" spans="1:7" s="750" customFormat="1" ht="15.75">
      <c r="A281" s="770"/>
      <c r="B281" s="806" t="s">
        <v>1308</v>
      </c>
      <c r="C281" s="746"/>
      <c r="D281" s="748">
        <f t="shared" si="9"/>
        <v>215</v>
      </c>
      <c r="E281" s="754">
        <v>215</v>
      </c>
      <c r="F281" s="748"/>
      <c r="G281" s="749"/>
    </row>
    <row r="282" spans="1:7" s="750" customFormat="1" ht="15.75">
      <c r="A282" s="770"/>
      <c r="B282" s="805" t="s">
        <v>1310</v>
      </c>
      <c r="C282" s="746"/>
      <c r="D282" s="747">
        <f>D283+D293</f>
        <v>30.611600000000003</v>
      </c>
      <c r="E282" s="747">
        <f>E283+E293</f>
        <v>30.611600000000003</v>
      </c>
      <c r="F282" s="748"/>
      <c r="G282" s="749"/>
    </row>
    <row r="283" spans="1:7" s="750" customFormat="1" ht="15.75">
      <c r="A283" s="770"/>
      <c r="B283" s="805" t="s">
        <v>1311</v>
      </c>
      <c r="C283" s="746"/>
      <c r="D283" s="747">
        <f>SUM(D284:D292)</f>
        <v>10.808</v>
      </c>
      <c r="E283" s="747">
        <f>SUM(E284:E292)</f>
        <v>10.808</v>
      </c>
      <c r="F283" s="748"/>
      <c r="G283" s="749"/>
    </row>
    <row r="284" spans="1:7" s="750" customFormat="1" ht="15.75">
      <c r="A284" s="770"/>
      <c r="B284" s="806" t="s">
        <v>1312</v>
      </c>
      <c r="C284" s="746"/>
      <c r="D284" s="748">
        <f t="shared" si="9"/>
        <v>0.006</v>
      </c>
      <c r="E284" s="754">
        <v>0.006</v>
      </c>
      <c r="F284" s="748"/>
      <c r="G284" s="749"/>
    </row>
    <row r="285" spans="1:7" s="750" customFormat="1" ht="15.75">
      <c r="A285" s="770"/>
      <c r="B285" s="806" t="s">
        <v>1299</v>
      </c>
      <c r="C285" s="746"/>
      <c r="D285" s="748">
        <f t="shared" si="9"/>
        <v>2.1</v>
      </c>
      <c r="E285" s="754">
        <v>2.1</v>
      </c>
      <c r="F285" s="748"/>
      <c r="G285" s="749"/>
    </row>
    <row r="286" spans="1:7" s="750" customFormat="1" ht="15.75">
      <c r="A286" s="770"/>
      <c r="B286" s="806" t="s">
        <v>1300</v>
      </c>
      <c r="C286" s="746"/>
      <c r="D286" s="748">
        <f t="shared" si="9"/>
        <v>1.2</v>
      </c>
      <c r="E286" s="754">
        <v>1.2</v>
      </c>
      <c r="F286" s="748"/>
      <c r="G286" s="749"/>
    </row>
    <row r="287" spans="1:7" s="750" customFormat="1" ht="15.75">
      <c r="A287" s="770"/>
      <c r="B287" s="806" t="s">
        <v>1301</v>
      </c>
      <c r="C287" s="746"/>
      <c r="D287" s="748">
        <f t="shared" si="9"/>
        <v>0.6</v>
      </c>
      <c r="E287" s="754">
        <v>0.6</v>
      </c>
      <c r="F287" s="748"/>
      <c r="G287" s="749"/>
    </row>
    <row r="288" spans="1:7" s="750" customFormat="1" ht="15.75">
      <c r="A288" s="770"/>
      <c r="B288" s="806" t="s">
        <v>1162</v>
      </c>
      <c r="C288" s="746"/>
      <c r="D288" s="748">
        <f t="shared" si="9"/>
        <v>1.4</v>
      </c>
      <c r="E288" s="754">
        <v>1.4</v>
      </c>
      <c r="F288" s="748"/>
      <c r="G288" s="749"/>
    </row>
    <row r="289" spans="1:7" s="750" customFormat="1" ht="15.75">
      <c r="A289" s="770"/>
      <c r="B289" s="806" t="s">
        <v>1141</v>
      </c>
      <c r="C289" s="746"/>
      <c r="D289" s="748">
        <f t="shared" si="9"/>
        <v>1.7</v>
      </c>
      <c r="E289" s="754">
        <v>1.7</v>
      </c>
      <c r="F289" s="748"/>
      <c r="G289" s="749"/>
    </row>
    <row r="290" spans="1:7" s="750" customFormat="1" ht="15.75">
      <c r="A290" s="770"/>
      <c r="B290" s="806" t="s">
        <v>1144</v>
      </c>
      <c r="C290" s="746"/>
      <c r="D290" s="748">
        <f t="shared" si="9"/>
        <v>2.1</v>
      </c>
      <c r="E290" s="754">
        <v>2.1</v>
      </c>
      <c r="F290" s="748"/>
      <c r="G290" s="749"/>
    </row>
    <row r="291" spans="1:7" s="750" customFormat="1" ht="15.75">
      <c r="A291" s="770"/>
      <c r="B291" s="806" t="s">
        <v>1147</v>
      </c>
      <c r="C291" s="746"/>
      <c r="D291" s="748">
        <f t="shared" si="9"/>
        <v>1.7</v>
      </c>
      <c r="E291" s="754">
        <v>1.7</v>
      </c>
      <c r="F291" s="748"/>
      <c r="G291" s="749"/>
    </row>
    <row r="292" spans="1:7" s="750" customFormat="1" ht="15.75">
      <c r="A292" s="770"/>
      <c r="B292" s="806" t="s">
        <v>1304</v>
      </c>
      <c r="C292" s="746"/>
      <c r="D292" s="748">
        <f t="shared" si="9"/>
        <v>0.002</v>
      </c>
      <c r="E292" s="754">
        <v>0.002</v>
      </c>
      <c r="F292" s="748"/>
      <c r="G292" s="749"/>
    </row>
    <row r="293" spans="1:7" s="750" customFormat="1" ht="15.75">
      <c r="A293" s="770"/>
      <c r="B293" s="805" t="s">
        <v>1313</v>
      </c>
      <c r="C293" s="746"/>
      <c r="D293" s="747">
        <f>SUM(D294:D302)</f>
        <v>19.803600000000003</v>
      </c>
      <c r="E293" s="747">
        <f>SUM(E294:E302)</f>
        <v>19.803600000000003</v>
      </c>
      <c r="F293" s="748"/>
      <c r="G293" s="749"/>
    </row>
    <row r="294" spans="1:7" s="750" customFormat="1" ht="15.75">
      <c r="A294" s="770"/>
      <c r="B294" s="806" t="s">
        <v>1308</v>
      </c>
      <c r="C294" s="746"/>
      <c r="D294" s="748">
        <f t="shared" si="9"/>
        <v>8.4</v>
      </c>
      <c r="E294" s="754">
        <v>8.4</v>
      </c>
      <c r="F294" s="748"/>
      <c r="G294" s="749"/>
    </row>
    <row r="295" spans="1:7" s="750" customFormat="1" ht="15.75">
      <c r="A295" s="770"/>
      <c r="B295" s="806" t="s">
        <v>1299</v>
      </c>
      <c r="C295" s="746"/>
      <c r="D295" s="748">
        <f t="shared" si="9"/>
        <v>2.2</v>
      </c>
      <c r="E295" s="754">
        <v>2.2</v>
      </c>
      <c r="F295" s="748"/>
      <c r="G295" s="749"/>
    </row>
    <row r="296" spans="1:7" s="750" customFormat="1" ht="15.75">
      <c r="A296" s="770"/>
      <c r="B296" s="806" t="s">
        <v>1300</v>
      </c>
      <c r="C296" s="746"/>
      <c r="D296" s="748">
        <f t="shared" si="9"/>
        <v>1.3</v>
      </c>
      <c r="E296" s="754">
        <v>1.3</v>
      </c>
      <c r="F296" s="748"/>
      <c r="G296" s="749"/>
    </row>
    <row r="297" spans="1:7" s="750" customFormat="1" ht="15.75">
      <c r="A297" s="770"/>
      <c r="B297" s="806" t="s">
        <v>1301</v>
      </c>
      <c r="C297" s="746"/>
      <c r="D297" s="748">
        <f t="shared" si="9"/>
        <v>0.6</v>
      </c>
      <c r="E297" s="754">
        <v>0.6</v>
      </c>
      <c r="F297" s="748"/>
      <c r="G297" s="749"/>
    </row>
    <row r="298" spans="1:7" s="750" customFormat="1" ht="15.75">
      <c r="A298" s="770"/>
      <c r="B298" s="806" t="s">
        <v>1162</v>
      </c>
      <c r="C298" s="746"/>
      <c r="D298" s="748">
        <f t="shared" si="9"/>
        <v>1.5</v>
      </c>
      <c r="E298" s="754">
        <v>1.5</v>
      </c>
      <c r="F298" s="748"/>
      <c r="G298" s="749"/>
    </row>
    <row r="299" spans="1:7" s="750" customFormat="1" ht="15.75">
      <c r="A299" s="770"/>
      <c r="B299" s="806" t="s">
        <v>1141</v>
      </c>
      <c r="C299" s="746"/>
      <c r="D299" s="748">
        <f t="shared" si="9"/>
        <v>1.8</v>
      </c>
      <c r="E299" s="754">
        <v>1.8</v>
      </c>
      <c r="F299" s="748"/>
      <c r="G299" s="749"/>
    </row>
    <row r="300" spans="1:7" s="750" customFormat="1" ht="15.75">
      <c r="A300" s="770"/>
      <c r="B300" s="806" t="s">
        <v>1144</v>
      </c>
      <c r="C300" s="746"/>
      <c r="D300" s="748">
        <f t="shared" si="9"/>
        <v>2.2</v>
      </c>
      <c r="E300" s="754">
        <v>2.2</v>
      </c>
      <c r="F300" s="748"/>
      <c r="G300" s="749"/>
    </row>
    <row r="301" spans="1:7" s="750" customFormat="1" ht="15.75">
      <c r="A301" s="770"/>
      <c r="B301" s="806" t="s">
        <v>1147</v>
      </c>
      <c r="C301" s="746"/>
      <c r="D301" s="748">
        <f t="shared" si="9"/>
        <v>1.8</v>
      </c>
      <c r="E301" s="754">
        <v>1.8</v>
      </c>
      <c r="F301" s="748"/>
      <c r="G301" s="749"/>
    </row>
    <row r="302" spans="1:7" s="750" customFormat="1" ht="15.75">
      <c r="A302" s="770"/>
      <c r="B302" s="806" t="s">
        <v>1304</v>
      </c>
      <c r="C302" s="746"/>
      <c r="D302" s="748">
        <f t="shared" si="9"/>
        <v>0.0036</v>
      </c>
      <c r="E302" s="754">
        <v>0.0036</v>
      </c>
      <c r="F302" s="748"/>
      <c r="G302" s="749"/>
    </row>
    <row r="303" spans="1:7" s="750" customFormat="1" ht="15.75">
      <c r="A303" s="770"/>
      <c r="B303" s="805" t="s">
        <v>1314</v>
      </c>
      <c r="C303" s="746"/>
      <c r="D303" s="747">
        <f>D304+D314</f>
        <v>208.289624</v>
      </c>
      <c r="E303" s="747">
        <f>E304+E314</f>
        <v>208.289624</v>
      </c>
      <c r="F303" s="748"/>
      <c r="G303" s="749"/>
    </row>
    <row r="304" spans="1:7" s="750" customFormat="1" ht="15.75">
      <c r="A304" s="770"/>
      <c r="B304" s="805" t="s">
        <v>1315</v>
      </c>
      <c r="C304" s="746"/>
      <c r="D304" s="747">
        <f>SUM(D305:D313)</f>
        <v>137.702624</v>
      </c>
      <c r="E304" s="747">
        <f>SUM(E305:E313)</f>
        <v>137.702624</v>
      </c>
      <c r="F304" s="748"/>
      <c r="G304" s="749"/>
    </row>
    <row r="305" spans="1:7" s="750" customFormat="1" ht="15.75">
      <c r="A305" s="770"/>
      <c r="B305" s="806" t="s">
        <v>1308</v>
      </c>
      <c r="C305" s="746"/>
      <c r="D305" s="748">
        <f t="shared" si="9"/>
        <v>51</v>
      </c>
      <c r="E305" s="754">
        <v>51</v>
      </c>
      <c r="F305" s="748"/>
      <c r="G305" s="749"/>
    </row>
    <row r="306" spans="1:7" s="750" customFormat="1" ht="15.75">
      <c r="A306" s="770"/>
      <c r="B306" s="806" t="s">
        <v>1299</v>
      </c>
      <c r="C306" s="746"/>
      <c r="D306" s="748">
        <f t="shared" si="9"/>
        <v>16.8</v>
      </c>
      <c r="E306" s="754">
        <v>16.8</v>
      </c>
      <c r="F306" s="748"/>
      <c r="G306" s="749"/>
    </row>
    <row r="307" spans="1:7" s="750" customFormat="1" ht="15.75">
      <c r="A307" s="770"/>
      <c r="B307" s="806" t="s">
        <v>1300</v>
      </c>
      <c r="C307" s="746"/>
      <c r="D307" s="748">
        <f t="shared" si="9"/>
        <v>9.6</v>
      </c>
      <c r="E307" s="754">
        <v>9.6</v>
      </c>
      <c r="F307" s="748"/>
      <c r="G307" s="749"/>
    </row>
    <row r="308" spans="1:7" s="750" customFormat="1" ht="15.75">
      <c r="A308" s="770"/>
      <c r="B308" s="806" t="s">
        <v>1301</v>
      </c>
      <c r="C308" s="746"/>
      <c r="D308" s="748">
        <f t="shared" si="9"/>
        <v>4.8</v>
      </c>
      <c r="E308" s="754">
        <v>4.8</v>
      </c>
      <c r="F308" s="748"/>
      <c r="G308" s="749"/>
    </row>
    <row r="309" spans="1:7" s="750" customFormat="1" ht="15.75">
      <c r="A309" s="770"/>
      <c r="B309" s="806" t="s">
        <v>1162</v>
      </c>
      <c r="C309" s="746"/>
      <c r="D309" s="748">
        <f t="shared" si="9"/>
        <v>11.5</v>
      </c>
      <c r="E309" s="754">
        <v>11.5</v>
      </c>
      <c r="F309" s="748"/>
      <c r="G309" s="749"/>
    </row>
    <row r="310" spans="1:7" s="750" customFormat="1" ht="15.75">
      <c r="A310" s="770"/>
      <c r="B310" s="806" t="s">
        <v>1141</v>
      </c>
      <c r="C310" s="746"/>
      <c r="D310" s="748">
        <f t="shared" si="9"/>
        <v>13.6</v>
      </c>
      <c r="E310" s="754">
        <v>13.6</v>
      </c>
      <c r="F310" s="748"/>
      <c r="G310" s="749"/>
    </row>
    <row r="311" spans="1:7" s="750" customFormat="1" ht="15.75">
      <c r="A311" s="770"/>
      <c r="B311" s="806" t="s">
        <v>1144</v>
      </c>
      <c r="C311" s="746"/>
      <c r="D311" s="748">
        <f t="shared" si="9"/>
        <v>16.8</v>
      </c>
      <c r="E311" s="754">
        <v>16.8</v>
      </c>
      <c r="F311" s="748"/>
      <c r="G311" s="749"/>
    </row>
    <row r="312" spans="1:7" s="750" customFormat="1" ht="15.75">
      <c r="A312" s="770"/>
      <c r="B312" s="806" t="s">
        <v>1147</v>
      </c>
      <c r="C312" s="746"/>
      <c r="D312" s="748">
        <f t="shared" si="9"/>
        <v>13.6</v>
      </c>
      <c r="E312" s="754">
        <v>13.6</v>
      </c>
      <c r="F312" s="748"/>
      <c r="G312" s="749"/>
    </row>
    <row r="313" spans="1:7" s="750" customFormat="1" ht="15.75">
      <c r="A313" s="770"/>
      <c r="B313" s="806" t="s">
        <v>1304</v>
      </c>
      <c r="C313" s="746"/>
      <c r="D313" s="748">
        <f t="shared" si="9"/>
        <v>0.002624</v>
      </c>
      <c r="E313" s="754">
        <v>0.002624</v>
      </c>
      <c r="F313" s="748"/>
      <c r="G313" s="749"/>
    </row>
    <row r="314" spans="1:7" s="750" customFormat="1" ht="15.75">
      <c r="A314" s="770"/>
      <c r="B314" s="805" t="s">
        <v>1316</v>
      </c>
      <c r="C314" s="746"/>
      <c r="D314" s="747">
        <f>SUM(D315:D322)</f>
        <v>70.587</v>
      </c>
      <c r="E314" s="747">
        <f>SUM(E315:E322)</f>
        <v>70.587</v>
      </c>
      <c r="F314" s="748"/>
      <c r="G314" s="749"/>
    </row>
    <row r="315" spans="1:7" s="750" customFormat="1" ht="15.75">
      <c r="A315" s="770"/>
      <c r="B315" s="806" t="s">
        <v>1308</v>
      </c>
      <c r="C315" s="746"/>
      <c r="D315" s="748">
        <f t="shared" si="9"/>
        <v>27</v>
      </c>
      <c r="E315" s="754">
        <v>27</v>
      </c>
      <c r="F315" s="748"/>
      <c r="G315" s="749"/>
    </row>
    <row r="316" spans="1:7" s="750" customFormat="1" ht="15.75">
      <c r="A316" s="770"/>
      <c r="B316" s="806" t="s">
        <v>1298</v>
      </c>
      <c r="C316" s="746"/>
      <c r="D316" s="748">
        <f t="shared" si="9"/>
        <v>0.287</v>
      </c>
      <c r="E316" s="754">
        <v>0.287</v>
      </c>
      <c r="F316" s="748"/>
      <c r="G316" s="749"/>
    </row>
    <row r="317" spans="1:7" s="750" customFormat="1" ht="15.75">
      <c r="A317" s="770"/>
      <c r="B317" s="806" t="s">
        <v>1299</v>
      </c>
      <c r="C317" s="746"/>
      <c r="D317" s="748">
        <f t="shared" si="9"/>
        <v>8.9</v>
      </c>
      <c r="E317" s="754">
        <v>8.9</v>
      </c>
      <c r="F317" s="748"/>
      <c r="G317" s="749"/>
    </row>
    <row r="318" spans="1:7" s="750" customFormat="1" ht="15.75">
      <c r="A318" s="770"/>
      <c r="B318" s="806" t="s">
        <v>1300</v>
      </c>
      <c r="C318" s="746"/>
      <c r="D318" s="748">
        <f t="shared" si="9"/>
        <v>5</v>
      </c>
      <c r="E318" s="754">
        <v>5</v>
      </c>
      <c r="F318" s="748"/>
      <c r="G318" s="749"/>
    </row>
    <row r="319" spans="1:7" s="750" customFormat="1" ht="15.75">
      <c r="A319" s="770"/>
      <c r="B319" s="806" t="s">
        <v>1162</v>
      </c>
      <c r="C319" s="746"/>
      <c r="D319" s="748">
        <f t="shared" si="9"/>
        <v>6.1</v>
      </c>
      <c r="E319" s="754">
        <v>6.1</v>
      </c>
      <c r="F319" s="748"/>
      <c r="G319" s="749"/>
    </row>
    <row r="320" spans="1:7" s="750" customFormat="1" ht="15.75">
      <c r="A320" s="770"/>
      <c r="B320" s="806" t="s">
        <v>1141</v>
      </c>
      <c r="C320" s="746"/>
      <c r="D320" s="748">
        <f t="shared" si="9"/>
        <v>7.2</v>
      </c>
      <c r="E320" s="754">
        <v>7.2</v>
      </c>
      <c r="F320" s="748"/>
      <c r="G320" s="749"/>
    </row>
    <row r="321" spans="1:7" s="750" customFormat="1" ht="15.75">
      <c r="A321" s="770"/>
      <c r="B321" s="806" t="s">
        <v>1144</v>
      </c>
      <c r="C321" s="746"/>
      <c r="D321" s="748">
        <f t="shared" si="9"/>
        <v>8.9</v>
      </c>
      <c r="E321" s="754">
        <v>8.9</v>
      </c>
      <c r="F321" s="748"/>
      <c r="G321" s="749"/>
    </row>
    <row r="322" spans="1:7" s="750" customFormat="1" ht="15.75">
      <c r="A322" s="770"/>
      <c r="B322" s="806" t="s">
        <v>1147</v>
      </c>
      <c r="C322" s="746"/>
      <c r="D322" s="748">
        <f t="shared" si="9"/>
        <v>7.2</v>
      </c>
      <c r="E322" s="754">
        <v>7.2</v>
      </c>
      <c r="F322" s="748"/>
      <c r="G322" s="749"/>
    </row>
    <row r="323" spans="1:7" s="750" customFormat="1" ht="15.75">
      <c r="A323" s="770"/>
      <c r="B323" s="805" t="s">
        <v>1317</v>
      </c>
      <c r="C323" s="746"/>
      <c r="D323" s="747">
        <f>D324+D329</f>
        <v>396</v>
      </c>
      <c r="E323" s="747">
        <f>E324+E329</f>
        <v>396</v>
      </c>
      <c r="F323" s="748"/>
      <c r="G323" s="749"/>
    </row>
    <row r="324" spans="1:7" s="750" customFormat="1" ht="15.75">
      <c r="A324" s="770"/>
      <c r="B324" s="805" t="s">
        <v>1318</v>
      </c>
      <c r="C324" s="746"/>
      <c r="D324" s="747">
        <f>SUM(D325:D328)</f>
        <v>277</v>
      </c>
      <c r="E324" s="747">
        <f>SUM(E325:E328)</f>
        <v>277</v>
      </c>
      <c r="F324" s="748"/>
      <c r="G324" s="749"/>
    </row>
    <row r="325" spans="1:7" s="750" customFormat="1" ht="15.75">
      <c r="A325" s="770"/>
      <c r="B325" s="806" t="s">
        <v>1304</v>
      </c>
      <c r="C325" s="746"/>
      <c r="D325" s="748">
        <f t="shared" si="9"/>
        <v>66</v>
      </c>
      <c r="E325" s="754">
        <v>66</v>
      </c>
      <c r="F325" s="748"/>
      <c r="G325" s="749"/>
    </row>
    <row r="326" spans="1:7" s="750" customFormat="1" ht="15.75">
      <c r="A326" s="770"/>
      <c r="B326" s="806" t="s">
        <v>1298</v>
      </c>
      <c r="C326" s="746"/>
      <c r="D326" s="748">
        <f t="shared" si="9"/>
        <v>66</v>
      </c>
      <c r="E326" s="754">
        <v>66</v>
      </c>
      <c r="F326" s="748"/>
      <c r="G326" s="749"/>
    </row>
    <row r="327" spans="1:7" s="750" customFormat="1" ht="15.75">
      <c r="A327" s="770"/>
      <c r="B327" s="806" t="s">
        <v>1300</v>
      </c>
      <c r="C327" s="746"/>
      <c r="D327" s="748">
        <f t="shared" si="9"/>
        <v>66</v>
      </c>
      <c r="E327" s="754">
        <v>66</v>
      </c>
      <c r="F327" s="748"/>
      <c r="G327" s="749"/>
    </row>
    <row r="328" spans="1:7" s="750" customFormat="1" ht="15.75">
      <c r="A328" s="770"/>
      <c r="B328" s="806" t="s">
        <v>1301</v>
      </c>
      <c r="C328" s="746"/>
      <c r="D328" s="748">
        <f t="shared" si="9"/>
        <v>79</v>
      </c>
      <c r="E328" s="754">
        <v>79</v>
      </c>
      <c r="F328" s="748"/>
      <c r="G328" s="749"/>
    </row>
    <row r="329" spans="1:7" s="750" customFormat="1" ht="15.75">
      <c r="A329" s="770"/>
      <c r="B329" s="805" t="s">
        <v>1319</v>
      </c>
      <c r="C329" s="746"/>
      <c r="D329" s="747">
        <f>D330</f>
        <v>119</v>
      </c>
      <c r="E329" s="747">
        <f>E330</f>
        <v>119</v>
      </c>
      <c r="F329" s="748"/>
      <c r="G329" s="749"/>
    </row>
    <row r="330" spans="1:7" s="750" customFormat="1" ht="15.75">
      <c r="A330" s="770"/>
      <c r="B330" s="806" t="s">
        <v>1301</v>
      </c>
      <c r="C330" s="746"/>
      <c r="D330" s="748">
        <f t="shared" si="9"/>
        <v>119</v>
      </c>
      <c r="E330" s="754">
        <v>119</v>
      </c>
      <c r="F330" s="748"/>
      <c r="G330" s="749"/>
    </row>
    <row r="331" spans="1:7" s="717" customFormat="1" ht="31.5">
      <c r="A331" s="807" t="s">
        <v>1291</v>
      </c>
      <c r="B331" s="805" t="s">
        <v>1320</v>
      </c>
      <c r="C331" s="808"/>
      <c r="D331" s="809">
        <f>D332+D337+D347+D353+D363+D365+D368</f>
        <v>4584.315513</v>
      </c>
      <c r="E331" s="809">
        <f>E332+E337+E347+E353+E363+E365+E368</f>
        <v>4584.315513</v>
      </c>
      <c r="F331" s="776"/>
      <c r="G331" s="742" t="s">
        <v>1137</v>
      </c>
    </row>
    <row r="332" spans="1:7" s="750" customFormat="1" ht="31.5">
      <c r="A332" s="770"/>
      <c r="B332" s="805" t="s">
        <v>1321</v>
      </c>
      <c r="C332" s="746"/>
      <c r="D332" s="747">
        <f>SUM(D333:D336)</f>
        <v>231</v>
      </c>
      <c r="E332" s="747">
        <f>SUM(E333:E336)</f>
        <v>231</v>
      </c>
      <c r="F332" s="748"/>
      <c r="G332" s="749"/>
    </row>
    <row r="333" spans="1:7" s="750" customFormat="1" ht="15.75">
      <c r="A333" s="770"/>
      <c r="B333" s="806" t="s">
        <v>1301</v>
      </c>
      <c r="C333" s="746"/>
      <c r="D333" s="748">
        <f t="shared" si="9"/>
        <v>27</v>
      </c>
      <c r="E333" s="754">
        <v>27</v>
      </c>
      <c r="F333" s="748"/>
      <c r="G333" s="749"/>
    </row>
    <row r="334" spans="1:7" s="750" customFormat="1" ht="15.75">
      <c r="A334" s="770"/>
      <c r="B334" s="806" t="s">
        <v>1141</v>
      </c>
      <c r="C334" s="746"/>
      <c r="D334" s="748">
        <f t="shared" si="9"/>
        <v>84</v>
      </c>
      <c r="E334" s="754">
        <v>84</v>
      </c>
      <c r="F334" s="748"/>
      <c r="G334" s="749"/>
    </row>
    <row r="335" spans="1:7" s="750" customFormat="1" ht="15.75">
      <c r="A335" s="770"/>
      <c r="B335" s="806" t="s">
        <v>1144</v>
      </c>
      <c r="C335" s="746"/>
      <c r="D335" s="748">
        <f t="shared" si="9"/>
        <v>60</v>
      </c>
      <c r="E335" s="754">
        <v>60</v>
      </c>
      <c r="F335" s="748"/>
      <c r="G335" s="749"/>
    </row>
    <row r="336" spans="1:7" s="750" customFormat="1" ht="15.75">
      <c r="A336" s="770"/>
      <c r="B336" s="806" t="s">
        <v>1147</v>
      </c>
      <c r="C336" s="746"/>
      <c r="D336" s="748">
        <f t="shared" si="9"/>
        <v>60</v>
      </c>
      <c r="E336" s="754">
        <v>60</v>
      </c>
      <c r="F336" s="748"/>
      <c r="G336" s="749"/>
    </row>
    <row r="337" spans="1:7" s="750" customFormat="1" ht="31.5">
      <c r="A337" s="770"/>
      <c r="B337" s="805" t="s">
        <v>1322</v>
      </c>
      <c r="C337" s="746"/>
      <c r="D337" s="747">
        <f>D338+D344</f>
        <v>2527.404</v>
      </c>
      <c r="E337" s="747">
        <f>E338+E344</f>
        <v>2527.404</v>
      </c>
      <c r="F337" s="748"/>
      <c r="G337" s="749"/>
    </row>
    <row r="338" spans="1:7" s="750" customFormat="1" ht="31.5">
      <c r="A338" s="770"/>
      <c r="B338" s="805" t="s">
        <v>1323</v>
      </c>
      <c r="C338" s="746"/>
      <c r="D338" s="747">
        <f>SUM(D339:D343)</f>
        <v>2522.104</v>
      </c>
      <c r="E338" s="747">
        <f>SUM(E339:E343)</f>
        <v>2522.104</v>
      </c>
      <c r="F338" s="748"/>
      <c r="G338" s="749"/>
    </row>
    <row r="339" spans="1:7" s="750" customFormat="1" ht="15.75">
      <c r="A339" s="770"/>
      <c r="B339" s="806" t="s">
        <v>979</v>
      </c>
      <c r="C339" s="746"/>
      <c r="D339" s="748">
        <f t="shared" si="9"/>
        <v>121.104</v>
      </c>
      <c r="E339" s="754">
        <v>121.104</v>
      </c>
      <c r="F339" s="748"/>
      <c r="G339" s="749"/>
    </row>
    <row r="340" spans="1:7" s="750" customFormat="1" ht="15.75">
      <c r="A340" s="770"/>
      <c r="B340" s="806" t="s">
        <v>1162</v>
      </c>
      <c r="C340" s="746"/>
      <c r="D340" s="748">
        <f t="shared" si="9"/>
        <v>8</v>
      </c>
      <c r="E340" s="754">
        <v>8</v>
      </c>
      <c r="F340" s="748"/>
      <c r="G340" s="749"/>
    </row>
    <row r="341" spans="1:7" s="750" customFormat="1" ht="15.75">
      <c r="A341" s="770"/>
      <c r="B341" s="806" t="s">
        <v>1141</v>
      </c>
      <c r="C341" s="746"/>
      <c r="D341" s="748">
        <f t="shared" si="9"/>
        <v>7</v>
      </c>
      <c r="E341" s="754">
        <v>7</v>
      </c>
      <c r="F341" s="748"/>
      <c r="G341" s="749"/>
    </row>
    <row r="342" spans="1:7" s="750" customFormat="1" ht="15.75">
      <c r="A342" s="770"/>
      <c r="B342" s="806" t="s">
        <v>1144</v>
      </c>
      <c r="C342" s="746"/>
      <c r="D342" s="748">
        <f aca="true" t="shared" si="10" ref="D342:D374">E342+F342</f>
        <v>372</v>
      </c>
      <c r="E342" s="754">
        <v>372</v>
      </c>
      <c r="F342" s="748"/>
      <c r="G342" s="749"/>
    </row>
    <row r="343" spans="1:7" s="750" customFormat="1" ht="15.75">
      <c r="A343" s="770"/>
      <c r="B343" s="806" t="s">
        <v>1147</v>
      </c>
      <c r="C343" s="746"/>
      <c r="D343" s="748">
        <f t="shared" si="10"/>
        <v>2014</v>
      </c>
      <c r="E343" s="754">
        <v>2014</v>
      </c>
      <c r="F343" s="748"/>
      <c r="G343" s="749"/>
    </row>
    <row r="344" spans="1:7" s="750" customFormat="1" ht="47.25">
      <c r="A344" s="770"/>
      <c r="B344" s="805" t="s">
        <v>1324</v>
      </c>
      <c r="C344" s="746"/>
      <c r="D344" s="747">
        <f>SUM(D345:D346)</f>
        <v>5.3</v>
      </c>
      <c r="E344" s="747">
        <f>SUM(E345:E346)</f>
        <v>5.3</v>
      </c>
      <c r="F344" s="748"/>
      <c r="G344" s="749"/>
    </row>
    <row r="345" spans="1:7" s="750" customFormat="1" ht="15.75">
      <c r="A345" s="770"/>
      <c r="B345" s="806" t="s">
        <v>1141</v>
      </c>
      <c r="C345" s="746"/>
      <c r="D345" s="748">
        <f t="shared" si="10"/>
        <v>1.9</v>
      </c>
      <c r="E345" s="754">
        <v>1.9</v>
      </c>
      <c r="F345" s="748"/>
      <c r="G345" s="749"/>
    </row>
    <row r="346" spans="1:7" s="750" customFormat="1" ht="15.75">
      <c r="A346" s="770"/>
      <c r="B346" s="806" t="s">
        <v>1147</v>
      </c>
      <c r="C346" s="746"/>
      <c r="D346" s="748">
        <f t="shared" si="10"/>
        <v>3.4</v>
      </c>
      <c r="E346" s="754">
        <v>3.4</v>
      </c>
      <c r="F346" s="748"/>
      <c r="G346" s="749"/>
    </row>
    <row r="347" spans="1:7" s="750" customFormat="1" ht="47.25">
      <c r="A347" s="770"/>
      <c r="B347" s="805" t="s">
        <v>1325</v>
      </c>
      <c r="C347" s="746"/>
      <c r="D347" s="747">
        <f>SUM(D348:D352)</f>
        <v>507</v>
      </c>
      <c r="E347" s="747">
        <f>SUM(E348:E352)</f>
        <v>507</v>
      </c>
      <c r="F347" s="748"/>
      <c r="G347" s="749"/>
    </row>
    <row r="348" spans="1:7" s="750" customFormat="1" ht="15.75">
      <c r="A348" s="770"/>
      <c r="B348" s="806" t="s">
        <v>1299</v>
      </c>
      <c r="C348" s="746"/>
      <c r="D348" s="748">
        <f t="shared" si="10"/>
        <v>100</v>
      </c>
      <c r="E348" s="754">
        <v>100</v>
      </c>
      <c r="F348" s="748"/>
      <c r="G348" s="749"/>
    </row>
    <row r="349" spans="1:7" s="750" customFormat="1" ht="15.75">
      <c r="A349" s="770"/>
      <c r="B349" s="806" t="s">
        <v>1162</v>
      </c>
      <c r="C349" s="746"/>
      <c r="D349" s="748">
        <f t="shared" si="10"/>
        <v>100</v>
      </c>
      <c r="E349" s="754">
        <v>100</v>
      </c>
      <c r="F349" s="748"/>
      <c r="G349" s="749"/>
    </row>
    <row r="350" spans="1:7" s="750" customFormat="1" ht="15.75">
      <c r="A350" s="770"/>
      <c r="B350" s="806" t="s">
        <v>1141</v>
      </c>
      <c r="C350" s="746"/>
      <c r="D350" s="748">
        <f t="shared" si="10"/>
        <v>103</v>
      </c>
      <c r="E350" s="754">
        <v>103</v>
      </c>
      <c r="F350" s="748"/>
      <c r="G350" s="749"/>
    </row>
    <row r="351" spans="1:7" s="750" customFormat="1" ht="15.75">
      <c r="A351" s="770"/>
      <c r="B351" s="806" t="s">
        <v>1144</v>
      </c>
      <c r="C351" s="746"/>
      <c r="D351" s="748">
        <f t="shared" si="10"/>
        <v>102</v>
      </c>
      <c r="E351" s="754">
        <v>102</v>
      </c>
      <c r="F351" s="748"/>
      <c r="G351" s="749"/>
    </row>
    <row r="352" spans="1:7" s="750" customFormat="1" ht="15.75">
      <c r="A352" s="770"/>
      <c r="B352" s="806" t="s">
        <v>1147</v>
      </c>
      <c r="C352" s="746"/>
      <c r="D352" s="748">
        <f t="shared" si="10"/>
        <v>102</v>
      </c>
      <c r="E352" s="754">
        <v>102</v>
      </c>
      <c r="F352" s="748"/>
      <c r="G352" s="749"/>
    </row>
    <row r="353" spans="1:7" s="750" customFormat="1" ht="15.75">
      <c r="A353" s="770"/>
      <c r="B353" s="805" t="s">
        <v>1326</v>
      </c>
      <c r="C353" s="746"/>
      <c r="D353" s="747">
        <f>D354+D356+D358+D361</f>
        <v>1130.9733089999997</v>
      </c>
      <c r="E353" s="747">
        <f>E354+E356+E358+E361</f>
        <v>1130.9733089999997</v>
      </c>
      <c r="F353" s="748"/>
      <c r="G353" s="749"/>
    </row>
    <row r="354" spans="1:7" s="750" customFormat="1" ht="47.25">
      <c r="A354" s="770"/>
      <c r="B354" s="805" t="s">
        <v>1327</v>
      </c>
      <c r="C354" s="746"/>
      <c r="D354" s="747">
        <f>D355</f>
        <v>59</v>
      </c>
      <c r="E354" s="747">
        <f>E355</f>
        <v>59</v>
      </c>
      <c r="F354" s="748"/>
      <c r="G354" s="749"/>
    </row>
    <row r="355" spans="1:7" s="750" customFormat="1" ht="15.75">
      <c r="A355" s="770"/>
      <c r="B355" s="806" t="s">
        <v>1199</v>
      </c>
      <c r="C355" s="746"/>
      <c r="D355" s="748">
        <f t="shared" si="10"/>
        <v>59</v>
      </c>
      <c r="E355" s="754">
        <v>59</v>
      </c>
      <c r="F355" s="748"/>
      <c r="G355" s="749"/>
    </row>
    <row r="356" spans="1:7" s="750" customFormat="1" ht="47.25">
      <c r="A356" s="770"/>
      <c r="B356" s="805" t="s">
        <v>1328</v>
      </c>
      <c r="C356" s="746"/>
      <c r="D356" s="747">
        <f>D357</f>
        <v>143</v>
      </c>
      <c r="E356" s="747">
        <f>E357</f>
        <v>143</v>
      </c>
      <c r="F356" s="748"/>
      <c r="G356" s="749"/>
    </row>
    <row r="357" spans="1:7" s="750" customFormat="1" ht="15.75">
      <c r="A357" s="770"/>
      <c r="B357" s="806" t="s">
        <v>1030</v>
      </c>
      <c r="C357" s="746"/>
      <c r="D357" s="748">
        <f t="shared" si="10"/>
        <v>143</v>
      </c>
      <c r="E357" s="754">
        <v>143</v>
      </c>
      <c r="F357" s="748"/>
      <c r="G357" s="749"/>
    </row>
    <row r="358" spans="1:7" s="750" customFormat="1" ht="31.5">
      <c r="A358" s="770"/>
      <c r="B358" s="805" t="s">
        <v>1329</v>
      </c>
      <c r="C358" s="746"/>
      <c r="D358" s="747">
        <f>SUM(D359:D360)</f>
        <v>926.388709</v>
      </c>
      <c r="E358" s="747">
        <f>SUM(E359:E360)</f>
        <v>926.388709</v>
      </c>
      <c r="F358" s="748"/>
      <c r="G358" s="749"/>
    </row>
    <row r="359" spans="1:7" s="750" customFormat="1" ht="15.75">
      <c r="A359" s="770"/>
      <c r="B359" s="806" t="s">
        <v>1308</v>
      </c>
      <c r="C359" s="746"/>
      <c r="D359" s="748">
        <f t="shared" si="10"/>
        <v>110</v>
      </c>
      <c r="E359" s="754">
        <v>110</v>
      </c>
      <c r="F359" s="748"/>
      <c r="G359" s="749"/>
    </row>
    <row r="360" spans="1:7" s="750" customFormat="1" ht="15.75">
      <c r="A360" s="770"/>
      <c r="B360" s="806" t="s">
        <v>1030</v>
      </c>
      <c r="C360" s="746"/>
      <c r="D360" s="748">
        <f t="shared" si="10"/>
        <v>816.388709</v>
      </c>
      <c r="E360" s="754">
        <v>816.388709</v>
      </c>
      <c r="F360" s="748"/>
      <c r="G360" s="749"/>
    </row>
    <row r="361" spans="1:7" s="750" customFormat="1" ht="31.5">
      <c r="A361" s="770"/>
      <c r="B361" s="805" t="s">
        <v>1330</v>
      </c>
      <c r="C361" s="746"/>
      <c r="D361" s="747">
        <f>D362</f>
        <v>2.5846</v>
      </c>
      <c r="E361" s="747">
        <f>E362</f>
        <v>2.5846</v>
      </c>
      <c r="F361" s="748"/>
      <c r="G361" s="749"/>
    </row>
    <row r="362" spans="1:7" s="750" customFormat="1" ht="15.75">
      <c r="A362" s="770"/>
      <c r="B362" s="806" t="s">
        <v>1331</v>
      </c>
      <c r="C362" s="746"/>
      <c r="D362" s="748">
        <f t="shared" si="10"/>
        <v>2.5846</v>
      </c>
      <c r="E362" s="754">
        <v>2.5846</v>
      </c>
      <c r="F362" s="748"/>
      <c r="G362" s="749"/>
    </row>
    <row r="363" spans="1:7" s="750" customFormat="1" ht="31.5">
      <c r="A363" s="770"/>
      <c r="B363" s="805" t="s">
        <v>1332</v>
      </c>
      <c r="C363" s="746"/>
      <c r="D363" s="747">
        <f>D364</f>
        <v>89.011847</v>
      </c>
      <c r="E363" s="747">
        <f>E364</f>
        <v>89.011847</v>
      </c>
      <c r="F363" s="748"/>
      <c r="G363" s="749"/>
    </row>
    <row r="364" spans="1:7" s="750" customFormat="1" ht="15.75">
      <c r="A364" s="770"/>
      <c r="B364" s="806" t="s">
        <v>1333</v>
      </c>
      <c r="C364" s="746"/>
      <c r="D364" s="748">
        <f t="shared" si="10"/>
        <v>89.011847</v>
      </c>
      <c r="E364" s="754">
        <v>89.011847</v>
      </c>
      <c r="F364" s="748"/>
      <c r="G364" s="749"/>
    </row>
    <row r="365" spans="1:7" s="750" customFormat="1" ht="31.5">
      <c r="A365" s="770"/>
      <c r="B365" s="805" t="s">
        <v>1334</v>
      </c>
      <c r="C365" s="746"/>
      <c r="D365" s="747">
        <f>D366</f>
        <v>21.5368</v>
      </c>
      <c r="E365" s="747">
        <f>E366</f>
        <v>21.5368</v>
      </c>
      <c r="F365" s="748"/>
      <c r="G365" s="749"/>
    </row>
    <row r="366" spans="1:7" s="750" customFormat="1" ht="31.5">
      <c r="A366" s="770"/>
      <c r="B366" s="805" t="s">
        <v>1335</v>
      </c>
      <c r="C366" s="746"/>
      <c r="D366" s="747">
        <f>D367</f>
        <v>21.5368</v>
      </c>
      <c r="E366" s="747">
        <f>E367</f>
        <v>21.5368</v>
      </c>
      <c r="F366" s="748"/>
      <c r="G366" s="749"/>
    </row>
    <row r="367" spans="1:7" s="750" customFormat="1" ht="15.75">
      <c r="A367" s="770"/>
      <c r="B367" s="806" t="s">
        <v>1331</v>
      </c>
      <c r="C367" s="746"/>
      <c r="D367" s="748">
        <f t="shared" si="10"/>
        <v>21.5368</v>
      </c>
      <c r="E367" s="754">
        <v>21.5368</v>
      </c>
      <c r="F367" s="748"/>
      <c r="G367" s="749"/>
    </row>
    <row r="368" spans="1:7" s="750" customFormat="1" ht="47.25">
      <c r="A368" s="770"/>
      <c r="B368" s="805" t="s">
        <v>1336</v>
      </c>
      <c r="C368" s="746"/>
      <c r="D368" s="747">
        <f>D369+D371+D373</f>
        <v>77.38955700000001</v>
      </c>
      <c r="E368" s="747">
        <f>E369+E371+E373</f>
        <v>77.38955700000001</v>
      </c>
      <c r="F368" s="748"/>
      <c r="G368" s="749"/>
    </row>
    <row r="369" spans="1:7" s="750" customFormat="1" ht="63">
      <c r="A369" s="770"/>
      <c r="B369" s="805" t="s">
        <v>1337</v>
      </c>
      <c r="C369" s="746"/>
      <c r="D369" s="747">
        <f>D370</f>
        <v>53.9</v>
      </c>
      <c r="E369" s="747">
        <f>E370</f>
        <v>53.9</v>
      </c>
      <c r="F369" s="748"/>
      <c r="G369" s="749"/>
    </row>
    <row r="370" spans="1:7" s="750" customFormat="1" ht="15.75">
      <c r="A370" s="770"/>
      <c r="B370" s="806" t="s">
        <v>1331</v>
      </c>
      <c r="C370" s="746"/>
      <c r="D370" s="748">
        <f t="shared" si="10"/>
        <v>53.9</v>
      </c>
      <c r="E370" s="754">
        <v>53.9</v>
      </c>
      <c r="F370" s="748"/>
      <c r="G370" s="749"/>
    </row>
    <row r="371" spans="1:7" s="750" customFormat="1" ht="31.5">
      <c r="A371" s="770"/>
      <c r="B371" s="805" t="s">
        <v>1338</v>
      </c>
      <c r="C371" s="746"/>
      <c r="D371" s="747">
        <f>D372</f>
        <v>19</v>
      </c>
      <c r="E371" s="747">
        <f>E372</f>
        <v>19</v>
      </c>
      <c r="F371" s="748"/>
      <c r="G371" s="749"/>
    </row>
    <row r="372" spans="1:7" s="750" customFormat="1" ht="15.75">
      <c r="A372" s="770"/>
      <c r="B372" s="806" t="s">
        <v>1331</v>
      </c>
      <c r="C372" s="746"/>
      <c r="D372" s="748">
        <f t="shared" si="10"/>
        <v>19</v>
      </c>
      <c r="E372" s="754">
        <v>19</v>
      </c>
      <c r="F372" s="748"/>
      <c r="G372" s="749"/>
    </row>
    <row r="373" spans="1:7" s="750" customFormat="1" ht="31.5">
      <c r="A373" s="770"/>
      <c r="B373" s="805" t="s">
        <v>1339</v>
      </c>
      <c r="C373" s="746"/>
      <c r="D373" s="748">
        <f t="shared" si="10"/>
        <v>4.489557</v>
      </c>
      <c r="E373" s="747">
        <f>E374</f>
        <v>4.489557</v>
      </c>
      <c r="F373" s="748"/>
      <c r="G373" s="749"/>
    </row>
    <row r="374" spans="1:7" s="750" customFormat="1" ht="15.75">
      <c r="A374" s="770"/>
      <c r="B374" s="806" t="s">
        <v>1331</v>
      </c>
      <c r="C374" s="746"/>
      <c r="D374" s="748">
        <f t="shared" si="10"/>
        <v>4.489557</v>
      </c>
      <c r="E374" s="754">
        <v>4.489557</v>
      </c>
      <c r="F374" s="748"/>
      <c r="G374" s="749"/>
    </row>
    <row r="375" spans="1:7" s="717" customFormat="1" ht="15.75">
      <c r="A375" s="807" t="s">
        <v>1340</v>
      </c>
      <c r="B375" s="810" t="s">
        <v>1341</v>
      </c>
      <c r="C375" s="808"/>
      <c r="D375" s="776"/>
      <c r="E375" s="808"/>
      <c r="F375" s="776"/>
      <c r="G375" s="811"/>
    </row>
    <row r="376" spans="1:7" s="743" customFormat="1" ht="15.75">
      <c r="A376" s="791" t="s">
        <v>1287</v>
      </c>
      <c r="B376" s="812" t="s">
        <v>1290</v>
      </c>
      <c r="C376" s="740"/>
      <c r="D376" s="741"/>
      <c r="E376" s="740"/>
      <c r="F376" s="741"/>
      <c r="G376" s="769"/>
    </row>
    <row r="377" spans="1:7" s="743" customFormat="1" ht="15.75">
      <c r="A377" s="791" t="s">
        <v>1340</v>
      </c>
      <c r="B377" s="812" t="s">
        <v>528</v>
      </c>
      <c r="C377" s="740"/>
      <c r="D377" s="741"/>
      <c r="E377" s="740"/>
      <c r="F377" s="741"/>
      <c r="G377" s="769"/>
    </row>
    <row r="378" spans="1:7" s="717" customFormat="1" ht="15.75">
      <c r="A378" s="738" t="s">
        <v>1342</v>
      </c>
      <c r="B378" s="813" t="s">
        <v>1343</v>
      </c>
      <c r="C378" s="808"/>
      <c r="D378" s="776">
        <f>D379+D389</f>
        <v>7166.445423</v>
      </c>
      <c r="E378" s="776">
        <f>E379+E389</f>
        <v>7166.445423</v>
      </c>
      <c r="F378" s="776">
        <f>F379+F389</f>
        <v>0</v>
      </c>
      <c r="G378" s="811"/>
    </row>
    <row r="379" spans="1:7" s="717" customFormat="1" ht="15.75">
      <c r="A379" s="738" t="s">
        <v>1344</v>
      </c>
      <c r="B379" s="813" t="s">
        <v>1290</v>
      </c>
      <c r="C379" s="808"/>
      <c r="D379" s="776">
        <f>D380+D382+D384+D386+D388</f>
        <v>7159.833923</v>
      </c>
      <c r="E379" s="776">
        <f>E380+E382+E384+E386+E388</f>
        <v>7159.833923</v>
      </c>
      <c r="F379" s="776"/>
      <c r="G379" s="811"/>
    </row>
    <row r="380" spans="1:7" s="750" customFormat="1" ht="15.75">
      <c r="A380" s="814" t="s">
        <v>840</v>
      </c>
      <c r="B380" s="815" t="s">
        <v>1345</v>
      </c>
      <c r="C380" s="746"/>
      <c r="D380" s="776">
        <f>D381</f>
        <v>4543.296</v>
      </c>
      <c r="E380" s="776">
        <f>E381</f>
        <v>4543.296</v>
      </c>
      <c r="F380" s="748"/>
      <c r="G380" s="749"/>
    </row>
    <row r="381" spans="1:7" s="750" customFormat="1" ht="15.75">
      <c r="A381" s="770"/>
      <c r="B381" s="816" t="s">
        <v>1346</v>
      </c>
      <c r="C381" s="746"/>
      <c r="D381" s="748">
        <f>E381+F381</f>
        <v>4543.296</v>
      </c>
      <c r="E381" s="754">
        <v>4543.296</v>
      </c>
      <c r="F381" s="748"/>
      <c r="G381" s="765" t="s">
        <v>1292</v>
      </c>
    </row>
    <row r="382" spans="1:7" s="750" customFormat="1" ht="15.75">
      <c r="A382" s="770" t="s">
        <v>840</v>
      </c>
      <c r="B382" s="815" t="s">
        <v>1347</v>
      </c>
      <c r="C382" s="746"/>
      <c r="D382" s="776">
        <f>D383</f>
        <v>2174.934</v>
      </c>
      <c r="E382" s="776">
        <f>E383</f>
        <v>2174.934</v>
      </c>
      <c r="F382" s="748"/>
      <c r="G382" s="749"/>
    </row>
    <row r="383" spans="1:7" s="750" customFormat="1" ht="31.5">
      <c r="A383" s="770"/>
      <c r="B383" s="816" t="s">
        <v>1348</v>
      </c>
      <c r="C383" s="746"/>
      <c r="D383" s="748">
        <f aca="true" t="shared" si="11" ref="D383:D388">E383+F383</f>
        <v>2174.934</v>
      </c>
      <c r="E383" s="754">
        <v>2174.934</v>
      </c>
      <c r="F383" s="748"/>
      <c r="G383" s="765" t="s">
        <v>1292</v>
      </c>
    </row>
    <row r="384" spans="1:7" s="750" customFormat="1" ht="31.5">
      <c r="A384" s="770" t="s">
        <v>840</v>
      </c>
      <c r="B384" s="815" t="s">
        <v>1349</v>
      </c>
      <c r="C384" s="746"/>
      <c r="D384" s="747">
        <f>SUM(D385:D385)</f>
        <v>0.026</v>
      </c>
      <c r="E384" s="747">
        <f>SUM(E385:E385)</f>
        <v>0.026</v>
      </c>
      <c r="F384" s="748"/>
      <c r="G384" s="765"/>
    </row>
    <row r="385" spans="1:7" s="750" customFormat="1" ht="15.75">
      <c r="A385" s="770"/>
      <c r="B385" s="816" t="s">
        <v>1350</v>
      </c>
      <c r="C385" s="746"/>
      <c r="D385" s="748">
        <f t="shared" si="11"/>
        <v>0.026</v>
      </c>
      <c r="E385" s="754">
        <v>0.026</v>
      </c>
      <c r="F385" s="748"/>
      <c r="G385" s="765"/>
    </row>
    <row r="386" spans="1:7" s="750" customFormat="1" ht="15.75">
      <c r="A386" s="770" t="s">
        <v>840</v>
      </c>
      <c r="B386" s="815" t="s">
        <v>1351</v>
      </c>
      <c r="C386" s="746"/>
      <c r="D386" s="747">
        <f>D387</f>
        <v>415.179923</v>
      </c>
      <c r="E386" s="747">
        <f>E387</f>
        <v>415.179923</v>
      </c>
      <c r="F386" s="748"/>
      <c r="G386" s="765"/>
    </row>
    <row r="387" spans="1:7" s="750" customFormat="1" ht="31.5">
      <c r="A387" s="770"/>
      <c r="B387" s="816" t="s">
        <v>1352</v>
      </c>
      <c r="C387" s="746"/>
      <c r="D387" s="748">
        <f t="shared" si="11"/>
        <v>415.179923</v>
      </c>
      <c r="E387" s="754">
        <v>415.179923</v>
      </c>
      <c r="F387" s="748"/>
      <c r="G387" s="765"/>
    </row>
    <row r="388" spans="1:7" s="717" customFormat="1" ht="47.25">
      <c r="A388" s="807" t="s">
        <v>840</v>
      </c>
      <c r="B388" s="817" t="s">
        <v>1353</v>
      </c>
      <c r="C388" s="808"/>
      <c r="D388" s="776">
        <f t="shared" si="11"/>
        <v>26.398</v>
      </c>
      <c r="E388" s="747">
        <v>26.398</v>
      </c>
      <c r="F388" s="776"/>
      <c r="G388" s="818" t="s">
        <v>1354</v>
      </c>
    </row>
    <row r="389" spans="1:7" s="743" customFormat="1" ht="31.5">
      <c r="A389" s="738" t="s">
        <v>1355</v>
      </c>
      <c r="B389" s="819" t="s">
        <v>528</v>
      </c>
      <c r="C389" s="740"/>
      <c r="D389" s="740">
        <f>SUM(D390:D395)</f>
        <v>6.6115</v>
      </c>
      <c r="E389" s="740">
        <f>SUM(E390:E395)</f>
        <v>6.6115</v>
      </c>
      <c r="F389" s="741"/>
      <c r="G389" s="804"/>
    </row>
    <row r="390" spans="1:7" s="743" customFormat="1" ht="30">
      <c r="A390" s="738"/>
      <c r="B390" s="820" t="s">
        <v>1356</v>
      </c>
      <c r="C390" s="740"/>
      <c r="D390" s="783">
        <f aca="true" t="shared" si="12" ref="D390:D395">E390+F390</f>
        <v>1.48</v>
      </c>
      <c r="E390" s="796">
        <f>1480000/1000000</f>
        <v>1.48</v>
      </c>
      <c r="F390" s="741"/>
      <c r="G390" s="821" t="s">
        <v>1357</v>
      </c>
    </row>
    <row r="391" spans="1:7" s="743" customFormat="1" ht="30">
      <c r="A391" s="738"/>
      <c r="B391" s="820" t="s">
        <v>1358</v>
      </c>
      <c r="C391" s="740"/>
      <c r="D391" s="783">
        <f t="shared" si="12"/>
        <v>2</v>
      </c>
      <c r="E391" s="796">
        <f>2000000/1000000</f>
        <v>2</v>
      </c>
      <c r="F391" s="741"/>
      <c r="G391" s="821" t="s">
        <v>1357</v>
      </c>
    </row>
    <row r="392" spans="1:7" s="743" customFormat="1" ht="15.75">
      <c r="A392" s="738"/>
      <c r="B392" s="820" t="s">
        <v>1359</v>
      </c>
      <c r="C392" s="740"/>
      <c r="D392" s="783">
        <f t="shared" si="12"/>
        <v>1.1</v>
      </c>
      <c r="E392" s="796">
        <f>1100000/1000000</f>
        <v>1.1</v>
      </c>
      <c r="F392" s="741"/>
      <c r="G392" s="821" t="s">
        <v>1357</v>
      </c>
    </row>
    <row r="393" spans="1:7" s="743" customFormat="1" ht="45">
      <c r="A393" s="738"/>
      <c r="B393" s="779" t="s">
        <v>1360</v>
      </c>
      <c r="C393" s="740"/>
      <c r="D393" s="783">
        <f t="shared" si="12"/>
        <v>1.791</v>
      </c>
      <c r="E393" s="796">
        <f>1791000/1000000</f>
        <v>1.791</v>
      </c>
      <c r="F393" s="741"/>
      <c r="G393" s="821" t="s">
        <v>1357</v>
      </c>
    </row>
    <row r="394" spans="1:7" s="743" customFormat="1" ht="30">
      <c r="A394" s="738"/>
      <c r="B394" s="822" t="s">
        <v>1361</v>
      </c>
      <c r="C394" s="740"/>
      <c r="D394" s="783">
        <f t="shared" si="12"/>
        <v>0.24</v>
      </c>
      <c r="E394" s="796">
        <f>240000/1000000</f>
        <v>0.24</v>
      </c>
      <c r="F394" s="741"/>
      <c r="G394" s="821" t="s">
        <v>1357</v>
      </c>
    </row>
    <row r="395" spans="1:7" s="743" customFormat="1" ht="30">
      <c r="A395" s="738"/>
      <c r="B395" s="822" t="s">
        <v>1362</v>
      </c>
      <c r="C395" s="740"/>
      <c r="D395" s="783">
        <f t="shared" si="12"/>
        <v>0.0005</v>
      </c>
      <c r="E395" s="796">
        <f>500/1000000</f>
        <v>0.0005</v>
      </c>
      <c r="F395" s="741"/>
      <c r="G395" s="823" t="s">
        <v>1363</v>
      </c>
    </row>
    <row r="396" spans="1:7" s="743" customFormat="1" ht="15.75">
      <c r="A396" s="738" t="s">
        <v>1364</v>
      </c>
      <c r="B396" s="739" t="s">
        <v>1190</v>
      </c>
      <c r="C396" s="740"/>
      <c r="D396" s="741">
        <f>D397+D417+D428</f>
        <v>11320.028197</v>
      </c>
      <c r="E396" s="741">
        <f>E397+E417+E428</f>
        <v>10188.099076</v>
      </c>
      <c r="F396" s="741">
        <f>F397+F417+F428</f>
        <v>1131.9291209999997</v>
      </c>
      <c r="G396" s="769"/>
    </row>
    <row r="397" spans="1:7" s="743" customFormat="1" ht="15.75">
      <c r="A397" s="738" t="s">
        <v>1365</v>
      </c>
      <c r="B397" s="771" t="s">
        <v>1290</v>
      </c>
      <c r="C397" s="740"/>
      <c r="D397" s="741">
        <f>D398+D401+D404+D407</f>
        <v>8304.395554</v>
      </c>
      <c r="E397" s="741">
        <f>E398+E401+E404+E407</f>
        <v>8304.395554</v>
      </c>
      <c r="F397" s="741">
        <f>F398+F401+F404+F407</f>
        <v>0</v>
      </c>
      <c r="G397" s="769"/>
    </row>
    <row r="398" spans="1:7" s="750" customFormat="1" ht="15.75">
      <c r="A398" s="814" t="s">
        <v>840</v>
      </c>
      <c r="B398" s="824" t="s">
        <v>1366</v>
      </c>
      <c r="C398" s="746"/>
      <c r="D398" s="825">
        <f>SUM(D399:D400)</f>
        <v>366.91700000000003</v>
      </c>
      <c r="E398" s="825">
        <f>SUM(E399:E400)</f>
        <v>366.91700000000003</v>
      </c>
      <c r="F398" s="748"/>
      <c r="G398" s="749"/>
    </row>
    <row r="399" spans="1:7" s="750" customFormat="1" ht="15.75">
      <c r="A399" s="770"/>
      <c r="B399" s="816" t="s">
        <v>1367</v>
      </c>
      <c r="C399" s="746"/>
      <c r="D399" s="748">
        <f aca="true" t="shared" si="13" ref="D399:D416">E399+F399</f>
        <v>33.659</v>
      </c>
      <c r="E399" s="754">
        <v>33.659</v>
      </c>
      <c r="F399" s="748"/>
      <c r="G399" s="752"/>
    </row>
    <row r="400" spans="1:7" s="750" customFormat="1" ht="15.75">
      <c r="A400" s="770"/>
      <c r="B400" s="816" t="s">
        <v>1368</v>
      </c>
      <c r="C400" s="746"/>
      <c r="D400" s="748">
        <f t="shared" si="13"/>
        <v>333.25800000000004</v>
      </c>
      <c r="E400" s="754">
        <f>133.067+200.191</f>
        <v>333.25800000000004</v>
      </c>
      <c r="F400" s="748"/>
      <c r="G400" s="756" t="s">
        <v>1369</v>
      </c>
    </row>
    <row r="401" spans="1:7" s="750" customFormat="1" ht="15.75">
      <c r="A401" s="770"/>
      <c r="B401" s="745" t="s">
        <v>1370</v>
      </c>
      <c r="C401" s="746"/>
      <c r="D401" s="747">
        <f>SUM(D402:D403)</f>
        <v>7492.216554</v>
      </c>
      <c r="E401" s="747">
        <f>SUM(E402:E403)</f>
        <v>7492.216554</v>
      </c>
      <c r="F401" s="748"/>
      <c r="G401" s="752"/>
    </row>
    <row r="402" spans="1:7" s="750" customFormat="1" ht="15.75">
      <c r="A402" s="770"/>
      <c r="B402" s="826" t="s">
        <v>1371</v>
      </c>
      <c r="C402" s="746"/>
      <c r="D402" s="748">
        <f t="shared" si="13"/>
        <v>7462.369554</v>
      </c>
      <c r="E402" s="754">
        <v>7462.369554</v>
      </c>
      <c r="F402" s="748"/>
      <c r="G402" s="1074" t="s">
        <v>1372</v>
      </c>
    </row>
    <row r="403" spans="1:7" s="750" customFormat="1" ht="15.75">
      <c r="A403" s="770"/>
      <c r="B403" s="816" t="s">
        <v>1373</v>
      </c>
      <c r="C403" s="746"/>
      <c r="D403" s="748">
        <f t="shared" si="13"/>
        <v>29.847</v>
      </c>
      <c r="E403" s="754">
        <v>29.847</v>
      </c>
      <c r="F403" s="748"/>
      <c r="G403" s="1075"/>
    </row>
    <row r="404" spans="1:7" s="750" customFormat="1" ht="15.75">
      <c r="A404" s="770"/>
      <c r="B404" s="827" t="s">
        <v>1374</v>
      </c>
      <c r="C404" s="746"/>
      <c r="D404" s="747">
        <f>SUM(D405:D406)</f>
        <v>13.462</v>
      </c>
      <c r="E404" s="747">
        <f>SUM(E405:E406)</f>
        <v>13.462</v>
      </c>
      <c r="F404" s="748"/>
      <c r="G404" s="752"/>
    </row>
    <row r="405" spans="1:7" s="750" customFormat="1" ht="31.5">
      <c r="A405" s="770"/>
      <c r="B405" s="816" t="s">
        <v>1375</v>
      </c>
      <c r="C405" s="746"/>
      <c r="D405" s="748">
        <f t="shared" si="13"/>
        <v>1.311</v>
      </c>
      <c r="E405" s="754">
        <v>1.311</v>
      </c>
      <c r="F405" s="748"/>
      <c r="G405" s="756" t="s">
        <v>1376</v>
      </c>
    </row>
    <row r="406" spans="1:7" s="750" customFormat="1" ht="15.75">
      <c r="A406" s="770"/>
      <c r="B406" s="816" t="s">
        <v>1149</v>
      </c>
      <c r="C406" s="746"/>
      <c r="D406" s="748">
        <f t="shared" si="13"/>
        <v>12.151</v>
      </c>
      <c r="E406" s="754">
        <v>12.151</v>
      </c>
      <c r="F406" s="748"/>
      <c r="G406" s="828" t="s">
        <v>1377</v>
      </c>
    </row>
    <row r="407" spans="1:7" s="750" customFormat="1" ht="15.75">
      <c r="A407" s="770"/>
      <c r="B407" s="827" t="s">
        <v>1378</v>
      </c>
      <c r="C407" s="746"/>
      <c r="D407" s="747">
        <f>SUM(D408:D416)</f>
        <v>431.8</v>
      </c>
      <c r="E407" s="747">
        <f>SUM(E408:E416)</f>
        <v>431.8</v>
      </c>
      <c r="F407" s="748"/>
      <c r="G407" s="828"/>
    </row>
    <row r="408" spans="1:7" s="750" customFormat="1" ht="31.5">
      <c r="A408" s="770"/>
      <c r="B408" s="816" t="s">
        <v>1379</v>
      </c>
      <c r="C408" s="746"/>
      <c r="D408" s="748">
        <f t="shared" si="13"/>
        <v>2.119</v>
      </c>
      <c r="E408" s="754">
        <v>2.119</v>
      </c>
      <c r="F408" s="748"/>
      <c r="G408" s="828" t="s">
        <v>1380</v>
      </c>
    </row>
    <row r="409" spans="1:7" s="750" customFormat="1" ht="31.5">
      <c r="A409" s="770"/>
      <c r="B409" s="816" t="s">
        <v>1381</v>
      </c>
      <c r="C409" s="746"/>
      <c r="D409" s="748">
        <f t="shared" si="13"/>
        <v>2.686</v>
      </c>
      <c r="E409" s="754">
        <v>2.686</v>
      </c>
      <c r="F409" s="748"/>
      <c r="G409" s="828" t="s">
        <v>1380</v>
      </c>
    </row>
    <row r="410" spans="1:7" s="750" customFormat="1" ht="31.5">
      <c r="A410" s="770"/>
      <c r="B410" s="816" t="s">
        <v>1382</v>
      </c>
      <c r="C410" s="746"/>
      <c r="D410" s="748">
        <f t="shared" si="13"/>
        <v>1.965</v>
      </c>
      <c r="E410" s="754">
        <v>1.965</v>
      </c>
      <c r="F410" s="748"/>
      <c r="G410" s="828" t="s">
        <v>1380</v>
      </c>
    </row>
    <row r="411" spans="1:7" s="750" customFormat="1" ht="31.5">
      <c r="A411" s="770"/>
      <c r="B411" s="816" t="s">
        <v>1383</v>
      </c>
      <c r="C411" s="746"/>
      <c r="D411" s="748">
        <f t="shared" si="13"/>
        <v>0.994</v>
      </c>
      <c r="E411" s="754">
        <v>0.994</v>
      </c>
      <c r="F411" s="748"/>
      <c r="G411" s="828" t="s">
        <v>1380</v>
      </c>
    </row>
    <row r="412" spans="1:7" s="750" customFormat="1" ht="31.5">
      <c r="A412" s="770"/>
      <c r="B412" s="816" t="s">
        <v>1384</v>
      </c>
      <c r="C412" s="746"/>
      <c r="D412" s="748">
        <f t="shared" si="13"/>
        <v>1.727</v>
      </c>
      <c r="E412" s="754">
        <v>1.727</v>
      </c>
      <c r="F412" s="748"/>
      <c r="G412" s="828" t="s">
        <v>1380</v>
      </c>
    </row>
    <row r="413" spans="1:7" s="750" customFormat="1" ht="15.75">
      <c r="A413" s="770"/>
      <c r="B413" s="816" t="s">
        <v>1142</v>
      </c>
      <c r="C413" s="746"/>
      <c r="D413" s="748">
        <f t="shared" si="13"/>
        <v>15</v>
      </c>
      <c r="E413" s="754">
        <v>15</v>
      </c>
      <c r="F413" s="748"/>
      <c r="G413" s="828" t="s">
        <v>1377</v>
      </c>
    </row>
    <row r="414" spans="1:7" s="750" customFormat="1" ht="31.5">
      <c r="A414" s="770"/>
      <c r="B414" s="816" t="s">
        <v>1385</v>
      </c>
      <c r="C414" s="746"/>
      <c r="D414" s="748">
        <f t="shared" si="13"/>
        <v>3.609</v>
      </c>
      <c r="E414" s="754">
        <v>3.609</v>
      </c>
      <c r="F414" s="748"/>
      <c r="G414" s="828" t="s">
        <v>1377</v>
      </c>
    </row>
    <row r="415" spans="1:7" s="750" customFormat="1" ht="31.5">
      <c r="A415" s="770"/>
      <c r="B415" s="816" t="s">
        <v>1386</v>
      </c>
      <c r="C415" s="746"/>
      <c r="D415" s="748">
        <f t="shared" si="13"/>
        <v>3.7</v>
      </c>
      <c r="E415" s="754">
        <v>3.7</v>
      </c>
      <c r="F415" s="748"/>
      <c r="G415" s="828" t="s">
        <v>1387</v>
      </c>
    </row>
    <row r="416" spans="1:7" s="750" customFormat="1" ht="15.75">
      <c r="A416" s="770"/>
      <c r="B416" s="816" t="s">
        <v>1388</v>
      </c>
      <c r="C416" s="746"/>
      <c r="D416" s="748">
        <f t="shared" si="13"/>
        <v>400</v>
      </c>
      <c r="E416" s="754">
        <v>400</v>
      </c>
      <c r="F416" s="748"/>
      <c r="G416" s="828"/>
    </row>
    <row r="417" spans="1:7" s="743" customFormat="1" ht="31.5">
      <c r="A417" s="738" t="s">
        <v>1389</v>
      </c>
      <c r="B417" s="771" t="s">
        <v>528</v>
      </c>
      <c r="C417" s="740"/>
      <c r="D417" s="741">
        <f>D419+D420+D423+D426</f>
        <v>1883.703522</v>
      </c>
      <c r="E417" s="741">
        <f>E419+E420+E423+E426</f>
        <v>1883.703522</v>
      </c>
      <c r="F417" s="741"/>
      <c r="G417" s="769"/>
    </row>
    <row r="418" spans="1:7" s="743" customFormat="1" ht="15.75">
      <c r="A418" s="738" t="s">
        <v>614</v>
      </c>
      <c r="B418" s="771" t="s">
        <v>1195</v>
      </c>
      <c r="C418" s="740"/>
      <c r="D418" s="741">
        <f>D419</f>
        <v>53.5</v>
      </c>
      <c r="E418" s="741">
        <f>E419</f>
        <v>53.5</v>
      </c>
      <c r="F418" s="741"/>
      <c r="G418" s="769"/>
    </row>
    <row r="419" spans="1:7" s="750" customFormat="1" ht="33">
      <c r="A419" s="770"/>
      <c r="B419" s="829" t="s">
        <v>1390</v>
      </c>
      <c r="C419" s="746"/>
      <c r="D419" s="748">
        <f>E419+F419</f>
        <v>53.5</v>
      </c>
      <c r="E419" s="748">
        <v>53.5</v>
      </c>
      <c r="F419" s="748"/>
      <c r="G419" s="830" t="s">
        <v>1391</v>
      </c>
    </row>
    <row r="420" spans="1:7" s="743" customFormat="1" ht="15.75">
      <c r="A420" s="738" t="s">
        <v>618</v>
      </c>
      <c r="B420" s="771" t="s">
        <v>1218</v>
      </c>
      <c r="C420" s="740"/>
      <c r="D420" s="741">
        <f>SUM(D421:D422)</f>
        <v>179.52</v>
      </c>
      <c r="E420" s="741">
        <f>SUM(E421:E422)</f>
        <v>179.52</v>
      </c>
      <c r="F420" s="741"/>
      <c r="G420" s="769"/>
    </row>
    <row r="421" spans="1:7" s="750" customFormat="1" ht="31.5">
      <c r="A421" s="831"/>
      <c r="B421" s="832" t="s">
        <v>1392</v>
      </c>
      <c r="C421" s="833"/>
      <c r="D421" s="834">
        <f>E421+F421</f>
        <v>31</v>
      </c>
      <c r="E421" s="834">
        <v>31</v>
      </c>
      <c r="F421" s="834"/>
      <c r="G421" s="835" t="s">
        <v>1393</v>
      </c>
    </row>
    <row r="422" spans="1:7" s="750" customFormat="1" ht="16.5">
      <c r="A422" s="831"/>
      <c r="B422" s="832" t="s">
        <v>1394</v>
      </c>
      <c r="C422" s="833"/>
      <c r="D422" s="834">
        <f>E422+F422</f>
        <v>148.52</v>
      </c>
      <c r="E422" s="834">
        <v>148.52</v>
      </c>
      <c r="F422" s="834"/>
      <c r="G422" s="830" t="s">
        <v>1391</v>
      </c>
    </row>
    <row r="423" spans="1:7" s="743" customFormat="1" ht="15.75">
      <c r="A423" s="738" t="s">
        <v>1395</v>
      </c>
      <c r="B423" s="771" t="s">
        <v>1396</v>
      </c>
      <c r="C423" s="740"/>
      <c r="D423" s="741">
        <f>D424+D425</f>
        <v>1340.683522</v>
      </c>
      <c r="E423" s="741">
        <f>E424+E425</f>
        <v>1340.683522</v>
      </c>
      <c r="F423" s="741"/>
      <c r="G423" s="769"/>
    </row>
    <row r="424" spans="1:7" s="750" customFormat="1" ht="31.5">
      <c r="A424" s="831"/>
      <c r="B424" s="832" t="s">
        <v>1397</v>
      </c>
      <c r="C424" s="833"/>
      <c r="D424" s="834">
        <f>E424+F424</f>
        <v>1338.8</v>
      </c>
      <c r="E424" s="834">
        <v>1338.8</v>
      </c>
      <c r="F424" s="834"/>
      <c r="G424" s="835" t="s">
        <v>1398</v>
      </c>
    </row>
    <row r="425" spans="1:7" s="750" customFormat="1" ht="16.5">
      <c r="A425" s="831"/>
      <c r="B425" s="832" t="s">
        <v>1399</v>
      </c>
      <c r="C425" s="833"/>
      <c r="D425" s="834">
        <f>E425+F425</f>
        <v>1.883522</v>
      </c>
      <c r="E425" s="834">
        <v>1.883522</v>
      </c>
      <c r="F425" s="834"/>
      <c r="G425" s="830" t="s">
        <v>1391</v>
      </c>
    </row>
    <row r="426" spans="1:7" s="743" customFormat="1" ht="15.75">
      <c r="A426" s="738" t="s">
        <v>1400</v>
      </c>
      <c r="B426" s="771" t="s">
        <v>1401</v>
      </c>
      <c r="C426" s="740"/>
      <c r="D426" s="741">
        <f>D427</f>
        <v>310</v>
      </c>
      <c r="E426" s="741">
        <f>E427</f>
        <v>310</v>
      </c>
      <c r="F426" s="741"/>
      <c r="G426" s="769"/>
    </row>
    <row r="427" spans="1:7" s="750" customFormat="1" ht="33">
      <c r="A427" s="831"/>
      <c r="B427" s="832" t="s">
        <v>1402</v>
      </c>
      <c r="C427" s="833"/>
      <c r="D427" s="834">
        <f>E427+F427</f>
        <v>310</v>
      </c>
      <c r="E427" s="834">
        <v>310</v>
      </c>
      <c r="F427" s="834"/>
      <c r="G427" s="835"/>
    </row>
    <row r="428" spans="1:7" s="743" customFormat="1" ht="15.75">
      <c r="A428" s="738" t="s">
        <v>1403</v>
      </c>
      <c r="B428" s="771" t="s">
        <v>671</v>
      </c>
      <c r="C428" s="740"/>
      <c r="D428" s="741">
        <f>SUM(D429:D459)</f>
        <v>1131.9291209999997</v>
      </c>
      <c r="E428" s="741">
        <f>SUM(E429:E459)</f>
        <v>0</v>
      </c>
      <c r="F428" s="741">
        <f>SUM(F429:F459)</f>
        <v>1131.9291209999997</v>
      </c>
      <c r="G428" s="769"/>
    </row>
    <row r="429" spans="1:7" s="767" customFormat="1" ht="15.75">
      <c r="A429" s="793" t="s">
        <v>840</v>
      </c>
      <c r="B429" s="764" t="s">
        <v>1276</v>
      </c>
      <c r="C429" s="836"/>
      <c r="D429" s="766">
        <f aca="true" t="shared" si="14" ref="D429:D459">E429+F429</f>
        <v>88.730828</v>
      </c>
      <c r="E429" s="837"/>
      <c r="F429" s="837">
        <v>88.730828</v>
      </c>
      <c r="G429" s="749" t="s">
        <v>1171</v>
      </c>
    </row>
    <row r="430" spans="1:7" s="767" customFormat="1" ht="15.75">
      <c r="A430" s="793" t="s">
        <v>840</v>
      </c>
      <c r="B430" s="764" t="s">
        <v>1404</v>
      </c>
      <c r="C430" s="836"/>
      <c r="D430" s="766">
        <f t="shared" si="14"/>
        <v>202.303</v>
      </c>
      <c r="E430" s="837"/>
      <c r="F430" s="837">
        <v>202.303</v>
      </c>
      <c r="G430" s="749" t="s">
        <v>1171</v>
      </c>
    </row>
    <row r="431" spans="1:7" s="767" customFormat="1" ht="15.75">
      <c r="A431" s="793" t="s">
        <v>840</v>
      </c>
      <c r="B431" s="764" t="s">
        <v>1405</v>
      </c>
      <c r="C431" s="836"/>
      <c r="D431" s="766">
        <f t="shared" si="14"/>
        <v>259.05</v>
      </c>
      <c r="E431" s="837"/>
      <c r="F431" s="837">
        <v>259.05</v>
      </c>
      <c r="G431" s="749" t="s">
        <v>1171</v>
      </c>
    </row>
    <row r="432" spans="1:7" s="767" customFormat="1" ht="15.75">
      <c r="A432" s="838" t="s">
        <v>840</v>
      </c>
      <c r="B432" s="839" t="s">
        <v>1406</v>
      </c>
      <c r="C432" s="836"/>
      <c r="D432" s="837">
        <f t="shared" si="14"/>
        <v>0.000931</v>
      </c>
      <c r="E432" s="837"/>
      <c r="F432" s="837">
        <v>0.000931</v>
      </c>
      <c r="G432" s="749" t="s">
        <v>1171</v>
      </c>
    </row>
    <row r="433" spans="1:7" s="767" customFormat="1" ht="15.75">
      <c r="A433" s="838" t="s">
        <v>840</v>
      </c>
      <c r="B433" s="764" t="s">
        <v>1407</v>
      </c>
      <c r="C433" s="784"/>
      <c r="D433" s="766">
        <f t="shared" si="14"/>
        <v>0.09265</v>
      </c>
      <c r="E433" s="766"/>
      <c r="F433" s="766">
        <v>0.09265</v>
      </c>
      <c r="G433" s="749" t="s">
        <v>1171</v>
      </c>
    </row>
    <row r="434" spans="1:7" s="767" customFormat="1" ht="15.75">
      <c r="A434" s="838" t="s">
        <v>840</v>
      </c>
      <c r="B434" s="764" t="s">
        <v>1408</v>
      </c>
      <c r="C434" s="784"/>
      <c r="D434" s="766">
        <f t="shared" si="14"/>
        <v>4.6812000000000005</v>
      </c>
      <c r="E434" s="766"/>
      <c r="F434" s="766">
        <v>4.6812000000000005</v>
      </c>
      <c r="G434" s="749" t="s">
        <v>1171</v>
      </c>
    </row>
    <row r="435" spans="1:7" s="767" customFormat="1" ht="15.75">
      <c r="A435" s="838" t="s">
        <v>840</v>
      </c>
      <c r="B435" s="764" t="s">
        <v>1409</v>
      </c>
      <c r="C435" s="784"/>
      <c r="D435" s="766">
        <f t="shared" si="14"/>
        <v>0.1974</v>
      </c>
      <c r="E435" s="766"/>
      <c r="F435" s="766">
        <v>0.1974</v>
      </c>
      <c r="G435" s="749" t="s">
        <v>1171</v>
      </c>
    </row>
    <row r="436" spans="1:7" s="767" customFormat="1" ht="15.75">
      <c r="A436" s="793" t="s">
        <v>840</v>
      </c>
      <c r="B436" s="764" t="s">
        <v>1410</v>
      </c>
      <c r="C436" s="784"/>
      <c r="D436" s="766">
        <f t="shared" si="14"/>
        <v>7.000329</v>
      </c>
      <c r="E436" s="766"/>
      <c r="F436" s="766">
        <v>7.000329</v>
      </c>
      <c r="G436" s="749" t="s">
        <v>1171</v>
      </c>
    </row>
    <row r="437" spans="1:7" s="767" customFormat="1" ht="15.75">
      <c r="A437" s="793" t="s">
        <v>840</v>
      </c>
      <c r="B437" s="801" t="s">
        <v>1274</v>
      </c>
      <c r="C437" s="836"/>
      <c r="D437" s="766">
        <f t="shared" si="14"/>
        <v>82.65419999999999</v>
      </c>
      <c r="E437" s="837"/>
      <c r="F437" s="837">
        <v>82.65419999999999</v>
      </c>
      <c r="G437" s="749" t="s">
        <v>1171</v>
      </c>
    </row>
    <row r="438" spans="1:7" s="767" customFormat="1" ht="15.75">
      <c r="A438" s="793" t="s">
        <v>840</v>
      </c>
      <c r="B438" s="764" t="s">
        <v>1238</v>
      </c>
      <c r="C438" s="836"/>
      <c r="D438" s="766">
        <f t="shared" si="14"/>
        <v>8.0432</v>
      </c>
      <c r="E438" s="837"/>
      <c r="F438" s="837">
        <v>8.0432</v>
      </c>
      <c r="G438" s="749" t="s">
        <v>1241</v>
      </c>
    </row>
    <row r="439" spans="1:7" s="767" customFormat="1" ht="15.75">
      <c r="A439" s="793" t="s">
        <v>840</v>
      </c>
      <c r="B439" s="764" t="s">
        <v>1411</v>
      </c>
      <c r="C439" s="836"/>
      <c r="D439" s="766">
        <f t="shared" si="14"/>
        <v>6.80763</v>
      </c>
      <c r="E439" s="837"/>
      <c r="F439" s="837">
        <v>6.80763</v>
      </c>
      <c r="G439" s="749" t="s">
        <v>1241</v>
      </c>
    </row>
    <row r="440" spans="1:7" s="767" customFormat="1" ht="15.75">
      <c r="A440" s="793" t="s">
        <v>840</v>
      </c>
      <c r="B440" s="764" t="s">
        <v>1412</v>
      </c>
      <c r="C440" s="836"/>
      <c r="D440" s="766">
        <f t="shared" si="14"/>
        <v>163.80235</v>
      </c>
      <c r="E440" s="837"/>
      <c r="F440" s="837">
        <v>163.80235</v>
      </c>
      <c r="G440" s="749" t="s">
        <v>1241</v>
      </c>
    </row>
    <row r="441" spans="1:7" s="767" customFormat="1" ht="15.75">
      <c r="A441" s="793" t="s">
        <v>840</v>
      </c>
      <c r="B441" s="764" t="s">
        <v>1413</v>
      </c>
      <c r="C441" s="836"/>
      <c r="D441" s="766">
        <f t="shared" si="14"/>
        <v>0.04</v>
      </c>
      <c r="E441" s="837"/>
      <c r="F441" s="837">
        <v>0.04</v>
      </c>
      <c r="G441" s="749" t="s">
        <v>1241</v>
      </c>
    </row>
    <row r="442" spans="1:7" s="767" customFormat="1" ht="15.75">
      <c r="A442" s="793" t="s">
        <v>840</v>
      </c>
      <c r="B442" s="764" t="s">
        <v>1414</v>
      </c>
      <c r="C442" s="836"/>
      <c r="D442" s="766">
        <f t="shared" si="14"/>
        <v>9.185584</v>
      </c>
      <c r="E442" s="837"/>
      <c r="F442" s="837">
        <v>9.185584</v>
      </c>
      <c r="G442" s="749" t="s">
        <v>1241</v>
      </c>
    </row>
    <row r="443" spans="1:7" s="767" customFormat="1" ht="15.75">
      <c r="A443" s="793"/>
      <c r="B443" s="764" t="s">
        <v>1415</v>
      </c>
      <c r="C443" s="836"/>
      <c r="D443" s="766">
        <f t="shared" si="14"/>
        <v>11.362079999999999</v>
      </c>
      <c r="E443" s="837"/>
      <c r="F443" s="837">
        <v>11.362079999999999</v>
      </c>
      <c r="G443" s="749" t="s">
        <v>1241</v>
      </c>
    </row>
    <row r="444" spans="1:7" s="767" customFormat="1" ht="15.75">
      <c r="A444" s="793" t="s">
        <v>840</v>
      </c>
      <c r="B444" s="764" t="s">
        <v>1416</v>
      </c>
      <c r="C444" s="784"/>
      <c r="D444" s="766">
        <f t="shared" si="14"/>
        <v>0.026</v>
      </c>
      <c r="E444" s="766"/>
      <c r="F444" s="766">
        <v>0.026</v>
      </c>
      <c r="G444" s="749" t="s">
        <v>1417</v>
      </c>
    </row>
    <row r="445" spans="1:7" s="767" customFormat="1" ht="15.75">
      <c r="A445" s="793" t="s">
        <v>840</v>
      </c>
      <c r="B445" s="764" t="s">
        <v>1418</v>
      </c>
      <c r="C445" s="836"/>
      <c r="D445" s="766">
        <f t="shared" si="14"/>
        <v>48.8005</v>
      </c>
      <c r="E445" s="837"/>
      <c r="F445" s="837">
        <v>48.8005</v>
      </c>
      <c r="G445" s="749" t="s">
        <v>1241</v>
      </c>
    </row>
    <row r="446" spans="1:7" s="767" customFormat="1" ht="15.75">
      <c r="A446" s="793" t="s">
        <v>840</v>
      </c>
      <c r="B446" s="764" t="s">
        <v>1419</v>
      </c>
      <c r="C446" s="836"/>
      <c r="D446" s="766">
        <f t="shared" si="14"/>
        <v>2.403636</v>
      </c>
      <c r="E446" s="837"/>
      <c r="F446" s="837">
        <v>2.403636</v>
      </c>
      <c r="G446" s="749" t="s">
        <v>1241</v>
      </c>
    </row>
    <row r="447" spans="1:7" s="767" customFormat="1" ht="15.75">
      <c r="A447" s="793" t="s">
        <v>840</v>
      </c>
      <c r="B447" s="764" t="s">
        <v>1240</v>
      </c>
      <c r="C447" s="836"/>
      <c r="D447" s="766">
        <f t="shared" si="14"/>
        <v>67.735442</v>
      </c>
      <c r="E447" s="837"/>
      <c r="F447" s="837">
        <v>67.735442</v>
      </c>
      <c r="G447" s="749" t="s">
        <v>1241</v>
      </c>
    </row>
    <row r="448" spans="1:7" s="767" customFormat="1" ht="15.75">
      <c r="A448" s="793" t="s">
        <v>840</v>
      </c>
      <c r="B448" s="764" t="s">
        <v>1242</v>
      </c>
      <c r="C448" s="836"/>
      <c r="D448" s="766">
        <f t="shared" si="14"/>
        <v>8.068325</v>
      </c>
      <c r="E448" s="837"/>
      <c r="F448" s="837">
        <v>8.068325</v>
      </c>
      <c r="G448" s="749" t="s">
        <v>1241</v>
      </c>
    </row>
    <row r="449" spans="1:7" s="767" customFormat="1" ht="15.75">
      <c r="A449" s="793" t="s">
        <v>840</v>
      </c>
      <c r="B449" s="764" t="s">
        <v>1420</v>
      </c>
      <c r="C449" s="836"/>
      <c r="D449" s="766">
        <f t="shared" si="14"/>
        <v>18.980978</v>
      </c>
      <c r="E449" s="837"/>
      <c r="F449" s="837">
        <v>18.980978</v>
      </c>
      <c r="G449" s="749" t="s">
        <v>1241</v>
      </c>
    </row>
    <row r="450" spans="1:7" s="767" customFormat="1" ht="15.75">
      <c r="A450" s="793" t="s">
        <v>840</v>
      </c>
      <c r="B450" s="764" t="s">
        <v>1421</v>
      </c>
      <c r="C450" s="836"/>
      <c r="D450" s="766">
        <f t="shared" si="14"/>
        <v>102.8352</v>
      </c>
      <c r="E450" s="837"/>
      <c r="F450" s="837">
        <v>102.8352</v>
      </c>
      <c r="G450" s="749" t="s">
        <v>1241</v>
      </c>
    </row>
    <row r="451" spans="1:7" s="767" customFormat="1" ht="15.75">
      <c r="A451" s="793" t="s">
        <v>840</v>
      </c>
      <c r="B451" s="764" t="s">
        <v>1422</v>
      </c>
      <c r="C451" s="836"/>
      <c r="D451" s="766">
        <f t="shared" si="14"/>
        <v>0.0711</v>
      </c>
      <c r="E451" s="837"/>
      <c r="F451" s="837">
        <v>0.0711</v>
      </c>
      <c r="G451" s="749" t="s">
        <v>1241</v>
      </c>
    </row>
    <row r="452" spans="1:7" s="767" customFormat="1" ht="15.75">
      <c r="A452" s="793" t="s">
        <v>840</v>
      </c>
      <c r="B452" s="764" t="s">
        <v>1423</v>
      </c>
      <c r="C452" s="784"/>
      <c r="D452" s="766">
        <f t="shared" si="14"/>
        <v>2.14</v>
      </c>
      <c r="E452" s="766"/>
      <c r="F452" s="766">
        <v>2.14</v>
      </c>
      <c r="G452" s="749" t="s">
        <v>1241</v>
      </c>
    </row>
    <row r="453" spans="1:7" s="767" customFormat="1" ht="15.75">
      <c r="A453" s="793" t="s">
        <v>840</v>
      </c>
      <c r="B453" s="764" t="s">
        <v>1424</v>
      </c>
      <c r="C453" s="784"/>
      <c r="D453" s="766">
        <f t="shared" si="14"/>
        <v>8</v>
      </c>
      <c r="E453" s="766"/>
      <c r="F453" s="766">
        <v>8</v>
      </c>
      <c r="G453" s="749" t="s">
        <v>1417</v>
      </c>
    </row>
    <row r="454" spans="1:7" s="767" customFormat="1" ht="15.75">
      <c r="A454" s="793" t="s">
        <v>840</v>
      </c>
      <c r="B454" s="764" t="s">
        <v>1425</v>
      </c>
      <c r="C454" s="784"/>
      <c r="D454" s="766">
        <f t="shared" si="14"/>
        <v>20.7724</v>
      </c>
      <c r="E454" s="766"/>
      <c r="F454" s="766">
        <v>20.7724</v>
      </c>
      <c r="G454" s="749" t="s">
        <v>1417</v>
      </c>
    </row>
    <row r="455" spans="1:7" s="767" customFormat="1" ht="15.75">
      <c r="A455" s="793" t="s">
        <v>840</v>
      </c>
      <c r="B455" s="764" t="s">
        <v>1426</v>
      </c>
      <c r="C455" s="784"/>
      <c r="D455" s="766">
        <f t="shared" si="14"/>
        <v>0.09</v>
      </c>
      <c r="E455" s="766"/>
      <c r="F455" s="766">
        <v>0.09</v>
      </c>
      <c r="G455" s="749" t="s">
        <v>1417</v>
      </c>
    </row>
    <row r="456" spans="1:7" s="767" customFormat="1" ht="15.75">
      <c r="A456" s="793" t="s">
        <v>840</v>
      </c>
      <c r="B456" s="764" t="s">
        <v>1427</v>
      </c>
      <c r="C456" s="784"/>
      <c r="D456" s="766">
        <f t="shared" si="14"/>
        <v>0.05</v>
      </c>
      <c r="E456" s="766"/>
      <c r="F456" s="766">
        <v>0.05</v>
      </c>
      <c r="G456" s="749" t="s">
        <v>1417</v>
      </c>
    </row>
    <row r="457" spans="1:7" s="767" customFormat="1" ht="15.75">
      <c r="A457" s="793" t="s">
        <v>840</v>
      </c>
      <c r="B457" s="764" t="s">
        <v>1428</v>
      </c>
      <c r="C457" s="784"/>
      <c r="D457" s="766">
        <f t="shared" si="14"/>
        <v>7.966618</v>
      </c>
      <c r="E457" s="766"/>
      <c r="F457" s="766">
        <v>7.966618</v>
      </c>
      <c r="G457" s="749" t="s">
        <v>1417</v>
      </c>
    </row>
    <row r="458" spans="1:7" s="767" customFormat="1" ht="15.75">
      <c r="A458" s="793" t="s">
        <v>840</v>
      </c>
      <c r="B458" s="764" t="s">
        <v>1429</v>
      </c>
      <c r="C458" s="784"/>
      <c r="D458" s="766">
        <f t="shared" si="14"/>
        <v>0.01724</v>
      </c>
      <c r="E458" s="766"/>
      <c r="F458" s="766">
        <v>0.01724</v>
      </c>
      <c r="G458" s="749" t="s">
        <v>1417</v>
      </c>
    </row>
    <row r="459" spans="1:7" s="767" customFormat="1" ht="15.75">
      <c r="A459" s="793" t="s">
        <v>840</v>
      </c>
      <c r="B459" s="764" t="s">
        <v>1430</v>
      </c>
      <c r="C459" s="784"/>
      <c r="D459" s="766">
        <f t="shared" si="14"/>
        <v>0.0203</v>
      </c>
      <c r="E459" s="766"/>
      <c r="F459" s="766">
        <v>0.0203</v>
      </c>
      <c r="G459" s="749" t="s">
        <v>1241</v>
      </c>
    </row>
    <row r="460" spans="1:7" s="750" customFormat="1" ht="16.5">
      <c r="A460" s="831"/>
      <c r="B460" s="832"/>
      <c r="C460" s="833"/>
      <c r="D460" s="834"/>
      <c r="E460" s="834"/>
      <c r="F460" s="834"/>
      <c r="G460" s="840"/>
    </row>
    <row r="461" spans="1:7" s="750" customFormat="1" ht="15.75">
      <c r="A461" s="841"/>
      <c r="B461" s="842"/>
      <c r="C461" s="843"/>
      <c r="D461" s="844"/>
      <c r="E461" s="844"/>
      <c r="F461" s="844"/>
      <c r="G461" s="845"/>
    </row>
    <row r="462" spans="1:6" s="750" customFormat="1" ht="11.25" customHeight="1">
      <c r="A462" s="846"/>
      <c r="B462" s="847"/>
      <c r="C462" s="848"/>
      <c r="D462" s="849"/>
      <c r="E462" s="849"/>
      <c r="F462" s="849"/>
    </row>
    <row r="463" spans="1:7" s="851" customFormat="1" ht="16.5">
      <c r="A463" s="850"/>
      <c r="C463" s="852"/>
      <c r="D463" s="1076" t="s">
        <v>1431</v>
      </c>
      <c r="E463" s="1076"/>
      <c r="F463" s="1076"/>
      <c r="G463" s="1076"/>
    </row>
    <row r="464" spans="1:7" s="851" customFormat="1" ht="22.5" customHeight="1">
      <c r="A464" s="850"/>
      <c r="B464" s="1077"/>
      <c r="C464" s="1077"/>
      <c r="D464" s="1078"/>
      <c r="E464" s="1078"/>
      <c r="F464" s="1078"/>
      <c r="G464" s="1078"/>
    </row>
    <row r="465" spans="3:6" s="853" customFormat="1" ht="18.75">
      <c r="C465" s="854"/>
      <c r="D465" s="854"/>
      <c r="E465" s="854"/>
      <c r="F465" s="854"/>
    </row>
    <row r="466" ht="15.75">
      <c r="D466" s="855"/>
    </row>
    <row r="468" ht="15.75">
      <c r="E468" s="855"/>
    </row>
  </sheetData>
  <sheetProtection/>
  <mergeCells count="13">
    <mergeCell ref="A3:G3"/>
    <mergeCell ref="A4:G4"/>
    <mergeCell ref="A6:A7"/>
    <mergeCell ref="B6:B7"/>
    <mergeCell ref="C6:C7"/>
    <mergeCell ref="D6:D7"/>
    <mergeCell ref="E6:E7"/>
    <mergeCell ref="F6:F7"/>
    <mergeCell ref="G6:G7"/>
    <mergeCell ref="G402:G403"/>
    <mergeCell ref="D463:G463"/>
    <mergeCell ref="B464:C464"/>
    <mergeCell ref="D464:G464"/>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2:N19"/>
  <sheetViews>
    <sheetView zoomScalePageLayoutView="0" workbookViewId="0" topLeftCell="A7">
      <selection activeCell="F15" sqref="F15"/>
    </sheetView>
  </sheetViews>
  <sheetFormatPr defaultColWidth="9.33203125" defaultRowHeight="12.75"/>
  <cols>
    <col min="1" max="1" width="140" style="281" customWidth="1"/>
    <col min="2" max="2" width="9.33203125" style="281" customWidth="1"/>
    <col min="3" max="3" width="15.33203125" style="281" customWidth="1"/>
    <col min="4" max="4" width="6.66015625" style="281" customWidth="1"/>
    <col min="5" max="5" width="16.5" style="281" customWidth="1"/>
    <col min="6" max="6" width="9.33203125" style="281" customWidth="1"/>
    <col min="7" max="7" width="6.83203125" style="281" customWidth="1"/>
    <col min="8" max="8" width="9.33203125" style="281" customWidth="1"/>
    <col min="9" max="9" width="7.5" style="281" customWidth="1"/>
    <col min="10" max="16384" width="9.33203125" style="281" customWidth="1"/>
  </cols>
  <sheetData>
    <row r="2" ht="18.75">
      <c r="A2" s="282" t="s">
        <v>241</v>
      </c>
    </row>
    <row r="3" spans="1:12" ht="18.75">
      <c r="A3" s="283" t="s">
        <v>242</v>
      </c>
      <c r="B3" s="284"/>
      <c r="E3" s="956"/>
      <c r="F3" s="956"/>
      <c r="G3" s="956"/>
      <c r="H3" s="956"/>
      <c r="I3" s="956"/>
      <c r="L3" s="284"/>
    </row>
    <row r="4" spans="1:12" ht="144.75" customHeight="1">
      <c r="A4" s="285"/>
      <c r="B4" s="211"/>
      <c r="E4" s="957"/>
      <c r="F4" s="957"/>
      <c r="G4" s="957"/>
      <c r="H4" s="957"/>
      <c r="I4" s="957"/>
      <c r="L4" s="211"/>
    </row>
    <row r="5" spans="1:14" ht="50.25" customHeight="1">
      <c r="A5" s="286" t="s">
        <v>243</v>
      </c>
      <c r="B5" s="209"/>
      <c r="E5" s="958"/>
      <c r="F5" s="958"/>
      <c r="G5" s="958"/>
      <c r="H5" s="958"/>
      <c r="I5" s="958"/>
      <c r="J5" s="958"/>
      <c r="K5" s="958"/>
      <c r="L5" s="959"/>
      <c r="M5" s="959"/>
      <c r="N5" s="959"/>
    </row>
    <row r="6" ht="33.75" customHeight="1">
      <c r="A6" s="287" t="s">
        <v>244</v>
      </c>
    </row>
    <row r="7" ht="33.75" customHeight="1">
      <c r="A7" s="287" t="s">
        <v>1125</v>
      </c>
    </row>
    <row r="8" ht="30.75" customHeight="1">
      <c r="A8" s="285"/>
    </row>
    <row r="9" ht="12.75">
      <c r="A9" s="285"/>
    </row>
    <row r="10" ht="98.25" customHeight="1">
      <c r="A10" s="285"/>
    </row>
    <row r="11" ht="15.75">
      <c r="A11" s="288" t="s">
        <v>1126</v>
      </c>
    </row>
    <row r="12" ht="27.75" customHeight="1">
      <c r="A12" s="289"/>
    </row>
    <row r="17" spans="2:14" ht="18.75">
      <c r="B17" s="284"/>
      <c r="C17" s="956"/>
      <c r="D17" s="956"/>
      <c r="E17" s="956"/>
      <c r="F17" s="956"/>
      <c r="G17" s="956"/>
      <c r="H17" s="956"/>
      <c r="J17" s="956"/>
      <c r="K17" s="956"/>
      <c r="L17" s="956"/>
      <c r="M17" s="956"/>
      <c r="N17" s="956"/>
    </row>
    <row r="18" spans="2:14" ht="12.75">
      <c r="B18" s="211"/>
      <c r="C18" s="957"/>
      <c r="D18" s="957"/>
      <c r="E18" s="957"/>
      <c r="F18" s="957"/>
      <c r="G18" s="957"/>
      <c r="H18" s="957"/>
      <c r="J18" s="957"/>
      <c r="K18" s="957"/>
      <c r="L18" s="957"/>
      <c r="M18" s="957"/>
      <c r="N18" s="957"/>
    </row>
    <row r="19" spans="2:14" ht="15.75">
      <c r="B19" s="209"/>
      <c r="C19" s="958"/>
      <c r="D19" s="958"/>
      <c r="E19" s="960"/>
      <c r="F19" s="960"/>
      <c r="G19" s="960"/>
      <c r="H19" s="960"/>
      <c r="J19" s="958"/>
      <c r="K19" s="958"/>
      <c r="L19" s="959"/>
      <c r="M19" s="959"/>
      <c r="N19" s="959"/>
    </row>
  </sheetData>
  <sheetProtection/>
  <mergeCells count="14">
    <mergeCell ref="C17:H17"/>
    <mergeCell ref="J17:N17"/>
    <mergeCell ref="C18:H18"/>
    <mergeCell ref="J18:N18"/>
    <mergeCell ref="C19:D19"/>
    <mergeCell ref="E19:H19"/>
    <mergeCell ref="J19:K19"/>
    <mergeCell ref="L19:N19"/>
    <mergeCell ref="E3:I3"/>
    <mergeCell ref="E4:I4"/>
    <mergeCell ref="E5:F5"/>
    <mergeCell ref="G5:I5"/>
    <mergeCell ref="J5:K5"/>
    <mergeCell ref="L5:N5"/>
  </mergeCells>
  <printOptions/>
  <pageMargins left="0.7" right="0.7" top="0.75" bottom="0.75" header="0.3" footer="0.3"/>
  <pageSetup horizontalDpi="600" verticalDpi="600" orientation="landscape" r:id="rId2"/>
  <drawing r:id="rId1"/>
</worksheet>
</file>

<file path=xl/worksheets/sheet20.xml><?xml version="1.0" encoding="utf-8"?>
<worksheet xmlns="http://schemas.openxmlformats.org/spreadsheetml/2006/main" xmlns:r="http://schemas.openxmlformats.org/officeDocument/2006/relationships">
  <dimension ref="A1:HX77"/>
  <sheetViews>
    <sheetView zoomScalePageLayoutView="0" workbookViewId="0" topLeftCell="A1">
      <selection activeCell="L10" sqref="L10"/>
    </sheetView>
  </sheetViews>
  <sheetFormatPr defaultColWidth="0" defaultRowHeight="12.75" outlineLevelRow="1"/>
  <cols>
    <col min="1" max="1" width="6.33203125" style="919" customWidth="1"/>
    <col min="2" max="2" width="58.16015625" style="767" customWidth="1"/>
    <col min="3" max="3" width="14.5" style="856" hidden="1" customWidth="1"/>
    <col min="4" max="4" width="19" style="856" customWidth="1"/>
    <col min="5" max="5" width="20" style="857" customWidth="1"/>
    <col min="6" max="6" width="20" style="858" customWidth="1"/>
    <col min="7" max="7" width="25" style="767" customWidth="1"/>
    <col min="8" max="8" width="15.66015625" style="767" hidden="1" customWidth="1"/>
    <col min="9" max="9" width="10.66015625" style="767" hidden="1" customWidth="1"/>
    <col min="10" max="10" width="16.66015625" style="767" hidden="1" customWidth="1"/>
    <col min="11" max="12" width="10.66015625" style="767" customWidth="1"/>
    <col min="13" max="13" width="26" style="767" customWidth="1"/>
    <col min="14" max="237" width="10.66015625" style="767" customWidth="1"/>
    <col min="238" max="238" width="6.33203125" style="767" customWidth="1"/>
    <col min="239" max="239" width="55.33203125" style="767" customWidth="1"/>
    <col min="240" max="242" width="13.33203125" style="767" customWidth="1"/>
    <col min="243" max="243" width="6.33203125" style="767" customWidth="1"/>
    <col min="244" max="244" width="62.33203125" style="767" customWidth="1"/>
    <col min="245" max="245" width="13.33203125" style="767" customWidth="1"/>
    <col min="246" max="247" width="0" style="767" hidden="1" customWidth="1"/>
    <col min="248" max="248" width="16.83203125" style="767" customWidth="1"/>
    <col min="249" max="254" width="0" style="767" hidden="1" customWidth="1"/>
    <col min="255" max="255" width="14.5" style="767" customWidth="1"/>
    <col min="256" max="16384" width="0" style="767" hidden="1" customWidth="1"/>
  </cols>
  <sheetData>
    <row r="1" spans="1:223" ht="15.75">
      <c r="A1" s="1043" t="s">
        <v>1433</v>
      </c>
      <c r="B1" s="1043"/>
      <c r="G1" s="859"/>
      <c r="H1" s="859"/>
      <c r="I1" s="859"/>
      <c r="J1" s="859"/>
      <c r="K1" s="859"/>
      <c r="L1" s="859"/>
      <c r="M1" s="859"/>
      <c r="N1" s="859"/>
      <c r="O1" s="859"/>
      <c r="P1" s="859"/>
      <c r="Q1" s="859"/>
      <c r="R1" s="859"/>
      <c r="S1" s="859"/>
      <c r="T1" s="859"/>
      <c r="U1" s="859"/>
      <c r="V1" s="859"/>
      <c r="W1" s="859"/>
      <c r="X1" s="859"/>
      <c r="Y1" s="859"/>
      <c r="Z1" s="859"/>
      <c r="AA1" s="859"/>
      <c r="AB1" s="859"/>
      <c r="AC1" s="859"/>
      <c r="AD1" s="859"/>
      <c r="AE1" s="859"/>
      <c r="AF1" s="859"/>
      <c r="AG1" s="859"/>
      <c r="AH1" s="859"/>
      <c r="AI1" s="859"/>
      <c r="AJ1" s="859"/>
      <c r="AK1" s="859"/>
      <c r="AL1" s="859"/>
      <c r="AM1" s="859"/>
      <c r="AN1" s="859"/>
      <c r="AO1" s="859"/>
      <c r="AP1" s="859"/>
      <c r="AQ1" s="859"/>
      <c r="AR1" s="859"/>
      <c r="AS1" s="859"/>
      <c r="AT1" s="859"/>
      <c r="AU1" s="859"/>
      <c r="AV1" s="859"/>
      <c r="AW1" s="859"/>
      <c r="AX1" s="859"/>
      <c r="AY1" s="859"/>
      <c r="AZ1" s="859"/>
      <c r="BA1" s="859"/>
      <c r="BB1" s="859"/>
      <c r="BC1" s="859"/>
      <c r="BD1" s="859"/>
      <c r="BE1" s="859"/>
      <c r="BF1" s="859"/>
      <c r="BG1" s="859"/>
      <c r="BH1" s="859"/>
      <c r="BI1" s="859"/>
      <c r="BJ1" s="859"/>
      <c r="BK1" s="859"/>
      <c r="BL1" s="859"/>
      <c r="BM1" s="859"/>
      <c r="BN1" s="859"/>
      <c r="BO1" s="859"/>
      <c r="BP1" s="859"/>
      <c r="BQ1" s="859"/>
      <c r="BR1" s="859"/>
      <c r="BS1" s="859"/>
      <c r="BT1" s="859"/>
      <c r="BU1" s="859"/>
      <c r="BV1" s="859"/>
      <c r="BW1" s="859"/>
      <c r="BX1" s="859"/>
      <c r="BY1" s="859"/>
      <c r="BZ1" s="859"/>
      <c r="CA1" s="859"/>
      <c r="CB1" s="859"/>
      <c r="CC1" s="859"/>
      <c r="CD1" s="859"/>
      <c r="CE1" s="859"/>
      <c r="CF1" s="859"/>
      <c r="CG1" s="859"/>
      <c r="CH1" s="859"/>
      <c r="CI1" s="859"/>
      <c r="CJ1" s="859"/>
      <c r="CK1" s="859"/>
      <c r="CL1" s="859"/>
      <c r="CM1" s="859"/>
      <c r="CN1" s="859"/>
      <c r="CO1" s="859"/>
      <c r="CP1" s="859"/>
      <c r="CQ1" s="859"/>
      <c r="CR1" s="859"/>
      <c r="CS1" s="859"/>
      <c r="CT1" s="859"/>
      <c r="CU1" s="859"/>
      <c r="CV1" s="859"/>
      <c r="CW1" s="859"/>
      <c r="CX1" s="859"/>
      <c r="CY1" s="859"/>
      <c r="CZ1" s="859"/>
      <c r="DA1" s="859"/>
      <c r="DB1" s="859"/>
      <c r="DC1" s="859"/>
      <c r="DD1" s="859"/>
      <c r="DE1" s="859"/>
      <c r="DF1" s="859"/>
      <c r="DG1" s="859"/>
      <c r="DH1" s="859"/>
      <c r="DI1" s="859"/>
      <c r="DJ1" s="859"/>
      <c r="DK1" s="859"/>
      <c r="DL1" s="859"/>
      <c r="DM1" s="859"/>
      <c r="DN1" s="859"/>
      <c r="DO1" s="859"/>
      <c r="DP1" s="859"/>
      <c r="DQ1" s="859"/>
      <c r="DR1" s="859"/>
      <c r="DS1" s="859"/>
      <c r="DT1" s="859"/>
      <c r="DU1" s="859"/>
      <c r="DV1" s="859"/>
      <c r="DW1" s="859"/>
      <c r="DX1" s="859"/>
      <c r="DY1" s="859"/>
      <c r="DZ1" s="859"/>
      <c r="EA1" s="859"/>
      <c r="EB1" s="859"/>
      <c r="EC1" s="859"/>
      <c r="ED1" s="859"/>
      <c r="EE1" s="859"/>
      <c r="EF1" s="859"/>
      <c r="EG1" s="859"/>
      <c r="EH1" s="859"/>
      <c r="EI1" s="859"/>
      <c r="EJ1" s="859"/>
      <c r="EK1" s="859"/>
      <c r="EL1" s="859"/>
      <c r="EM1" s="859"/>
      <c r="EN1" s="859"/>
      <c r="EO1" s="859"/>
      <c r="EP1" s="859"/>
      <c r="EQ1" s="859"/>
      <c r="ER1" s="859"/>
      <c r="ES1" s="859"/>
      <c r="ET1" s="859"/>
      <c r="EU1" s="859"/>
      <c r="EV1" s="859"/>
      <c r="EW1" s="859"/>
      <c r="EX1" s="859"/>
      <c r="EY1" s="859"/>
      <c r="EZ1" s="859"/>
      <c r="FA1" s="859"/>
      <c r="FB1" s="859"/>
      <c r="FC1" s="859"/>
      <c r="FD1" s="859"/>
      <c r="FE1" s="859"/>
      <c r="FF1" s="859"/>
      <c r="FG1" s="859"/>
      <c r="FH1" s="859"/>
      <c r="FI1" s="859"/>
      <c r="FJ1" s="859"/>
      <c r="FK1" s="859"/>
      <c r="FL1" s="859"/>
      <c r="FM1" s="859"/>
      <c r="FN1" s="859"/>
      <c r="FO1" s="859"/>
      <c r="FP1" s="859"/>
      <c r="FQ1" s="859"/>
      <c r="FR1" s="859"/>
      <c r="FS1" s="859"/>
      <c r="FT1" s="859"/>
      <c r="FU1" s="859"/>
      <c r="FV1" s="859"/>
      <c r="FW1" s="859"/>
      <c r="FX1" s="859"/>
      <c r="FY1" s="859"/>
      <c r="FZ1" s="859"/>
      <c r="GA1" s="859"/>
      <c r="GB1" s="859"/>
      <c r="GC1" s="859"/>
      <c r="GD1" s="859"/>
      <c r="GE1" s="859"/>
      <c r="GF1" s="859"/>
      <c r="GG1" s="859"/>
      <c r="GH1" s="859"/>
      <c r="GI1" s="859"/>
      <c r="GJ1" s="859"/>
      <c r="GK1" s="859"/>
      <c r="GL1" s="859"/>
      <c r="GM1" s="859"/>
      <c r="GN1" s="859"/>
      <c r="GO1" s="859"/>
      <c r="GP1" s="859"/>
      <c r="GQ1" s="859"/>
      <c r="GR1" s="859"/>
      <c r="GS1" s="859"/>
      <c r="GT1" s="859"/>
      <c r="GU1" s="859"/>
      <c r="GV1" s="859"/>
      <c r="GW1" s="859"/>
      <c r="GX1" s="859"/>
      <c r="GY1" s="859"/>
      <c r="GZ1" s="859"/>
      <c r="HA1" s="859"/>
      <c r="HB1" s="859"/>
      <c r="HC1" s="859"/>
      <c r="HD1" s="859"/>
      <c r="HE1" s="859"/>
      <c r="HF1" s="859"/>
      <c r="HG1" s="859"/>
      <c r="HH1" s="859"/>
      <c r="HI1" s="859"/>
      <c r="HJ1" s="859"/>
      <c r="HK1" s="859"/>
      <c r="HL1" s="859"/>
      <c r="HM1" s="859"/>
      <c r="HN1" s="859"/>
      <c r="HO1" s="859"/>
    </row>
    <row r="2" spans="1:223" ht="41.25" customHeight="1">
      <c r="A2" s="1044" t="s">
        <v>1434</v>
      </c>
      <c r="B2" s="1044"/>
      <c r="C2" s="1044"/>
      <c r="D2" s="1044"/>
      <c r="E2" s="1044"/>
      <c r="F2" s="1044"/>
      <c r="G2" s="1044"/>
      <c r="H2" s="859"/>
      <c r="I2" s="859"/>
      <c r="J2" s="859"/>
      <c r="K2" s="859"/>
      <c r="L2" s="859"/>
      <c r="M2" s="859"/>
      <c r="N2" s="859"/>
      <c r="O2" s="859"/>
      <c r="P2" s="859"/>
      <c r="Q2" s="859"/>
      <c r="R2" s="859"/>
      <c r="S2" s="859"/>
      <c r="T2" s="859"/>
      <c r="U2" s="859"/>
      <c r="V2" s="859"/>
      <c r="W2" s="859"/>
      <c r="X2" s="859"/>
      <c r="Y2" s="859"/>
      <c r="Z2" s="859"/>
      <c r="AA2" s="859"/>
      <c r="AB2" s="859"/>
      <c r="AC2" s="859"/>
      <c r="AD2" s="859"/>
      <c r="AE2" s="859"/>
      <c r="AF2" s="859"/>
      <c r="AG2" s="859"/>
      <c r="AH2" s="859"/>
      <c r="AI2" s="859"/>
      <c r="AJ2" s="859"/>
      <c r="AK2" s="859"/>
      <c r="AL2" s="859"/>
      <c r="AM2" s="859"/>
      <c r="AN2" s="859"/>
      <c r="AO2" s="859"/>
      <c r="AP2" s="859"/>
      <c r="AQ2" s="859"/>
      <c r="AR2" s="859"/>
      <c r="AS2" s="859"/>
      <c r="AT2" s="859"/>
      <c r="AU2" s="859"/>
      <c r="AV2" s="859"/>
      <c r="AW2" s="859"/>
      <c r="AX2" s="859"/>
      <c r="AY2" s="859"/>
      <c r="AZ2" s="859"/>
      <c r="BA2" s="859"/>
      <c r="BB2" s="859"/>
      <c r="BC2" s="859"/>
      <c r="BD2" s="859"/>
      <c r="BE2" s="859"/>
      <c r="BF2" s="859"/>
      <c r="BG2" s="859"/>
      <c r="BH2" s="859"/>
      <c r="BI2" s="859"/>
      <c r="BJ2" s="859"/>
      <c r="BK2" s="859"/>
      <c r="BL2" s="859"/>
      <c r="BM2" s="859"/>
      <c r="BN2" s="859"/>
      <c r="BO2" s="859"/>
      <c r="BP2" s="859"/>
      <c r="BQ2" s="859"/>
      <c r="BR2" s="859"/>
      <c r="BS2" s="859"/>
      <c r="BT2" s="859"/>
      <c r="BU2" s="859"/>
      <c r="BV2" s="859"/>
      <c r="BW2" s="859"/>
      <c r="BX2" s="859"/>
      <c r="BY2" s="859"/>
      <c r="BZ2" s="859"/>
      <c r="CA2" s="859"/>
      <c r="CB2" s="859"/>
      <c r="CC2" s="859"/>
      <c r="CD2" s="859"/>
      <c r="CE2" s="859"/>
      <c r="CF2" s="859"/>
      <c r="CG2" s="859"/>
      <c r="CH2" s="859"/>
      <c r="CI2" s="859"/>
      <c r="CJ2" s="859"/>
      <c r="CK2" s="859"/>
      <c r="CL2" s="859"/>
      <c r="CM2" s="859"/>
      <c r="CN2" s="859"/>
      <c r="CO2" s="859"/>
      <c r="CP2" s="859"/>
      <c r="CQ2" s="859"/>
      <c r="CR2" s="859"/>
      <c r="CS2" s="859"/>
      <c r="CT2" s="859"/>
      <c r="CU2" s="859"/>
      <c r="CV2" s="859"/>
      <c r="CW2" s="859"/>
      <c r="CX2" s="859"/>
      <c r="CY2" s="859"/>
      <c r="CZ2" s="859"/>
      <c r="DA2" s="859"/>
      <c r="DB2" s="859"/>
      <c r="DC2" s="859"/>
      <c r="DD2" s="859"/>
      <c r="DE2" s="859"/>
      <c r="DF2" s="859"/>
      <c r="DG2" s="859"/>
      <c r="DH2" s="859"/>
      <c r="DI2" s="859"/>
      <c r="DJ2" s="859"/>
      <c r="DK2" s="859"/>
      <c r="DL2" s="859"/>
      <c r="DM2" s="859"/>
      <c r="DN2" s="859"/>
      <c r="DO2" s="859"/>
      <c r="DP2" s="859"/>
      <c r="DQ2" s="859"/>
      <c r="DR2" s="859"/>
      <c r="DS2" s="859"/>
      <c r="DT2" s="859"/>
      <c r="DU2" s="859"/>
      <c r="DV2" s="859"/>
      <c r="DW2" s="859"/>
      <c r="DX2" s="859"/>
      <c r="DY2" s="859"/>
      <c r="DZ2" s="859"/>
      <c r="EA2" s="859"/>
      <c r="EB2" s="859"/>
      <c r="EC2" s="859"/>
      <c r="ED2" s="859"/>
      <c r="EE2" s="859"/>
      <c r="EF2" s="859"/>
      <c r="EG2" s="859"/>
      <c r="EH2" s="859"/>
      <c r="EI2" s="859"/>
      <c r="EJ2" s="859"/>
      <c r="EK2" s="859"/>
      <c r="EL2" s="859"/>
      <c r="EM2" s="859"/>
      <c r="EN2" s="859"/>
      <c r="EO2" s="859"/>
      <c r="EP2" s="859"/>
      <c r="EQ2" s="859"/>
      <c r="ER2" s="859"/>
      <c r="ES2" s="859"/>
      <c r="ET2" s="859"/>
      <c r="EU2" s="859"/>
      <c r="EV2" s="859"/>
      <c r="EW2" s="859"/>
      <c r="EX2" s="859"/>
      <c r="EY2" s="859"/>
      <c r="EZ2" s="859"/>
      <c r="FA2" s="859"/>
      <c r="FB2" s="859"/>
      <c r="FC2" s="859"/>
      <c r="FD2" s="859"/>
      <c r="FE2" s="859"/>
      <c r="FF2" s="859"/>
      <c r="FG2" s="859"/>
      <c r="FH2" s="859"/>
      <c r="FI2" s="859"/>
      <c r="FJ2" s="859"/>
      <c r="FK2" s="859"/>
      <c r="FL2" s="859"/>
      <c r="FM2" s="859"/>
      <c r="FN2" s="859"/>
      <c r="FO2" s="859"/>
      <c r="FP2" s="859"/>
      <c r="FQ2" s="859"/>
      <c r="FR2" s="859"/>
      <c r="FS2" s="859"/>
      <c r="FT2" s="859"/>
      <c r="FU2" s="859"/>
      <c r="FV2" s="859"/>
      <c r="FW2" s="859"/>
      <c r="FX2" s="859"/>
      <c r="FY2" s="859"/>
      <c r="FZ2" s="859"/>
      <c r="GA2" s="859"/>
      <c r="GB2" s="859"/>
      <c r="GC2" s="859"/>
      <c r="GD2" s="859"/>
      <c r="GE2" s="859"/>
      <c r="GF2" s="859"/>
      <c r="GG2" s="859"/>
      <c r="GH2" s="859"/>
      <c r="GI2" s="859"/>
      <c r="GJ2" s="859"/>
      <c r="GK2" s="859"/>
      <c r="GL2" s="859"/>
      <c r="GM2" s="859"/>
      <c r="GN2" s="859"/>
      <c r="GO2" s="859"/>
      <c r="GP2" s="859"/>
      <c r="GQ2" s="859"/>
      <c r="GR2" s="859"/>
      <c r="GS2" s="859"/>
      <c r="GT2" s="859"/>
      <c r="GU2" s="859"/>
      <c r="GV2" s="859"/>
      <c r="GW2" s="859"/>
      <c r="GX2" s="859"/>
      <c r="GY2" s="859"/>
      <c r="GZ2" s="859"/>
      <c r="HA2" s="859"/>
      <c r="HB2" s="859"/>
      <c r="HC2" s="859"/>
      <c r="HD2" s="859"/>
      <c r="HE2" s="859"/>
      <c r="HF2" s="859"/>
      <c r="HG2" s="859"/>
      <c r="HH2" s="859"/>
      <c r="HI2" s="859"/>
      <c r="HJ2" s="859"/>
      <c r="HK2" s="859"/>
      <c r="HL2" s="859"/>
      <c r="HM2" s="859"/>
      <c r="HN2" s="859"/>
      <c r="HO2" s="859"/>
    </row>
    <row r="3" spans="1:223" ht="18.75" customHeight="1" hidden="1" outlineLevel="1">
      <c r="A3" s="1045" t="s">
        <v>1435</v>
      </c>
      <c r="B3" s="1045"/>
      <c r="C3" s="1045"/>
      <c r="D3" s="1045"/>
      <c r="E3" s="1045"/>
      <c r="F3" s="1045"/>
      <c r="G3" s="859"/>
      <c r="H3" s="859"/>
      <c r="I3" s="859"/>
      <c r="J3" s="859"/>
      <c r="K3" s="859"/>
      <c r="L3" s="859"/>
      <c r="M3" s="859"/>
      <c r="N3" s="859"/>
      <c r="O3" s="859"/>
      <c r="P3" s="859"/>
      <c r="Q3" s="859"/>
      <c r="R3" s="859"/>
      <c r="S3" s="859"/>
      <c r="T3" s="859"/>
      <c r="U3" s="859"/>
      <c r="V3" s="859"/>
      <c r="W3" s="859"/>
      <c r="X3" s="859"/>
      <c r="Y3" s="859"/>
      <c r="Z3" s="859"/>
      <c r="AA3" s="859"/>
      <c r="AB3" s="859"/>
      <c r="AC3" s="859"/>
      <c r="AD3" s="859"/>
      <c r="AE3" s="859"/>
      <c r="AF3" s="859"/>
      <c r="AG3" s="859"/>
      <c r="AH3" s="859"/>
      <c r="AI3" s="859"/>
      <c r="AJ3" s="859"/>
      <c r="AK3" s="859"/>
      <c r="AL3" s="859"/>
      <c r="AM3" s="859"/>
      <c r="AN3" s="859"/>
      <c r="AO3" s="859"/>
      <c r="AP3" s="859"/>
      <c r="AQ3" s="859"/>
      <c r="AR3" s="859"/>
      <c r="AS3" s="859"/>
      <c r="AT3" s="859"/>
      <c r="AU3" s="859"/>
      <c r="AV3" s="859"/>
      <c r="AW3" s="859"/>
      <c r="AX3" s="859"/>
      <c r="AY3" s="859"/>
      <c r="AZ3" s="859"/>
      <c r="BA3" s="859"/>
      <c r="BB3" s="859"/>
      <c r="BC3" s="859"/>
      <c r="BD3" s="859"/>
      <c r="BE3" s="859"/>
      <c r="BF3" s="859"/>
      <c r="BG3" s="859"/>
      <c r="BH3" s="859"/>
      <c r="BI3" s="859"/>
      <c r="BJ3" s="859"/>
      <c r="BK3" s="859"/>
      <c r="BL3" s="859"/>
      <c r="BM3" s="859"/>
      <c r="BN3" s="859"/>
      <c r="BO3" s="859"/>
      <c r="BP3" s="859"/>
      <c r="BQ3" s="859"/>
      <c r="BR3" s="859"/>
      <c r="BS3" s="859"/>
      <c r="BT3" s="859"/>
      <c r="BU3" s="859"/>
      <c r="BV3" s="859"/>
      <c r="BW3" s="859"/>
      <c r="BX3" s="859"/>
      <c r="BY3" s="859"/>
      <c r="BZ3" s="859"/>
      <c r="CA3" s="859"/>
      <c r="CB3" s="859"/>
      <c r="CC3" s="859"/>
      <c r="CD3" s="859"/>
      <c r="CE3" s="859"/>
      <c r="CF3" s="859"/>
      <c r="CG3" s="859"/>
      <c r="CH3" s="859"/>
      <c r="CI3" s="859"/>
      <c r="CJ3" s="859"/>
      <c r="CK3" s="859"/>
      <c r="CL3" s="859"/>
      <c r="CM3" s="859"/>
      <c r="CN3" s="859"/>
      <c r="CO3" s="859"/>
      <c r="CP3" s="859"/>
      <c r="CQ3" s="859"/>
      <c r="CR3" s="859"/>
      <c r="CS3" s="859"/>
      <c r="CT3" s="859"/>
      <c r="CU3" s="859"/>
      <c r="CV3" s="859"/>
      <c r="CW3" s="859"/>
      <c r="CX3" s="859"/>
      <c r="CY3" s="859"/>
      <c r="CZ3" s="859"/>
      <c r="DA3" s="859"/>
      <c r="DB3" s="859"/>
      <c r="DC3" s="859"/>
      <c r="DD3" s="859"/>
      <c r="DE3" s="859"/>
      <c r="DF3" s="859"/>
      <c r="DG3" s="859"/>
      <c r="DH3" s="859"/>
      <c r="DI3" s="859"/>
      <c r="DJ3" s="859"/>
      <c r="DK3" s="859"/>
      <c r="DL3" s="859"/>
      <c r="DM3" s="859"/>
      <c r="DN3" s="859"/>
      <c r="DO3" s="859"/>
      <c r="DP3" s="859"/>
      <c r="DQ3" s="859"/>
      <c r="DR3" s="859"/>
      <c r="DS3" s="859"/>
      <c r="DT3" s="859"/>
      <c r="DU3" s="859"/>
      <c r="DV3" s="859"/>
      <c r="DW3" s="859"/>
      <c r="DX3" s="859"/>
      <c r="DY3" s="859"/>
      <c r="DZ3" s="859"/>
      <c r="EA3" s="859"/>
      <c r="EB3" s="859"/>
      <c r="EC3" s="859"/>
      <c r="ED3" s="859"/>
      <c r="EE3" s="859"/>
      <c r="EF3" s="859"/>
      <c r="EG3" s="859"/>
      <c r="EH3" s="859"/>
      <c r="EI3" s="859"/>
      <c r="EJ3" s="859"/>
      <c r="EK3" s="859"/>
      <c r="EL3" s="859"/>
      <c r="EM3" s="859"/>
      <c r="EN3" s="859"/>
      <c r="EO3" s="859"/>
      <c r="EP3" s="859"/>
      <c r="EQ3" s="859"/>
      <c r="ER3" s="859"/>
      <c r="ES3" s="859"/>
      <c r="ET3" s="859"/>
      <c r="EU3" s="859"/>
      <c r="EV3" s="859"/>
      <c r="EW3" s="859"/>
      <c r="EX3" s="859"/>
      <c r="EY3" s="859"/>
      <c r="EZ3" s="859"/>
      <c r="FA3" s="859"/>
      <c r="FB3" s="859"/>
      <c r="FC3" s="859"/>
      <c r="FD3" s="859"/>
      <c r="FE3" s="859"/>
      <c r="FF3" s="859"/>
      <c r="FG3" s="859"/>
      <c r="FH3" s="859"/>
      <c r="FI3" s="859"/>
      <c r="FJ3" s="859"/>
      <c r="FK3" s="859"/>
      <c r="FL3" s="859"/>
      <c r="FM3" s="859"/>
      <c r="FN3" s="859"/>
      <c r="FO3" s="859"/>
      <c r="FP3" s="859"/>
      <c r="FQ3" s="859"/>
      <c r="FR3" s="859"/>
      <c r="FS3" s="859"/>
      <c r="FT3" s="859"/>
      <c r="FU3" s="859"/>
      <c r="FV3" s="859"/>
      <c r="FW3" s="859"/>
      <c r="FX3" s="859"/>
      <c r="FY3" s="859"/>
      <c r="FZ3" s="859"/>
      <c r="GA3" s="859"/>
      <c r="GB3" s="859"/>
      <c r="GC3" s="859"/>
      <c r="GD3" s="859"/>
      <c r="GE3" s="859"/>
      <c r="GF3" s="859"/>
      <c r="GG3" s="859"/>
      <c r="GH3" s="859"/>
      <c r="GI3" s="859"/>
      <c r="GJ3" s="859"/>
      <c r="GK3" s="859"/>
      <c r="GL3" s="859"/>
      <c r="GM3" s="859"/>
      <c r="GN3" s="859"/>
      <c r="GO3" s="859"/>
      <c r="GP3" s="859"/>
      <c r="GQ3" s="859"/>
      <c r="GR3" s="859"/>
      <c r="GS3" s="859"/>
      <c r="GT3" s="859"/>
      <c r="GU3" s="859"/>
      <c r="GV3" s="859"/>
      <c r="GW3" s="859"/>
      <c r="GX3" s="859"/>
      <c r="GY3" s="859"/>
      <c r="GZ3" s="859"/>
      <c r="HA3" s="859"/>
      <c r="HB3" s="859"/>
      <c r="HC3" s="859"/>
      <c r="HD3" s="859"/>
      <c r="HE3" s="859"/>
      <c r="HF3" s="859"/>
      <c r="HG3" s="859"/>
      <c r="HH3" s="859"/>
      <c r="HI3" s="859"/>
      <c r="HJ3" s="859"/>
      <c r="HK3" s="859"/>
      <c r="HL3" s="859"/>
      <c r="HM3" s="859"/>
      <c r="HN3" s="859"/>
      <c r="HO3" s="859"/>
    </row>
    <row r="4" spans="1:223" ht="15.75" collapsed="1">
      <c r="A4" s="859"/>
      <c r="B4" s="860"/>
      <c r="C4" s="861"/>
      <c r="D4" s="861"/>
      <c r="F4" s="862"/>
      <c r="G4" s="863" t="s">
        <v>1436</v>
      </c>
      <c r="H4" s="859"/>
      <c r="I4" s="859"/>
      <c r="J4" s="859"/>
      <c r="K4" s="859"/>
      <c r="L4" s="859"/>
      <c r="M4" s="859"/>
      <c r="N4" s="859"/>
      <c r="O4" s="859"/>
      <c r="P4" s="859"/>
      <c r="Q4" s="859"/>
      <c r="R4" s="859"/>
      <c r="S4" s="859"/>
      <c r="T4" s="859"/>
      <c r="U4" s="859"/>
      <c r="V4" s="859"/>
      <c r="W4" s="859"/>
      <c r="X4" s="859"/>
      <c r="Y4" s="859"/>
      <c r="Z4" s="859"/>
      <c r="AA4" s="859"/>
      <c r="AB4" s="859"/>
      <c r="AC4" s="859"/>
      <c r="AD4" s="859"/>
      <c r="AE4" s="859"/>
      <c r="AF4" s="859"/>
      <c r="AG4" s="859"/>
      <c r="AH4" s="859"/>
      <c r="AI4" s="859"/>
      <c r="AJ4" s="859"/>
      <c r="AK4" s="859"/>
      <c r="AL4" s="859"/>
      <c r="AM4" s="859"/>
      <c r="AN4" s="859"/>
      <c r="AO4" s="859"/>
      <c r="AP4" s="859"/>
      <c r="AQ4" s="859"/>
      <c r="AR4" s="859"/>
      <c r="AS4" s="859"/>
      <c r="AT4" s="859"/>
      <c r="AU4" s="859"/>
      <c r="AV4" s="859"/>
      <c r="AW4" s="859"/>
      <c r="AX4" s="859"/>
      <c r="AY4" s="859"/>
      <c r="AZ4" s="859"/>
      <c r="BA4" s="859"/>
      <c r="BB4" s="859"/>
      <c r="BC4" s="859"/>
      <c r="BD4" s="859"/>
      <c r="BE4" s="859"/>
      <c r="BF4" s="859"/>
      <c r="BG4" s="859"/>
      <c r="BH4" s="859"/>
      <c r="BI4" s="859"/>
      <c r="BJ4" s="859"/>
      <c r="BK4" s="859"/>
      <c r="BL4" s="859"/>
      <c r="BM4" s="859"/>
      <c r="BN4" s="859"/>
      <c r="BO4" s="859"/>
      <c r="BP4" s="859"/>
      <c r="BQ4" s="859"/>
      <c r="BR4" s="859"/>
      <c r="BS4" s="859"/>
      <c r="BT4" s="859"/>
      <c r="BU4" s="859"/>
      <c r="BV4" s="859"/>
      <c r="BW4" s="859"/>
      <c r="BX4" s="859"/>
      <c r="BY4" s="859"/>
      <c r="BZ4" s="859"/>
      <c r="CA4" s="859"/>
      <c r="CB4" s="859"/>
      <c r="CC4" s="859"/>
      <c r="CD4" s="859"/>
      <c r="CE4" s="859"/>
      <c r="CF4" s="859"/>
      <c r="CG4" s="859"/>
      <c r="CH4" s="859"/>
      <c r="CI4" s="859"/>
      <c r="CJ4" s="859"/>
      <c r="CK4" s="859"/>
      <c r="CL4" s="859"/>
      <c r="CM4" s="859"/>
      <c r="CN4" s="859"/>
      <c r="CO4" s="859"/>
      <c r="CP4" s="859"/>
      <c r="CQ4" s="859"/>
      <c r="CR4" s="859"/>
      <c r="CS4" s="859"/>
      <c r="CT4" s="859"/>
      <c r="CU4" s="859"/>
      <c r="CV4" s="859"/>
      <c r="CW4" s="859"/>
      <c r="CX4" s="859"/>
      <c r="CY4" s="859"/>
      <c r="CZ4" s="859"/>
      <c r="DA4" s="859"/>
      <c r="DB4" s="859"/>
      <c r="DC4" s="859"/>
      <c r="DD4" s="859"/>
      <c r="DE4" s="859"/>
      <c r="DF4" s="859"/>
      <c r="DG4" s="859"/>
      <c r="DH4" s="859"/>
      <c r="DI4" s="859"/>
      <c r="DJ4" s="859"/>
      <c r="DK4" s="859"/>
      <c r="DL4" s="859"/>
      <c r="DM4" s="859"/>
      <c r="DN4" s="859"/>
      <c r="DO4" s="859"/>
      <c r="DP4" s="859"/>
      <c r="DQ4" s="859"/>
      <c r="DR4" s="859"/>
      <c r="DS4" s="859"/>
      <c r="DT4" s="859"/>
      <c r="DU4" s="859"/>
      <c r="DV4" s="859"/>
      <c r="DW4" s="859"/>
      <c r="DX4" s="859"/>
      <c r="DY4" s="859"/>
      <c r="DZ4" s="859"/>
      <c r="EA4" s="859"/>
      <c r="EB4" s="859"/>
      <c r="EC4" s="859"/>
      <c r="ED4" s="859"/>
      <c r="EE4" s="859"/>
      <c r="EF4" s="859"/>
      <c r="EG4" s="859"/>
      <c r="EH4" s="859"/>
      <c r="EI4" s="859"/>
      <c r="EJ4" s="859"/>
      <c r="EK4" s="859"/>
      <c r="EL4" s="859"/>
      <c r="EM4" s="859"/>
      <c r="EN4" s="859"/>
      <c r="EO4" s="859"/>
      <c r="EP4" s="859"/>
      <c r="EQ4" s="859"/>
      <c r="ER4" s="859"/>
      <c r="ES4" s="859"/>
      <c r="ET4" s="859"/>
      <c r="EU4" s="859"/>
      <c r="EV4" s="859"/>
      <c r="EW4" s="859"/>
      <c r="EX4" s="859"/>
      <c r="EY4" s="859"/>
      <c r="EZ4" s="859"/>
      <c r="FA4" s="859"/>
      <c r="FB4" s="859"/>
      <c r="FC4" s="859"/>
      <c r="FD4" s="859"/>
      <c r="FE4" s="859"/>
      <c r="FF4" s="859"/>
      <c r="FG4" s="859"/>
      <c r="FH4" s="859"/>
      <c r="FI4" s="859"/>
      <c r="FJ4" s="859"/>
      <c r="FK4" s="859"/>
      <c r="FL4" s="859"/>
      <c r="FM4" s="859"/>
      <c r="FN4" s="859"/>
      <c r="FO4" s="859"/>
      <c r="FP4" s="859"/>
      <c r="FQ4" s="859"/>
      <c r="FR4" s="859"/>
      <c r="FS4" s="859"/>
      <c r="FT4" s="859"/>
      <c r="FU4" s="859"/>
      <c r="FV4" s="859"/>
      <c r="FW4" s="859"/>
      <c r="FX4" s="859"/>
      <c r="FY4" s="859"/>
      <c r="FZ4" s="859"/>
      <c r="GA4" s="859"/>
      <c r="GB4" s="859"/>
      <c r="GC4" s="859"/>
      <c r="GD4" s="859"/>
      <c r="GE4" s="859"/>
      <c r="GF4" s="859"/>
      <c r="GG4" s="859"/>
      <c r="GH4" s="859"/>
      <c r="GI4" s="859"/>
      <c r="GJ4" s="859"/>
      <c r="GK4" s="859"/>
      <c r="GL4" s="859"/>
      <c r="GM4" s="859"/>
      <c r="GN4" s="859"/>
      <c r="GO4" s="859"/>
      <c r="GP4" s="859"/>
      <c r="GQ4" s="859"/>
      <c r="GR4" s="859"/>
      <c r="GS4" s="859"/>
      <c r="GT4" s="859"/>
      <c r="GU4" s="859"/>
      <c r="GV4" s="859"/>
      <c r="GW4" s="859"/>
      <c r="GX4" s="859"/>
      <c r="GY4" s="859"/>
      <c r="GZ4" s="859"/>
      <c r="HA4" s="859"/>
      <c r="HB4" s="859"/>
      <c r="HC4" s="859"/>
      <c r="HD4" s="859"/>
      <c r="HE4" s="859"/>
      <c r="HF4" s="859"/>
      <c r="HG4" s="859"/>
      <c r="HH4" s="859"/>
      <c r="HI4" s="859"/>
      <c r="HJ4" s="859"/>
      <c r="HK4" s="859"/>
      <c r="HL4" s="859"/>
      <c r="HM4" s="859"/>
      <c r="HN4" s="859"/>
      <c r="HO4" s="859"/>
    </row>
    <row r="5" spans="1:223" ht="37.5" customHeight="1">
      <c r="A5" s="1046"/>
      <c r="B5" s="1049" t="s">
        <v>289</v>
      </c>
      <c r="C5" s="1040" t="s">
        <v>1437</v>
      </c>
      <c r="D5" s="1050" t="s">
        <v>1438</v>
      </c>
      <c r="E5" s="1050"/>
      <c r="F5" s="1050"/>
      <c r="G5" s="1051" t="s">
        <v>539</v>
      </c>
      <c r="H5" s="859"/>
      <c r="I5" s="859"/>
      <c r="J5" s="859"/>
      <c r="K5" s="859"/>
      <c r="L5" s="859"/>
      <c r="M5" s="859"/>
      <c r="N5" s="859"/>
      <c r="O5" s="859"/>
      <c r="P5" s="859"/>
      <c r="Q5" s="859"/>
      <c r="R5" s="859"/>
      <c r="S5" s="859"/>
      <c r="T5" s="859"/>
      <c r="U5" s="859"/>
      <c r="V5" s="859"/>
      <c r="W5" s="859"/>
      <c r="X5" s="859"/>
      <c r="Y5" s="859"/>
      <c r="Z5" s="859"/>
      <c r="AA5" s="859"/>
      <c r="AB5" s="859"/>
      <c r="AC5" s="859"/>
      <c r="AD5" s="859"/>
      <c r="AE5" s="859"/>
      <c r="AF5" s="859"/>
      <c r="AG5" s="859"/>
      <c r="AH5" s="859"/>
      <c r="AI5" s="859"/>
      <c r="AJ5" s="859"/>
      <c r="AK5" s="859"/>
      <c r="AL5" s="859"/>
      <c r="AM5" s="859"/>
      <c r="AN5" s="859"/>
      <c r="AO5" s="859"/>
      <c r="AP5" s="859"/>
      <c r="AQ5" s="859"/>
      <c r="AR5" s="859"/>
      <c r="AS5" s="859"/>
      <c r="AT5" s="859"/>
      <c r="AU5" s="859"/>
      <c r="AV5" s="859"/>
      <c r="AW5" s="859"/>
      <c r="AX5" s="859"/>
      <c r="AY5" s="859"/>
      <c r="AZ5" s="859"/>
      <c r="BA5" s="859"/>
      <c r="BB5" s="859"/>
      <c r="BC5" s="859"/>
      <c r="BD5" s="859"/>
      <c r="BE5" s="859"/>
      <c r="BF5" s="859"/>
      <c r="BG5" s="859"/>
      <c r="BH5" s="859"/>
      <c r="BI5" s="859"/>
      <c r="BJ5" s="859"/>
      <c r="BK5" s="859"/>
      <c r="BL5" s="859"/>
      <c r="BM5" s="859"/>
      <c r="BN5" s="859"/>
      <c r="BO5" s="859"/>
      <c r="BP5" s="859"/>
      <c r="BQ5" s="859"/>
      <c r="BR5" s="859"/>
      <c r="BS5" s="859"/>
      <c r="BT5" s="859"/>
      <c r="BU5" s="859"/>
      <c r="BV5" s="859"/>
      <c r="BW5" s="859"/>
      <c r="BX5" s="859"/>
      <c r="BY5" s="859"/>
      <c r="BZ5" s="859"/>
      <c r="CA5" s="859"/>
      <c r="CB5" s="859"/>
      <c r="CC5" s="859"/>
      <c r="CD5" s="859"/>
      <c r="CE5" s="859"/>
      <c r="CF5" s="859"/>
      <c r="CG5" s="859"/>
      <c r="CH5" s="859"/>
      <c r="CI5" s="859"/>
      <c r="CJ5" s="859"/>
      <c r="CK5" s="859"/>
      <c r="CL5" s="859"/>
      <c r="CM5" s="859"/>
      <c r="CN5" s="859"/>
      <c r="CO5" s="859"/>
      <c r="CP5" s="859"/>
      <c r="CQ5" s="859"/>
      <c r="CR5" s="859"/>
      <c r="CS5" s="859"/>
      <c r="CT5" s="859"/>
      <c r="CU5" s="859"/>
      <c r="CV5" s="859"/>
      <c r="CW5" s="859"/>
      <c r="CX5" s="859"/>
      <c r="CY5" s="859"/>
      <c r="CZ5" s="859"/>
      <c r="DA5" s="859"/>
      <c r="DB5" s="859"/>
      <c r="DC5" s="859"/>
      <c r="DD5" s="859"/>
      <c r="DE5" s="859"/>
      <c r="DF5" s="859"/>
      <c r="DG5" s="859"/>
      <c r="DH5" s="859"/>
      <c r="DI5" s="859"/>
      <c r="DJ5" s="859"/>
      <c r="DK5" s="859"/>
      <c r="DL5" s="859"/>
      <c r="DM5" s="859"/>
      <c r="DN5" s="859"/>
      <c r="DO5" s="859"/>
      <c r="DP5" s="859"/>
      <c r="DQ5" s="859"/>
      <c r="DR5" s="859"/>
      <c r="DS5" s="859"/>
      <c r="DT5" s="859"/>
      <c r="DU5" s="859"/>
      <c r="DV5" s="859"/>
      <c r="DW5" s="859"/>
      <c r="DX5" s="859"/>
      <c r="DY5" s="859"/>
      <c r="DZ5" s="859"/>
      <c r="EA5" s="859"/>
      <c r="EB5" s="859"/>
      <c r="EC5" s="859"/>
      <c r="ED5" s="859"/>
      <c r="EE5" s="859"/>
      <c r="EF5" s="859"/>
      <c r="EG5" s="859"/>
      <c r="EH5" s="859"/>
      <c r="EI5" s="859"/>
      <c r="EJ5" s="859"/>
      <c r="EK5" s="859"/>
      <c r="EL5" s="859"/>
      <c r="EM5" s="859"/>
      <c r="EN5" s="859"/>
      <c r="EO5" s="859"/>
      <c r="EP5" s="859"/>
      <c r="EQ5" s="859"/>
      <c r="ER5" s="859"/>
      <c r="ES5" s="859"/>
      <c r="ET5" s="859"/>
      <c r="EU5" s="859"/>
      <c r="EV5" s="859"/>
      <c r="EW5" s="859"/>
      <c r="EX5" s="859"/>
      <c r="EY5" s="859"/>
      <c r="EZ5" s="859"/>
      <c r="FA5" s="859"/>
      <c r="FB5" s="859"/>
      <c r="FC5" s="859"/>
      <c r="FD5" s="859"/>
      <c r="FE5" s="859"/>
      <c r="FF5" s="859"/>
      <c r="FG5" s="859"/>
      <c r="FH5" s="859"/>
      <c r="FI5" s="859"/>
      <c r="FJ5" s="859"/>
      <c r="FK5" s="859"/>
      <c r="FL5" s="859"/>
      <c r="FM5" s="859"/>
      <c r="FN5" s="859"/>
      <c r="FO5" s="859"/>
      <c r="FP5" s="859"/>
      <c r="FQ5" s="859"/>
      <c r="FR5" s="859"/>
      <c r="FS5" s="859"/>
      <c r="FT5" s="859"/>
      <c r="FU5" s="859"/>
      <c r="FV5" s="859"/>
      <c r="FW5" s="859"/>
      <c r="FX5" s="859"/>
      <c r="FY5" s="859"/>
      <c r="FZ5" s="859"/>
      <c r="GA5" s="859"/>
      <c r="GB5" s="859"/>
      <c r="GC5" s="859"/>
      <c r="GD5" s="859"/>
      <c r="GE5" s="859"/>
      <c r="GF5" s="859"/>
      <c r="GG5" s="859"/>
      <c r="GH5" s="859"/>
      <c r="GI5" s="859"/>
      <c r="GJ5" s="859"/>
      <c r="GK5" s="859"/>
      <c r="GL5" s="859"/>
      <c r="GM5" s="859"/>
      <c r="GN5" s="859"/>
      <c r="GO5" s="859"/>
      <c r="GP5" s="859"/>
      <c r="GQ5" s="859"/>
      <c r="GR5" s="859"/>
      <c r="GS5" s="859"/>
      <c r="GT5" s="859"/>
      <c r="GU5" s="859"/>
      <c r="GV5" s="859"/>
      <c r="GW5" s="859"/>
      <c r="GX5" s="859"/>
      <c r="GY5" s="859"/>
      <c r="GZ5" s="859"/>
      <c r="HA5" s="859"/>
      <c r="HB5" s="859"/>
      <c r="HC5" s="859"/>
      <c r="HD5" s="859"/>
      <c r="HE5" s="859"/>
      <c r="HF5" s="859"/>
      <c r="HG5" s="859"/>
      <c r="HH5" s="859"/>
      <c r="HI5" s="859"/>
      <c r="HJ5" s="859"/>
      <c r="HK5" s="859"/>
      <c r="HL5" s="859"/>
      <c r="HM5" s="859"/>
      <c r="HN5" s="859"/>
      <c r="HO5" s="859"/>
    </row>
    <row r="6" spans="1:223" ht="16.5" customHeight="1">
      <c r="A6" s="1047"/>
      <c r="B6" s="1049"/>
      <c r="C6" s="1040"/>
      <c r="D6" s="1040" t="s">
        <v>1439</v>
      </c>
      <c r="E6" s="1040" t="s">
        <v>538</v>
      </c>
      <c r="F6" s="1040"/>
      <c r="G6" s="1052"/>
      <c r="H6" s="859"/>
      <c r="I6" s="859"/>
      <c r="J6" s="859"/>
      <c r="K6" s="859"/>
      <c r="L6" s="859"/>
      <c r="M6" s="859"/>
      <c r="N6" s="859"/>
      <c r="O6" s="859"/>
      <c r="P6" s="859"/>
      <c r="Q6" s="859"/>
      <c r="R6" s="859"/>
      <c r="S6" s="859"/>
      <c r="T6" s="859"/>
      <c r="U6" s="859"/>
      <c r="V6" s="859"/>
      <c r="W6" s="859"/>
      <c r="X6" s="859"/>
      <c r="Y6" s="859"/>
      <c r="Z6" s="859"/>
      <c r="AA6" s="859"/>
      <c r="AB6" s="859"/>
      <c r="AC6" s="859"/>
      <c r="AD6" s="859"/>
      <c r="AE6" s="859"/>
      <c r="AF6" s="859"/>
      <c r="AG6" s="859"/>
      <c r="AH6" s="859"/>
      <c r="AI6" s="859"/>
      <c r="AJ6" s="859"/>
      <c r="AK6" s="859"/>
      <c r="AL6" s="859"/>
      <c r="AM6" s="859"/>
      <c r="AN6" s="859"/>
      <c r="AO6" s="859"/>
      <c r="AP6" s="859"/>
      <c r="AQ6" s="859"/>
      <c r="AR6" s="859"/>
      <c r="AS6" s="859"/>
      <c r="AT6" s="859"/>
      <c r="AU6" s="859"/>
      <c r="AV6" s="859"/>
      <c r="AW6" s="859"/>
      <c r="AX6" s="859"/>
      <c r="AY6" s="859"/>
      <c r="AZ6" s="859"/>
      <c r="BA6" s="859"/>
      <c r="BB6" s="859"/>
      <c r="BC6" s="859"/>
      <c r="BD6" s="859"/>
      <c r="BE6" s="859"/>
      <c r="BF6" s="859"/>
      <c r="BG6" s="859"/>
      <c r="BH6" s="859"/>
      <c r="BI6" s="859"/>
      <c r="BJ6" s="859"/>
      <c r="BK6" s="859"/>
      <c r="BL6" s="859"/>
      <c r="BM6" s="859"/>
      <c r="BN6" s="859"/>
      <c r="BO6" s="859"/>
      <c r="BP6" s="859"/>
      <c r="BQ6" s="859"/>
      <c r="BR6" s="859"/>
      <c r="BS6" s="859"/>
      <c r="BT6" s="859"/>
      <c r="BU6" s="859"/>
      <c r="BV6" s="859"/>
      <c r="BW6" s="859"/>
      <c r="BX6" s="859"/>
      <c r="BY6" s="859"/>
      <c r="BZ6" s="859"/>
      <c r="CA6" s="859"/>
      <c r="CB6" s="859"/>
      <c r="CC6" s="859"/>
      <c r="CD6" s="859"/>
      <c r="CE6" s="859"/>
      <c r="CF6" s="859"/>
      <c r="CG6" s="859"/>
      <c r="CH6" s="859"/>
      <c r="CI6" s="859"/>
      <c r="CJ6" s="859"/>
      <c r="CK6" s="859"/>
      <c r="CL6" s="859"/>
      <c r="CM6" s="859"/>
      <c r="CN6" s="859"/>
      <c r="CO6" s="859"/>
      <c r="CP6" s="859"/>
      <c r="CQ6" s="859"/>
      <c r="CR6" s="859"/>
      <c r="CS6" s="859"/>
      <c r="CT6" s="859"/>
      <c r="CU6" s="859"/>
      <c r="CV6" s="859"/>
      <c r="CW6" s="859"/>
      <c r="CX6" s="859"/>
      <c r="CY6" s="859"/>
      <c r="CZ6" s="859"/>
      <c r="DA6" s="859"/>
      <c r="DB6" s="859"/>
      <c r="DC6" s="859"/>
      <c r="DD6" s="859"/>
      <c r="DE6" s="859"/>
      <c r="DF6" s="859"/>
      <c r="DG6" s="859"/>
      <c r="DH6" s="859"/>
      <c r="DI6" s="859"/>
      <c r="DJ6" s="859"/>
      <c r="DK6" s="859"/>
      <c r="DL6" s="859"/>
      <c r="DM6" s="859"/>
      <c r="DN6" s="859"/>
      <c r="DO6" s="859"/>
      <c r="DP6" s="859"/>
      <c r="DQ6" s="859"/>
      <c r="DR6" s="859"/>
      <c r="DS6" s="859"/>
      <c r="DT6" s="859"/>
      <c r="DU6" s="859"/>
      <c r="DV6" s="859"/>
      <c r="DW6" s="859"/>
      <c r="DX6" s="859"/>
      <c r="DY6" s="859"/>
      <c r="DZ6" s="859"/>
      <c r="EA6" s="859"/>
      <c r="EB6" s="859"/>
      <c r="EC6" s="859"/>
      <c r="ED6" s="859"/>
      <c r="EE6" s="859"/>
      <c r="EF6" s="859"/>
      <c r="EG6" s="859"/>
      <c r="EH6" s="859"/>
      <c r="EI6" s="859"/>
      <c r="EJ6" s="859"/>
      <c r="EK6" s="859"/>
      <c r="EL6" s="859"/>
      <c r="EM6" s="859"/>
      <c r="EN6" s="859"/>
      <c r="EO6" s="859"/>
      <c r="EP6" s="859"/>
      <c r="EQ6" s="859"/>
      <c r="ER6" s="859"/>
      <c r="ES6" s="859"/>
      <c r="ET6" s="859"/>
      <c r="EU6" s="859"/>
      <c r="EV6" s="859"/>
      <c r="EW6" s="859"/>
      <c r="EX6" s="859"/>
      <c r="EY6" s="859"/>
      <c r="EZ6" s="859"/>
      <c r="FA6" s="859"/>
      <c r="FB6" s="859"/>
      <c r="FC6" s="859"/>
      <c r="FD6" s="859"/>
      <c r="FE6" s="859"/>
      <c r="FF6" s="859"/>
      <c r="FG6" s="859"/>
      <c r="FH6" s="859"/>
      <c r="FI6" s="859"/>
      <c r="FJ6" s="859"/>
      <c r="FK6" s="859"/>
      <c r="FL6" s="859"/>
      <c r="FM6" s="859"/>
      <c r="FN6" s="859"/>
      <c r="FO6" s="859"/>
      <c r="FP6" s="859"/>
      <c r="FQ6" s="859"/>
      <c r="FR6" s="859"/>
      <c r="FS6" s="859"/>
      <c r="FT6" s="859"/>
      <c r="FU6" s="859"/>
      <c r="FV6" s="859"/>
      <c r="FW6" s="859"/>
      <c r="FX6" s="859"/>
      <c r="FY6" s="859"/>
      <c r="FZ6" s="859"/>
      <c r="GA6" s="859"/>
      <c r="GB6" s="859"/>
      <c r="GC6" s="859"/>
      <c r="GD6" s="859"/>
      <c r="GE6" s="859"/>
      <c r="GF6" s="859"/>
      <c r="GG6" s="859"/>
      <c r="GH6" s="859"/>
      <c r="GI6" s="859"/>
      <c r="GJ6" s="859"/>
      <c r="GK6" s="859"/>
      <c r="GL6" s="859"/>
      <c r="GM6" s="859"/>
      <c r="GN6" s="859"/>
      <c r="GO6" s="859"/>
      <c r="GP6" s="859"/>
      <c r="GQ6" s="859"/>
      <c r="GR6" s="859"/>
      <c r="GS6" s="859"/>
      <c r="GT6" s="859"/>
      <c r="GU6" s="859"/>
      <c r="GV6" s="859"/>
      <c r="GW6" s="859"/>
      <c r="GX6" s="859"/>
      <c r="GY6" s="859"/>
      <c r="GZ6" s="859"/>
      <c r="HA6" s="859"/>
      <c r="HB6" s="859"/>
      <c r="HC6" s="859"/>
      <c r="HD6" s="859"/>
      <c r="HE6" s="859"/>
      <c r="HF6" s="859"/>
      <c r="HG6" s="859"/>
      <c r="HH6" s="859"/>
      <c r="HI6" s="859"/>
      <c r="HJ6" s="859"/>
      <c r="HK6" s="859"/>
      <c r="HL6" s="859"/>
      <c r="HM6" s="859"/>
      <c r="HN6" s="859"/>
      <c r="HO6" s="859"/>
    </row>
    <row r="7" spans="1:7" ht="9" customHeight="1">
      <c r="A7" s="1047"/>
      <c r="B7" s="1049"/>
      <c r="C7" s="1040"/>
      <c r="D7" s="1040"/>
      <c r="E7" s="1040"/>
      <c r="F7" s="1040"/>
      <c r="G7" s="1052"/>
    </row>
    <row r="8" spans="1:7" ht="72" customHeight="1">
      <c r="A8" s="1048"/>
      <c r="B8" s="1049"/>
      <c r="C8" s="1040"/>
      <c r="D8" s="1040"/>
      <c r="E8" s="864" t="s">
        <v>1440</v>
      </c>
      <c r="F8" s="865" t="s">
        <v>1441</v>
      </c>
      <c r="G8" s="1053"/>
    </row>
    <row r="9" spans="1:232" ht="15.75">
      <c r="A9" s="866" t="s">
        <v>296</v>
      </c>
      <c r="B9" s="866" t="s">
        <v>297</v>
      </c>
      <c r="C9" s="867" t="s">
        <v>780</v>
      </c>
      <c r="D9" s="867">
        <v>1</v>
      </c>
      <c r="E9" s="868" t="s">
        <v>1442</v>
      </c>
      <c r="F9" s="869" t="s">
        <v>1443</v>
      </c>
      <c r="G9" s="870">
        <v>2</v>
      </c>
      <c r="H9" s="871"/>
      <c r="I9" s="871"/>
      <c r="J9" s="871"/>
      <c r="K9" s="871"/>
      <c r="L9" s="871"/>
      <c r="M9" s="871"/>
      <c r="N9" s="871"/>
      <c r="O9" s="871"/>
      <c r="P9" s="871"/>
      <c r="Q9" s="871"/>
      <c r="R9" s="871"/>
      <c r="S9" s="871"/>
      <c r="T9" s="871"/>
      <c r="U9" s="871"/>
      <c r="V9" s="871"/>
      <c r="W9" s="871"/>
      <c r="X9" s="871"/>
      <c r="Y9" s="871"/>
      <c r="Z9" s="871"/>
      <c r="AA9" s="871"/>
      <c r="AB9" s="871"/>
      <c r="AC9" s="871"/>
      <c r="AD9" s="871"/>
      <c r="AE9" s="871"/>
      <c r="AF9" s="871"/>
      <c r="AG9" s="871"/>
      <c r="AH9" s="871"/>
      <c r="AI9" s="871"/>
      <c r="AJ9" s="871"/>
      <c r="AK9" s="871"/>
      <c r="AL9" s="871"/>
      <c r="AM9" s="871"/>
      <c r="AN9" s="871"/>
      <c r="AO9" s="871"/>
      <c r="AP9" s="871"/>
      <c r="AQ9" s="871"/>
      <c r="AR9" s="871"/>
      <c r="AS9" s="871"/>
      <c r="AT9" s="871"/>
      <c r="AU9" s="871"/>
      <c r="AV9" s="871"/>
      <c r="AW9" s="871"/>
      <c r="AX9" s="871"/>
      <c r="AY9" s="871"/>
      <c r="AZ9" s="871"/>
      <c r="BA9" s="871"/>
      <c r="BB9" s="871"/>
      <c r="BC9" s="871"/>
      <c r="BD9" s="871"/>
      <c r="BE9" s="871"/>
      <c r="BF9" s="871"/>
      <c r="BG9" s="871"/>
      <c r="BH9" s="871"/>
      <c r="BI9" s="871"/>
      <c r="BJ9" s="871"/>
      <c r="BK9" s="871"/>
      <c r="BL9" s="871"/>
      <c r="BM9" s="871"/>
      <c r="BN9" s="871"/>
      <c r="BO9" s="871"/>
      <c r="BP9" s="871"/>
      <c r="BQ9" s="871"/>
      <c r="BR9" s="871"/>
      <c r="BS9" s="871"/>
      <c r="BT9" s="871"/>
      <c r="BU9" s="871"/>
      <c r="BV9" s="871"/>
      <c r="BW9" s="871"/>
      <c r="BX9" s="871"/>
      <c r="BY9" s="871"/>
      <c r="BZ9" s="871"/>
      <c r="CA9" s="871"/>
      <c r="CB9" s="871"/>
      <c r="CC9" s="871"/>
      <c r="CD9" s="871"/>
      <c r="CE9" s="871"/>
      <c r="CF9" s="871"/>
      <c r="CG9" s="871"/>
      <c r="CH9" s="871"/>
      <c r="CI9" s="871"/>
      <c r="CJ9" s="871"/>
      <c r="CK9" s="871"/>
      <c r="CL9" s="871"/>
      <c r="CM9" s="871"/>
      <c r="CN9" s="871"/>
      <c r="CO9" s="871"/>
      <c r="CP9" s="871"/>
      <c r="CQ9" s="871"/>
      <c r="CR9" s="871"/>
      <c r="CS9" s="871"/>
      <c r="CT9" s="871"/>
      <c r="CU9" s="871"/>
      <c r="CV9" s="871"/>
      <c r="CW9" s="871"/>
      <c r="CX9" s="871"/>
      <c r="CY9" s="871"/>
      <c r="CZ9" s="871"/>
      <c r="DA9" s="871"/>
      <c r="DB9" s="871"/>
      <c r="DC9" s="871"/>
      <c r="DD9" s="871"/>
      <c r="DE9" s="871"/>
      <c r="DF9" s="871"/>
      <c r="DG9" s="871"/>
      <c r="DH9" s="871"/>
      <c r="DI9" s="871"/>
      <c r="DJ9" s="871"/>
      <c r="DK9" s="871"/>
      <c r="DL9" s="871"/>
      <c r="DM9" s="871"/>
      <c r="DN9" s="871"/>
      <c r="DO9" s="871"/>
      <c r="DP9" s="871"/>
      <c r="DQ9" s="871"/>
      <c r="DR9" s="871"/>
      <c r="DS9" s="871"/>
      <c r="DT9" s="871"/>
      <c r="DU9" s="871"/>
      <c r="DV9" s="871"/>
      <c r="DW9" s="871"/>
      <c r="DX9" s="871"/>
      <c r="DY9" s="871"/>
      <c r="DZ9" s="871"/>
      <c r="EA9" s="871"/>
      <c r="EB9" s="871"/>
      <c r="EC9" s="871"/>
      <c r="ED9" s="871"/>
      <c r="EE9" s="871"/>
      <c r="EF9" s="871"/>
      <c r="EG9" s="871"/>
      <c r="EH9" s="871"/>
      <c r="EI9" s="871"/>
      <c r="EJ9" s="871"/>
      <c r="EK9" s="871"/>
      <c r="EL9" s="871"/>
      <c r="EM9" s="871"/>
      <c r="EN9" s="871"/>
      <c r="EO9" s="871"/>
      <c r="EP9" s="871"/>
      <c r="EQ9" s="871"/>
      <c r="ER9" s="871"/>
      <c r="ES9" s="871"/>
      <c r="ET9" s="871"/>
      <c r="EU9" s="871"/>
      <c r="EV9" s="871"/>
      <c r="EW9" s="871"/>
      <c r="EX9" s="871"/>
      <c r="EY9" s="871"/>
      <c r="EZ9" s="871"/>
      <c r="FA9" s="871"/>
      <c r="FB9" s="871"/>
      <c r="FC9" s="871"/>
      <c r="FD9" s="871"/>
      <c r="FE9" s="871"/>
      <c r="FF9" s="871"/>
      <c r="FG9" s="871"/>
      <c r="FH9" s="871"/>
      <c r="FI9" s="871"/>
      <c r="FJ9" s="871"/>
      <c r="FK9" s="871"/>
      <c r="FL9" s="871"/>
      <c r="FM9" s="871"/>
      <c r="FN9" s="871"/>
      <c r="FO9" s="871"/>
      <c r="FP9" s="871"/>
      <c r="FQ9" s="871"/>
      <c r="FR9" s="871"/>
      <c r="FS9" s="871"/>
      <c r="FT9" s="871"/>
      <c r="FU9" s="871"/>
      <c r="FV9" s="871"/>
      <c r="FW9" s="871"/>
      <c r="FX9" s="871"/>
      <c r="FY9" s="871"/>
      <c r="FZ9" s="871"/>
      <c r="GA9" s="871"/>
      <c r="GB9" s="871"/>
      <c r="GC9" s="871"/>
      <c r="GD9" s="871"/>
      <c r="GE9" s="871"/>
      <c r="GF9" s="871"/>
      <c r="GG9" s="871"/>
      <c r="GH9" s="871"/>
      <c r="GI9" s="871"/>
      <c r="GJ9" s="871"/>
      <c r="GK9" s="871"/>
      <c r="GL9" s="871"/>
      <c r="GM9" s="871"/>
      <c r="GN9" s="871"/>
      <c r="GO9" s="871"/>
      <c r="GP9" s="871"/>
      <c r="GQ9" s="871"/>
      <c r="GR9" s="871"/>
      <c r="GS9" s="871"/>
      <c r="GT9" s="871"/>
      <c r="GU9" s="871"/>
      <c r="GV9" s="871"/>
      <c r="GW9" s="871"/>
      <c r="GX9" s="871"/>
      <c r="GY9" s="871"/>
      <c r="GZ9" s="871"/>
      <c r="HA9" s="871"/>
      <c r="HB9" s="871"/>
      <c r="HC9" s="871"/>
      <c r="HD9" s="871"/>
      <c r="HE9" s="871"/>
      <c r="HF9" s="871"/>
      <c r="HG9" s="871"/>
      <c r="HH9" s="871"/>
      <c r="HI9" s="871"/>
      <c r="HJ9" s="871"/>
      <c r="HK9" s="871"/>
      <c r="HL9" s="871"/>
      <c r="HM9" s="871"/>
      <c r="HN9" s="871"/>
      <c r="HO9" s="871"/>
      <c r="HP9" s="871"/>
      <c r="HQ9" s="871"/>
      <c r="HR9" s="871"/>
      <c r="HS9" s="871"/>
      <c r="HT9" s="871"/>
      <c r="HU9" s="871"/>
      <c r="HV9" s="871"/>
      <c r="HW9" s="871"/>
      <c r="HX9" s="871"/>
    </row>
    <row r="10" spans="1:232" ht="21.75" customHeight="1">
      <c r="A10" s="872"/>
      <c r="B10" s="873" t="s">
        <v>1444</v>
      </c>
      <c r="C10" s="874" t="e">
        <f>C11+C19+C40+C41+C42+C43+C51+C52+C53+C54+#REF!+C50</f>
        <v>#REF!</v>
      </c>
      <c r="D10" s="875">
        <f>D11+D19+D40+D41+D42+D43+D51+D52+D53+D54+D50</f>
        <v>102874.08183099999</v>
      </c>
      <c r="E10" s="876">
        <f>E11+E19+E40+E41+E42+E43+E51+E52+E53+E54+E50</f>
        <v>98099.359054</v>
      </c>
      <c r="F10" s="877">
        <f>F11+F19+F40+F41+F42+F43+F51+F52+F53+F54+F50</f>
        <v>4774.722777</v>
      </c>
      <c r="G10" s="878"/>
      <c r="H10" s="879"/>
      <c r="I10" s="879"/>
      <c r="J10" s="879"/>
      <c r="K10" s="879"/>
      <c r="L10" s="879"/>
      <c r="M10" s="880"/>
      <c r="N10" s="879"/>
      <c r="O10" s="879"/>
      <c r="P10" s="879"/>
      <c r="Q10" s="879"/>
      <c r="R10" s="879"/>
      <c r="S10" s="879"/>
      <c r="T10" s="879"/>
      <c r="U10" s="879"/>
      <c r="V10" s="879"/>
      <c r="W10" s="879"/>
      <c r="X10" s="879"/>
      <c r="Y10" s="879"/>
      <c r="Z10" s="879"/>
      <c r="AA10" s="879"/>
      <c r="AB10" s="879"/>
      <c r="AC10" s="879"/>
      <c r="AD10" s="879"/>
      <c r="AE10" s="879"/>
      <c r="AF10" s="879"/>
      <c r="AG10" s="879"/>
      <c r="AH10" s="879"/>
      <c r="AI10" s="879"/>
      <c r="AJ10" s="879"/>
      <c r="AK10" s="879"/>
      <c r="AL10" s="879"/>
      <c r="AM10" s="879"/>
      <c r="AN10" s="879"/>
      <c r="AO10" s="879"/>
      <c r="AP10" s="879"/>
      <c r="AQ10" s="879"/>
      <c r="AR10" s="879"/>
      <c r="AS10" s="879"/>
      <c r="AT10" s="879"/>
      <c r="AU10" s="879"/>
      <c r="AV10" s="879"/>
      <c r="AW10" s="879"/>
      <c r="AX10" s="879"/>
      <c r="AY10" s="879"/>
      <c r="AZ10" s="879"/>
      <c r="BA10" s="879"/>
      <c r="BB10" s="879"/>
      <c r="BC10" s="879"/>
      <c r="BD10" s="879"/>
      <c r="BE10" s="879"/>
      <c r="BF10" s="879"/>
      <c r="BG10" s="879"/>
      <c r="BH10" s="879"/>
      <c r="BI10" s="879"/>
      <c r="BJ10" s="879"/>
      <c r="BK10" s="879"/>
      <c r="BL10" s="879"/>
      <c r="BM10" s="879"/>
      <c r="BN10" s="879"/>
      <c r="BO10" s="879"/>
      <c r="BP10" s="879"/>
      <c r="BQ10" s="879"/>
      <c r="BR10" s="879"/>
      <c r="BS10" s="879"/>
      <c r="BT10" s="879"/>
      <c r="BU10" s="879"/>
      <c r="BV10" s="879"/>
      <c r="BW10" s="879"/>
      <c r="BX10" s="879"/>
      <c r="BY10" s="879"/>
      <c r="BZ10" s="879"/>
      <c r="CA10" s="879"/>
      <c r="CB10" s="879"/>
      <c r="CC10" s="879"/>
      <c r="CD10" s="879"/>
      <c r="CE10" s="879"/>
      <c r="CF10" s="879"/>
      <c r="CG10" s="879"/>
      <c r="CH10" s="879"/>
      <c r="CI10" s="879"/>
      <c r="CJ10" s="879"/>
      <c r="CK10" s="879"/>
      <c r="CL10" s="879"/>
      <c r="CM10" s="879"/>
      <c r="CN10" s="879"/>
      <c r="CO10" s="879"/>
      <c r="CP10" s="879"/>
      <c r="CQ10" s="879"/>
      <c r="CR10" s="879"/>
      <c r="CS10" s="879"/>
      <c r="CT10" s="879"/>
      <c r="CU10" s="879"/>
      <c r="CV10" s="879"/>
      <c r="CW10" s="879"/>
      <c r="CX10" s="879"/>
      <c r="CY10" s="879"/>
      <c r="CZ10" s="879"/>
      <c r="DA10" s="879"/>
      <c r="DB10" s="879"/>
      <c r="DC10" s="879"/>
      <c r="DD10" s="879"/>
      <c r="DE10" s="879"/>
      <c r="DF10" s="879"/>
      <c r="DG10" s="879"/>
      <c r="DH10" s="879"/>
      <c r="DI10" s="879"/>
      <c r="DJ10" s="879"/>
      <c r="DK10" s="879"/>
      <c r="DL10" s="879"/>
      <c r="DM10" s="879"/>
      <c r="DN10" s="879"/>
      <c r="DO10" s="879"/>
      <c r="DP10" s="879"/>
      <c r="DQ10" s="879"/>
      <c r="DR10" s="879"/>
      <c r="DS10" s="879"/>
      <c r="DT10" s="879"/>
      <c r="DU10" s="879"/>
      <c r="DV10" s="879"/>
      <c r="DW10" s="879"/>
      <c r="DX10" s="879"/>
      <c r="DY10" s="879"/>
      <c r="DZ10" s="879"/>
      <c r="EA10" s="879"/>
      <c r="EB10" s="879"/>
      <c r="EC10" s="879"/>
      <c r="ED10" s="879"/>
      <c r="EE10" s="879"/>
      <c r="EF10" s="879"/>
      <c r="EG10" s="879"/>
      <c r="EH10" s="879"/>
      <c r="EI10" s="879"/>
      <c r="EJ10" s="879"/>
      <c r="EK10" s="879"/>
      <c r="EL10" s="879"/>
      <c r="EM10" s="879"/>
      <c r="EN10" s="879"/>
      <c r="EO10" s="879"/>
      <c r="EP10" s="879"/>
      <c r="EQ10" s="879"/>
      <c r="ER10" s="879"/>
      <c r="ES10" s="879"/>
      <c r="ET10" s="879"/>
      <c r="EU10" s="879"/>
      <c r="EV10" s="879"/>
      <c r="EW10" s="879"/>
      <c r="EX10" s="879"/>
      <c r="EY10" s="879"/>
      <c r="EZ10" s="879"/>
      <c r="FA10" s="879"/>
      <c r="FB10" s="879"/>
      <c r="FC10" s="879"/>
      <c r="FD10" s="879"/>
      <c r="FE10" s="879"/>
      <c r="FF10" s="879"/>
      <c r="FG10" s="879"/>
      <c r="FH10" s="879"/>
      <c r="FI10" s="879"/>
      <c r="FJ10" s="879"/>
      <c r="FK10" s="879"/>
      <c r="FL10" s="879"/>
      <c r="FM10" s="879"/>
      <c r="FN10" s="879"/>
      <c r="FO10" s="879"/>
      <c r="FP10" s="879"/>
      <c r="FQ10" s="879"/>
      <c r="FR10" s="879"/>
      <c r="FS10" s="879"/>
      <c r="FT10" s="879"/>
      <c r="FU10" s="879"/>
      <c r="FV10" s="879"/>
      <c r="FW10" s="879"/>
      <c r="FX10" s="879"/>
      <c r="FY10" s="879"/>
      <c r="FZ10" s="879"/>
      <c r="GA10" s="879"/>
      <c r="GB10" s="879"/>
      <c r="GC10" s="879"/>
      <c r="GD10" s="879"/>
      <c r="GE10" s="879"/>
      <c r="GF10" s="879"/>
      <c r="GG10" s="879"/>
      <c r="GH10" s="879"/>
      <c r="GI10" s="879"/>
      <c r="GJ10" s="879"/>
      <c r="GK10" s="879"/>
      <c r="GL10" s="879"/>
      <c r="GM10" s="879"/>
      <c r="GN10" s="879"/>
      <c r="GO10" s="879"/>
      <c r="GP10" s="879"/>
      <c r="GQ10" s="879"/>
      <c r="GR10" s="879"/>
      <c r="GS10" s="879"/>
      <c r="GT10" s="879"/>
      <c r="GU10" s="879"/>
      <c r="GV10" s="879"/>
      <c r="GW10" s="879"/>
      <c r="GX10" s="879"/>
      <c r="GY10" s="879"/>
      <c r="GZ10" s="879"/>
      <c r="HA10" s="879"/>
      <c r="HB10" s="879"/>
      <c r="HC10" s="879"/>
      <c r="HD10" s="879"/>
      <c r="HE10" s="879"/>
      <c r="HF10" s="879"/>
      <c r="HG10" s="879"/>
      <c r="HH10" s="879"/>
      <c r="HI10" s="879"/>
      <c r="HJ10" s="879"/>
      <c r="HK10" s="879"/>
      <c r="HL10" s="879"/>
      <c r="HM10" s="879"/>
      <c r="HN10" s="879"/>
      <c r="HO10" s="879"/>
      <c r="HP10" s="879"/>
      <c r="HQ10" s="879"/>
      <c r="HR10" s="879"/>
      <c r="HS10" s="879"/>
      <c r="HT10" s="879"/>
      <c r="HU10" s="879"/>
      <c r="HV10" s="879"/>
      <c r="HW10" s="879"/>
      <c r="HX10" s="879"/>
    </row>
    <row r="11" spans="1:7" s="879" customFormat="1" ht="23.25" customHeight="1">
      <c r="A11" s="872" t="s">
        <v>307</v>
      </c>
      <c r="B11" s="881" t="s">
        <v>442</v>
      </c>
      <c r="C11" s="882">
        <v>1150037</v>
      </c>
      <c r="D11" s="883">
        <f>E11+F11</f>
        <v>34559.121354899995</v>
      </c>
      <c r="E11" s="884">
        <f>E14+E18</f>
        <v>33640.739476999996</v>
      </c>
      <c r="F11" s="885">
        <f>F14+F18</f>
        <v>918.3818779000001</v>
      </c>
      <c r="G11" s="878"/>
    </row>
    <row r="12" spans="1:7" s="893" customFormat="1" ht="15.75">
      <c r="A12" s="886"/>
      <c r="B12" s="887" t="s">
        <v>709</v>
      </c>
      <c r="C12" s="888"/>
      <c r="D12" s="889"/>
      <c r="E12" s="890"/>
      <c r="F12" s="891"/>
      <c r="G12" s="892"/>
    </row>
    <row r="13" spans="1:7" s="893" customFormat="1" ht="33.75" customHeight="1">
      <c r="A13" s="886"/>
      <c r="B13" s="887" t="s">
        <v>1445</v>
      </c>
      <c r="C13" s="888">
        <v>407259</v>
      </c>
      <c r="D13" s="889">
        <f aca="true" t="shared" si="0" ref="D13:D18">E13+F13</f>
        <v>15938.910477</v>
      </c>
      <c r="E13" s="890">
        <v>15938.910477</v>
      </c>
      <c r="F13" s="891"/>
      <c r="G13" s="892"/>
    </row>
    <row r="14" spans="1:10" ht="35.25" customHeight="1">
      <c r="A14" s="894">
        <v>1</v>
      </c>
      <c r="B14" s="895" t="s">
        <v>1446</v>
      </c>
      <c r="C14" s="896"/>
      <c r="D14" s="897">
        <f t="shared" si="0"/>
        <v>23952.7313549</v>
      </c>
      <c r="E14" s="898">
        <f>E15+E16</f>
        <v>23034.349477</v>
      </c>
      <c r="F14" s="899">
        <f>F15+F16</f>
        <v>918.3818779000001</v>
      </c>
      <c r="G14" s="900"/>
      <c r="I14" s="901">
        <v>0.3</v>
      </c>
      <c r="J14" s="901">
        <v>0.7</v>
      </c>
    </row>
    <row r="15" spans="1:10" ht="31.5" customHeight="1">
      <c r="A15" s="902" t="s">
        <v>366</v>
      </c>
      <c r="B15" s="895" t="s">
        <v>1447</v>
      </c>
      <c r="C15" s="896"/>
      <c r="D15" s="897">
        <f t="shared" si="0"/>
        <v>15908.2473919</v>
      </c>
      <c r="E15" s="898">
        <f>15528.670923</f>
        <v>15528.670923</v>
      </c>
      <c r="F15" s="899">
        <f>2.397+1.971+0.448+0.637+I16</f>
        <v>379.57646889999995</v>
      </c>
      <c r="G15" s="900"/>
      <c r="H15" s="767">
        <f>149.022879+149.283114+542.86124</f>
        <v>841.1672329999999</v>
      </c>
      <c r="I15" s="767">
        <f>H15*0.3</f>
        <v>252.35016989999997</v>
      </c>
      <c r="J15" s="767">
        <f>H15-I15</f>
        <v>588.8170630999999</v>
      </c>
    </row>
    <row r="16" spans="1:10" ht="15.75">
      <c r="A16" s="902" t="s">
        <v>368</v>
      </c>
      <c r="B16" s="895" t="s">
        <v>1448</v>
      </c>
      <c r="C16" s="896"/>
      <c r="D16" s="897">
        <f t="shared" si="0"/>
        <v>8044.483963000001</v>
      </c>
      <c r="E16" s="898">
        <v>7505.678554</v>
      </c>
      <c r="F16" s="903">
        <f>199.756105-2.397-1.971-0.448-0.637+25.214473+5.971+7.0913+2.08+292.173021+0.000931+0.09265+4.6812+0.1974+7.000329</f>
        <v>538.805409</v>
      </c>
      <c r="G16" s="900"/>
      <c r="I16" s="767">
        <f>I15+4.459533+30.864716+2.80359+83.64546</f>
        <v>374.1234689</v>
      </c>
      <c r="J16" s="767">
        <f>J15+66.21642+6.541711+16.449686+59.15+398.8403+202.303+259.05</f>
        <v>1597.3681801</v>
      </c>
    </row>
    <row r="17" spans="1:7" ht="54.75" customHeight="1" hidden="1">
      <c r="A17" s="894" t="s">
        <v>840</v>
      </c>
      <c r="B17" s="895" t="s">
        <v>1449</v>
      </c>
      <c r="C17" s="896"/>
      <c r="D17" s="897">
        <f t="shared" si="0"/>
        <v>0</v>
      </c>
      <c r="E17" s="898"/>
      <c r="F17" s="899"/>
      <c r="G17" s="900"/>
    </row>
    <row r="18" spans="1:7" ht="15.75">
      <c r="A18" s="894">
        <v>2</v>
      </c>
      <c r="B18" s="895" t="s">
        <v>1450</v>
      </c>
      <c r="C18" s="896"/>
      <c r="D18" s="897">
        <f t="shared" si="0"/>
        <v>10606.39</v>
      </c>
      <c r="E18" s="898">
        <v>10606.39</v>
      </c>
      <c r="F18" s="899"/>
      <c r="G18" s="900"/>
    </row>
    <row r="19" spans="1:7" s="879" customFormat="1" ht="20.25" customHeight="1">
      <c r="A19" s="872" t="s">
        <v>363</v>
      </c>
      <c r="B19" s="881" t="s">
        <v>464</v>
      </c>
      <c r="C19" s="882">
        <f>C21+C34</f>
        <v>1965858.6068989998</v>
      </c>
      <c r="D19" s="883">
        <f>D21+D34</f>
        <v>13150.628959</v>
      </c>
      <c r="E19" s="884">
        <f>E21+E34</f>
        <v>12103.543577</v>
      </c>
      <c r="F19" s="885">
        <f>F21+F34</f>
        <v>1047.0853819999998</v>
      </c>
      <c r="G19" s="878"/>
    </row>
    <row r="20" spans="1:7" s="879" customFormat="1" ht="20.25" customHeight="1" hidden="1">
      <c r="A20" s="872"/>
      <c r="B20" s="887" t="s">
        <v>709</v>
      </c>
      <c r="C20" s="882"/>
      <c r="D20" s="883"/>
      <c r="E20" s="884"/>
      <c r="F20" s="885"/>
      <c r="G20" s="878"/>
    </row>
    <row r="21" spans="1:7" s="879" customFormat="1" ht="19.5" customHeight="1">
      <c r="A21" s="904">
        <v>1</v>
      </c>
      <c r="B21" s="881" t="s">
        <v>1451</v>
      </c>
      <c r="C21" s="882">
        <f>SUM(C22:C33)</f>
        <v>1840678.4578369998</v>
      </c>
      <c r="D21" s="883">
        <f>SUM(D22:D33)</f>
        <v>3547.418431</v>
      </c>
      <c r="E21" s="884">
        <f>SUM(E22:E33)</f>
        <v>2500.333049</v>
      </c>
      <c r="F21" s="885">
        <f>SUM(F22:F33)</f>
        <v>1047.0853819999998</v>
      </c>
      <c r="G21" s="878"/>
    </row>
    <row r="22" spans="1:13" ht="15.75">
      <c r="A22" s="902" t="s">
        <v>366</v>
      </c>
      <c r="B22" s="895" t="s">
        <v>1452</v>
      </c>
      <c r="C22" s="896">
        <v>64593.41074399999</v>
      </c>
      <c r="D22" s="897">
        <f>E22+F22</f>
        <v>26.995540000000002</v>
      </c>
      <c r="E22" s="898"/>
      <c r="F22" s="899">
        <f>10.858799+0.126923+8.0432+7.966618</f>
        <v>26.995540000000002</v>
      </c>
      <c r="G22" s="900"/>
      <c r="H22" s="905"/>
      <c r="J22" s="905"/>
      <c r="M22" s="906"/>
    </row>
    <row r="23" spans="1:7" ht="15.75">
      <c r="A23" s="902" t="s">
        <v>368</v>
      </c>
      <c r="B23" s="895" t="s">
        <v>1453</v>
      </c>
      <c r="C23" s="896">
        <v>780160.588948</v>
      </c>
      <c r="D23" s="897">
        <f aca="true" t="shared" si="1" ref="D23:D33">E23+F23</f>
        <v>489.61715100000004</v>
      </c>
      <c r="E23" s="898">
        <f>101.329521+1.48+380</f>
        <v>482.809521</v>
      </c>
      <c r="F23" s="899">
        <v>6.80763</v>
      </c>
      <c r="G23" s="900"/>
    </row>
    <row r="24" spans="1:7" ht="15.75">
      <c r="A24" s="902" t="s">
        <v>370</v>
      </c>
      <c r="B24" s="895" t="s">
        <v>1454</v>
      </c>
      <c r="C24" s="896">
        <v>6737.760632</v>
      </c>
      <c r="D24" s="897">
        <f t="shared" si="1"/>
        <v>0</v>
      </c>
      <c r="E24" s="898"/>
      <c r="F24" s="899"/>
      <c r="G24" s="900"/>
    </row>
    <row r="25" spans="1:7" ht="15.75">
      <c r="A25" s="902" t="s">
        <v>372</v>
      </c>
      <c r="B25" s="895" t="s">
        <v>1455</v>
      </c>
      <c r="C25" s="896">
        <v>225784.722812</v>
      </c>
      <c r="D25" s="897">
        <f t="shared" si="1"/>
        <v>0</v>
      </c>
      <c r="E25" s="898"/>
      <c r="F25" s="899"/>
      <c r="G25" s="900"/>
    </row>
    <row r="26" spans="1:7" ht="15.75">
      <c r="A26" s="902" t="s">
        <v>374</v>
      </c>
      <c r="B26" s="895" t="s">
        <v>1456</v>
      </c>
      <c r="C26" s="896">
        <v>14171.390048</v>
      </c>
      <c r="D26" s="897">
        <f t="shared" si="1"/>
        <v>3.69598</v>
      </c>
      <c r="E26" s="898">
        <f>2.57874+1.1</f>
        <v>3.67874</v>
      </c>
      <c r="F26" s="899">
        <v>0.01724</v>
      </c>
      <c r="G26" s="900"/>
    </row>
    <row r="27" spans="1:7" ht="15.75">
      <c r="A27" s="902" t="s">
        <v>376</v>
      </c>
      <c r="B27" s="895" t="s">
        <v>1457</v>
      </c>
      <c r="C27" s="896">
        <v>11286.634635</v>
      </c>
      <c r="D27" s="897">
        <f t="shared" si="1"/>
        <v>0.01208</v>
      </c>
      <c r="E27" s="898">
        <f>12080/1000000</f>
        <v>0.01208</v>
      </c>
      <c r="F27" s="899"/>
      <c r="G27" s="900"/>
    </row>
    <row r="28" spans="1:7" ht="15.75">
      <c r="A28" s="902" t="s">
        <v>449</v>
      </c>
      <c r="B28" s="895" t="s">
        <v>1458</v>
      </c>
      <c r="C28" s="896">
        <v>5140.545795</v>
      </c>
      <c r="D28" s="897">
        <f t="shared" si="1"/>
        <v>0.043587</v>
      </c>
      <c r="E28" s="907">
        <f>3587/1000000</f>
        <v>0.003587</v>
      </c>
      <c r="F28" s="899">
        <f>0.04</f>
        <v>0.04</v>
      </c>
      <c r="G28" s="900"/>
    </row>
    <row r="29" spans="1:7" ht="15.75">
      <c r="A29" s="902" t="s">
        <v>451</v>
      </c>
      <c r="B29" s="895" t="s">
        <v>1459</v>
      </c>
      <c r="C29" s="896">
        <v>36795.366671</v>
      </c>
      <c r="D29" s="897">
        <f t="shared" si="1"/>
        <v>571.956998</v>
      </c>
      <c r="E29" s="898">
        <f>75.378398+310</f>
        <v>385.378398</v>
      </c>
      <c r="F29" s="899">
        <f>39.100016+138.293+9.185584</f>
        <v>186.5786</v>
      </c>
      <c r="G29" s="900"/>
    </row>
    <row r="30" spans="1:7" ht="15.75">
      <c r="A30" s="902" t="s">
        <v>453</v>
      </c>
      <c r="B30" s="895" t="s">
        <v>1460</v>
      </c>
      <c r="C30" s="896">
        <v>194522.897313</v>
      </c>
      <c r="D30" s="897">
        <f t="shared" si="1"/>
        <v>201.07471500000003</v>
      </c>
      <c r="E30" s="898">
        <v>179.546635</v>
      </c>
      <c r="F30" s="899">
        <f>11.36208+0.026+2.14+8</f>
        <v>21.528080000000003</v>
      </c>
      <c r="G30" s="900"/>
    </row>
    <row r="31" spans="1:7" ht="15.75">
      <c r="A31" s="902" t="s">
        <v>455</v>
      </c>
      <c r="B31" s="895" t="s">
        <v>1461</v>
      </c>
      <c r="C31" s="896">
        <v>430808.686606</v>
      </c>
      <c r="D31" s="897">
        <f t="shared" si="1"/>
        <v>471.26790199999994</v>
      </c>
      <c r="E31" s="898">
        <f>104.189066+2+1.791+0.24+0.0005</f>
        <v>108.22056599999999</v>
      </c>
      <c r="F31" s="899">
        <f>124.621539+40.306803+48.1052+35.973691+14.9+2.403636+67.735442+8.068325+20.7724+0.09+0.05+0.0203</f>
        <v>363.047336</v>
      </c>
      <c r="G31" s="900"/>
    </row>
    <row r="32" spans="1:7" ht="15.75">
      <c r="A32" s="902" t="s">
        <v>456</v>
      </c>
      <c r="B32" s="895" t="s">
        <v>561</v>
      </c>
      <c r="C32" s="896">
        <v>54345.872358</v>
      </c>
      <c r="D32" s="897">
        <f t="shared" si="1"/>
        <v>1675.17365</v>
      </c>
      <c r="E32" s="898">
        <v>1340.683522</v>
      </c>
      <c r="F32" s="899">
        <f>163.80235+48.8005+18.980978+102.8352+0.0711</f>
        <v>334.49012799999997</v>
      </c>
      <c r="G32" s="900"/>
    </row>
    <row r="33" spans="1:7" ht="15.75">
      <c r="A33" s="902" t="s">
        <v>458</v>
      </c>
      <c r="B33" s="895" t="s">
        <v>1462</v>
      </c>
      <c r="C33" s="896">
        <v>16330.581275</v>
      </c>
      <c r="D33" s="897">
        <f t="shared" si="1"/>
        <v>107.580828</v>
      </c>
      <c r="E33" s="898"/>
      <c r="F33" s="899">
        <f>18.85+88.730828</f>
        <v>107.580828</v>
      </c>
      <c r="G33" s="900"/>
    </row>
    <row r="34" spans="1:7" s="879" customFormat="1" ht="31.5">
      <c r="A34" s="872">
        <v>2</v>
      </c>
      <c r="B34" s="881" t="s">
        <v>1463</v>
      </c>
      <c r="C34" s="882">
        <f>C35+C39</f>
        <v>125180.149062</v>
      </c>
      <c r="D34" s="883">
        <f>D35+D39</f>
        <v>9603.210528</v>
      </c>
      <c r="E34" s="884">
        <f>E35+E39</f>
        <v>9603.210528</v>
      </c>
      <c r="F34" s="885">
        <f>F35+F39</f>
        <v>0</v>
      </c>
      <c r="G34" s="878"/>
    </row>
    <row r="35" spans="1:7" ht="32.25" customHeight="1">
      <c r="A35" s="902" t="s">
        <v>401</v>
      </c>
      <c r="B35" s="895" t="s">
        <v>1464</v>
      </c>
      <c r="C35" s="896"/>
      <c r="D35" s="897">
        <f>E35+F35</f>
        <v>9600.958528</v>
      </c>
      <c r="E35" s="898">
        <f>SUM(E36:E38)</f>
        <v>9600.958528</v>
      </c>
      <c r="F35" s="899"/>
      <c r="G35" s="900"/>
    </row>
    <row r="36" spans="1:7" ht="31.5" customHeight="1">
      <c r="A36" s="902" t="s">
        <v>840</v>
      </c>
      <c r="B36" s="895" t="s">
        <v>1465</v>
      </c>
      <c r="C36" s="896">
        <v>21725</v>
      </c>
      <c r="D36" s="897">
        <f>E36</f>
        <v>1400.77264</v>
      </c>
      <c r="E36" s="898">
        <v>1400.77264</v>
      </c>
      <c r="F36" s="899"/>
      <c r="G36" s="900"/>
    </row>
    <row r="37" spans="1:7" ht="31.5" customHeight="1">
      <c r="A37" s="902" t="s">
        <v>840</v>
      </c>
      <c r="B37" s="895" t="s">
        <v>1466</v>
      </c>
      <c r="C37" s="896">
        <v>15928</v>
      </c>
      <c r="D37" s="897">
        <f>E37</f>
        <v>3615.870375</v>
      </c>
      <c r="E37" s="898">
        <v>3615.870375</v>
      </c>
      <c r="F37" s="899"/>
      <c r="G37" s="900"/>
    </row>
    <row r="38" spans="1:7" ht="31.5" customHeight="1">
      <c r="A38" s="902" t="s">
        <v>840</v>
      </c>
      <c r="B38" s="895" t="s">
        <v>1467</v>
      </c>
      <c r="C38" s="896">
        <v>15928</v>
      </c>
      <c r="D38" s="897">
        <f>E38</f>
        <v>4584.315513</v>
      </c>
      <c r="E38" s="898">
        <v>4584.315513</v>
      </c>
      <c r="F38" s="899"/>
      <c r="G38" s="900"/>
    </row>
    <row r="39" spans="1:7" ht="15.75">
      <c r="A39" s="902" t="s">
        <v>403</v>
      </c>
      <c r="B39" s="895" t="s">
        <v>1468</v>
      </c>
      <c r="C39" s="896">
        <v>125180.149062</v>
      </c>
      <c r="D39" s="897">
        <f>E39+F39</f>
        <v>2.252</v>
      </c>
      <c r="E39" s="898">
        <v>2.252</v>
      </c>
      <c r="F39" s="899"/>
      <c r="G39" s="900"/>
    </row>
    <row r="40" spans="1:232" ht="15.75">
      <c r="A40" s="872" t="s">
        <v>381</v>
      </c>
      <c r="B40" s="881" t="s">
        <v>480</v>
      </c>
      <c r="C40" s="882"/>
      <c r="D40" s="883">
        <f>E40+F40</f>
        <v>0</v>
      </c>
      <c r="E40" s="884"/>
      <c r="F40" s="885"/>
      <c r="G40" s="878"/>
      <c r="H40" s="879"/>
      <c r="I40" s="879"/>
      <c r="J40" s="879"/>
      <c r="K40" s="879"/>
      <c r="L40" s="879"/>
      <c r="M40" s="879"/>
      <c r="N40" s="879"/>
      <c r="O40" s="879"/>
      <c r="P40" s="879"/>
      <c r="Q40" s="879"/>
      <c r="R40" s="879"/>
      <c r="S40" s="879"/>
      <c r="T40" s="879"/>
      <c r="U40" s="879"/>
      <c r="V40" s="879"/>
      <c r="W40" s="879"/>
      <c r="X40" s="879"/>
      <c r="Y40" s="879"/>
      <c r="Z40" s="879"/>
      <c r="AA40" s="879"/>
      <c r="AB40" s="879"/>
      <c r="AC40" s="879"/>
      <c r="AD40" s="879"/>
      <c r="AE40" s="879"/>
      <c r="AF40" s="879"/>
      <c r="AG40" s="879"/>
      <c r="AH40" s="879"/>
      <c r="AI40" s="879"/>
      <c r="AJ40" s="879"/>
      <c r="AK40" s="879"/>
      <c r="AL40" s="879"/>
      <c r="AM40" s="879"/>
      <c r="AN40" s="879"/>
      <c r="AO40" s="879"/>
      <c r="AP40" s="879"/>
      <c r="AQ40" s="879"/>
      <c r="AR40" s="879"/>
      <c r="AS40" s="879"/>
      <c r="AT40" s="879"/>
      <c r="AU40" s="879"/>
      <c r="AV40" s="879"/>
      <c r="AW40" s="879"/>
      <c r="AX40" s="879"/>
      <c r="AY40" s="879"/>
      <c r="AZ40" s="879"/>
      <c r="BA40" s="879"/>
      <c r="BB40" s="879"/>
      <c r="BC40" s="879"/>
      <c r="BD40" s="879"/>
      <c r="BE40" s="879"/>
      <c r="BF40" s="879"/>
      <c r="BG40" s="879"/>
      <c r="BH40" s="879"/>
      <c r="BI40" s="879"/>
      <c r="BJ40" s="879"/>
      <c r="BK40" s="879"/>
      <c r="BL40" s="879"/>
      <c r="BM40" s="879"/>
      <c r="BN40" s="879"/>
      <c r="BO40" s="879"/>
      <c r="BP40" s="879"/>
      <c r="BQ40" s="879"/>
      <c r="BR40" s="879"/>
      <c r="BS40" s="879"/>
      <c r="BT40" s="879"/>
      <c r="BU40" s="879"/>
      <c r="BV40" s="879"/>
      <c r="BW40" s="879"/>
      <c r="BX40" s="879"/>
      <c r="BY40" s="879"/>
      <c r="BZ40" s="879"/>
      <c r="CA40" s="879"/>
      <c r="CB40" s="879"/>
      <c r="CC40" s="879"/>
      <c r="CD40" s="879"/>
      <c r="CE40" s="879"/>
      <c r="CF40" s="879"/>
      <c r="CG40" s="879"/>
      <c r="CH40" s="879"/>
      <c r="CI40" s="879"/>
      <c r="CJ40" s="879"/>
      <c r="CK40" s="879"/>
      <c r="CL40" s="879"/>
      <c r="CM40" s="879"/>
      <c r="CN40" s="879"/>
      <c r="CO40" s="879"/>
      <c r="CP40" s="879"/>
      <c r="CQ40" s="879"/>
      <c r="CR40" s="879"/>
      <c r="CS40" s="879"/>
      <c r="CT40" s="879"/>
      <c r="CU40" s="879"/>
      <c r="CV40" s="879"/>
      <c r="CW40" s="879"/>
      <c r="CX40" s="879"/>
      <c r="CY40" s="879"/>
      <c r="CZ40" s="879"/>
      <c r="DA40" s="879"/>
      <c r="DB40" s="879"/>
      <c r="DC40" s="879"/>
      <c r="DD40" s="879"/>
      <c r="DE40" s="879"/>
      <c r="DF40" s="879"/>
      <c r="DG40" s="879"/>
      <c r="DH40" s="879"/>
      <c r="DI40" s="879"/>
      <c r="DJ40" s="879"/>
      <c r="DK40" s="879"/>
      <c r="DL40" s="879"/>
      <c r="DM40" s="879"/>
      <c r="DN40" s="879"/>
      <c r="DO40" s="879"/>
      <c r="DP40" s="879"/>
      <c r="DQ40" s="879"/>
      <c r="DR40" s="879"/>
      <c r="DS40" s="879"/>
      <c r="DT40" s="879"/>
      <c r="DU40" s="879"/>
      <c r="DV40" s="879"/>
      <c r="DW40" s="879"/>
      <c r="DX40" s="879"/>
      <c r="DY40" s="879"/>
      <c r="DZ40" s="879"/>
      <c r="EA40" s="879"/>
      <c r="EB40" s="879"/>
      <c r="EC40" s="879"/>
      <c r="ED40" s="879"/>
      <c r="EE40" s="879"/>
      <c r="EF40" s="879"/>
      <c r="EG40" s="879"/>
      <c r="EH40" s="879"/>
      <c r="EI40" s="879"/>
      <c r="EJ40" s="879"/>
      <c r="EK40" s="879"/>
      <c r="EL40" s="879"/>
      <c r="EM40" s="879"/>
      <c r="EN40" s="879"/>
      <c r="EO40" s="879"/>
      <c r="EP40" s="879"/>
      <c r="EQ40" s="879"/>
      <c r="ER40" s="879"/>
      <c r="ES40" s="879"/>
      <c r="ET40" s="879"/>
      <c r="EU40" s="879"/>
      <c r="EV40" s="879"/>
      <c r="EW40" s="879"/>
      <c r="EX40" s="879"/>
      <c r="EY40" s="879"/>
      <c r="EZ40" s="879"/>
      <c r="FA40" s="879"/>
      <c r="FB40" s="879"/>
      <c r="FC40" s="879"/>
      <c r="FD40" s="879"/>
      <c r="FE40" s="879"/>
      <c r="FF40" s="879"/>
      <c r="FG40" s="879"/>
      <c r="FH40" s="879"/>
      <c r="FI40" s="879"/>
      <c r="FJ40" s="879"/>
      <c r="FK40" s="879"/>
      <c r="FL40" s="879"/>
      <c r="FM40" s="879"/>
      <c r="FN40" s="879"/>
      <c r="FO40" s="879"/>
      <c r="FP40" s="879"/>
      <c r="FQ40" s="879"/>
      <c r="FR40" s="879"/>
      <c r="FS40" s="879"/>
      <c r="FT40" s="879"/>
      <c r="FU40" s="879"/>
      <c r="FV40" s="879"/>
      <c r="FW40" s="879"/>
      <c r="FX40" s="879"/>
      <c r="FY40" s="879"/>
      <c r="FZ40" s="879"/>
      <c r="GA40" s="879"/>
      <c r="GB40" s="879"/>
      <c r="GC40" s="879"/>
      <c r="GD40" s="879"/>
      <c r="GE40" s="879"/>
      <c r="GF40" s="879"/>
      <c r="GG40" s="879"/>
      <c r="GH40" s="879"/>
      <c r="GI40" s="879"/>
      <c r="GJ40" s="879"/>
      <c r="GK40" s="879"/>
      <c r="GL40" s="879"/>
      <c r="GM40" s="879"/>
      <c r="GN40" s="879"/>
      <c r="GO40" s="879"/>
      <c r="GP40" s="879"/>
      <c r="GQ40" s="879"/>
      <c r="GR40" s="879"/>
      <c r="GS40" s="879"/>
      <c r="GT40" s="879"/>
      <c r="GU40" s="879"/>
      <c r="GV40" s="879"/>
      <c r="GW40" s="879"/>
      <c r="GX40" s="879"/>
      <c r="GY40" s="879"/>
      <c r="GZ40" s="879"/>
      <c r="HA40" s="879"/>
      <c r="HB40" s="879"/>
      <c r="HC40" s="879"/>
      <c r="HD40" s="879"/>
      <c r="HE40" s="879"/>
      <c r="HF40" s="879"/>
      <c r="HG40" s="879"/>
      <c r="HH40" s="879"/>
      <c r="HI40" s="879"/>
      <c r="HJ40" s="879"/>
      <c r="HK40" s="879"/>
      <c r="HL40" s="879"/>
      <c r="HM40" s="879"/>
      <c r="HN40" s="879"/>
      <c r="HO40" s="879"/>
      <c r="HP40" s="879"/>
      <c r="HQ40" s="879"/>
      <c r="HR40" s="879"/>
      <c r="HS40" s="879"/>
      <c r="HT40" s="879"/>
      <c r="HU40" s="879"/>
      <c r="HV40" s="879"/>
      <c r="HW40" s="879"/>
      <c r="HX40" s="879"/>
    </row>
    <row r="41" spans="1:232" ht="15.75">
      <c r="A41" s="872" t="s">
        <v>391</v>
      </c>
      <c r="B41" s="881" t="s">
        <v>1469</v>
      </c>
      <c r="C41" s="882">
        <v>0</v>
      </c>
      <c r="D41" s="883">
        <f aca="true" t="shared" si="2" ref="D41:D54">E41+F41</f>
        <v>5122.491013</v>
      </c>
      <c r="E41" s="884">
        <v>4708.446</v>
      </c>
      <c r="F41" s="885">
        <f>222.897813+108.493+82.6542</f>
        <v>414.045013</v>
      </c>
      <c r="G41" s="878"/>
      <c r="H41" s="879"/>
      <c r="I41" s="879"/>
      <c r="J41" s="879"/>
      <c r="K41" s="879"/>
      <c r="L41" s="879"/>
      <c r="M41" s="879"/>
      <c r="N41" s="879"/>
      <c r="O41" s="879"/>
      <c r="P41" s="879"/>
      <c r="Q41" s="879"/>
      <c r="R41" s="879"/>
      <c r="S41" s="879"/>
      <c r="T41" s="879"/>
      <c r="U41" s="879"/>
      <c r="V41" s="879"/>
      <c r="W41" s="879"/>
      <c r="X41" s="879"/>
      <c r="Y41" s="879"/>
      <c r="Z41" s="879"/>
      <c r="AA41" s="879"/>
      <c r="AB41" s="879"/>
      <c r="AC41" s="879"/>
      <c r="AD41" s="879"/>
      <c r="AE41" s="879"/>
      <c r="AF41" s="879"/>
      <c r="AG41" s="879"/>
      <c r="AH41" s="879"/>
      <c r="AI41" s="879"/>
      <c r="AJ41" s="879"/>
      <c r="AK41" s="879"/>
      <c r="AL41" s="879"/>
      <c r="AM41" s="879"/>
      <c r="AN41" s="879"/>
      <c r="AO41" s="879"/>
      <c r="AP41" s="879"/>
      <c r="AQ41" s="879"/>
      <c r="AR41" s="879"/>
      <c r="AS41" s="879"/>
      <c r="AT41" s="879"/>
      <c r="AU41" s="879"/>
      <c r="AV41" s="879"/>
      <c r="AW41" s="879"/>
      <c r="AX41" s="879"/>
      <c r="AY41" s="879"/>
      <c r="AZ41" s="879"/>
      <c r="BA41" s="879"/>
      <c r="BB41" s="879"/>
      <c r="BC41" s="879"/>
      <c r="BD41" s="879"/>
      <c r="BE41" s="879"/>
      <c r="BF41" s="879"/>
      <c r="BG41" s="879"/>
      <c r="BH41" s="879"/>
      <c r="BI41" s="879"/>
      <c r="BJ41" s="879"/>
      <c r="BK41" s="879"/>
      <c r="BL41" s="879"/>
      <c r="BM41" s="879"/>
      <c r="BN41" s="879"/>
      <c r="BO41" s="879"/>
      <c r="BP41" s="879"/>
      <c r="BQ41" s="879"/>
      <c r="BR41" s="879"/>
      <c r="BS41" s="879"/>
      <c r="BT41" s="879"/>
      <c r="BU41" s="879"/>
      <c r="BV41" s="879"/>
      <c r="BW41" s="879"/>
      <c r="BX41" s="879"/>
      <c r="BY41" s="879"/>
      <c r="BZ41" s="879"/>
      <c r="CA41" s="879"/>
      <c r="CB41" s="879"/>
      <c r="CC41" s="879"/>
      <c r="CD41" s="879"/>
      <c r="CE41" s="879"/>
      <c r="CF41" s="879"/>
      <c r="CG41" s="879"/>
      <c r="CH41" s="879"/>
      <c r="CI41" s="879"/>
      <c r="CJ41" s="879"/>
      <c r="CK41" s="879"/>
      <c r="CL41" s="879"/>
      <c r="CM41" s="879"/>
      <c r="CN41" s="879"/>
      <c r="CO41" s="879"/>
      <c r="CP41" s="879"/>
      <c r="CQ41" s="879"/>
      <c r="CR41" s="879"/>
      <c r="CS41" s="879"/>
      <c r="CT41" s="879"/>
      <c r="CU41" s="879"/>
      <c r="CV41" s="879"/>
      <c r="CW41" s="879"/>
      <c r="CX41" s="879"/>
      <c r="CY41" s="879"/>
      <c r="CZ41" s="879"/>
      <c r="DA41" s="879"/>
      <c r="DB41" s="879"/>
      <c r="DC41" s="879"/>
      <c r="DD41" s="879"/>
      <c r="DE41" s="879"/>
      <c r="DF41" s="879"/>
      <c r="DG41" s="879"/>
      <c r="DH41" s="879"/>
      <c r="DI41" s="879"/>
      <c r="DJ41" s="879"/>
      <c r="DK41" s="879"/>
      <c r="DL41" s="879"/>
      <c r="DM41" s="879"/>
      <c r="DN41" s="879"/>
      <c r="DO41" s="879"/>
      <c r="DP41" s="879"/>
      <c r="DQ41" s="879"/>
      <c r="DR41" s="879"/>
      <c r="DS41" s="879"/>
      <c r="DT41" s="879"/>
      <c r="DU41" s="879"/>
      <c r="DV41" s="879"/>
      <c r="DW41" s="879"/>
      <c r="DX41" s="879"/>
      <c r="DY41" s="879"/>
      <c r="DZ41" s="879"/>
      <c r="EA41" s="879"/>
      <c r="EB41" s="879"/>
      <c r="EC41" s="879"/>
      <c r="ED41" s="879"/>
      <c r="EE41" s="879"/>
      <c r="EF41" s="879"/>
      <c r="EG41" s="879"/>
      <c r="EH41" s="879"/>
      <c r="EI41" s="879"/>
      <c r="EJ41" s="879"/>
      <c r="EK41" s="879"/>
      <c r="EL41" s="879"/>
      <c r="EM41" s="879"/>
      <c r="EN41" s="879"/>
      <c r="EO41" s="879"/>
      <c r="EP41" s="879"/>
      <c r="EQ41" s="879"/>
      <c r="ER41" s="879"/>
      <c r="ES41" s="879"/>
      <c r="ET41" s="879"/>
      <c r="EU41" s="879"/>
      <c r="EV41" s="879"/>
      <c r="EW41" s="879"/>
      <c r="EX41" s="879"/>
      <c r="EY41" s="879"/>
      <c r="EZ41" s="879"/>
      <c r="FA41" s="879"/>
      <c r="FB41" s="879"/>
      <c r="FC41" s="879"/>
      <c r="FD41" s="879"/>
      <c r="FE41" s="879"/>
      <c r="FF41" s="879"/>
      <c r="FG41" s="879"/>
      <c r="FH41" s="879"/>
      <c r="FI41" s="879"/>
      <c r="FJ41" s="879"/>
      <c r="FK41" s="879"/>
      <c r="FL41" s="879"/>
      <c r="FM41" s="879"/>
      <c r="FN41" s="879"/>
      <c r="FO41" s="879"/>
      <c r="FP41" s="879"/>
      <c r="FQ41" s="879"/>
      <c r="FR41" s="879"/>
      <c r="FS41" s="879"/>
      <c r="FT41" s="879"/>
      <c r="FU41" s="879"/>
      <c r="FV41" s="879"/>
      <c r="FW41" s="879"/>
      <c r="FX41" s="879"/>
      <c r="FY41" s="879"/>
      <c r="FZ41" s="879"/>
      <c r="GA41" s="879"/>
      <c r="GB41" s="879"/>
      <c r="GC41" s="879"/>
      <c r="GD41" s="879"/>
      <c r="GE41" s="879"/>
      <c r="GF41" s="879"/>
      <c r="GG41" s="879"/>
      <c r="GH41" s="879"/>
      <c r="GI41" s="879"/>
      <c r="GJ41" s="879"/>
      <c r="GK41" s="879"/>
      <c r="GL41" s="879"/>
      <c r="GM41" s="879"/>
      <c r="GN41" s="879"/>
      <c r="GO41" s="879"/>
      <c r="GP41" s="879"/>
      <c r="GQ41" s="879"/>
      <c r="GR41" s="879"/>
      <c r="GS41" s="879"/>
      <c r="GT41" s="879"/>
      <c r="GU41" s="879"/>
      <c r="GV41" s="879"/>
      <c r="GW41" s="879"/>
      <c r="GX41" s="879"/>
      <c r="GY41" s="879"/>
      <c r="GZ41" s="879"/>
      <c r="HA41" s="879"/>
      <c r="HB41" s="879"/>
      <c r="HC41" s="879"/>
      <c r="HD41" s="879"/>
      <c r="HE41" s="879"/>
      <c r="HF41" s="879"/>
      <c r="HG41" s="879"/>
      <c r="HH41" s="879"/>
      <c r="HI41" s="879"/>
      <c r="HJ41" s="879"/>
      <c r="HK41" s="879"/>
      <c r="HL41" s="879"/>
      <c r="HM41" s="879"/>
      <c r="HN41" s="879"/>
      <c r="HO41" s="879"/>
      <c r="HP41" s="879"/>
      <c r="HQ41" s="879"/>
      <c r="HR41" s="879"/>
      <c r="HS41" s="879"/>
      <c r="HT41" s="879"/>
      <c r="HU41" s="879"/>
      <c r="HV41" s="879"/>
      <c r="HW41" s="879"/>
      <c r="HX41" s="879"/>
    </row>
    <row r="42" spans="1:232" ht="15.75">
      <c r="A42" s="872" t="s">
        <v>393</v>
      </c>
      <c r="B42" s="881" t="s">
        <v>1470</v>
      </c>
      <c r="C42" s="882"/>
      <c r="D42" s="883">
        <f t="shared" si="2"/>
        <v>50041.8405041</v>
      </c>
      <c r="E42" s="884">
        <f>17663.62+29983.01</f>
        <v>47646.63</v>
      </c>
      <c r="F42" s="885">
        <f>797.842324+J16</f>
        <v>2395.2105041</v>
      </c>
      <c r="G42" s="878"/>
      <c r="H42" s="879"/>
      <c r="I42" s="879"/>
      <c r="J42" s="879"/>
      <c r="K42" s="879"/>
      <c r="L42" s="879"/>
      <c r="M42" s="879"/>
      <c r="N42" s="879"/>
      <c r="O42" s="879"/>
      <c r="P42" s="879"/>
      <c r="Q42" s="879"/>
      <c r="R42" s="879"/>
      <c r="S42" s="879"/>
      <c r="T42" s="879"/>
      <c r="U42" s="879"/>
      <c r="V42" s="879"/>
      <c r="W42" s="879"/>
      <c r="X42" s="879"/>
      <c r="Y42" s="879"/>
      <c r="Z42" s="879"/>
      <c r="AA42" s="879"/>
      <c r="AB42" s="879"/>
      <c r="AC42" s="879"/>
      <c r="AD42" s="879"/>
      <c r="AE42" s="879"/>
      <c r="AF42" s="879"/>
      <c r="AG42" s="879"/>
      <c r="AH42" s="879"/>
      <c r="AI42" s="879"/>
      <c r="AJ42" s="879"/>
      <c r="AK42" s="879"/>
      <c r="AL42" s="879"/>
      <c r="AM42" s="879"/>
      <c r="AN42" s="879"/>
      <c r="AO42" s="879"/>
      <c r="AP42" s="879"/>
      <c r="AQ42" s="879"/>
      <c r="AR42" s="879"/>
      <c r="AS42" s="879"/>
      <c r="AT42" s="879"/>
      <c r="AU42" s="879"/>
      <c r="AV42" s="879"/>
      <c r="AW42" s="879"/>
      <c r="AX42" s="879"/>
      <c r="AY42" s="879"/>
      <c r="AZ42" s="879"/>
      <c r="BA42" s="879"/>
      <c r="BB42" s="879"/>
      <c r="BC42" s="879"/>
      <c r="BD42" s="879"/>
      <c r="BE42" s="879"/>
      <c r="BF42" s="879"/>
      <c r="BG42" s="879"/>
      <c r="BH42" s="879"/>
      <c r="BI42" s="879"/>
      <c r="BJ42" s="879"/>
      <c r="BK42" s="879"/>
      <c r="BL42" s="879"/>
      <c r="BM42" s="879"/>
      <c r="BN42" s="879"/>
      <c r="BO42" s="879"/>
      <c r="BP42" s="879"/>
      <c r="BQ42" s="879"/>
      <c r="BR42" s="879"/>
      <c r="BS42" s="879"/>
      <c r="BT42" s="879"/>
      <c r="BU42" s="879"/>
      <c r="BV42" s="879"/>
      <c r="BW42" s="879"/>
      <c r="BX42" s="879"/>
      <c r="BY42" s="879"/>
      <c r="BZ42" s="879"/>
      <c r="CA42" s="879"/>
      <c r="CB42" s="879"/>
      <c r="CC42" s="879"/>
      <c r="CD42" s="879"/>
      <c r="CE42" s="879"/>
      <c r="CF42" s="879"/>
      <c r="CG42" s="879"/>
      <c r="CH42" s="879"/>
      <c r="CI42" s="879"/>
      <c r="CJ42" s="879"/>
      <c r="CK42" s="879"/>
      <c r="CL42" s="879"/>
      <c r="CM42" s="879"/>
      <c r="CN42" s="879"/>
      <c r="CO42" s="879"/>
      <c r="CP42" s="879"/>
      <c r="CQ42" s="879"/>
      <c r="CR42" s="879"/>
      <c r="CS42" s="879"/>
      <c r="CT42" s="879"/>
      <c r="CU42" s="879"/>
      <c r="CV42" s="879"/>
      <c r="CW42" s="879"/>
      <c r="CX42" s="879"/>
      <c r="CY42" s="879"/>
      <c r="CZ42" s="879"/>
      <c r="DA42" s="879"/>
      <c r="DB42" s="879"/>
      <c r="DC42" s="879"/>
      <c r="DD42" s="879"/>
      <c r="DE42" s="879"/>
      <c r="DF42" s="879"/>
      <c r="DG42" s="879"/>
      <c r="DH42" s="879"/>
      <c r="DI42" s="879"/>
      <c r="DJ42" s="879"/>
      <c r="DK42" s="879"/>
      <c r="DL42" s="879"/>
      <c r="DM42" s="879"/>
      <c r="DN42" s="879"/>
      <c r="DO42" s="879"/>
      <c r="DP42" s="879"/>
      <c r="DQ42" s="879"/>
      <c r="DR42" s="879"/>
      <c r="DS42" s="879"/>
      <c r="DT42" s="879"/>
      <c r="DU42" s="879"/>
      <c r="DV42" s="879"/>
      <c r="DW42" s="879"/>
      <c r="DX42" s="879"/>
      <c r="DY42" s="879"/>
      <c r="DZ42" s="879"/>
      <c r="EA42" s="879"/>
      <c r="EB42" s="879"/>
      <c r="EC42" s="879"/>
      <c r="ED42" s="879"/>
      <c r="EE42" s="879"/>
      <c r="EF42" s="879"/>
      <c r="EG42" s="879"/>
      <c r="EH42" s="879"/>
      <c r="EI42" s="879"/>
      <c r="EJ42" s="879"/>
      <c r="EK42" s="879"/>
      <c r="EL42" s="879"/>
      <c r="EM42" s="879"/>
      <c r="EN42" s="879"/>
      <c r="EO42" s="879"/>
      <c r="EP42" s="879"/>
      <c r="EQ42" s="879"/>
      <c r="ER42" s="879"/>
      <c r="ES42" s="879"/>
      <c r="ET42" s="879"/>
      <c r="EU42" s="879"/>
      <c r="EV42" s="879"/>
      <c r="EW42" s="879"/>
      <c r="EX42" s="879"/>
      <c r="EY42" s="879"/>
      <c r="EZ42" s="879"/>
      <c r="FA42" s="879"/>
      <c r="FB42" s="879"/>
      <c r="FC42" s="879"/>
      <c r="FD42" s="879"/>
      <c r="FE42" s="879"/>
      <c r="FF42" s="879"/>
      <c r="FG42" s="879"/>
      <c r="FH42" s="879"/>
      <c r="FI42" s="879"/>
      <c r="FJ42" s="879"/>
      <c r="FK42" s="879"/>
      <c r="FL42" s="879"/>
      <c r="FM42" s="879"/>
      <c r="FN42" s="879"/>
      <c r="FO42" s="879"/>
      <c r="FP42" s="879"/>
      <c r="FQ42" s="879"/>
      <c r="FR42" s="879"/>
      <c r="FS42" s="879"/>
      <c r="FT42" s="879"/>
      <c r="FU42" s="879"/>
      <c r="FV42" s="879"/>
      <c r="FW42" s="879"/>
      <c r="FX42" s="879"/>
      <c r="FY42" s="879"/>
      <c r="FZ42" s="879"/>
      <c r="GA42" s="879"/>
      <c r="GB42" s="879"/>
      <c r="GC42" s="879"/>
      <c r="GD42" s="879"/>
      <c r="GE42" s="879"/>
      <c r="GF42" s="879"/>
      <c r="GG42" s="879"/>
      <c r="GH42" s="879"/>
      <c r="GI42" s="879"/>
      <c r="GJ42" s="879"/>
      <c r="GK42" s="879"/>
      <c r="GL42" s="879"/>
      <c r="GM42" s="879"/>
      <c r="GN42" s="879"/>
      <c r="GO42" s="879"/>
      <c r="GP42" s="879"/>
      <c r="GQ42" s="879"/>
      <c r="GR42" s="879"/>
      <c r="GS42" s="879"/>
      <c r="GT42" s="879"/>
      <c r="GU42" s="879"/>
      <c r="GV42" s="879"/>
      <c r="GW42" s="879"/>
      <c r="GX42" s="879"/>
      <c r="GY42" s="879"/>
      <c r="GZ42" s="879"/>
      <c r="HA42" s="879"/>
      <c r="HB42" s="879"/>
      <c r="HC42" s="879"/>
      <c r="HD42" s="879"/>
      <c r="HE42" s="879"/>
      <c r="HF42" s="879"/>
      <c r="HG42" s="879"/>
      <c r="HH42" s="879"/>
      <c r="HI42" s="879"/>
      <c r="HJ42" s="879"/>
      <c r="HK42" s="879"/>
      <c r="HL42" s="879"/>
      <c r="HM42" s="879"/>
      <c r="HN42" s="879"/>
      <c r="HO42" s="879"/>
      <c r="HP42" s="879"/>
      <c r="HQ42" s="879"/>
      <c r="HR42" s="879"/>
      <c r="HS42" s="879"/>
      <c r="HT42" s="879"/>
      <c r="HU42" s="879"/>
      <c r="HV42" s="879"/>
      <c r="HW42" s="879"/>
      <c r="HX42" s="879"/>
    </row>
    <row r="43" spans="1:232" ht="31.5">
      <c r="A43" s="872" t="s">
        <v>397</v>
      </c>
      <c r="B43" s="881" t="s">
        <v>1471</v>
      </c>
      <c r="C43" s="882"/>
      <c r="D43" s="883">
        <f t="shared" si="2"/>
        <v>0</v>
      </c>
      <c r="E43" s="884"/>
      <c r="F43" s="885"/>
      <c r="G43" s="878"/>
      <c r="H43" s="879"/>
      <c r="I43" s="879"/>
      <c r="J43" s="879"/>
      <c r="K43" s="879"/>
      <c r="L43" s="879"/>
      <c r="M43" s="879"/>
      <c r="N43" s="879"/>
      <c r="O43" s="879"/>
      <c r="P43" s="879"/>
      <c r="Q43" s="879"/>
      <c r="R43" s="879"/>
      <c r="S43" s="879"/>
      <c r="T43" s="879"/>
      <c r="U43" s="879"/>
      <c r="V43" s="879"/>
      <c r="W43" s="879"/>
      <c r="X43" s="879"/>
      <c r="Y43" s="879"/>
      <c r="Z43" s="879"/>
      <c r="AA43" s="879"/>
      <c r="AB43" s="879"/>
      <c r="AC43" s="879"/>
      <c r="AD43" s="879"/>
      <c r="AE43" s="879"/>
      <c r="AF43" s="879"/>
      <c r="AG43" s="879"/>
      <c r="AH43" s="879"/>
      <c r="AI43" s="879"/>
      <c r="AJ43" s="879"/>
      <c r="AK43" s="879"/>
      <c r="AL43" s="879"/>
      <c r="AM43" s="879"/>
      <c r="AN43" s="879"/>
      <c r="AO43" s="879"/>
      <c r="AP43" s="879"/>
      <c r="AQ43" s="879"/>
      <c r="AR43" s="879"/>
      <c r="AS43" s="879"/>
      <c r="AT43" s="879"/>
      <c r="AU43" s="879"/>
      <c r="AV43" s="879"/>
      <c r="AW43" s="879"/>
      <c r="AX43" s="879"/>
      <c r="AY43" s="879"/>
      <c r="AZ43" s="879"/>
      <c r="BA43" s="879"/>
      <c r="BB43" s="879"/>
      <c r="BC43" s="879"/>
      <c r="BD43" s="879"/>
      <c r="BE43" s="879"/>
      <c r="BF43" s="879"/>
      <c r="BG43" s="879"/>
      <c r="BH43" s="879"/>
      <c r="BI43" s="879"/>
      <c r="BJ43" s="879"/>
      <c r="BK43" s="879"/>
      <c r="BL43" s="879"/>
      <c r="BM43" s="879"/>
      <c r="BN43" s="879"/>
      <c r="BO43" s="879"/>
      <c r="BP43" s="879"/>
      <c r="BQ43" s="879"/>
      <c r="BR43" s="879"/>
      <c r="BS43" s="879"/>
      <c r="BT43" s="879"/>
      <c r="BU43" s="879"/>
      <c r="BV43" s="879"/>
      <c r="BW43" s="879"/>
      <c r="BX43" s="879"/>
      <c r="BY43" s="879"/>
      <c r="BZ43" s="879"/>
      <c r="CA43" s="879"/>
      <c r="CB43" s="879"/>
      <c r="CC43" s="879"/>
      <c r="CD43" s="879"/>
      <c r="CE43" s="879"/>
      <c r="CF43" s="879"/>
      <c r="CG43" s="879"/>
      <c r="CH43" s="879"/>
      <c r="CI43" s="879"/>
      <c r="CJ43" s="879"/>
      <c r="CK43" s="879"/>
      <c r="CL43" s="879"/>
      <c r="CM43" s="879"/>
      <c r="CN43" s="879"/>
      <c r="CO43" s="879"/>
      <c r="CP43" s="879"/>
      <c r="CQ43" s="879"/>
      <c r="CR43" s="879"/>
      <c r="CS43" s="879"/>
      <c r="CT43" s="879"/>
      <c r="CU43" s="879"/>
      <c r="CV43" s="879"/>
      <c r="CW43" s="879"/>
      <c r="CX43" s="879"/>
      <c r="CY43" s="879"/>
      <c r="CZ43" s="879"/>
      <c r="DA43" s="879"/>
      <c r="DB43" s="879"/>
      <c r="DC43" s="879"/>
      <c r="DD43" s="879"/>
      <c r="DE43" s="879"/>
      <c r="DF43" s="879"/>
      <c r="DG43" s="879"/>
      <c r="DH43" s="879"/>
      <c r="DI43" s="879"/>
      <c r="DJ43" s="879"/>
      <c r="DK43" s="879"/>
      <c r="DL43" s="879"/>
      <c r="DM43" s="879"/>
      <c r="DN43" s="879"/>
      <c r="DO43" s="879"/>
      <c r="DP43" s="879"/>
      <c r="DQ43" s="879"/>
      <c r="DR43" s="879"/>
      <c r="DS43" s="879"/>
      <c r="DT43" s="879"/>
      <c r="DU43" s="879"/>
      <c r="DV43" s="879"/>
      <c r="DW43" s="879"/>
      <c r="DX43" s="879"/>
      <c r="DY43" s="879"/>
      <c r="DZ43" s="879"/>
      <c r="EA43" s="879"/>
      <c r="EB43" s="879"/>
      <c r="EC43" s="879"/>
      <c r="ED43" s="879"/>
      <c r="EE43" s="879"/>
      <c r="EF43" s="879"/>
      <c r="EG43" s="879"/>
      <c r="EH43" s="879"/>
      <c r="EI43" s="879"/>
      <c r="EJ43" s="879"/>
      <c r="EK43" s="879"/>
      <c r="EL43" s="879"/>
      <c r="EM43" s="879"/>
      <c r="EN43" s="879"/>
      <c r="EO43" s="879"/>
      <c r="EP43" s="879"/>
      <c r="EQ43" s="879"/>
      <c r="ER43" s="879"/>
      <c r="ES43" s="879"/>
      <c r="ET43" s="879"/>
      <c r="EU43" s="879"/>
      <c r="EV43" s="879"/>
      <c r="EW43" s="879"/>
      <c r="EX43" s="879"/>
      <c r="EY43" s="879"/>
      <c r="EZ43" s="879"/>
      <c r="FA43" s="879"/>
      <c r="FB43" s="879"/>
      <c r="FC43" s="879"/>
      <c r="FD43" s="879"/>
      <c r="FE43" s="879"/>
      <c r="FF43" s="879"/>
      <c r="FG43" s="879"/>
      <c r="FH43" s="879"/>
      <c r="FI43" s="879"/>
      <c r="FJ43" s="879"/>
      <c r="FK43" s="879"/>
      <c r="FL43" s="879"/>
      <c r="FM43" s="879"/>
      <c r="FN43" s="879"/>
      <c r="FO43" s="879"/>
      <c r="FP43" s="879"/>
      <c r="FQ43" s="879"/>
      <c r="FR43" s="879"/>
      <c r="FS43" s="879"/>
      <c r="FT43" s="879"/>
      <c r="FU43" s="879"/>
      <c r="FV43" s="879"/>
      <c r="FW43" s="879"/>
      <c r="FX43" s="879"/>
      <c r="FY43" s="879"/>
      <c r="FZ43" s="879"/>
      <c r="GA43" s="879"/>
      <c r="GB43" s="879"/>
      <c r="GC43" s="879"/>
      <c r="GD43" s="879"/>
      <c r="GE43" s="879"/>
      <c r="GF43" s="879"/>
      <c r="GG43" s="879"/>
      <c r="GH43" s="879"/>
      <c r="GI43" s="879"/>
      <c r="GJ43" s="879"/>
      <c r="GK43" s="879"/>
      <c r="GL43" s="879"/>
      <c r="GM43" s="879"/>
      <c r="GN43" s="879"/>
      <c r="GO43" s="879"/>
      <c r="GP43" s="879"/>
      <c r="GQ43" s="879"/>
      <c r="GR43" s="879"/>
      <c r="GS43" s="879"/>
      <c r="GT43" s="879"/>
      <c r="GU43" s="879"/>
      <c r="GV43" s="879"/>
      <c r="GW43" s="879"/>
      <c r="GX43" s="879"/>
      <c r="GY43" s="879"/>
      <c r="GZ43" s="879"/>
      <c r="HA43" s="879"/>
      <c r="HB43" s="879"/>
      <c r="HC43" s="879"/>
      <c r="HD43" s="879"/>
      <c r="HE43" s="879"/>
      <c r="HF43" s="879"/>
      <c r="HG43" s="879"/>
      <c r="HH43" s="879"/>
      <c r="HI43" s="879"/>
      <c r="HJ43" s="879"/>
      <c r="HK43" s="879"/>
      <c r="HL43" s="879"/>
      <c r="HM43" s="879"/>
      <c r="HN43" s="879"/>
      <c r="HO43" s="879"/>
      <c r="HP43" s="879"/>
      <c r="HQ43" s="879"/>
      <c r="HR43" s="879"/>
      <c r="HS43" s="879"/>
      <c r="HT43" s="879"/>
      <c r="HU43" s="879"/>
      <c r="HV43" s="879"/>
      <c r="HW43" s="879"/>
      <c r="HX43" s="879"/>
    </row>
    <row r="44" spans="1:232" ht="15.75" hidden="1" outlineLevel="1">
      <c r="A44" s="872"/>
      <c r="B44" s="887" t="s">
        <v>709</v>
      </c>
      <c r="C44" s="882"/>
      <c r="D44" s="883"/>
      <c r="E44" s="884"/>
      <c r="F44" s="885"/>
      <c r="G44" s="878"/>
      <c r="H44" s="879"/>
      <c r="I44" s="879"/>
      <c r="J44" s="879"/>
      <c r="K44" s="879"/>
      <c r="L44" s="879"/>
      <c r="M44" s="879"/>
      <c r="N44" s="879"/>
      <c r="O44" s="879"/>
      <c r="P44" s="879"/>
      <c r="Q44" s="879"/>
      <c r="R44" s="879"/>
      <c r="S44" s="879"/>
      <c r="T44" s="879"/>
      <c r="U44" s="879"/>
      <c r="V44" s="879"/>
      <c r="W44" s="879"/>
      <c r="X44" s="879"/>
      <c r="Y44" s="879"/>
      <c r="Z44" s="879"/>
      <c r="AA44" s="879"/>
      <c r="AB44" s="879"/>
      <c r="AC44" s="879"/>
      <c r="AD44" s="879"/>
      <c r="AE44" s="879"/>
      <c r="AF44" s="879"/>
      <c r="AG44" s="879"/>
      <c r="AH44" s="879"/>
      <c r="AI44" s="879"/>
      <c r="AJ44" s="879"/>
      <c r="AK44" s="879"/>
      <c r="AL44" s="879"/>
      <c r="AM44" s="879"/>
      <c r="AN44" s="879"/>
      <c r="AO44" s="879"/>
      <c r="AP44" s="879"/>
      <c r="AQ44" s="879"/>
      <c r="AR44" s="879"/>
      <c r="AS44" s="879"/>
      <c r="AT44" s="879"/>
      <c r="AU44" s="879"/>
      <c r="AV44" s="879"/>
      <c r="AW44" s="879"/>
      <c r="AX44" s="879"/>
      <c r="AY44" s="879"/>
      <c r="AZ44" s="879"/>
      <c r="BA44" s="879"/>
      <c r="BB44" s="879"/>
      <c r="BC44" s="879"/>
      <c r="BD44" s="879"/>
      <c r="BE44" s="879"/>
      <c r="BF44" s="879"/>
      <c r="BG44" s="879"/>
      <c r="BH44" s="879"/>
      <c r="BI44" s="879"/>
      <c r="BJ44" s="879"/>
      <c r="BK44" s="879"/>
      <c r="BL44" s="879"/>
      <c r="BM44" s="879"/>
      <c r="BN44" s="879"/>
      <c r="BO44" s="879"/>
      <c r="BP44" s="879"/>
      <c r="BQ44" s="879"/>
      <c r="BR44" s="879"/>
      <c r="BS44" s="879"/>
      <c r="BT44" s="879"/>
      <c r="BU44" s="879"/>
      <c r="BV44" s="879"/>
      <c r="BW44" s="879"/>
      <c r="BX44" s="879"/>
      <c r="BY44" s="879"/>
      <c r="BZ44" s="879"/>
      <c r="CA44" s="879"/>
      <c r="CB44" s="879"/>
      <c r="CC44" s="879"/>
      <c r="CD44" s="879"/>
      <c r="CE44" s="879"/>
      <c r="CF44" s="879"/>
      <c r="CG44" s="879"/>
      <c r="CH44" s="879"/>
      <c r="CI44" s="879"/>
      <c r="CJ44" s="879"/>
      <c r="CK44" s="879"/>
      <c r="CL44" s="879"/>
      <c r="CM44" s="879"/>
      <c r="CN44" s="879"/>
      <c r="CO44" s="879"/>
      <c r="CP44" s="879"/>
      <c r="CQ44" s="879"/>
      <c r="CR44" s="879"/>
      <c r="CS44" s="879"/>
      <c r="CT44" s="879"/>
      <c r="CU44" s="879"/>
      <c r="CV44" s="879"/>
      <c r="CW44" s="879"/>
      <c r="CX44" s="879"/>
      <c r="CY44" s="879"/>
      <c r="CZ44" s="879"/>
      <c r="DA44" s="879"/>
      <c r="DB44" s="879"/>
      <c r="DC44" s="879"/>
      <c r="DD44" s="879"/>
      <c r="DE44" s="879"/>
      <c r="DF44" s="879"/>
      <c r="DG44" s="879"/>
      <c r="DH44" s="879"/>
      <c r="DI44" s="879"/>
      <c r="DJ44" s="879"/>
      <c r="DK44" s="879"/>
      <c r="DL44" s="879"/>
      <c r="DM44" s="879"/>
      <c r="DN44" s="879"/>
      <c r="DO44" s="879"/>
      <c r="DP44" s="879"/>
      <c r="DQ44" s="879"/>
      <c r="DR44" s="879"/>
      <c r="DS44" s="879"/>
      <c r="DT44" s="879"/>
      <c r="DU44" s="879"/>
      <c r="DV44" s="879"/>
      <c r="DW44" s="879"/>
      <c r="DX44" s="879"/>
      <c r="DY44" s="879"/>
      <c r="DZ44" s="879"/>
      <c r="EA44" s="879"/>
      <c r="EB44" s="879"/>
      <c r="EC44" s="879"/>
      <c r="ED44" s="879"/>
      <c r="EE44" s="879"/>
      <c r="EF44" s="879"/>
      <c r="EG44" s="879"/>
      <c r="EH44" s="879"/>
      <c r="EI44" s="879"/>
      <c r="EJ44" s="879"/>
      <c r="EK44" s="879"/>
      <c r="EL44" s="879"/>
      <c r="EM44" s="879"/>
      <c r="EN44" s="879"/>
      <c r="EO44" s="879"/>
      <c r="EP44" s="879"/>
      <c r="EQ44" s="879"/>
      <c r="ER44" s="879"/>
      <c r="ES44" s="879"/>
      <c r="ET44" s="879"/>
      <c r="EU44" s="879"/>
      <c r="EV44" s="879"/>
      <c r="EW44" s="879"/>
      <c r="EX44" s="879"/>
      <c r="EY44" s="879"/>
      <c r="EZ44" s="879"/>
      <c r="FA44" s="879"/>
      <c r="FB44" s="879"/>
      <c r="FC44" s="879"/>
      <c r="FD44" s="879"/>
      <c r="FE44" s="879"/>
      <c r="FF44" s="879"/>
      <c r="FG44" s="879"/>
      <c r="FH44" s="879"/>
      <c r="FI44" s="879"/>
      <c r="FJ44" s="879"/>
      <c r="FK44" s="879"/>
      <c r="FL44" s="879"/>
      <c r="FM44" s="879"/>
      <c r="FN44" s="879"/>
      <c r="FO44" s="879"/>
      <c r="FP44" s="879"/>
      <c r="FQ44" s="879"/>
      <c r="FR44" s="879"/>
      <c r="FS44" s="879"/>
      <c r="FT44" s="879"/>
      <c r="FU44" s="879"/>
      <c r="FV44" s="879"/>
      <c r="FW44" s="879"/>
      <c r="FX44" s="879"/>
      <c r="FY44" s="879"/>
      <c r="FZ44" s="879"/>
      <c r="GA44" s="879"/>
      <c r="GB44" s="879"/>
      <c r="GC44" s="879"/>
      <c r="GD44" s="879"/>
      <c r="GE44" s="879"/>
      <c r="GF44" s="879"/>
      <c r="GG44" s="879"/>
      <c r="GH44" s="879"/>
      <c r="GI44" s="879"/>
      <c r="GJ44" s="879"/>
      <c r="GK44" s="879"/>
      <c r="GL44" s="879"/>
      <c r="GM44" s="879"/>
      <c r="GN44" s="879"/>
      <c r="GO44" s="879"/>
      <c r="GP44" s="879"/>
      <c r="GQ44" s="879"/>
      <c r="GR44" s="879"/>
      <c r="GS44" s="879"/>
      <c r="GT44" s="879"/>
      <c r="GU44" s="879"/>
      <c r="GV44" s="879"/>
      <c r="GW44" s="879"/>
      <c r="GX44" s="879"/>
      <c r="GY44" s="879"/>
      <c r="GZ44" s="879"/>
      <c r="HA44" s="879"/>
      <c r="HB44" s="879"/>
      <c r="HC44" s="879"/>
      <c r="HD44" s="879"/>
      <c r="HE44" s="879"/>
      <c r="HF44" s="879"/>
      <c r="HG44" s="879"/>
      <c r="HH44" s="879"/>
      <c r="HI44" s="879"/>
      <c r="HJ44" s="879"/>
      <c r="HK44" s="879"/>
      <c r="HL44" s="879"/>
      <c r="HM44" s="879"/>
      <c r="HN44" s="879"/>
      <c r="HO44" s="879"/>
      <c r="HP44" s="879"/>
      <c r="HQ44" s="879"/>
      <c r="HR44" s="879"/>
      <c r="HS44" s="879"/>
      <c r="HT44" s="879"/>
      <c r="HU44" s="879"/>
      <c r="HV44" s="879"/>
      <c r="HW44" s="879"/>
      <c r="HX44" s="879"/>
    </row>
    <row r="45" spans="1:7" s="893" customFormat="1" ht="31.5" hidden="1" outlineLevel="1">
      <c r="A45" s="908" t="s">
        <v>840</v>
      </c>
      <c r="B45" s="887" t="s">
        <v>1472</v>
      </c>
      <c r="C45" s="888"/>
      <c r="D45" s="889"/>
      <c r="E45" s="890"/>
      <c r="F45" s="891"/>
      <c r="G45" s="892"/>
    </row>
    <row r="46" spans="1:7" s="893" customFormat="1" ht="78.75" hidden="1" outlineLevel="1">
      <c r="A46" s="908" t="s">
        <v>840</v>
      </c>
      <c r="B46" s="887" t="s">
        <v>1473</v>
      </c>
      <c r="C46" s="888"/>
      <c r="D46" s="889"/>
      <c r="E46" s="890"/>
      <c r="F46" s="891"/>
      <c r="G46" s="892"/>
    </row>
    <row r="47" spans="1:7" s="893" customFormat="1" ht="31.5" hidden="1" outlineLevel="1">
      <c r="A47" s="908" t="s">
        <v>840</v>
      </c>
      <c r="B47" s="887" t="s">
        <v>1474</v>
      </c>
      <c r="C47" s="888"/>
      <c r="D47" s="889"/>
      <c r="E47" s="890"/>
      <c r="F47" s="891"/>
      <c r="G47" s="892"/>
    </row>
    <row r="48" spans="1:7" s="893" customFormat="1" ht="31.5" hidden="1" outlineLevel="1">
      <c r="A48" s="908" t="s">
        <v>840</v>
      </c>
      <c r="B48" s="887" t="s">
        <v>1475</v>
      </c>
      <c r="C48" s="888"/>
      <c r="D48" s="889"/>
      <c r="E48" s="890"/>
      <c r="F48" s="891"/>
      <c r="G48" s="892"/>
    </row>
    <row r="49" spans="1:7" s="893" customFormat="1" ht="34.5" customHeight="1" hidden="1" outlineLevel="1">
      <c r="A49" s="908" t="s">
        <v>840</v>
      </c>
      <c r="B49" s="887" t="s">
        <v>1476</v>
      </c>
      <c r="C49" s="888"/>
      <c r="D49" s="889"/>
      <c r="E49" s="890"/>
      <c r="F49" s="891"/>
      <c r="G49" s="892"/>
    </row>
    <row r="50" spans="1:232" ht="15.75" collapsed="1">
      <c r="A50" s="872" t="s">
        <v>1477</v>
      </c>
      <c r="B50" s="881" t="s">
        <v>1478</v>
      </c>
      <c r="C50" s="882"/>
      <c r="D50" s="883">
        <f t="shared" si="2"/>
        <v>0</v>
      </c>
      <c r="E50" s="884"/>
      <c r="F50" s="885"/>
      <c r="G50" s="878"/>
      <c r="H50" s="879"/>
      <c r="I50" s="879"/>
      <c r="J50" s="879"/>
      <c r="K50" s="879"/>
      <c r="L50" s="879"/>
      <c r="M50" s="879"/>
      <c r="N50" s="879"/>
      <c r="O50" s="879"/>
      <c r="P50" s="879"/>
      <c r="Q50" s="879"/>
      <c r="R50" s="879"/>
      <c r="S50" s="879"/>
      <c r="T50" s="879"/>
      <c r="U50" s="879"/>
      <c r="V50" s="879"/>
      <c r="W50" s="879"/>
      <c r="X50" s="879"/>
      <c r="Y50" s="879"/>
      <c r="Z50" s="879"/>
      <c r="AA50" s="879"/>
      <c r="AB50" s="879"/>
      <c r="AC50" s="879"/>
      <c r="AD50" s="879"/>
      <c r="AE50" s="879"/>
      <c r="AF50" s="879"/>
      <c r="AG50" s="879"/>
      <c r="AH50" s="879"/>
      <c r="AI50" s="879"/>
      <c r="AJ50" s="879"/>
      <c r="AK50" s="879"/>
      <c r="AL50" s="879"/>
      <c r="AM50" s="879"/>
      <c r="AN50" s="879"/>
      <c r="AO50" s="879"/>
      <c r="AP50" s="879"/>
      <c r="AQ50" s="879"/>
      <c r="AR50" s="879"/>
      <c r="AS50" s="879"/>
      <c r="AT50" s="879"/>
      <c r="AU50" s="879"/>
      <c r="AV50" s="879"/>
      <c r="AW50" s="879"/>
      <c r="AX50" s="879"/>
      <c r="AY50" s="879"/>
      <c r="AZ50" s="879"/>
      <c r="BA50" s="879"/>
      <c r="BB50" s="879"/>
      <c r="BC50" s="879"/>
      <c r="BD50" s="879"/>
      <c r="BE50" s="879"/>
      <c r="BF50" s="879"/>
      <c r="BG50" s="879"/>
      <c r="BH50" s="879"/>
      <c r="BI50" s="879"/>
      <c r="BJ50" s="879"/>
      <c r="BK50" s="879"/>
      <c r="BL50" s="879"/>
      <c r="BM50" s="879"/>
      <c r="BN50" s="879"/>
      <c r="BO50" s="879"/>
      <c r="BP50" s="879"/>
      <c r="BQ50" s="879"/>
      <c r="BR50" s="879"/>
      <c r="BS50" s="879"/>
      <c r="BT50" s="879"/>
      <c r="BU50" s="879"/>
      <c r="BV50" s="879"/>
      <c r="BW50" s="879"/>
      <c r="BX50" s="879"/>
      <c r="BY50" s="879"/>
      <c r="BZ50" s="879"/>
      <c r="CA50" s="879"/>
      <c r="CB50" s="879"/>
      <c r="CC50" s="879"/>
      <c r="CD50" s="879"/>
      <c r="CE50" s="879"/>
      <c r="CF50" s="879"/>
      <c r="CG50" s="879"/>
      <c r="CH50" s="879"/>
      <c r="CI50" s="879"/>
      <c r="CJ50" s="879"/>
      <c r="CK50" s="879"/>
      <c r="CL50" s="879"/>
      <c r="CM50" s="879"/>
      <c r="CN50" s="879"/>
      <c r="CO50" s="879"/>
      <c r="CP50" s="879"/>
      <c r="CQ50" s="879"/>
      <c r="CR50" s="879"/>
      <c r="CS50" s="879"/>
      <c r="CT50" s="879"/>
      <c r="CU50" s="879"/>
      <c r="CV50" s="879"/>
      <c r="CW50" s="879"/>
      <c r="CX50" s="879"/>
      <c r="CY50" s="879"/>
      <c r="CZ50" s="879"/>
      <c r="DA50" s="879"/>
      <c r="DB50" s="879"/>
      <c r="DC50" s="879"/>
      <c r="DD50" s="879"/>
      <c r="DE50" s="879"/>
      <c r="DF50" s="879"/>
      <c r="DG50" s="879"/>
      <c r="DH50" s="879"/>
      <c r="DI50" s="879"/>
      <c r="DJ50" s="879"/>
      <c r="DK50" s="879"/>
      <c r="DL50" s="879"/>
      <c r="DM50" s="879"/>
      <c r="DN50" s="879"/>
      <c r="DO50" s="879"/>
      <c r="DP50" s="879"/>
      <c r="DQ50" s="879"/>
      <c r="DR50" s="879"/>
      <c r="DS50" s="879"/>
      <c r="DT50" s="879"/>
      <c r="DU50" s="879"/>
      <c r="DV50" s="879"/>
      <c r="DW50" s="879"/>
      <c r="DX50" s="879"/>
      <c r="DY50" s="879"/>
      <c r="DZ50" s="879"/>
      <c r="EA50" s="879"/>
      <c r="EB50" s="879"/>
      <c r="EC50" s="879"/>
      <c r="ED50" s="879"/>
      <c r="EE50" s="879"/>
      <c r="EF50" s="879"/>
      <c r="EG50" s="879"/>
      <c r="EH50" s="879"/>
      <c r="EI50" s="879"/>
      <c r="EJ50" s="879"/>
      <c r="EK50" s="879"/>
      <c r="EL50" s="879"/>
      <c r="EM50" s="879"/>
      <c r="EN50" s="879"/>
      <c r="EO50" s="879"/>
      <c r="EP50" s="879"/>
      <c r="EQ50" s="879"/>
      <c r="ER50" s="879"/>
      <c r="ES50" s="879"/>
      <c r="ET50" s="879"/>
      <c r="EU50" s="879"/>
      <c r="EV50" s="879"/>
      <c r="EW50" s="879"/>
      <c r="EX50" s="879"/>
      <c r="EY50" s="879"/>
      <c r="EZ50" s="879"/>
      <c r="FA50" s="879"/>
      <c r="FB50" s="879"/>
      <c r="FC50" s="879"/>
      <c r="FD50" s="879"/>
      <c r="FE50" s="879"/>
      <c r="FF50" s="879"/>
      <c r="FG50" s="879"/>
      <c r="FH50" s="879"/>
      <c r="FI50" s="879"/>
      <c r="FJ50" s="879"/>
      <c r="FK50" s="879"/>
      <c r="FL50" s="879"/>
      <c r="FM50" s="879"/>
      <c r="FN50" s="879"/>
      <c r="FO50" s="879"/>
      <c r="FP50" s="879"/>
      <c r="FQ50" s="879"/>
      <c r="FR50" s="879"/>
      <c r="FS50" s="879"/>
      <c r="FT50" s="879"/>
      <c r="FU50" s="879"/>
      <c r="FV50" s="879"/>
      <c r="FW50" s="879"/>
      <c r="FX50" s="879"/>
      <c r="FY50" s="879"/>
      <c r="FZ50" s="879"/>
      <c r="GA50" s="879"/>
      <c r="GB50" s="879"/>
      <c r="GC50" s="879"/>
      <c r="GD50" s="879"/>
      <c r="GE50" s="879"/>
      <c r="GF50" s="879"/>
      <c r="GG50" s="879"/>
      <c r="GH50" s="879"/>
      <c r="GI50" s="879"/>
      <c r="GJ50" s="879"/>
      <c r="GK50" s="879"/>
      <c r="GL50" s="879"/>
      <c r="GM50" s="879"/>
      <c r="GN50" s="879"/>
      <c r="GO50" s="879"/>
      <c r="GP50" s="879"/>
      <c r="GQ50" s="879"/>
      <c r="GR50" s="879"/>
      <c r="GS50" s="879"/>
      <c r="GT50" s="879"/>
      <c r="GU50" s="879"/>
      <c r="GV50" s="879"/>
      <c r="GW50" s="879"/>
      <c r="GX50" s="879"/>
      <c r="GY50" s="879"/>
      <c r="GZ50" s="879"/>
      <c r="HA50" s="879"/>
      <c r="HB50" s="879"/>
      <c r="HC50" s="879"/>
      <c r="HD50" s="879"/>
      <c r="HE50" s="879"/>
      <c r="HF50" s="879"/>
      <c r="HG50" s="879"/>
      <c r="HH50" s="879"/>
      <c r="HI50" s="879"/>
      <c r="HJ50" s="879"/>
      <c r="HK50" s="879"/>
      <c r="HL50" s="879"/>
      <c r="HM50" s="879"/>
      <c r="HN50" s="879"/>
      <c r="HO50" s="879"/>
      <c r="HP50" s="879"/>
      <c r="HQ50" s="879"/>
      <c r="HR50" s="879"/>
      <c r="HS50" s="879"/>
      <c r="HT50" s="879"/>
      <c r="HU50" s="879"/>
      <c r="HV50" s="879"/>
      <c r="HW50" s="879"/>
      <c r="HX50" s="879"/>
    </row>
    <row r="51" spans="1:232" ht="15.75">
      <c r="A51" s="909" t="s">
        <v>1479</v>
      </c>
      <c r="B51" s="881" t="s">
        <v>1480</v>
      </c>
      <c r="C51" s="882">
        <v>125.09</v>
      </c>
      <c r="D51" s="883">
        <f t="shared" si="2"/>
        <v>0</v>
      </c>
      <c r="E51" s="884"/>
      <c r="F51" s="885"/>
      <c r="G51" s="878"/>
      <c r="H51" s="879"/>
      <c r="I51" s="879"/>
      <c r="J51" s="879"/>
      <c r="K51" s="879"/>
      <c r="L51" s="879"/>
      <c r="M51" s="879"/>
      <c r="N51" s="879"/>
      <c r="O51" s="879"/>
      <c r="P51" s="879"/>
      <c r="Q51" s="879"/>
      <c r="R51" s="879"/>
      <c r="S51" s="879"/>
      <c r="T51" s="879"/>
      <c r="U51" s="879"/>
      <c r="V51" s="879"/>
      <c r="W51" s="879"/>
      <c r="X51" s="879"/>
      <c r="Y51" s="879"/>
      <c r="Z51" s="879"/>
      <c r="AA51" s="879"/>
      <c r="AB51" s="879"/>
      <c r="AC51" s="879"/>
      <c r="AD51" s="879"/>
      <c r="AE51" s="879"/>
      <c r="AF51" s="879"/>
      <c r="AG51" s="879"/>
      <c r="AH51" s="879"/>
      <c r="AI51" s="879"/>
      <c r="AJ51" s="879"/>
      <c r="AK51" s="879"/>
      <c r="AL51" s="879"/>
      <c r="AM51" s="879"/>
      <c r="AN51" s="879"/>
      <c r="AO51" s="879"/>
      <c r="AP51" s="879"/>
      <c r="AQ51" s="879"/>
      <c r="AR51" s="879"/>
      <c r="AS51" s="879"/>
      <c r="AT51" s="879"/>
      <c r="AU51" s="879"/>
      <c r="AV51" s="879"/>
      <c r="AW51" s="879"/>
      <c r="AX51" s="879"/>
      <c r="AY51" s="879"/>
      <c r="AZ51" s="879"/>
      <c r="BA51" s="879"/>
      <c r="BB51" s="879"/>
      <c r="BC51" s="879"/>
      <c r="BD51" s="879"/>
      <c r="BE51" s="879"/>
      <c r="BF51" s="879"/>
      <c r="BG51" s="879"/>
      <c r="BH51" s="879"/>
      <c r="BI51" s="879"/>
      <c r="BJ51" s="879"/>
      <c r="BK51" s="879"/>
      <c r="BL51" s="879"/>
      <c r="BM51" s="879"/>
      <c r="BN51" s="879"/>
      <c r="BO51" s="879"/>
      <c r="BP51" s="879"/>
      <c r="BQ51" s="879"/>
      <c r="BR51" s="879"/>
      <c r="BS51" s="879"/>
      <c r="BT51" s="879"/>
      <c r="BU51" s="879"/>
      <c r="BV51" s="879"/>
      <c r="BW51" s="879"/>
      <c r="BX51" s="879"/>
      <c r="BY51" s="879"/>
      <c r="BZ51" s="879"/>
      <c r="CA51" s="879"/>
      <c r="CB51" s="879"/>
      <c r="CC51" s="879"/>
      <c r="CD51" s="879"/>
      <c r="CE51" s="879"/>
      <c r="CF51" s="879"/>
      <c r="CG51" s="879"/>
      <c r="CH51" s="879"/>
      <c r="CI51" s="879"/>
      <c r="CJ51" s="879"/>
      <c r="CK51" s="879"/>
      <c r="CL51" s="879"/>
      <c r="CM51" s="879"/>
      <c r="CN51" s="879"/>
      <c r="CO51" s="879"/>
      <c r="CP51" s="879"/>
      <c r="CQ51" s="879"/>
      <c r="CR51" s="879"/>
      <c r="CS51" s="879"/>
      <c r="CT51" s="879"/>
      <c r="CU51" s="879"/>
      <c r="CV51" s="879"/>
      <c r="CW51" s="879"/>
      <c r="CX51" s="879"/>
      <c r="CY51" s="879"/>
      <c r="CZ51" s="879"/>
      <c r="DA51" s="879"/>
      <c r="DB51" s="879"/>
      <c r="DC51" s="879"/>
      <c r="DD51" s="879"/>
      <c r="DE51" s="879"/>
      <c r="DF51" s="879"/>
      <c r="DG51" s="879"/>
      <c r="DH51" s="879"/>
      <c r="DI51" s="879"/>
      <c r="DJ51" s="879"/>
      <c r="DK51" s="879"/>
      <c r="DL51" s="879"/>
      <c r="DM51" s="879"/>
      <c r="DN51" s="879"/>
      <c r="DO51" s="879"/>
      <c r="DP51" s="879"/>
      <c r="DQ51" s="879"/>
      <c r="DR51" s="879"/>
      <c r="DS51" s="879"/>
      <c r="DT51" s="879"/>
      <c r="DU51" s="879"/>
      <c r="DV51" s="879"/>
      <c r="DW51" s="879"/>
      <c r="DX51" s="879"/>
      <c r="DY51" s="879"/>
      <c r="DZ51" s="879"/>
      <c r="EA51" s="879"/>
      <c r="EB51" s="879"/>
      <c r="EC51" s="879"/>
      <c r="ED51" s="879"/>
      <c r="EE51" s="879"/>
      <c r="EF51" s="879"/>
      <c r="EG51" s="879"/>
      <c r="EH51" s="879"/>
      <c r="EI51" s="879"/>
      <c r="EJ51" s="879"/>
      <c r="EK51" s="879"/>
      <c r="EL51" s="879"/>
      <c r="EM51" s="879"/>
      <c r="EN51" s="879"/>
      <c r="EO51" s="879"/>
      <c r="EP51" s="879"/>
      <c r="EQ51" s="879"/>
      <c r="ER51" s="879"/>
      <c r="ES51" s="879"/>
      <c r="ET51" s="879"/>
      <c r="EU51" s="879"/>
      <c r="EV51" s="879"/>
      <c r="EW51" s="879"/>
      <c r="EX51" s="879"/>
      <c r="EY51" s="879"/>
      <c r="EZ51" s="879"/>
      <c r="FA51" s="879"/>
      <c r="FB51" s="879"/>
      <c r="FC51" s="879"/>
      <c r="FD51" s="879"/>
      <c r="FE51" s="879"/>
      <c r="FF51" s="879"/>
      <c r="FG51" s="879"/>
      <c r="FH51" s="879"/>
      <c r="FI51" s="879"/>
      <c r="FJ51" s="879"/>
      <c r="FK51" s="879"/>
      <c r="FL51" s="879"/>
      <c r="FM51" s="879"/>
      <c r="FN51" s="879"/>
      <c r="FO51" s="879"/>
      <c r="FP51" s="879"/>
      <c r="FQ51" s="879"/>
      <c r="FR51" s="879"/>
      <c r="FS51" s="879"/>
      <c r="FT51" s="879"/>
      <c r="FU51" s="879"/>
      <c r="FV51" s="879"/>
      <c r="FW51" s="879"/>
      <c r="FX51" s="879"/>
      <c r="FY51" s="879"/>
      <c r="FZ51" s="879"/>
      <c r="GA51" s="879"/>
      <c r="GB51" s="879"/>
      <c r="GC51" s="879"/>
      <c r="GD51" s="879"/>
      <c r="GE51" s="879"/>
      <c r="GF51" s="879"/>
      <c r="GG51" s="879"/>
      <c r="GH51" s="879"/>
      <c r="GI51" s="879"/>
      <c r="GJ51" s="879"/>
      <c r="GK51" s="879"/>
      <c r="GL51" s="879"/>
      <c r="GM51" s="879"/>
      <c r="GN51" s="879"/>
      <c r="GO51" s="879"/>
      <c r="GP51" s="879"/>
      <c r="GQ51" s="879"/>
      <c r="GR51" s="879"/>
      <c r="GS51" s="879"/>
      <c r="GT51" s="879"/>
      <c r="GU51" s="879"/>
      <c r="GV51" s="879"/>
      <c r="GW51" s="879"/>
      <c r="GX51" s="879"/>
      <c r="GY51" s="879"/>
      <c r="GZ51" s="879"/>
      <c r="HA51" s="879"/>
      <c r="HB51" s="879"/>
      <c r="HC51" s="879"/>
      <c r="HD51" s="879"/>
      <c r="HE51" s="879"/>
      <c r="HF51" s="879"/>
      <c r="HG51" s="879"/>
      <c r="HH51" s="879"/>
      <c r="HI51" s="879"/>
      <c r="HJ51" s="879"/>
      <c r="HK51" s="879"/>
      <c r="HL51" s="879"/>
      <c r="HM51" s="879"/>
      <c r="HN51" s="879"/>
      <c r="HO51" s="879"/>
      <c r="HP51" s="879"/>
      <c r="HQ51" s="879"/>
      <c r="HR51" s="879"/>
      <c r="HS51" s="879"/>
      <c r="HT51" s="879"/>
      <c r="HU51" s="879"/>
      <c r="HV51" s="879"/>
      <c r="HW51" s="879"/>
      <c r="HX51" s="879"/>
    </row>
    <row r="52" spans="1:232" ht="15.75">
      <c r="A52" s="909" t="s">
        <v>1481</v>
      </c>
      <c r="B52" s="910" t="s">
        <v>1482</v>
      </c>
      <c r="C52" s="911"/>
      <c r="D52" s="883">
        <f t="shared" si="2"/>
        <v>0</v>
      </c>
      <c r="E52" s="912"/>
      <c r="F52" s="913"/>
      <c r="G52" s="878"/>
      <c r="H52" s="879"/>
      <c r="I52" s="879"/>
      <c r="J52" s="879"/>
      <c r="K52" s="879"/>
      <c r="L52" s="879"/>
      <c r="M52" s="879"/>
      <c r="N52" s="879"/>
      <c r="O52" s="879"/>
      <c r="P52" s="879"/>
      <c r="Q52" s="879"/>
      <c r="R52" s="879"/>
      <c r="S52" s="879"/>
      <c r="T52" s="879"/>
      <c r="U52" s="879"/>
      <c r="V52" s="879"/>
      <c r="W52" s="879"/>
      <c r="X52" s="879"/>
      <c r="Y52" s="879"/>
      <c r="Z52" s="879"/>
      <c r="AA52" s="879"/>
      <c r="AB52" s="879"/>
      <c r="AC52" s="879"/>
      <c r="AD52" s="879"/>
      <c r="AE52" s="879"/>
      <c r="AF52" s="879"/>
      <c r="AG52" s="879"/>
      <c r="AH52" s="879"/>
      <c r="AI52" s="879"/>
      <c r="AJ52" s="879"/>
      <c r="AK52" s="879"/>
      <c r="AL52" s="879"/>
      <c r="AM52" s="879"/>
      <c r="AN52" s="879"/>
      <c r="AO52" s="879"/>
      <c r="AP52" s="879"/>
      <c r="AQ52" s="879"/>
      <c r="AR52" s="879"/>
      <c r="AS52" s="879"/>
      <c r="AT52" s="879"/>
      <c r="AU52" s="879"/>
      <c r="AV52" s="879"/>
      <c r="AW52" s="879"/>
      <c r="AX52" s="879"/>
      <c r="AY52" s="879"/>
      <c r="AZ52" s="879"/>
      <c r="BA52" s="879"/>
      <c r="BB52" s="879"/>
      <c r="BC52" s="879"/>
      <c r="BD52" s="879"/>
      <c r="BE52" s="879"/>
      <c r="BF52" s="879"/>
      <c r="BG52" s="879"/>
      <c r="BH52" s="879"/>
      <c r="BI52" s="879"/>
      <c r="BJ52" s="879"/>
      <c r="BK52" s="879"/>
      <c r="BL52" s="879"/>
      <c r="BM52" s="879"/>
      <c r="BN52" s="879"/>
      <c r="BO52" s="879"/>
      <c r="BP52" s="879"/>
      <c r="BQ52" s="879"/>
      <c r="BR52" s="879"/>
      <c r="BS52" s="879"/>
      <c r="BT52" s="879"/>
      <c r="BU52" s="879"/>
      <c r="BV52" s="879"/>
      <c r="BW52" s="879"/>
      <c r="BX52" s="879"/>
      <c r="BY52" s="879"/>
      <c r="BZ52" s="879"/>
      <c r="CA52" s="879"/>
      <c r="CB52" s="879"/>
      <c r="CC52" s="879"/>
      <c r="CD52" s="879"/>
      <c r="CE52" s="879"/>
      <c r="CF52" s="879"/>
      <c r="CG52" s="879"/>
      <c r="CH52" s="879"/>
      <c r="CI52" s="879"/>
      <c r="CJ52" s="879"/>
      <c r="CK52" s="879"/>
      <c r="CL52" s="879"/>
      <c r="CM52" s="879"/>
      <c r="CN52" s="879"/>
      <c r="CO52" s="879"/>
      <c r="CP52" s="879"/>
      <c r="CQ52" s="879"/>
      <c r="CR52" s="879"/>
      <c r="CS52" s="879"/>
      <c r="CT52" s="879"/>
      <c r="CU52" s="879"/>
      <c r="CV52" s="879"/>
      <c r="CW52" s="879"/>
      <c r="CX52" s="879"/>
      <c r="CY52" s="879"/>
      <c r="CZ52" s="879"/>
      <c r="DA52" s="879"/>
      <c r="DB52" s="879"/>
      <c r="DC52" s="879"/>
      <c r="DD52" s="879"/>
      <c r="DE52" s="879"/>
      <c r="DF52" s="879"/>
      <c r="DG52" s="879"/>
      <c r="DH52" s="879"/>
      <c r="DI52" s="879"/>
      <c r="DJ52" s="879"/>
      <c r="DK52" s="879"/>
      <c r="DL52" s="879"/>
      <c r="DM52" s="879"/>
      <c r="DN52" s="879"/>
      <c r="DO52" s="879"/>
      <c r="DP52" s="879"/>
      <c r="DQ52" s="879"/>
      <c r="DR52" s="879"/>
      <c r="DS52" s="879"/>
      <c r="DT52" s="879"/>
      <c r="DU52" s="879"/>
      <c r="DV52" s="879"/>
      <c r="DW52" s="879"/>
      <c r="DX52" s="879"/>
      <c r="DY52" s="879"/>
      <c r="DZ52" s="879"/>
      <c r="EA52" s="879"/>
      <c r="EB52" s="879"/>
      <c r="EC52" s="879"/>
      <c r="ED52" s="879"/>
      <c r="EE52" s="879"/>
      <c r="EF52" s="879"/>
      <c r="EG52" s="879"/>
      <c r="EH52" s="879"/>
      <c r="EI52" s="879"/>
      <c r="EJ52" s="879"/>
      <c r="EK52" s="879"/>
      <c r="EL52" s="879"/>
      <c r="EM52" s="879"/>
      <c r="EN52" s="879"/>
      <c r="EO52" s="879"/>
      <c r="EP52" s="879"/>
      <c r="EQ52" s="879"/>
      <c r="ER52" s="879"/>
      <c r="ES52" s="879"/>
      <c r="ET52" s="879"/>
      <c r="EU52" s="879"/>
      <c r="EV52" s="879"/>
      <c r="EW52" s="879"/>
      <c r="EX52" s="879"/>
      <c r="EY52" s="879"/>
      <c r="EZ52" s="879"/>
      <c r="FA52" s="879"/>
      <c r="FB52" s="879"/>
      <c r="FC52" s="879"/>
      <c r="FD52" s="879"/>
      <c r="FE52" s="879"/>
      <c r="FF52" s="879"/>
      <c r="FG52" s="879"/>
      <c r="FH52" s="879"/>
      <c r="FI52" s="879"/>
      <c r="FJ52" s="879"/>
      <c r="FK52" s="879"/>
      <c r="FL52" s="879"/>
      <c r="FM52" s="879"/>
      <c r="FN52" s="879"/>
      <c r="FO52" s="879"/>
      <c r="FP52" s="879"/>
      <c r="FQ52" s="879"/>
      <c r="FR52" s="879"/>
      <c r="FS52" s="879"/>
      <c r="FT52" s="879"/>
      <c r="FU52" s="879"/>
      <c r="FV52" s="879"/>
      <c r="FW52" s="879"/>
      <c r="FX52" s="879"/>
      <c r="FY52" s="879"/>
      <c r="FZ52" s="879"/>
      <c r="GA52" s="879"/>
      <c r="GB52" s="879"/>
      <c r="GC52" s="879"/>
      <c r="GD52" s="879"/>
      <c r="GE52" s="879"/>
      <c r="GF52" s="879"/>
      <c r="GG52" s="879"/>
      <c r="GH52" s="879"/>
      <c r="GI52" s="879"/>
      <c r="GJ52" s="879"/>
      <c r="GK52" s="879"/>
      <c r="GL52" s="879"/>
      <c r="GM52" s="879"/>
      <c r="GN52" s="879"/>
      <c r="GO52" s="879"/>
      <c r="GP52" s="879"/>
      <c r="GQ52" s="879"/>
      <c r="GR52" s="879"/>
      <c r="GS52" s="879"/>
      <c r="GT52" s="879"/>
      <c r="GU52" s="879"/>
      <c r="GV52" s="879"/>
      <c r="GW52" s="879"/>
      <c r="GX52" s="879"/>
      <c r="GY52" s="879"/>
      <c r="GZ52" s="879"/>
      <c r="HA52" s="879"/>
      <c r="HB52" s="879"/>
      <c r="HC52" s="879"/>
      <c r="HD52" s="879"/>
      <c r="HE52" s="879"/>
      <c r="HF52" s="879"/>
      <c r="HG52" s="879"/>
      <c r="HH52" s="879"/>
      <c r="HI52" s="879"/>
      <c r="HJ52" s="879"/>
      <c r="HK52" s="879"/>
      <c r="HL52" s="879"/>
      <c r="HM52" s="879"/>
      <c r="HN52" s="879"/>
      <c r="HO52" s="879"/>
      <c r="HP52" s="879"/>
      <c r="HQ52" s="879"/>
      <c r="HR52" s="879"/>
      <c r="HS52" s="879"/>
      <c r="HT52" s="879"/>
      <c r="HU52" s="879"/>
      <c r="HV52" s="879"/>
      <c r="HW52" s="879"/>
      <c r="HX52" s="879"/>
    </row>
    <row r="53" spans="1:232" ht="31.5">
      <c r="A53" s="909" t="s">
        <v>1483</v>
      </c>
      <c r="B53" s="910" t="s">
        <v>1484</v>
      </c>
      <c r="C53" s="911"/>
      <c r="D53" s="883">
        <f t="shared" si="2"/>
        <v>0</v>
      </c>
      <c r="E53" s="912"/>
      <c r="F53" s="913"/>
      <c r="G53" s="878"/>
      <c r="H53" s="879"/>
      <c r="I53" s="879"/>
      <c r="J53" s="879"/>
      <c r="K53" s="879"/>
      <c r="L53" s="879"/>
      <c r="M53" s="879"/>
      <c r="N53" s="879"/>
      <c r="O53" s="879"/>
      <c r="P53" s="879"/>
      <c r="Q53" s="879"/>
      <c r="R53" s="879"/>
      <c r="S53" s="879"/>
      <c r="T53" s="879"/>
      <c r="U53" s="879"/>
      <c r="V53" s="879"/>
      <c r="W53" s="879"/>
      <c r="X53" s="879"/>
      <c r="Y53" s="879"/>
      <c r="Z53" s="879"/>
      <c r="AA53" s="879"/>
      <c r="AB53" s="879"/>
      <c r="AC53" s="879"/>
      <c r="AD53" s="879"/>
      <c r="AE53" s="879"/>
      <c r="AF53" s="879"/>
      <c r="AG53" s="879"/>
      <c r="AH53" s="879"/>
      <c r="AI53" s="879"/>
      <c r="AJ53" s="879"/>
      <c r="AK53" s="879"/>
      <c r="AL53" s="879"/>
      <c r="AM53" s="879"/>
      <c r="AN53" s="879"/>
      <c r="AO53" s="879"/>
      <c r="AP53" s="879"/>
      <c r="AQ53" s="879"/>
      <c r="AR53" s="879"/>
      <c r="AS53" s="879"/>
      <c r="AT53" s="879"/>
      <c r="AU53" s="879"/>
      <c r="AV53" s="879"/>
      <c r="AW53" s="879"/>
      <c r="AX53" s="879"/>
      <c r="AY53" s="879"/>
      <c r="AZ53" s="879"/>
      <c r="BA53" s="879"/>
      <c r="BB53" s="879"/>
      <c r="BC53" s="879"/>
      <c r="BD53" s="879"/>
      <c r="BE53" s="879"/>
      <c r="BF53" s="879"/>
      <c r="BG53" s="879"/>
      <c r="BH53" s="879"/>
      <c r="BI53" s="879"/>
      <c r="BJ53" s="879"/>
      <c r="BK53" s="879"/>
      <c r="BL53" s="879"/>
      <c r="BM53" s="879"/>
      <c r="BN53" s="879"/>
      <c r="BO53" s="879"/>
      <c r="BP53" s="879"/>
      <c r="BQ53" s="879"/>
      <c r="BR53" s="879"/>
      <c r="BS53" s="879"/>
      <c r="BT53" s="879"/>
      <c r="BU53" s="879"/>
      <c r="BV53" s="879"/>
      <c r="BW53" s="879"/>
      <c r="BX53" s="879"/>
      <c r="BY53" s="879"/>
      <c r="BZ53" s="879"/>
      <c r="CA53" s="879"/>
      <c r="CB53" s="879"/>
      <c r="CC53" s="879"/>
      <c r="CD53" s="879"/>
      <c r="CE53" s="879"/>
      <c r="CF53" s="879"/>
      <c r="CG53" s="879"/>
      <c r="CH53" s="879"/>
      <c r="CI53" s="879"/>
      <c r="CJ53" s="879"/>
      <c r="CK53" s="879"/>
      <c r="CL53" s="879"/>
      <c r="CM53" s="879"/>
      <c r="CN53" s="879"/>
      <c r="CO53" s="879"/>
      <c r="CP53" s="879"/>
      <c r="CQ53" s="879"/>
      <c r="CR53" s="879"/>
      <c r="CS53" s="879"/>
      <c r="CT53" s="879"/>
      <c r="CU53" s="879"/>
      <c r="CV53" s="879"/>
      <c r="CW53" s="879"/>
      <c r="CX53" s="879"/>
      <c r="CY53" s="879"/>
      <c r="CZ53" s="879"/>
      <c r="DA53" s="879"/>
      <c r="DB53" s="879"/>
      <c r="DC53" s="879"/>
      <c r="DD53" s="879"/>
      <c r="DE53" s="879"/>
      <c r="DF53" s="879"/>
      <c r="DG53" s="879"/>
      <c r="DH53" s="879"/>
      <c r="DI53" s="879"/>
      <c r="DJ53" s="879"/>
      <c r="DK53" s="879"/>
      <c r="DL53" s="879"/>
      <c r="DM53" s="879"/>
      <c r="DN53" s="879"/>
      <c r="DO53" s="879"/>
      <c r="DP53" s="879"/>
      <c r="DQ53" s="879"/>
      <c r="DR53" s="879"/>
      <c r="DS53" s="879"/>
      <c r="DT53" s="879"/>
      <c r="DU53" s="879"/>
      <c r="DV53" s="879"/>
      <c r="DW53" s="879"/>
      <c r="DX53" s="879"/>
      <c r="DY53" s="879"/>
      <c r="DZ53" s="879"/>
      <c r="EA53" s="879"/>
      <c r="EB53" s="879"/>
      <c r="EC53" s="879"/>
      <c r="ED53" s="879"/>
      <c r="EE53" s="879"/>
      <c r="EF53" s="879"/>
      <c r="EG53" s="879"/>
      <c r="EH53" s="879"/>
      <c r="EI53" s="879"/>
      <c r="EJ53" s="879"/>
      <c r="EK53" s="879"/>
      <c r="EL53" s="879"/>
      <c r="EM53" s="879"/>
      <c r="EN53" s="879"/>
      <c r="EO53" s="879"/>
      <c r="EP53" s="879"/>
      <c r="EQ53" s="879"/>
      <c r="ER53" s="879"/>
      <c r="ES53" s="879"/>
      <c r="ET53" s="879"/>
      <c r="EU53" s="879"/>
      <c r="EV53" s="879"/>
      <c r="EW53" s="879"/>
      <c r="EX53" s="879"/>
      <c r="EY53" s="879"/>
      <c r="EZ53" s="879"/>
      <c r="FA53" s="879"/>
      <c r="FB53" s="879"/>
      <c r="FC53" s="879"/>
      <c r="FD53" s="879"/>
      <c r="FE53" s="879"/>
      <c r="FF53" s="879"/>
      <c r="FG53" s="879"/>
      <c r="FH53" s="879"/>
      <c r="FI53" s="879"/>
      <c r="FJ53" s="879"/>
      <c r="FK53" s="879"/>
      <c r="FL53" s="879"/>
      <c r="FM53" s="879"/>
      <c r="FN53" s="879"/>
      <c r="FO53" s="879"/>
      <c r="FP53" s="879"/>
      <c r="FQ53" s="879"/>
      <c r="FR53" s="879"/>
      <c r="FS53" s="879"/>
      <c r="FT53" s="879"/>
      <c r="FU53" s="879"/>
      <c r="FV53" s="879"/>
      <c r="FW53" s="879"/>
      <c r="FX53" s="879"/>
      <c r="FY53" s="879"/>
      <c r="FZ53" s="879"/>
      <c r="GA53" s="879"/>
      <c r="GB53" s="879"/>
      <c r="GC53" s="879"/>
      <c r="GD53" s="879"/>
      <c r="GE53" s="879"/>
      <c r="GF53" s="879"/>
      <c r="GG53" s="879"/>
      <c r="GH53" s="879"/>
      <c r="GI53" s="879"/>
      <c r="GJ53" s="879"/>
      <c r="GK53" s="879"/>
      <c r="GL53" s="879"/>
      <c r="GM53" s="879"/>
      <c r="GN53" s="879"/>
      <c r="GO53" s="879"/>
      <c r="GP53" s="879"/>
      <c r="GQ53" s="879"/>
      <c r="GR53" s="879"/>
      <c r="GS53" s="879"/>
      <c r="GT53" s="879"/>
      <c r="GU53" s="879"/>
      <c r="GV53" s="879"/>
      <c r="GW53" s="879"/>
      <c r="GX53" s="879"/>
      <c r="GY53" s="879"/>
      <c r="GZ53" s="879"/>
      <c r="HA53" s="879"/>
      <c r="HB53" s="879"/>
      <c r="HC53" s="879"/>
      <c r="HD53" s="879"/>
      <c r="HE53" s="879"/>
      <c r="HF53" s="879"/>
      <c r="HG53" s="879"/>
      <c r="HH53" s="879"/>
      <c r="HI53" s="879"/>
      <c r="HJ53" s="879"/>
      <c r="HK53" s="879"/>
      <c r="HL53" s="879"/>
      <c r="HM53" s="879"/>
      <c r="HN53" s="879"/>
      <c r="HO53" s="879"/>
      <c r="HP53" s="879"/>
      <c r="HQ53" s="879"/>
      <c r="HR53" s="879"/>
      <c r="HS53" s="879"/>
      <c r="HT53" s="879"/>
      <c r="HU53" s="879"/>
      <c r="HV53" s="879"/>
      <c r="HW53" s="879"/>
      <c r="HX53" s="879"/>
    </row>
    <row r="54" spans="1:232" ht="15.75">
      <c r="A54" s="909" t="s">
        <v>1485</v>
      </c>
      <c r="B54" s="910" t="s">
        <v>1486</v>
      </c>
      <c r="C54" s="911">
        <v>6000</v>
      </c>
      <c r="D54" s="883">
        <f t="shared" si="2"/>
        <v>0</v>
      </c>
      <c r="E54" s="912"/>
      <c r="F54" s="913"/>
      <c r="G54" s="878"/>
      <c r="H54" s="879"/>
      <c r="I54" s="879"/>
      <c r="J54" s="879"/>
      <c r="K54" s="879"/>
      <c r="L54" s="879"/>
      <c r="M54" s="879"/>
      <c r="N54" s="879"/>
      <c r="O54" s="879"/>
      <c r="P54" s="879"/>
      <c r="Q54" s="879"/>
      <c r="R54" s="879"/>
      <c r="S54" s="879"/>
      <c r="T54" s="879"/>
      <c r="U54" s="879"/>
      <c r="V54" s="879"/>
      <c r="W54" s="879"/>
      <c r="X54" s="879"/>
      <c r="Y54" s="879"/>
      <c r="Z54" s="879"/>
      <c r="AA54" s="879"/>
      <c r="AB54" s="879"/>
      <c r="AC54" s="879"/>
      <c r="AD54" s="879"/>
      <c r="AE54" s="879"/>
      <c r="AF54" s="879"/>
      <c r="AG54" s="879"/>
      <c r="AH54" s="879"/>
      <c r="AI54" s="879"/>
      <c r="AJ54" s="879"/>
      <c r="AK54" s="879"/>
      <c r="AL54" s="879"/>
      <c r="AM54" s="879"/>
      <c r="AN54" s="879"/>
      <c r="AO54" s="879"/>
      <c r="AP54" s="879"/>
      <c r="AQ54" s="879"/>
      <c r="AR54" s="879"/>
      <c r="AS54" s="879"/>
      <c r="AT54" s="879"/>
      <c r="AU54" s="879"/>
      <c r="AV54" s="879"/>
      <c r="AW54" s="879"/>
      <c r="AX54" s="879"/>
      <c r="AY54" s="879"/>
      <c r="AZ54" s="879"/>
      <c r="BA54" s="879"/>
      <c r="BB54" s="879"/>
      <c r="BC54" s="879"/>
      <c r="BD54" s="879"/>
      <c r="BE54" s="879"/>
      <c r="BF54" s="879"/>
      <c r="BG54" s="879"/>
      <c r="BH54" s="879"/>
      <c r="BI54" s="879"/>
      <c r="BJ54" s="879"/>
      <c r="BK54" s="879"/>
      <c r="BL54" s="879"/>
      <c r="BM54" s="879"/>
      <c r="BN54" s="879"/>
      <c r="BO54" s="879"/>
      <c r="BP54" s="879"/>
      <c r="BQ54" s="879"/>
      <c r="BR54" s="879"/>
      <c r="BS54" s="879"/>
      <c r="BT54" s="879"/>
      <c r="BU54" s="879"/>
      <c r="BV54" s="879"/>
      <c r="BW54" s="879"/>
      <c r="BX54" s="879"/>
      <c r="BY54" s="879"/>
      <c r="BZ54" s="879"/>
      <c r="CA54" s="879"/>
      <c r="CB54" s="879"/>
      <c r="CC54" s="879"/>
      <c r="CD54" s="879"/>
      <c r="CE54" s="879"/>
      <c r="CF54" s="879"/>
      <c r="CG54" s="879"/>
      <c r="CH54" s="879"/>
      <c r="CI54" s="879"/>
      <c r="CJ54" s="879"/>
      <c r="CK54" s="879"/>
      <c r="CL54" s="879"/>
      <c r="CM54" s="879"/>
      <c r="CN54" s="879"/>
      <c r="CO54" s="879"/>
      <c r="CP54" s="879"/>
      <c r="CQ54" s="879"/>
      <c r="CR54" s="879"/>
      <c r="CS54" s="879"/>
      <c r="CT54" s="879"/>
      <c r="CU54" s="879"/>
      <c r="CV54" s="879"/>
      <c r="CW54" s="879"/>
      <c r="CX54" s="879"/>
      <c r="CY54" s="879"/>
      <c r="CZ54" s="879"/>
      <c r="DA54" s="879"/>
      <c r="DB54" s="879"/>
      <c r="DC54" s="879"/>
      <c r="DD54" s="879"/>
      <c r="DE54" s="879"/>
      <c r="DF54" s="879"/>
      <c r="DG54" s="879"/>
      <c r="DH54" s="879"/>
      <c r="DI54" s="879"/>
      <c r="DJ54" s="879"/>
      <c r="DK54" s="879"/>
      <c r="DL54" s="879"/>
      <c r="DM54" s="879"/>
      <c r="DN54" s="879"/>
      <c r="DO54" s="879"/>
      <c r="DP54" s="879"/>
      <c r="DQ54" s="879"/>
      <c r="DR54" s="879"/>
      <c r="DS54" s="879"/>
      <c r="DT54" s="879"/>
      <c r="DU54" s="879"/>
      <c r="DV54" s="879"/>
      <c r="DW54" s="879"/>
      <c r="DX54" s="879"/>
      <c r="DY54" s="879"/>
      <c r="DZ54" s="879"/>
      <c r="EA54" s="879"/>
      <c r="EB54" s="879"/>
      <c r="EC54" s="879"/>
      <c r="ED54" s="879"/>
      <c r="EE54" s="879"/>
      <c r="EF54" s="879"/>
      <c r="EG54" s="879"/>
      <c r="EH54" s="879"/>
      <c r="EI54" s="879"/>
      <c r="EJ54" s="879"/>
      <c r="EK54" s="879"/>
      <c r="EL54" s="879"/>
      <c r="EM54" s="879"/>
      <c r="EN54" s="879"/>
      <c r="EO54" s="879"/>
      <c r="EP54" s="879"/>
      <c r="EQ54" s="879"/>
      <c r="ER54" s="879"/>
      <c r="ES54" s="879"/>
      <c r="ET54" s="879"/>
      <c r="EU54" s="879"/>
      <c r="EV54" s="879"/>
      <c r="EW54" s="879"/>
      <c r="EX54" s="879"/>
      <c r="EY54" s="879"/>
      <c r="EZ54" s="879"/>
      <c r="FA54" s="879"/>
      <c r="FB54" s="879"/>
      <c r="FC54" s="879"/>
      <c r="FD54" s="879"/>
      <c r="FE54" s="879"/>
      <c r="FF54" s="879"/>
      <c r="FG54" s="879"/>
      <c r="FH54" s="879"/>
      <c r="FI54" s="879"/>
      <c r="FJ54" s="879"/>
      <c r="FK54" s="879"/>
      <c r="FL54" s="879"/>
      <c r="FM54" s="879"/>
      <c r="FN54" s="879"/>
      <c r="FO54" s="879"/>
      <c r="FP54" s="879"/>
      <c r="FQ54" s="879"/>
      <c r="FR54" s="879"/>
      <c r="FS54" s="879"/>
      <c r="FT54" s="879"/>
      <c r="FU54" s="879"/>
      <c r="FV54" s="879"/>
      <c r="FW54" s="879"/>
      <c r="FX54" s="879"/>
      <c r="FY54" s="879"/>
      <c r="FZ54" s="879"/>
      <c r="GA54" s="879"/>
      <c r="GB54" s="879"/>
      <c r="GC54" s="879"/>
      <c r="GD54" s="879"/>
      <c r="GE54" s="879"/>
      <c r="GF54" s="879"/>
      <c r="GG54" s="879"/>
      <c r="GH54" s="879"/>
      <c r="GI54" s="879"/>
      <c r="GJ54" s="879"/>
      <c r="GK54" s="879"/>
      <c r="GL54" s="879"/>
      <c r="GM54" s="879"/>
      <c r="GN54" s="879"/>
      <c r="GO54" s="879"/>
      <c r="GP54" s="879"/>
      <c r="GQ54" s="879"/>
      <c r="GR54" s="879"/>
      <c r="GS54" s="879"/>
      <c r="GT54" s="879"/>
      <c r="GU54" s="879"/>
      <c r="GV54" s="879"/>
      <c r="GW54" s="879"/>
      <c r="GX54" s="879"/>
      <c r="GY54" s="879"/>
      <c r="GZ54" s="879"/>
      <c r="HA54" s="879"/>
      <c r="HB54" s="879"/>
      <c r="HC54" s="879"/>
      <c r="HD54" s="879"/>
      <c r="HE54" s="879"/>
      <c r="HF54" s="879"/>
      <c r="HG54" s="879"/>
      <c r="HH54" s="879"/>
      <c r="HI54" s="879"/>
      <c r="HJ54" s="879"/>
      <c r="HK54" s="879"/>
      <c r="HL54" s="879"/>
      <c r="HM54" s="879"/>
      <c r="HN54" s="879"/>
      <c r="HO54" s="879"/>
      <c r="HP54" s="879"/>
      <c r="HQ54" s="879"/>
      <c r="HR54" s="879"/>
      <c r="HS54" s="879"/>
      <c r="HT54" s="879"/>
      <c r="HU54" s="879"/>
      <c r="HV54" s="879"/>
      <c r="HW54" s="879"/>
      <c r="HX54" s="879"/>
    </row>
    <row r="55" spans="1:232" ht="18.75" customHeight="1">
      <c r="A55" s="1041"/>
      <c r="B55" s="1041"/>
      <c r="C55" s="914"/>
      <c r="D55" s="914"/>
      <c r="E55" s="915"/>
      <c r="F55" s="916"/>
      <c r="G55" s="917"/>
      <c r="H55" s="879"/>
      <c r="I55" s="879"/>
      <c r="J55" s="879"/>
      <c r="K55" s="879"/>
      <c r="L55" s="879"/>
      <c r="M55" s="879"/>
      <c r="N55" s="879"/>
      <c r="O55" s="879"/>
      <c r="P55" s="879"/>
      <c r="Q55" s="879"/>
      <c r="R55" s="879"/>
      <c r="S55" s="879"/>
      <c r="T55" s="879"/>
      <c r="U55" s="879"/>
      <c r="V55" s="879"/>
      <c r="W55" s="879"/>
      <c r="X55" s="879"/>
      <c r="Y55" s="879"/>
      <c r="Z55" s="879"/>
      <c r="AA55" s="879"/>
      <c r="AB55" s="879"/>
      <c r="AC55" s="879"/>
      <c r="AD55" s="879"/>
      <c r="AE55" s="879"/>
      <c r="AF55" s="879"/>
      <c r="AG55" s="879"/>
      <c r="AH55" s="879"/>
      <c r="AI55" s="879"/>
      <c r="AJ55" s="879"/>
      <c r="AK55" s="879"/>
      <c r="AL55" s="879"/>
      <c r="AM55" s="879"/>
      <c r="AN55" s="879"/>
      <c r="AO55" s="879"/>
      <c r="AP55" s="879"/>
      <c r="AQ55" s="879"/>
      <c r="AR55" s="879"/>
      <c r="AS55" s="879"/>
      <c r="AT55" s="879"/>
      <c r="AU55" s="879"/>
      <c r="AV55" s="879"/>
      <c r="AW55" s="879"/>
      <c r="AX55" s="879"/>
      <c r="AY55" s="879"/>
      <c r="AZ55" s="879"/>
      <c r="BA55" s="879"/>
      <c r="BB55" s="879"/>
      <c r="BC55" s="879"/>
      <c r="BD55" s="879"/>
      <c r="BE55" s="879"/>
      <c r="BF55" s="879"/>
      <c r="BG55" s="879"/>
      <c r="BH55" s="879"/>
      <c r="BI55" s="879"/>
      <c r="BJ55" s="879"/>
      <c r="BK55" s="879"/>
      <c r="BL55" s="879"/>
      <c r="BM55" s="879"/>
      <c r="BN55" s="879"/>
      <c r="BO55" s="879"/>
      <c r="BP55" s="879"/>
      <c r="BQ55" s="879"/>
      <c r="BR55" s="879"/>
      <c r="BS55" s="879"/>
      <c r="BT55" s="879"/>
      <c r="BU55" s="879"/>
      <c r="BV55" s="879"/>
      <c r="BW55" s="879"/>
      <c r="BX55" s="879"/>
      <c r="BY55" s="879"/>
      <c r="BZ55" s="879"/>
      <c r="CA55" s="879"/>
      <c r="CB55" s="879"/>
      <c r="CC55" s="879"/>
      <c r="CD55" s="879"/>
      <c r="CE55" s="879"/>
      <c r="CF55" s="879"/>
      <c r="CG55" s="879"/>
      <c r="CH55" s="879"/>
      <c r="CI55" s="879"/>
      <c r="CJ55" s="879"/>
      <c r="CK55" s="879"/>
      <c r="CL55" s="879"/>
      <c r="CM55" s="879"/>
      <c r="CN55" s="879"/>
      <c r="CO55" s="879"/>
      <c r="CP55" s="879"/>
      <c r="CQ55" s="879"/>
      <c r="CR55" s="879"/>
      <c r="CS55" s="879"/>
      <c r="CT55" s="879"/>
      <c r="CU55" s="879"/>
      <c r="CV55" s="879"/>
      <c r="CW55" s="879"/>
      <c r="CX55" s="879"/>
      <c r="CY55" s="879"/>
      <c r="CZ55" s="879"/>
      <c r="DA55" s="879"/>
      <c r="DB55" s="879"/>
      <c r="DC55" s="879"/>
      <c r="DD55" s="879"/>
      <c r="DE55" s="879"/>
      <c r="DF55" s="879"/>
      <c r="DG55" s="879"/>
      <c r="DH55" s="879"/>
      <c r="DI55" s="879"/>
      <c r="DJ55" s="879"/>
      <c r="DK55" s="879"/>
      <c r="DL55" s="879"/>
      <c r="DM55" s="879"/>
      <c r="DN55" s="879"/>
      <c r="DO55" s="879"/>
      <c r="DP55" s="879"/>
      <c r="DQ55" s="879"/>
      <c r="DR55" s="879"/>
      <c r="DS55" s="879"/>
      <c r="DT55" s="879"/>
      <c r="DU55" s="879"/>
      <c r="DV55" s="879"/>
      <c r="DW55" s="879"/>
      <c r="DX55" s="879"/>
      <c r="DY55" s="879"/>
      <c r="DZ55" s="879"/>
      <c r="EA55" s="879"/>
      <c r="EB55" s="879"/>
      <c r="EC55" s="879"/>
      <c r="ED55" s="879"/>
      <c r="EE55" s="879"/>
      <c r="EF55" s="879"/>
      <c r="EG55" s="879"/>
      <c r="EH55" s="879"/>
      <c r="EI55" s="879"/>
      <c r="EJ55" s="879"/>
      <c r="EK55" s="879"/>
      <c r="EL55" s="879"/>
      <c r="EM55" s="879"/>
      <c r="EN55" s="879"/>
      <c r="EO55" s="879"/>
      <c r="EP55" s="879"/>
      <c r="EQ55" s="879"/>
      <c r="ER55" s="879"/>
      <c r="ES55" s="879"/>
      <c r="ET55" s="879"/>
      <c r="EU55" s="879"/>
      <c r="EV55" s="879"/>
      <c r="EW55" s="879"/>
      <c r="EX55" s="879"/>
      <c r="EY55" s="879"/>
      <c r="EZ55" s="879"/>
      <c r="FA55" s="879"/>
      <c r="FB55" s="879"/>
      <c r="FC55" s="879"/>
      <c r="FD55" s="879"/>
      <c r="FE55" s="879"/>
      <c r="FF55" s="879"/>
      <c r="FG55" s="879"/>
      <c r="FH55" s="879"/>
      <c r="FI55" s="879"/>
      <c r="FJ55" s="879"/>
      <c r="FK55" s="879"/>
      <c r="FL55" s="879"/>
      <c r="FM55" s="879"/>
      <c r="FN55" s="879"/>
      <c r="FO55" s="879"/>
      <c r="FP55" s="879"/>
      <c r="FQ55" s="879"/>
      <c r="FR55" s="879"/>
      <c r="FS55" s="879"/>
      <c r="FT55" s="879"/>
      <c r="FU55" s="879"/>
      <c r="FV55" s="879"/>
      <c r="FW55" s="879"/>
      <c r="FX55" s="879"/>
      <c r="FY55" s="879"/>
      <c r="FZ55" s="879"/>
      <c r="GA55" s="879"/>
      <c r="GB55" s="879"/>
      <c r="GC55" s="879"/>
      <c r="GD55" s="879"/>
      <c r="GE55" s="879"/>
      <c r="GF55" s="879"/>
      <c r="GG55" s="879"/>
      <c r="GH55" s="879"/>
      <c r="GI55" s="879"/>
      <c r="GJ55" s="879"/>
      <c r="GK55" s="879"/>
      <c r="GL55" s="879"/>
      <c r="GM55" s="879"/>
      <c r="GN55" s="879"/>
      <c r="GO55" s="879"/>
      <c r="GP55" s="879"/>
      <c r="GQ55" s="879"/>
      <c r="GR55" s="879"/>
      <c r="GS55" s="879"/>
      <c r="GT55" s="879"/>
      <c r="GU55" s="879"/>
      <c r="GV55" s="879"/>
      <c r="GW55" s="879"/>
      <c r="GX55" s="879"/>
      <c r="GY55" s="879"/>
      <c r="GZ55" s="879"/>
      <c r="HA55" s="879"/>
      <c r="HB55" s="879"/>
      <c r="HC55" s="879"/>
      <c r="HD55" s="879"/>
      <c r="HE55" s="879"/>
      <c r="HF55" s="879"/>
      <c r="HG55" s="879"/>
      <c r="HH55" s="879"/>
      <c r="HI55" s="879"/>
      <c r="HJ55" s="879"/>
      <c r="HK55" s="879"/>
      <c r="HL55" s="879"/>
      <c r="HM55" s="879"/>
      <c r="HN55" s="879"/>
      <c r="HO55" s="879"/>
      <c r="HP55" s="879"/>
      <c r="HQ55" s="879"/>
      <c r="HR55" s="879"/>
      <c r="HS55" s="879"/>
      <c r="HT55" s="879"/>
      <c r="HU55" s="879"/>
      <c r="HV55" s="879"/>
      <c r="HW55" s="879"/>
      <c r="HX55" s="879"/>
    </row>
    <row r="56" spans="1:7" ht="67.5" customHeight="1">
      <c r="A56" s="918"/>
      <c r="B56" s="1042" t="s">
        <v>1487</v>
      </c>
      <c r="C56" s="1042"/>
      <c r="D56" s="1042"/>
      <c r="E56" s="1042"/>
      <c r="F56" s="1042"/>
      <c r="G56" s="1042"/>
    </row>
    <row r="73" spans="1:6" ht="15.75">
      <c r="A73" s="767"/>
      <c r="C73" s="767"/>
      <c r="D73" s="767"/>
      <c r="E73" s="906"/>
      <c r="F73" s="750"/>
    </row>
    <row r="77" spans="1:6" ht="15.75">
      <c r="A77" s="767"/>
      <c r="C77" s="767"/>
      <c r="D77" s="767"/>
      <c r="E77" s="906"/>
      <c r="F77" s="750"/>
    </row>
  </sheetData>
  <sheetProtection/>
  <mergeCells count="12">
    <mergeCell ref="D5:F5"/>
    <mergeCell ref="G5:G8"/>
    <mergeCell ref="D6:D8"/>
    <mergeCell ref="E6:F7"/>
    <mergeCell ref="A55:B55"/>
    <mergeCell ref="B56:G56"/>
    <mergeCell ref="A1:B1"/>
    <mergeCell ref="A2:G2"/>
    <mergeCell ref="A3:F3"/>
    <mergeCell ref="A5:A8"/>
    <mergeCell ref="B5:B8"/>
    <mergeCell ref="C5:C8"/>
  </mergeCells>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sheetPr>
    <tabColor rgb="FFFFFF00"/>
  </sheetPr>
  <dimension ref="A1:L34"/>
  <sheetViews>
    <sheetView zoomScalePageLayoutView="0" workbookViewId="0" topLeftCell="A16">
      <selection activeCell="E14" sqref="E14"/>
    </sheetView>
  </sheetViews>
  <sheetFormatPr defaultColWidth="9.33203125" defaultRowHeight="12.75"/>
  <cols>
    <col min="1" max="1" width="7.83203125" style="0" customWidth="1"/>
    <col min="2" max="2" width="41.5" style="0" customWidth="1"/>
    <col min="4" max="4" width="8.5" style="0" customWidth="1"/>
    <col min="5" max="5" width="11.16015625" style="0" customWidth="1"/>
    <col min="6" max="7" width="11" style="0" customWidth="1"/>
    <col min="8" max="8" width="11.66015625" style="0" customWidth="1"/>
    <col min="9" max="9" width="12.33203125" style="0" customWidth="1"/>
    <col min="10" max="10" width="12.5" style="0" customWidth="1"/>
    <col min="11" max="11" width="11.66015625" style="0" customWidth="1"/>
  </cols>
  <sheetData>
    <row r="1" spans="1:10" ht="12.75">
      <c r="A1" s="19" t="s">
        <v>716</v>
      </c>
      <c r="J1" s="20" t="s">
        <v>717</v>
      </c>
    </row>
    <row r="2" ht="12.75">
      <c r="A2" s="19" t="s">
        <v>718</v>
      </c>
    </row>
    <row r="3" ht="12.75">
      <c r="A3" s="20" t="s">
        <v>719</v>
      </c>
    </row>
    <row r="4" ht="12.75">
      <c r="A4" s="20"/>
    </row>
    <row r="5" spans="1:11" ht="12.75">
      <c r="A5" s="999" t="s">
        <v>720</v>
      </c>
      <c r="B5" s="999"/>
      <c r="C5" s="999"/>
      <c r="D5" s="999"/>
      <c r="E5" s="999"/>
      <c r="F5" s="999"/>
      <c r="G5" s="999"/>
      <c r="H5" s="999"/>
      <c r="I5" s="999"/>
      <c r="J5" s="999"/>
      <c r="K5" s="999"/>
    </row>
    <row r="6" spans="1:11" ht="12.75">
      <c r="A6" s="999" t="s">
        <v>721</v>
      </c>
      <c r="B6" s="999"/>
      <c r="C6" s="999"/>
      <c r="D6" s="999"/>
      <c r="E6" s="999"/>
      <c r="F6" s="999"/>
      <c r="G6" s="999"/>
      <c r="H6" s="999"/>
      <c r="I6" s="999"/>
      <c r="J6" s="999"/>
      <c r="K6" s="999"/>
    </row>
    <row r="7" spans="1:12" ht="15">
      <c r="A7" s="963" t="s">
        <v>722</v>
      </c>
      <c r="B7" s="963"/>
      <c r="C7" s="963"/>
      <c r="D7" s="963"/>
      <c r="E7" s="963"/>
      <c r="F7" s="963"/>
      <c r="G7" s="963"/>
      <c r="H7" s="963"/>
      <c r="I7" s="963"/>
      <c r="J7" s="963"/>
      <c r="K7" s="963"/>
      <c r="L7" s="35"/>
    </row>
    <row r="9" spans="1:11" ht="46.5" customHeight="1">
      <c r="A9" s="978" t="s">
        <v>3</v>
      </c>
      <c r="B9" s="978" t="s">
        <v>723</v>
      </c>
      <c r="C9" s="978" t="s">
        <v>724</v>
      </c>
      <c r="D9" s="978" t="s">
        <v>725</v>
      </c>
      <c r="E9" s="978" t="s">
        <v>726</v>
      </c>
      <c r="F9" s="978"/>
      <c r="G9" s="978"/>
      <c r="H9" s="978"/>
      <c r="I9" s="978" t="s">
        <v>727</v>
      </c>
      <c r="J9" s="978" t="s">
        <v>728</v>
      </c>
      <c r="K9" s="978"/>
    </row>
    <row r="10" spans="1:11" ht="72.75" customHeight="1">
      <c r="A10" s="978"/>
      <c r="B10" s="978"/>
      <c r="C10" s="978"/>
      <c r="D10" s="978"/>
      <c r="E10" s="22" t="s">
        <v>249</v>
      </c>
      <c r="F10" s="22" t="s">
        <v>729</v>
      </c>
      <c r="G10" s="22" t="s">
        <v>730</v>
      </c>
      <c r="H10" s="22" t="s">
        <v>731</v>
      </c>
      <c r="I10" s="978"/>
      <c r="J10" s="22" t="s">
        <v>732</v>
      </c>
      <c r="K10" s="22" t="s">
        <v>733</v>
      </c>
    </row>
    <row r="11" spans="1:11" ht="12.75">
      <c r="A11" s="23">
        <v>1</v>
      </c>
      <c r="B11" s="23">
        <v>2</v>
      </c>
      <c r="C11" s="23">
        <v>3</v>
      </c>
      <c r="D11" s="23">
        <v>4</v>
      </c>
      <c r="E11" s="23" t="s">
        <v>734</v>
      </c>
      <c r="F11" s="23">
        <v>6</v>
      </c>
      <c r="G11" s="23">
        <v>7</v>
      </c>
      <c r="H11" s="23">
        <v>8</v>
      </c>
      <c r="I11" s="23">
        <v>9</v>
      </c>
      <c r="J11" s="23" t="s">
        <v>735</v>
      </c>
      <c r="K11" s="23">
        <v>11</v>
      </c>
    </row>
    <row r="12" spans="1:11" ht="14.25">
      <c r="A12" s="24">
        <v>1</v>
      </c>
      <c r="B12" s="25" t="s">
        <v>736</v>
      </c>
      <c r="C12" s="26"/>
      <c r="D12" s="26"/>
      <c r="E12" s="26"/>
      <c r="F12" s="26"/>
      <c r="G12" s="26"/>
      <c r="H12" s="26"/>
      <c r="I12" s="26"/>
      <c r="J12" s="26"/>
      <c r="K12" s="26"/>
    </row>
    <row r="13" spans="1:11" ht="12.75">
      <c r="A13" s="27" t="s">
        <v>614</v>
      </c>
      <c r="B13" s="28" t="s">
        <v>737</v>
      </c>
      <c r="C13" s="27"/>
      <c r="D13" s="27"/>
      <c r="E13" s="27"/>
      <c r="F13" s="27"/>
      <c r="G13" s="27"/>
      <c r="H13" s="27"/>
      <c r="I13" s="27"/>
      <c r="J13" s="27"/>
      <c r="K13" s="27"/>
    </row>
    <row r="14" spans="1:11" ht="25.5">
      <c r="A14" s="27" t="s">
        <v>618</v>
      </c>
      <c r="B14" s="28" t="s">
        <v>738</v>
      </c>
      <c r="C14" s="27"/>
      <c r="D14" s="27"/>
      <c r="E14" s="27"/>
      <c r="F14" s="27"/>
      <c r="G14" s="27"/>
      <c r="H14" s="27"/>
      <c r="I14" s="27"/>
      <c r="J14" s="27"/>
      <c r="K14" s="27"/>
    </row>
    <row r="15" spans="1:11" ht="12.75">
      <c r="A15" s="27"/>
      <c r="B15" s="28"/>
      <c r="C15" s="27"/>
      <c r="D15" s="27"/>
      <c r="E15" s="27"/>
      <c r="F15" s="27"/>
      <c r="G15" s="27"/>
      <c r="H15" s="27"/>
      <c r="I15" s="27"/>
      <c r="J15" s="27"/>
      <c r="K15" s="27"/>
    </row>
    <row r="16" spans="1:11" ht="12.75">
      <c r="A16" s="27"/>
      <c r="B16" s="28"/>
      <c r="C16" s="27"/>
      <c r="D16" s="27"/>
      <c r="E16" s="27"/>
      <c r="F16" s="27"/>
      <c r="G16" s="27"/>
      <c r="H16" s="27"/>
      <c r="I16" s="27"/>
      <c r="J16" s="27"/>
      <c r="K16" s="27"/>
    </row>
    <row r="17" spans="1:11" ht="12.75">
      <c r="A17" s="27"/>
      <c r="B17" s="28"/>
      <c r="C17" s="27"/>
      <c r="D17" s="27"/>
      <c r="E17" s="27"/>
      <c r="F17" s="27"/>
      <c r="G17" s="27"/>
      <c r="H17" s="27"/>
      <c r="I17" s="27"/>
      <c r="J17" s="27"/>
      <c r="K17" s="27"/>
    </row>
    <row r="18" spans="1:11" ht="12.75">
      <c r="A18" s="27" t="s">
        <v>594</v>
      </c>
      <c r="B18" s="28" t="s">
        <v>630</v>
      </c>
      <c r="C18" s="27"/>
      <c r="D18" s="27"/>
      <c r="E18" s="27"/>
      <c r="F18" s="27"/>
      <c r="G18" s="27"/>
      <c r="H18" s="27"/>
      <c r="I18" s="27"/>
      <c r="J18" s="27"/>
      <c r="K18" s="27"/>
    </row>
    <row r="19" spans="1:11" ht="38.25">
      <c r="A19" s="29">
        <v>2</v>
      </c>
      <c r="B19" s="30" t="s">
        <v>739</v>
      </c>
      <c r="C19" s="27"/>
      <c r="D19" s="27"/>
      <c r="E19" s="27"/>
      <c r="F19" s="27"/>
      <c r="G19" s="27"/>
      <c r="H19" s="27"/>
      <c r="I19" s="27"/>
      <c r="J19" s="27"/>
      <c r="K19" s="27"/>
    </row>
    <row r="20" spans="1:11" ht="12.75">
      <c r="A20" s="29">
        <v>3</v>
      </c>
      <c r="B20" s="30" t="s">
        <v>740</v>
      </c>
      <c r="C20" s="27"/>
      <c r="D20" s="27"/>
      <c r="E20" s="27"/>
      <c r="F20" s="27"/>
      <c r="G20" s="27"/>
      <c r="H20" s="27"/>
      <c r="I20" s="27"/>
      <c r="J20" s="27"/>
      <c r="K20" s="27"/>
    </row>
    <row r="21" spans="1:11" ht="12.75">
      <c r="A21" s="27">
        <v>1</v>
      </c>
      <c r="B21" s="28" t="s">
        <v>741</v>
      </c>
      <c r="C21" s="27"/>
      <c r="D21" s="27"/>
      <c r="E21" s="27"/>
      <c r="F21" s="27"/>
      <c r="G21" s="27"/>
      <c r="H21" s="27"/>
      <c r="I21" s="27"/>
      <c r="J21" s="27"/>
      <c r="K21" s="27"/>
    </row>
    <row r="22" spans="1:11" ht="12.75">
      <c r="A22" s="31">
        <v>2</v>
      </c>
      <c r="B22" s="32" t="s">
        <v>742</v>
      </c>
      <c r="C22" s="31"/>
      <c r="D22" s="31"/>
      <c r="E22" s="31"/>
      <c r="F22" s="31"/>
      <c r="G22" s="31"/>
      <c r="H22" s="31"/>
      <c r="I22" s="31"/>
      <c r="J22" s="31"/>
      <c r="K22" s="31"/>
    </row>
    <row r="23" ht="12.75">
      <c r="A23" s="19" t="s">
        <v>743</v>
      </c>
    </row>
    <row r="24" ht="12.75">
      <c r="A24" s="33" t="s">
        <v>744</v>
      </c>
    </row>
    <row r="25" ht="12.75">
      <c r="A25" s="33" t="s">
        <v>745</v>
      </c>
    </row>
    <row r="26" ht="12.75">
      <c r="A26" s="33" t="s">
        <v>746</v>
      </c>
    </row>
    <row r="27" ht="12.75">
      <c r="A27" s="34" t="s">
        <v>747</v>
      </c>
    </row>
    <row r="28" ht="12.75">
      <c r="A28" s="33" t="s">
        <v>748</v>
      </c>
    </row>
    <row r="29" ht="12.75">
      <c r="A29" s="34" t="s">
        <v>749</v>
      </c>
    </row>
    <row r="30" ht="12.75">
      <c r="A30" s="33" t="s">
        <v>750</v>
      </c>
    </row>
    <row r="32" spans="8:11" ht="12.75">
      <c r="H32" s="1081" t="s">
        <v>751</v>
      </c>
      <c r="I32" s="1081"/>
      <c r="J32" s="1081"/>
      <c r="K32" s="1081"/>
    </row>
    <row r="33" spans="2:11" ht="12.75">
      <c r="B33" s="17" t="s">
        <v>752</v>
      </c>
      <c r="H33" s="1082" t="s">
        <v>753</v>
      </c>
      <c r="I33" s="1082"/>
      <c r="J33" s="1082"/>
      <c r="K33" s="1082"/>
    </row>
    <row r="34" spans="8:11" ht="12.75">
      <c r="H34" s="1081" t="s">
        <v>511</v>
      </c>
      <c r="I34" s="1081"/>
      <c r="J34" s="1081"/>
      <c r="K34" s="1081"/>
    </row>
  </sheetData>
  <sheetProtection/>
  <mergeCells count="13">
    <mergeCell ref="H33:K33"/>
    <mergeCell ref="H34:K34"/>
    <mergeCell ref="A9:A10"/>
    <mergeCell ref="B9:B10"/>
    <mergeCell ref="C9:C10"/>
    <mergeCell ref="D9:D10"/>
    <mergeCell ref="I9:I10"/>
    <mergeCell ref="A5:K5"/>
    <mergeCell ref="A6:K6"/>
    <mergeCell ref="A7:K7"/>
    <mergeCell ref="E9:H9"/>
    <mergeCell ref="J9:K9"/>
    <mergeCell ref="H32:K32"/>
  </mergeCells>
  <printOptions/>
  <pageMargins left="0.35" right="0.22" top="0.46" bottom="0.54" header="0.3" footer="0.3"/>
  <pageSetup blackAndWhite="1" horizontalDpi="600" verticalDpi="600" orientation="landscape" r:id="rId2"/>
  <drawing r:id="rId1"/>
</worksheet>
</file>

<file path=xl/worksheets/sheet22.xml><?xml version="1.0" encoding="utf-8"?>
<worksheet xmlns="http://schemas.openxmlformats.org/spreadsheetml/2006/main" xmlns:r="http://schemas.openxmlformats.org/officeDocument/2006/relationships">
  <sheetPr>
    <tabColor rgb="FFFFFF00"/>
  </sheetPr>
  <dimension ref="A1:I40"/>
  <sheetViews>
    <sheetView zoomScalePageLayoutView="0" workbookViewId="0" topLeftCell="A22">
      <selection activeCell="I15" sqref="I15"/>
    </sheetView>
  </sheetViews>
  <sheetFormatPr defaultColWidth="9.33203125" defaultRowHeight="12.75"/>
  <cols>
    <col min="1" max="1" width="6.33203125" style="1" customWidth="1"/>
    <col min="2" max="2" width="55" style="1" customWidth="1"/>
    <col min="3" max="3" width="11" style="1" customWidth="1"/>
    <col min="4" max="5" width="9.33203125" style="1" customWidth="1"/>
    <col min="6" max="6" width="14.33203125" style="1" customWidth="1"/>
    <col min="7" max="16384" width="9.33203125" style="1" customWidth="1"/>
  </cols>
  <sheetData>
    <row r="1" spans="1:5" ht="12.75">
      <c r="A1" s="2" t="s">
        <v>716</v>
      </c>
      <c r="E1" s="3" t="s">
        <v>754</v>
      </c>
    </row>
    <row r="2" ht="12.75">
      <c r="A2" s="2" t="s">
        <v>718</v>
      </c>
    </row>
    <row r="3" ht="12.75">
      <c r="A3" s="3" t="s">
        <v>719</v>
      </c>
    </row>
    <row r="4" ht="12.75">
      <c r="A4" s="3"/>
    </row>
    <row r="5" spans="1:6" ht="12.75">
      <c r="A5" s="1083" t="s">
        <v>755</v>
      </c>
      <c r="B5" s="1083"/>
      <c r="C5" s="1083"/>
      <c r="D5" s="1083"/>
      <c r="E5" s="1083"/>
      <c r="F5" s="1083"/>
    </row>
    <row r="6" spans="1:6" ht="12.75">
      <c r="A6" s="1083" t="s">
        <v>756</v>
      </c>
      <c r="B6" s="1083"/>
      <c r="C6" s="1083"/>
      <c r="D6" s="1083"/>
      <c r="E6" s="1083"/>
      <c r="F6" s="1083"/>
    </row>
    <row r="7" spans="1:6" ht="12.75">
      <c r="A7" s="1083" t="s">
        <v>757</v>
      </c>
      <c r="B7" s="1083"/>
      <c r="C7" s="1083"/>
      <c r="D7" s="1083"/>
      <c r="E7" s="1083"/>
      <c r="F7" s="1083"/>
    </row>
    <row r="8" ht="12.75">
      <c r="I8" s="18"/>
    </row>
    <row r="9" spans="1:9" ht="66.75">
      <c r="A9" s="4" t="s">
        <v>3</v>
      </c>
      <c r="B9" s="4" t="s">
        <v>289</v>
      </c>
      <c r="C9" s="4" t="s">
        <v>758</v>
      </c>
      <c r="D9" s="4" t="s">
        <v>725</v>
      </c>
      <c r="E9" s="4" t="s">
        <v>759</v>
      </c>
      <c r="F9" s="4" t="s">
        <v>760</v>
      </c>
      <c r="I9" s="3"/>
    </row>
    <row r="10" spans="1:9" ht="12.75">
      <c r="A10" s="5" t="s">
        <v>296</v>
      </c>
      <c r="B10" s="5" t="s">
        <v>297</v>
      </c>
      <c r="C10" s="5">
        <v>1</v>
      </c>
      <c r="D10" s="5">
        <v>2</v>
      </c>
      <c r="E10" s="5">
        <v>3</v>
      </c>
      <c r="F10" s="5">
        <v>4</v>
      </c>
      <c r="I10" s="18"/>
    </row>
    <row r="11" spans="1:6" ht="15.75">
      <c r="A11" s="6">
        <v>1</v>
      </c>
      <c r="B11" s="7" t="s">
        <v>761</v>
      </c>
      <c r="C11" s="8"/>
      <c r="D11" s="8"/>
      <c r="E11" s="8"/>
      <c r="F11" s="8"/>
    </row>
    <row r="12" spans="1:6" ht="12.75">
      <c r="A12" s="9" t="s">
        <v>614</v>
      </c>
      <c r="B12" s="10" t="s">
        <v>737</v>
      </c>
      <c r="C12" s="9"/>
      <c r="D12" s="9"/>
      <c r="E12" s="9"/>
      <c r="F12" s="9"/>
    </row>
    <row r="13" spans="1:6" ht="12.75">
      <c r="A13" s="9" t="s">
        <v>618</v>
      </c>
      <c r="B13" s="10" t="s">
        <v>762</v>
      </c>
      <c r="C13" s="9"/>
      <c r="D13" s="9"/>
      <c r="E13" s="9"/>
      <c r="F13" s="9"/>
    </row>
    <row r="14" spans="1:6" ht="12.75">
      <c r="A14" s="9"/>
      <c r="B14" s="10"/>
      <c r="C14" s="9"/>
      <c r="D14" s="9"/>
      <c r="E14" s="9"/>
      <c r="F14" s="9"/>
    </row>
    <row r="15" spans="1:6" ht="12.75">
      <c r="A15" s="9"/>
      <c r="B15" s="10"/>
      <c r="C15" s="9"/>
      <c r="D15" s="9"/>
      <c r="E15" s="9"/>
      <c r="F15" s="9"/>
    </row>
    <row r="16" spans="1:6" ht="12.75">
      <c r="A16" s="9"/>
      <c r="B16" s="10"/>
      <c r="C16" s="9"/>
      <c r="D16" s="9"/>
      <c r="E16" s="9"/>
      <c r="F16" s="9"/>
    </row>
    <row r="17" spans="1:6" ht="12.75">
      <c r="A17" s="9"/>
      <c r="B17" s="10"/>
      <c r="C17" s="9"/>
      <c r="D17" s="9"/>
      <c r="E17" s="9"/>
      <c r="F17" s="9"/>
    </row>
    <row r="18" spans="1:6" ht="12.75">
      <c r="A18" s="9"/>
      <c r="B18" s="10"/>
      <c r="C18" s="9"/>
      <c r="D18" s="9"/>
      <c r="E18" s="9"/>
      <c r="F18" s="9"/>
    </row>
    <row r="19" spans="1:6" ht="12.75">
      <c r="A19" s="9"/>
      <c r="B19" s="10"/>
      <c r="C19" s="9"/>
      <c r="D19" s="9"/>
      <c r="E19" s="9"/>
      <c r="F19" s="9"/>
    </row>
    <row r="20" spans="1:6" ht="12.75">
      <c r="A20" s="9"/>
      <c r="B20" s="10"/>
      <c r="C20" s="9"/>
      <c r="D20" s="9"/>
      <c r="E20" s="9"/>
      <c r="F20" s="9"/>
    </row>
    <row r="21" spans="1:6" ht="12.75">
      <c r="A21" s="9" t="s">
        <v>594</v>
      </c>
      <c r="B21" s="10" t="s">
        <v>763</v>
      </c>
      <c r="C21" s="9"/>
      <c r="D21" s="9"/>
      <c r="E21" s="9"/>
      <c r="F21" s="9"/>
    </row>
    <row r="22" spans="1:6" ht="25.5">
      <c r="A22" s="11">
        <v>2</v>
      </c>
      <c r="B22" s="12" t="s">
        <v>739</v>
      </c>
      <c r="C22" s="9"/>
      <c r="D22" s="9"/>
      <c r="E22" s="9"/>
      <c r="F22" s="9"/>
    </row>
    <row r="23" spans="1:6" ht="12.75">
      <c r="A23" s="11"/>
      <c r="B23" s="12"/>
      <c r="C23" s="9"/>
      <c r="D23" s="9"/>
      <c r="E23" s="9"/>
      <c r="F23" s="9"/>
    </row>
    <row r="24" spans="1:6" ht="12.75">
      <c r="A24" s="11"/>
      <c r="B24" s="12"/>
      <c r="C24" s="9"/>
      <c r="D24" s="9"/>
      <c r="E24" s="9"/>
      <c r="F24" s="9"/>
    </row>
    <row r="25" spans="1:6" ht="12.75">
      <c r="A25" s="11"/>
      <c r="B25" s="12"/>
      <c r="C25" s="9"/>
      <c r="D25" s="9"/>
      <c r="E25" s="9"/>
      <c r="F25" s="9"/>
    </row>
    <row r="26" spans="1:6" ht="12.75">
      <c r="A26" s="11"/>
      <c r="B26" s="12"/>
      <c r="C26" s="9"/>
      <c r="D26" s="9"/>
      <c r="E26" s="9"/>
      <c r="F26" s="9"/>
    </row>
    <row r="27" spans="1:6" ht="12.75">
      <c r="A27" s="11"/>
      <c r="B27" s="12"/>
      <c r="C27" s="9"/>
      <c r="D27" s="9"/>
      <c r="E27" s="9"/>
      <c r="F27" s="9"/>
    </row>
    <row r="28" spans="1:6" ht="12.75">
      <c r="A28" s="11"/>
      <c r="B28" s="12"/>
      <c r="C28" s="9"/>
      <c r="D28" s="9"/>
      <c r="E28" s="9"/>
      <c r="F28" s="9"/>
    </row>
    <row r="29" spans="1:6" ht="12.75">
      <c r="A29" s="11"/>
      <c r="B29" s="12"/>
      <c r="C29" s="9"/>
      <c r="D29" s="9"/>
      <c r="E29" s="9"/>
      <c r="F29" s="9"/>
    </row>
    <row r="30" spans="1:6" ht="12.75">
      <c r="A30" s="13"/>
      <c r="B30" s="14" t="s">
        <v>764</v>
      </c>
      <c r="C30" s="13"/>
      <c r="D30" s="13"/>
      <c r="E30" s="13"/>
      <c r="F30" s="13"/>
    </row>
    <row r="32" ht="12.75">
      <c r="A32" s="2" t="s">
        <v>490</v>
      </c>
    </row>
    <row r="33" ht="12.75">
      <c r="A33" s="15" t="s">
        <v>765</v>
      </c>
    </row>
    <row r="34" ht="12.75">
      <c r="A34" s="16" t="s">
        <v>766</v>
      </c>
    </row>
    <row r="35" ht="12.75">
      <c r="A35" s="16" t="s">
        <v>767</v>
      </c>
    </row>
    <row r="36" ht="12.75">
      <c r="A36" s="15" t="s">
        <v>768</v>
      </c>
    </row>
    <row r="38" spans="3:6" ht="12.75" customHeight="1">
      <c r="C38" s="1084" t="s">
        <v>751</v>
      </c>
      <c r="D38" s="1084"/>
      <c r="E38" s="1084"/>
      <c r="F38" s="1084"/>
    </row>
    <row r="39" spans="2:6" ht="12.75">
      <c r="B39" s="17" t="s">
        <v>752</v>
      </c>
      <c r="C39" s="1085" t="s">
        <v>753</v>
      </c>
      <c r="D39" s="1085"/>
      <c r="E39" s="1085"/>
      <c r="F39" s="1085"/>
    </row>
    <row r="40" spans="3:6" ht="12.75">
      <c r="C40" s="1084" t="s">
        <v>511</v>
      </c>
      <c r="D40" s="1084"/>
      <c r="E40" s="1084"/>
      <c r="F40" s="1084"/>
    </row>
  </sheetData>
  <sheetProtection/>
  <mergeCells count="6">
    <mergeCell ref="A5:F5"/>
    <mergeCell ref="A6:F6"/>
    <mergeCell ref="A7:F7"/>
    <mergeCell ref="C38:F38"/>
    <mergeCell ref="C39:F39"/>
    <mergeCell ref="C40:F40"/>
  </mergeCells>
  <printOptions/>
  <pageMargins left="0.39" right="0.25" top="0.57" bottom="0.54" header="0.3" footer="0.3"/>
  <pageSetup blackAndWhite="1" horizontalDpi="600" verticalDpi="600" orientation="portrait" r:id="rId2"/>
  <drawing r:id="rId1"/>
</worksheet>
</file>

<file path=xl/worksheets/sheet2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33203125" defaultRowHeight="12.7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tabColor rgb="FFFF0000"/>
  </sheetPr>
  <dimension ref="A1:Q46"/>
  <sheetViews>
    <sheetView zoomScalePageLayoutView="0" workbookViewId="0" topLeftCell="A1">
      <selection activeCell="C59" sqref="C59"/>
    </sheetView>
  </sheetViews>
  <sheetFormatPr defaultColWidth="9.33203125" defaultRowHeight="12.75"/>
  <cols>
    <col min="1" max="1" width="26.5" style="0" customWidth="1"/>
    <col min="2" max="2" width="24.33203125" style="261" customWidth="1"/>
    <col min="3" max="3" width="8.66015625" style="261" customWidth="1"/>
    <col min="4" max="4" width="21.83203125" style="261" customWidth="1"/>
    <col min="5" max="5" width="18.83203125" style="261" customWidth="1"/>
    <col min="6" max="6" width="31" style="132" customWidth="1"/>
    <col min="7" max="7" width="20.5" style="132" customWidth="1"/>
    <col min="8" max="8" width="10.33203125" style="132" customWidth="1"/>
    <col min="9" max="9" width="19.83203125" style="132" customWidth="1"/>
    <col min="10" max="10" width="19.33203125" style="132" customWidth="1"/>
  </cols>
  <sheetData>
    <row r="1" spans="1:11" ht="12.75">
      <c r="A1" s="20"/>
      <c r="I1" s="239" t="s">
        <v>245</v>
      </c>
      <c r="K1" s="215"/>
    </row>
    <row r="2" spans="1:11" ht="12.75">
      <c r="A2" s="20"/>
      <c r="I2" s="239"/>
      <c r="K2" s="20"/>
    </row>
    <row r="3" spans="1:11" ht="18">
      <c r="A3" s="961" t="s">
        <v>1124</v>
      </c>
      <c r="B3" s="961"/>
      <c r="C3" s="961"/>
      <c r="D3" s="961"/>
      <c r="E3" s="961"/>
      <c r="F3" s="961"/>
      <c r="G3" s="961"/>
      <c r="H3" s="961"/>
      <c r="I3" s="961"/>
      <c r="J3" s="961"/>
      <c r="K3" s="215"/>
    </row>
    <row r="4" spans="1:11" ht="18.75" customHeight="1" hidden="1">
      <c r="A4" s="962" t="s">
        <v>778</v>
      </c>
      <c r="B4" s="962"/>
      <c r="C4" s="962"/>
      <c r="D4" s="962"/>
      <c r="E4" s="962"/>
      <c r="F4" s="962"/>
      <c r="G4" s="962"/>
      <c r="H4" s="962"/>
      <c r="I4" s="962"/>
      <c r="J4" s="962"/>
      <c r="K4" s="215"/>
    </row>
    <row r="5" spans="1:11" ht="18.75" customHeight="1" hidden="1">
      <c r="A5" s="962" t="s">
        <v>893</v>
      </c>
      <c r="B5" s="962"/>
      <c r="C5" s="962"/>
      <c r="D5" s="962"/>
      <c r="E5" s="962"/>
      <c r="F5" s="962"/>
      <c r="G5" s="962"/>
      <c r="H5" s="962"/>
      <c r="I5" s="962"/>
      <c r="J5" s="962"/>
      <c r="K5" s="215"/>
    </row>
    <row r="6" spans="1:11" ht="18.75" customHeight="1" hidden="1">
      <c r="A6" s="962" t="s">
        <v>892</v>
      </c>
      <c r="B6" s="962"/>
      <c r="C6" s="962"/>
      <c r="D6" s="962"/>
      <c r="E6" s="962"/>
      <c r="F6" s="962"/>
      <c r="G6" s="962"/>
      <c r="H6" s="962"/>
      <c r="I6" s="962"/>
      <c r="J6" s="962"/>
      <c r="K6" s="215"/>
    </row>
    <row r="7" spans="1:11" ht="12.75" hidden="1">
      <c r="A7" s="963" t="s">
        <v>246</v>
      </c>
      <c r="B7" s="963"/>
      <c r="C7" s="963"/>
      <c r="D7" s="963"/>
      <c r="E7" s="963"/>
      <c r="F7" s="963"/>
      <c r="G7" s="963"/>
      <c r="H7" s="963"/>
      <c r="I7" s="963"/>
      <c r="J7" s="963"/>
      <c r="K7" s="215"/>
    </row>
    <row r="8" spans="10:11" ht="12.75">
      <c r="J8" s="279" t="s">
        <v>247</v>
      </c>
      <c r="K8" s="215"/>
    </row>
    <row r="9" spans="1:17" s="263" customFormat="1" ht="64.5" customHeight="1">
      <c r="A9" s="22" t="s">
        <v>248</v>
      </c>
      <c r="B9" s="151" t="s">
        <v>249</v>
      </c>
      <c r="C9" s="151" t="s">
        <v>250</v>
      </c>
      <c r="D9" s="151" t="s">
        <v>251</v>
      </c>
      <c r="E9" s="151" t="s">
        <v>252</v>
      </c>
      <c r="F9" s="151" t="s">
        <v>253</v>
      </c>
      <c r="G9" s="151" t="s">
        <v>249</v>
      </c>
      <c r="H9" s="151" t="s">
        <v>254</v>
      </c>
      <c r="I9" s="151" t="s">
        <v>255</v>
      </c>
      <c r="J9" s="151" t="s">
        <v>256</v>
      </c>
      <c r="Q9" s="133"/>
    </row>
    <row r="10" spans="1:17" s="264" customFormat="1" ht="26.25" customHeight="1">
      <c r="A10" s="265">
        <v>1</v>
      </c>
      <c r="B10" s="265">
        <v>2</v>
      </c>
      <c r="C10" s="265">
        <v>3</v>
      </c>
      <c r="D10" s="265">
        <v>4</v>
      </c>
      <c r="E10" s="265">
        <v>5</v>
      </c>
      <c r="F10" s="265">
        <v>6</v>
      </c>
      <c r="G10" s="265">
        <v>7</v>
      </c>
      <c r="H10" s="265">
        <v>8</v>
      </c>
      <c r="I10" s="265">
        <v>9</v>
      </c>
      <c r="J10" s="265">
        <v>10</v>
      </c>
      <c r="Q10" s="280"/>
    </row>
    <row r="11" spans="1:17" ht="32.25" customHeight="1">
      <c r="A11" s="24" t="s">
        <v>257</v>
      </c>
      <c r="B11" s="266"/>
      <c r="C11" s="266"/>
      <c r="D11" s="266"/>
      <c r="E11" s="266"/>
      <c r="F11" s="176" t="s">
        <v>258</v>
      </c>
      <c r="G11" s="183"/>
      <c r="H11" s="183"/>
      <c r="I11" s="183"/>
      <c r="J11" s="183"/>
      <c r="Q11" s="215"/>
    </row>
    <row r="12" spans="1:10" s="202" customFormat="1" ht="32.25" customHeight="1">
      <c r="A12" s="30" t="s">
        <v>259</v>
      </c>
      <c r="B12" s="267">
        <f>SUM(B13:B19)</f>
        <v>561108192434</v>
      </c>
      <c r="C12" s="267">
        <f>SUM(C13:C19)</f>
        <v>0</v>
      </c>
      <c r="D12" s="267">
        <f>SUM(D13:D19)</f>
        <v>505264276172</v>
      </c>
      <c r="E12" s="267">
        <f>SUM(E13:E19)</f>
        <v>55843916262</v>
      </c>
      <c r="F12" s="268" t="s">
        <v>260</v>
      </c>
      <c r="G12" s="155">
        <f>SUM(G13:G19)</f>
        <v>559748783478</v>
      </c>
      <c r="H12" s="155">
        <f>SUM(H13:H19)</f>
        <v>0</v>
      </c>
      <c r="I12" s="155">
        <f>SUM(I13:I19)</f>
        <v>504104587283</v>
      </c>
      <c r="J12" s="155">
        <f>SUM(J13:J19)</f>
        <v>55644196195</v>
      </c>
    </row>
    <row r="13" spans="1:10" ht="32.25" customHeight="1">
      <c r="A13" s="28" t="s">
        <v>261</v>
      </c>
      <c r="B13" s="269">
        <f>SUM(C13:E13)</f>
        <v>18516990006</v>
      </c>
      <c r="C13" s="269"/>
      <c r="D13" s="269">
        <f>'61-H'!H49+'61-H'!H52+'61-H'!H61+'61-H'!H54+'61-H'!H80+'61-H'!H78+'61-H'!H83</f>
        <v>16740215908</v>
      </c>
      <c r="E13" s="269">
        <f>'61-H'!I49+'61-H'!I52+'61-H'!I61+'61-H'!I54+'61-H'!I80+'61-H'!I78+'61-H'!I83</f>
        <v>1776774098</v>
      </c>
      <c r="F13" s="270" t="s">
        <v>262</v>
      </c>
      <c r="G13" s="137">
        <f>SUM(H13:J13)</f>
        <v>58326935000</v>
      </c>
      <c r="H13" s="137"/>
      <c r="I13" s="137">
        <f>'62-H-N'!Q14</f>
        <v>56480292000</v>
      </c>
      <c r="J13" s="474">
        <f>'62-H-N'!R14</f>
        <v>1846643000</v>
      </c>
    </row>
    <row r="14" spans="1:10" ht="32.25" customHeight="1">
      <c r="A14" s="28" t="s">
        <v>263</v>
      </c>
      <c r="B14" s="269">
        <f>SUM(C14:E14)</f>
        <v>98745693503</v>
      </c>
      <c r="C14" s="269"/>
      <c r="D14" s="269">
        <f>'61-H'!H13-'60-H'!D13</f>
        <v>97333979448</v>
      </c>
      <c r="E14" s="269">
        <f>'61-H'!I13-'60-H'!E13</f>
        <v>1411714055</v>
      </c>
      <c r="F14" s="270" t="s">
        <v>264</v>
      </c>
      <c r="G14" s="137">
        <f aca="true" t="shared" si="0" ref="G14:G21">SUM(H14:J14)</f>
        <v>0</v>
      </c>
      <c r="H14" s="137"/>
      <c r="I14" s="137"/>
      <c r="J14" s="137"/>
    </row>
    <row r="15" spans="1:10" ht="32.25" customHeight="1">
      <c r="A15" s="28" t="s">
        <v>265</v>
      </c>
      <c r="B15" s="269">
        <f aca="true" t="shared" si="1" ref="B15:B21">SUM(C15:E15)</f>
        <v>0</v>
      </c>
      <c r="C15" s="269"/>
      <c r="D15" s="269"/>
      <c r="E15" s="269"/>
      <c r="F15" s="270" t="s">
        <v>266</v>
      </c>
      <c r="G15" s="137">
        <f t="shared" si="0"/>
        <v>315072397822</v>
      </c>
      <c r="H15" s="137"/>
      <c r="I15" s="137">
        <f>'62-H-N'!Q33</f>
        <v>266602531554</v>
      </c>
      <c r="J15" s="137">
        <f>'62-H-N'!R33</f>
        <v>48469866268</v>
      </c>
    </row>
    <row r="16" spans="1:10" ht="32.25" customHeight="1">
      <c r="A16" s="28" t="s">
        <v>267</v>
      </c>
      <c r="B16" s="269">
        <f t="shared" si="1"/>
        <v>1298019595</v>
      </c>
      <c r="C16" s="269"/>
      <c r="D16" s="269">
        <f>'61-H'!H132</f>
        <v>1036417240</v>
      </c>
      <c r="E16" s="269">
        <f>'61-H'!I132</f>
        <v>261602355</v>
      </c>
      <c r="F16" s="270" t="s">
        <v>268</v>
      </c>
      <c r="G16" s="137">
        <f t="shared" si="0"/>
        <v>0</v>
      </c>
      <c r="H16" s="137"/>
      <c r="I16" s="137"/>
      <c r="J16" s="137"/>
    </row>
    <row r="17" spans="1:10" ht="32.25" customHeight="1">
      <c r="A17" s="28" t="s">
        <v>269</v>
      </c>
      <c r="B17" s="269">
        <f t="shared" si="1"/>
        <v>83783253546</v>
      </c>
      <c r="C17" s="269"/>
      <c r="D17" s="269">
        <f>'61-H'!H131</f>
        <v>79096471426</v>
      </c>
      <c r="E17" s="269">
        <f>'61-H'!I131</f>
        <v>4686782120</v>
      </c>
      <c r="F17" s="270" t="s">
        <v>270</v>
      </c>
      <c r="G17" s="137">
        <f t="shared" si="0"/>
        <v>47707043634</v>
      </c>
      <c r="H17" s="137"/>
      <c r="I17" s="137">
        <f>'62-H-N'!Q51</f>
        <v>47707043634</v>
      </c>
      <c r="J17" s="137"/>
    </row>
    <row r="18" spans="1:12" ht="32.25" customHeight="1">
      <c r="A18" s="28" t="s">
        <v>271</v>
      </c>
      <c r="B18" s="269">
        <f t="shared" si="1"/>
        <v>552964150</v>
      </c>
      <c r="C18" s="269"/>
      <c r="D18" s="269">
        <f>'61-H'!H130</f>
        <v>552964150</v>
      </c>
      <c r="E18" s="269">
        <f>'61-H'!I130</f>
        <v>0</v>
      </c>
      <c r="F18" s="270" t="s">
        <v>272</v>
      </c>
      <c r="G18" s="440">
        <f t="shared" si="0"/>
        <v>102874080831</v>
      </c>
      <c r="H18" s="440"/>
      <c r="I18" s="440">
        <f>'62-H-N'!Q50</f>
        <v>98099358054</v>
      </c>
      <c r="J18" s="479">
        <f>'62-H-N'!R50</f>
        <v>4774722777</v>
      </c>
      <c r="L18" s="338">
        <v>50204617617</v>
      </c>
    </row>
    <row r="19" spans="1:10" ht="32.25" customHeight="1">
      <c r="A19" s="28" t="s">
        <v>273</v>
      </c>
      <c r="B19" s="269">
        <f t="shared" si="1"/>
        <v>358211271634</v>
      </c>
      <c r="C19" s="269"/>
      <c r="D19" s="269">
        <f>SUM(D20:D21)</f>
        <v>310504228000</v>
      </c>
      <c r="E19" s="269">
        <f>SUM(E20:E21)</f>
        <v>47707043634</v>
      </c>
      <c r="F19" s="270" t="s">
        <v>274</v>
      </c>
      <c r="G19" s="137">
        <f t="shared" si="0"/>
        <v>35768326191</v>
      </c>
      <c r="H19" s="137"/>
      <c r="I19" s="137">
        <f>'62-H-N'!Q56</f>
        <v>35215362041</v>
      </c>
      <c r="J19" s="137">
        <f>'62-H-N'!R56</f>
        <v>552964150</v>
      </c>
    </row>
    <row r="20" spans="1:10" ht="32.25" customHeight="1">
      <c r="A20" s="28" t="s">
        <v>275</v>
      </c>
      <c r="B20" s="269">
        <f t="shared" si="1"/>
        <v>277725340000</v>
      </c>
      <c r="C20" s="269"/>
      <c r="D20" s="269">
        <f>'61-H'!H126</f>
        <v>234786490000</v>
      </c>
      <c r="E20" s="269">
        <f>'61-H'!I126</f>
        <v>42938850000</v>
      </c>
      <c r="F20" s="270"/>
      <c r="G20" s="137">
        <f t="shared" si="0"/>
        <v>0</v>
      </c>
      <c r="H20" s="137"/>
      <c r="I20" s="137"/>
      <c r="J20" s="137"/>
    </row>
    <row r="21" spans="1:10" ht="32.25" customHeight="1">
      <c r="A21" s="28" t="s">
        <v>276</v>
      </c>
      <c r="B21" s="269">
        <f t="shared" si="1"/>
        <v>80485931634</v>
      </c>
      <c r="C21" s="269"/>
      <c r="D21" s="269">
        <f>'61-H'!H127</f>
        <v>75717738000</v>
      </c>
      <c r="E21" s="269">
        <f>'61-H'!I127</f>
        <v>4768193634</v>
      </c>
      <c r="F21" s="270"/>
      <c r="G21" s="137">
        <f t="shared" si="0"/>
        <v>0</v>
      </c>
      <c r="H21" s="137"/>
      <c r="I21" s="137"/>
      <c r="J21" s="137"/>
    </row>
    <row r="22" spans="1:10" ht="32.25" customHeight="1">
      <c r="A22" s="964" t="s">
        <v>277</v>
      </c>
      <c r="B22" s="965"/>
      <c r="C22" s="965"/>
      <c r="D22" s="555">
        <f>+D12-I12</f>
        <v>1159688889</v>
      </c>
      <c r="E22" s="556">
        <f>+E12-J12</f>
        <v>199720067</v>
      </c>
      <c r="F22" s="270"/>
      <c r="G22" s="137"/>
      <c r="H22" s="137"/>
      <c r="I22" s="137"/>
      <c r="J22" s="137"/>
    </row>
    <row r="23" spans="1:10" ht="32.25" customHeight="1">
      <c r="A23" s="966" t="s">
        <v>278</v>
      </c>
      <c r="B23" s="966"/>
      <c r="C23" s="966"/>
      <c r="D23" s="966"/>
      <c r="E23" s="271"/>
      <c r="F23" s="272" t="s">
        <v>279</v>
      </c>
      <c r="G23" s="138"/>
      <c r="H23" s="138"/>
      <c r="I23" s="138"/>
      <c r="J23" s="138"/>
    </row>
    <row r="24" spans="1:10" s="131" customFormat="1" ht="12.75" hidden="1">
      <c r="A24" s="140" t="s">
        <v>280</v>
      </c>
      <c r="B24" s="273"/>
      <c r="C24" s="273"/>
      <c r="D24" s="273">
        <f>D12-'61-H'!H12</f>
        <v>0</v>
      </c>
      <c r="E24" s="273">
        <f>E12-'61-H'!I12</f>
        <v>0</v>
      </c>
      <c r="F24" s="274"/>
      <c r="G24" s="141"/>
      <c r="H24" s="141"/>
      <c r="I24" s="141">
        <f>I12-'62-H-N'!Q12</f>
        <v>0</v>
      </c>
      <c r="J24" s="141">
        <f>J12-'62-H-N'!R12</f>
        <v>0</v>
      </c>
    </row>
    <row r="25" spans="1:10" ht="12.75" hidden="1">
      <c r="A25" s="275"/>
      <c r="B25" s="276"/>
      <c r="C25" s="276"/>
      <c r="D25" s="276"/>
      <c r="E25" s="276"/>
      <c r="F25" s="277"/>
      <c r="G25" s="278"/>
      <c r="H25" s="278"/>
      <c r="I25" s="278"/>
      <c r="J25" s="278"/>
    </row>
    <row r="26" spans="2:10" s="150" customFormat="1" ht="15.75">
      <c r="B26" s="531"/>
      <c r="C26" s="531"/>
      <c r="D26" s="532"/>
      <c r="E26" s="532"/>
      <c r="F26" s="533"/>
      <c r="G26" s="533"/>
      <c r="H26" s="533"/>
      <c r="I26" s="533"/>
      <c r="J26" s="533"/>
    </row>
    <row r="27" spans="2:10" s="150" customFormat="1" ht="15.75" hidden="1">
      <c r="B27" s="534"/>
      <c r="C27" s="534" t="s">
        <v>824</v>
      </c>
      <c r="D27" s="535"/>
      <c r="E27" s="535"/>
      <c r="F27" s="523"/>
      <c r="G27" s="533"/>
      <c r="H27" s="973" t="s">
        <v>1081</v>
      </c>
      <c r="I27" s="973"/>
      <c r="J27" s="973"/>
    </row>
    <row r="28" spans="1:10" s="150" customFormat="1" ht="15.75" hidden="1">
      <c r="A28" s="967" t="s">
        <v>281</v>
      </c>
      <c r="B28" s="967"/>
      <c r="C28" s="531"/>
      <c r="D28" s="968" t="s">
        <v>282</v>
      </c>
      <c r="E28" s="968"/>
      <c r="F28" s="968"/>
      <c r="G28" s="533"/>
      <c r="H28" s="967" t="s">
        <v>283</v>
      </c>
      <c r="I28" s="967"/>
      <c r="J28" s="967"/>
    </row>
    <row r="29" spans="1:10" s="150" customFormat="1" ht="15.75" hidden="1">
      <c r="A29" s="967" t="s">
        <v>284</v>
      </c>
      <c r="B29" s="967"/>
      <c r="C29" s="531"/>
      <c r="D29" s="968" t="s">
        <v>285</v>
      </c>
      <c r="E29" s="969"/>
      <c r="F29" s="969"/>
      <c r="G29" s="533"/>
      <c r="H29" s="967" t="s">
        <v>286</v>
      </c>
      <c r="I29" s="967"/>
      <c r="J29" s="967"/>
    </row>
    <row r="30" spans="1:6" ht="12.75" hidden="1">
      <c r="A30" s="133"/>
      <c r="D30" s="972"/>
      <c r="E30" s="972"/>
      <c r="F30" s="972"/>
    </row>
    <row r="31" ht="12.75" hidden="1">
      <c r="A31" s="133"/>
    </row>
    <row r="32" spans="1:3" ht="12.75">
      <c r="A32" s="133"/>
      <c r="C32" s="557"/>
    </row>
    <row r="33" spans="1:3" ht="12.75">
      <c r="A33" s="133"/>
      <c r="C33" s="557"/>
    </row>
    <row r="34" ht="12.75" hidden="1">
      <c r="A34" s="133"/>
    </row>
    <row r="35" spans="1:5" ht="12.75" hidden="1">
      <c r="A35" s="133"/>
      <c r="E35" s="337"/>
    </row>
    <row r="36" spans="1:5" ht="12.75" hidden="1">
      <c r="A36" s="133"/>
      <c r="E36" s="337"/>
    </row>
    <row r="37" spans="1:5" ht="12.75" hidden="1">
      <c r="A37" s="133"/>
      <c r="B37" s="338" t="s">
        <v>776</v>
      </c>
      <c r="D37" s="261">
        <v>13019970000</v>
      </c>
      <c r="E37" s="337">
        <f>D37+D41</f>
        <v>-32967028024.6</v>
      </c>
    </row>
    <row r="38" spans="1:4" ht="12.75" hidden="1">
      <c r="A38" s="133"/>
      <c r="B38" s="338" t="s">
        <v>777</v>
      </c>
      <c r="D38" s="261">
        <v>34200363467</v>
      </c>
    </row>
    <row r="39" spans="1:5" ht="28.5" customHeight="1" hidden="1">
      <c r="A39" s="970" t="s">
        <v>775</v>
      </c>
      <c r="B39" s="971"/>
      <c r="C39" s="971"/>
      <c r="D39" s="261">
        <f>105209362*70%</f>
        <v>73646553.39999999</v>
      </c>
      <c r="E39" s="261">
        <f>D37-D22</f>
        <v>11860281111</v>
      </c>
    </row>
    <row r="40" ht="12.75" hidden="1">
      <c r="D40" s="261">
        <f>D37+D38-D39</f>
        <v>47146686913.6</v>
      </c>
    </row>
    <row r="41" ht="12.75" hidden="1">
      <c r="D41" s="261">
        <f>D22-D40</f>
        <v>-45986998024.6</v>
      </c>
    </row>
    <row r="42" ht="12.75" hidden="1"/>
    <row r="43" ht="12.75" hidden="1"/>
    <row r="44" ht="12.75" hidden="1"/>
    <row r="45" ht="12.75" hidden="1"/>
    <row r="46" ht="12.75">
      <c r="D46" s="261">
        <f>D22+E22</f>
        <v>1359408956</v>
      </c>
    </row>
  </sheetData>
  <sheetProtection/>
  <mergeCells count="16">
    <mergeCell ref="A29:B29"/>
    <mergeCell ref="D29:F29"/>
    <mergeCell ref="H29:J29"/>
    <mergeCell ref="A39:C39"/>
    <mergeCell ref="D30:F30"/>
    <mergeCell ref="H27:J27"/>
    <mergeCell ref="A28:B28"/>
    <mergeCell ref="D28:F28"/>
    <mergeCell ref="H28:J28"/>
    <mergeCell ref="A3:J3"/>
    <mergeCell ref="A4:J4"/>
    <mergeCell ref="A6:J6"/>
    <mergeCell ref="A7:J7"/>
    <mergeCell ref="A22:C22"/>
    <mergeCell ref="A23:D23"/>
    <mergeCell ref="A5:J5"/>
  </mergeCells>
  <printOptions/>
  <pageMargins left="0.37" right="0.16" top="0.43" bottom="0.43" header="0.31" footer="0.31"/>
  <pageSetup blackAndWhite="1" horizontalDpi="600" verticalDpi="600" orientation="landscape" paperSize="9" scale="75" r:id="rId2"/>
  <drawing r:id="rId1"/>
</worksheet>
</file>

<file path=xl/worksheets/sheet4.xml><?xml version="1.0" encoding="utf-8"?>
<worksheet xmlns="http://schemas.openxmlformats.org/spreadsheetml/2006/main" xmlns:r="http://schemas.openxmlformats.org/officeDocument/2006/relationships">
  <sheetPr>
    <tabColor rgb="FFFF0000"/>
  </sheetPr>
  <dimension ref="A1:N152"/>
  <sheetViews>
    <sheetView zoomScalePageLayoutView="0" workbookViewId="0" topLeftCell="A76">
      <selection activeCell="G8" sqref="G8"/>
    </sheetView>
  </sheetViews>
  <sheetFormatPr defaultColWidth="9.33203125" defaultRowHeight="12.75"/>
  <cols>
    <col min="1" max="1" width="6.33203125" style="172" customWidth="1"/>
    <col min="2" max="2" width="57.83203125" style="172" customWidth="1"/>
    <col min="3" max="3" width="20.66015625" style="561" customWidth="1"/>
    <col min="4" max="4" width="20.5" style="561" customWidth="1"/>
    <col min="5" max="5" width="21.16015625" style="173" customWidth="1"/>
    <col min="6" max="6" width="17.83203125" style="173" customWidth="1"/>
    <col min="7" max="7" width="20.16015625" style="173" customWidth="1"/>
    <col min="8" max="9" width="23" style="173" customWidth="1"/>
    <col min="10" max="10" width="13" style="173" customWidth="1"/>
    <col min="11" max="11" width="12.16015625" style="172" customWidth="1"/>
    <col min="12" max="12" width="9.33203125" style="172" customWidth="1"/>
    <col min="13" max="13" width="20" style="172" bestFit="1" customWidth="1"/>
    <col min="14" max="14" width="18.83203125" style="172" bestFit="1" customWidth="1"/>
    <col min="15" max="16384" width="9.33203125" style="172" customWidth="1"/>
  </cols>
  <sheetData>
    <row r="1" spans="1:9" ht="20.25" customHeight="1">
      <c r="A1" s="19"/>
      <c r="I1" s="399" t="s">
        <v>287</v>
      </c>
    </row>
    <row r="2" spans="1:9" ht="20.25" customHeight="1">
      <c r="A2" s="19"/>
      <c r="I2" s="399"/>
    </row>
    <row r="3" spans="1:11" ht="20.25" customHeight="1">
      <c r="A3" s="975" t="s">
        <v>897</v>
      </c>
      <c r="B3" s="975"/>
      <c r="C3" s="975"/>
      <c r="D3" s="975"/>
      <c r="E3" s="975"/>
      <c r="F3" s="975"/>
      <c r="G3" s="975"/>
      <c r="H3" s="975"/>
      <c r="I3" s="975"/>
      <c r="J3" s="975"/>
      <c r="K3" s="975"/>
    </row>
    <row r="4" spans="1:11" s="170" customFormat="1" ht="20.25" customHeight="1" hidden="1">
      <c r="A4" s="963" t="str">
        <f>'60-H'!A4:J4</f>
        <v>Kèm theo Báo cáo số:        /BC-UBND, ngày        /tháng        năm 2020 của UBND huyện Đăk Tô)</v>
      </c>
      <c r="B4" s="963"/>
      <c r="C4" s="963"/>
      <c r="D4" s="963"/>
      <c r="E4" s="963"/>
      <c r="F4" s="963"/>
      <c r="G4" s="963"/>
      <c r="H4" s="963"/>
      <c r="I4" s="963"/>
      <c r="J4" s="963"/>
      <c r="K4" s="963"/>
    </row>
    <row r="5" spans="1:11" s="170" customFormat="1" ht="20.25" customHeight="1" hidden="1">
      <c r="A5" s="963" t="str">
        <f>'60-H'!A5:J5</f>
        <v>Kèm theo Tờ trình số:        /TTr-UBND, ngày        /tháng        năm 2020 của UBND huyện Đăk Tô)</v>
      </c>
      <c r="B5" s="963"/>
      <c r="C5" s="963"/>
      <c r="D5" s="963"/>
      <c r="E5" s="963"/>
      <c r="F5" s="963"/>
      <c r="G5" s="963"/>
      <c r="H5" s="963"/>
      <c r="I5" s="963"/>
      <c r="J5" s="963"/>
      <c r="K5" s="963"/>
    </row>
    <row r="6" spans="1:11" s="170" customFormat="1" ht="20.25" customHeight="1" hidden="1">
      <c r="A6" s="963" t="str">
        <f>'60-H'!A6:J6</f>
        <v>Kèm theo Nghi quyết số:       /NQ-HĐND, ngày        /tháng        năm 2020 của HĐND huyện Đăk Tô)</v>
      </c>
      <c r="B6" s="963"/>
      <c r="C6" s="963"/>
      <c r="D6" s="963"/>
      <c r="E6" s="963"/>
      <c r="F6" s="963"/>
      <c r="G6" s="963"/>
      <c r="H6" s="963"/>
      <c r="I6" s="963"/>
      <c r="J6" s="963"/>
      <c r="K6" s="963"/>
    </row>
    <row r="7" spans="1:11" s="170" customFormat="1" ht="20.25" customHeight="1">
      <c r="A7" s="963" t="s">
        <v>246</v>
      </c>
      <c r="B7" s="963"/>
      <c r="C7" s="963"/>
      <c r="D7" s="963"/>
      <c r="E7" s="963"/>
      <c r="F7" s="963"/>
      <c r="G7" s="963"/>
      <c r="H7" s="963"/>
      <c r="I7" s="963"/>
      <c r="J7" s="963"/>
      <c r="K7" s="963"/>
    </row>
    <row r="8" spans="7:11" ht="20.25" customHeight="1">
      <c r="G8" s="173">
        <f>H12+I12</f>
        <v>561108192434</v>
      </c>
      <c r="H8" s="920"/>
      <c r="K8" s="206" t="s">
        <v>288</v>
      </c>
    </row>
    <row r="9" spans="1:11" ht="53.25" customHeight="1">
      <c r="A9" s="978" t="s">
        <v>3</v>
      </c>
      <c r="B9" s="978" t="s">
        <v>289</v>
      </c>
      <c r="C9" s="976" t="s">
        <v>825</v>
      </c>
      <c r="D9" s="976"/>
      <c r="E9" s="977" t="s">
        <v>290</v>
      </c>
      <c r="F9" s="977" t="s">
        <v>291</v>
      </c>
      <c r="G9" s="977"/>
      <c r="H9" s="977"/>
      <c r="I9" s="977"/>
      <c r="J9" s="978" t="s">
        <v>292</v>
      </c>
      <c r="K9" s="978"/>
    </row>
    <row r="10" spans="1:11" ht="53.25" customHeight="1">
      <c r="A10" s="978"/>
      <c r="B10" s="978"/>
      <c r="C10" s="559" t="s">
        <v>293</v>
      </c>
      <c r="D10" s="559" t="s">
        <v>294</v>
      </c>
      <c r="E10" s="977"/>
      <c r="F10" s="369" t="s">
        <v>295</v>
      </c>
      <c r="G10" s="369" t="s">
        <v>250</v>
      </c>
      <c r="H10" s="369" t="s">
        <v>251</v>
      </c>
      <c r="I10" s="369" t="s">
        <v>252</v>
      </c>
      <c r="J10" s="369" t="s">
        <v>293</v>
      </c>
      <c r="K10" s="370" t="s">
        <v>294</v>
      </c>
    </row>
    <row r="11" spans="1:14" s="169" customFormat="1" ht="42.75" customHeight="1">
      <c r="A11" s="254" t="s">
        <v>296</v>
      </c>
      <c r="B11" s="254" t="s">
        <v>297</v>
      </c>
      <c r="C11" s="562">
        <v>1</v>
      </c>
      <c r="D11" s="562">
        <v>2</v>
      </c>
      <c r="E11" s="255" t="s">
        <v>298</v>
      </c>
      <c r="F11" s="326" t="s">
        <v>299</v>
      </c>
      <c r="G11" s="326" t="s">
        <v>300</v>
      </c>
      <c r="H11" s="326" t="s">
        <v>301</v>
      </c>
      <c r="I11" s="326" t="s">
        <v>302</v>
      </c>
      <c r="J11" s="255" t="s">
        <v>303</v>
      </c>
      <c r="K11" s="254" t="s">
        <v>304</v>
      </c>
      <c r="M11" s="400"/>
      <c r="N11" s="400"/>
    </row>
    <row r="12" spans="1:14" s="169" customFormat="1" ht="42.75" customHeight="1">
      <c r="A12" s="24"/>
      <c r="B12" s="24" t="s">
        <v>305</v>
      </c>
      <c r="C12" s="563">
        <f>+C13+C117+C124+C131+C132+C133</f>
        <v>362802000000</v>
      </c>
      <c r="D12" s="563">
        <f aca="true" t="shared" si="0" ref="D12:I12">+D13+D117+D124+D131+D132+D133</f>
        <v>377832000000</v>
      </c>
      <c r="E12" s="176">
        <f>+E13+E117+E124+E131+E132+E133</f>
        <v>628988897979</v>
      </c>
      <c r="F12" s="176">
        <f t="shared" si="0"/>
        <v>6375648089</v>
      </c>
      <c r="G12" s="176">
        <f t="shared" si="0"/>
        <v>61505057456</v>
      </c>
      <c r="H12" s="176">
        <f t="shared" si="0"/>
        <v>505264276172</v>
      </c>
      <c r="I12" s="176">
        <f t="shared" si="0"/>
        <v>55843916262</v>
      </c>
      <c r="J12" s="248">
        <f>+E12/C12%</f>
        <v>173.36974382142324</v>
      </c>
      <c r="K12" s="248">
        <f>+E12/D12%</f>
        <v>166.4731674339389</v>
      </c>
      <c r="M12" s="400">
        <f>F12+G12+H12+I12-E12</f>
        <v>0</v>
      </c>
      <c r="N12" s="400"/>
    </row>
    <row r="13" spans="1:14" s="169" customFormat="1" ht="42.75" customHeight="1">
      <c r="A13" s="256" t="s">
        <v>296</v>
      </c>
      <c r="B13" s="257" t="s">
        <v>306</v>
      </c>
      <c r="C13" s="563">
        <f>C14+C86+C97+C107+C108+C111</f>
        <v>114970000000</v>
      </c>
      <c r="D13" s="563">
        <f aca="true" t="shared" si="1" ref="D13:I13">D14+D86+D97+D107+D108+D111</f>
        <v>130000000000</v>
      </c>
      <c r="E13" s="176">
        <f t="shared" si="1"/>
        <v>149928027013</v>
      </c>
      <c r="F13" s="176">
        <f t="shared" si="1"/>
        <v>6375648089</v>
      </c>
      <c r="G13" s="176">
        <f t="shared" si="1"/>
        <v>26289695415</v>
      </c>
      <c r="H13" s="176">
        <f t="shared" si="1"/>
        <v>114074195356</v>
      </c>
      <c r="I13" s="176">
        <f t="shared" si="1"/>
        <v>3188488153</v>
      </c>
      <c r="J13" s="248">
        <f>+E13/C13%</f>
        <v>130.40621641558667</v>
      </c>
      <c r="K13" s="248">
        <f>+E13/D13%</f>
        <v>115.32925154846154</v>
      </c>
      <c r="M13" s="400">
        <f>H13+I13</f>
        <v>117262683509</v>
      </c>
      <c r="N13" s="400"/>
    </row>
    <row r="14" spans="1:14" s="169" customFormat="1" ht="42.75" customHeight="1">
      <c r="A14" s="29" t="s">
        <v>307</v>
      </c>
      <c r="B14" s="368" t="s">
        <v>308</v>
      </c>
      <c r="C14" s="185">
        <f>+C15+C24+C31+C44+C52+C53+C54+C55+C56+C59+C63+C66+C68+C71+C74+C77+C78+C80+C83+C84+C85</f>
        <v>114970000000</v>
      </c>
      <c r="D14" s="185">
        <f aca="true" t="shared" si="2" ref="D14:I14">+D15+D24+D31+D44+D52+D53+D54+D55+D56+D59+D63+D66+D68+D71+D74+D77+D78+D80+D83+D84+D85</f>
        <v>130000000000</v>
      </c>
      <c r="E14" s="155">
        <f t="shared" si="2"/>
        <v>149928027013</v>
      </c>
      <c r="F14" s="155">
        <f t="shared" si="2"/>
        <v>6375648089</v>
      </c>
      <c r="G14" s="155">
        <f t="shared" si="2"/>
        <v>26289695415</v>
      </c>
      <c r="H14" s="155">
        <f t="shared" si="2"/>
        <v>114074195356</v>
      </c>
      <c r="I14" s="155">
        <f t="shared" si="2"/>
        <v>3188488153</v>
      </c>
      <c r="J14" s="248">
        <f>+E14/C14%</f>
        <v>130.40621641558667</v>
      </c>
      <c r="K14" s="248">
        <f>+E14/D14%</f>
        <v>115.32925154846154</v>
      </c>
      <c r="M14" s="400">
        <f aca="true" t="shared" si="3" ref="M14:M76">F14+G14+H14+I14-E14</f>
        <v>0</v>
      </c>
      <c r="N14" s="400"/>
    </row>
    <row r="15" spans="1:14" s="169" customFormat="1" ht="42.75" customHeight="1">
      <c r="A15" s="29">
        <v>1</v>
      </c>
      <c r="B15" s="368" t="s">
        <v>309</v>
      </c>
      <c r="C15" s="185">
        <f>SUM(C16:C23)-C17-C20-C23</f>
        <v>4430000000</v>
      </c>
      <c r="D15" s="185">
        <f>SUM(D16:D23)-D17-D20-D23</f>
        <v>4430000000</v>
      </c>
      <c r="E15" s="155">
        <f>SUM(E16:E23)-E17-E20-E23</f>
        <v>2977814096</v>
      </c>
      <c r="F15" s="155">
        <f>SUM(F16:F23)-F17-F20-F23</f>
        <v>0</v>
      </c>
      <c r="G15" s="155">
        <f>SUM(G16:G23)-G17-G20-G23</f>
        <v>2283994970</v>
      </c>
      <c r="H15" s="155">
        <f>SUM(H16:H23)-H17-H20-H23</f>
        <v>693819126</v>
      </c>
      <c r="I15" s="155">
        <f>+I16+I18+I19+I22</f>
        <v>0</v>
      </c>
      <c r="J15" s="248">
        <f>+E15/C15%</f>
        <v>67.21927981941309</v>
      </c>
      <c r="K15" s="248">
        <f>+E15/D15%</f>
        <v>67.21927981941309</v>
      </c>
      <c r="M15" s="400">
        <f t="shared" si="3"/>
        <v>0</v>
      </c>
      <c r="N15" s="400"/>
    </row>
    <row r="16" spans="1:14" ht="42.75" customHeight="1">
      <c r="A16" s="374"/>
      <c r="B16" s="28" t="s">
        <v>310</v>
      </c>
      <c r="C16" s="186">
        <v>3960000000</v>
      </c>
      <c r="D16" s="186">
        <f>C16</f>
        <v>3960000000</v>
      </c>
      <c r="E16" s="372">
        <f>SUM(F16:I16)</f>
        <v>2364022319</v>
      </c>
      <c r="F16" s="372">
        <v>0</v>
      </c>
      <c r="G16" s="552">
        <v>2009418953</v>
      </c>
      <c r="H16" s="552">
        <v>354603366</v>
      </c>
      <c r="I16" s="372">
        <v>0</v>
      </c>
      <c r="J16" s="247">
        <f>+E16/C16%</f>
        <v>59.69753330808081</v>
      </c>
      <c r="K16" s="247">
        <f>+E16/D16%</f>
        <v>59.69753330808081</v>
      </c>
      <c r="M16" s="400">
        <f t="shared" si="3"/>
        <v>0</v>
      </c>
      <c r="N16" s="400"/>
    </row>
    <row r="17" spans="1:14" ht="42.75" customHeight="1">
      <c r="A17" s="374"/>
      <c r="B17" s="161" t="s">
        <v>311</v>
      </c>
      <c r="C17" s="186"/>
      <c r="D17" s="186"/>
      <c r="E17" s="372">
        <f aca="true" t="shared" si="4" ref="E17:E86">SUM(F17:I17)</f>
        <v>0</v>
      </c>
      <c r="F17" s="372"/>
      <c r="G17" s="372"/>
      <c r="H17" s="372"/>
      <c r="I17" s="372"/>
      <c r="J17" s="247"/>
      <c r="K17" s="247"/>
      <c r="M17" s="400">
        <f t="shared" si="3"/>
        <v>0</v>
      </c>
      <c r="N17" s="400"/>
    </row>
    <row r="18" spans="1:14" ht="42.75" customHeight="1">
      <c r="A18" s="374"/>
      <c r="B18" s="28" t="s">
        <v>312</v>
      </c>
      <c r="C18" s="186"/>
      <c r="D18" s="186"/>
      <c r="E18" s="186">
        <f>SUM(F18:I18)</f>
        <v>676500</v>
      </c>
      <c r="F18" s="186"/>
      <c r="G18" s="186">
        <v>575025</v>
      </c>
      <c r="H18" s="186">
        <v>101475</v>
      </c>
      <c r="I18" s="372"/>
      <c r="J18" s="247"/>
      <c r="K18" s="247"/>
      <c r="M18" s="400">
        <f t="shared" si="3"/>
        <v>0</v>
      </c>
      <c r="N18" s="400"/>
    </row>
    <row r="19" spans="1:14" ht="42.75" customHeight="1">
      <c r="A19" s="374"/>
      <c r="B19" s="28" t="s">
        <v>313</v>
      </c>
      <c r="C19" s="186"/>
      <c r="D19" s="186"/>
      <c r="E19" s="372">
        <f t="shared" si="4"/>
        <v>0</v>
      </c>
      <c r="F19" s="372"/>
      <c r="G19" s="372"/>
      <c r="H19" s="372"/>
      <c r="I19" s="372"/>
      <c r="J19" s="247"/>
      <c r="K19" s="247"/>
      <c r="M19" s="400">
        <f t="shared" si="3"/>
        <v>0</v>
      </c>
      <c r="N19" s="400"/>
    </row>
    <row r="20" spans="1:14" ht="42.75" customHeight="1">
      <c r="A20" s="374"/>
      <c r="B20" s="161" t="s">
        <v>314</v>
      </c>
      <c r="C20" s="186"/>
      <c r="D20" s="186"/>
      <c r="E20" s="372">
        <f t="shared" si="4"/>
        <v>0</v>
      </c>
      <c r="F20" s="372"/>
      <c r="G20" s="372"/>
      <c r="H20" s="372"/>
      <c r="I20" s="372"/>
      <c r="J20" s="247"/>
      <c r="K20" s="247"/>
      <c r="M20" s="400">
        <f t="shared" si="3"/>
        <v>0</v>
      </c>
      <c r="N20" s="400"/>
    </row>
    <row r="21" spans="1:14" ht="42.75" customHeight="1">
      <c r="A21" s="374"/>
      <c r="B21" s="327" t="s">
        <v>315</v>
      </c>
      <c r="C21" s="186">
        <v>470000000</v>
      </c>
      <c r="D21" s="186">
        <f>C21</f>
        <v>470000000</v>
      </c>
      <c r="E21" s="372">
        <f t="shared" si="4"/>
        <v>613115277</v>
      </c>
      <c r="F21" s="372">
        <v>0</v>
      </c>
      <c r="G21" s="552">
        <v>274000992</v>
      </c>
      <c r="H21" s="552">
        <v>339114285</v>
      </c>
      <c r="I21" s="372"/>
      <c r="J21" s="247"/>
      <c r="K21" s="247"/>
      <c r="M21" s="400">
        <f t="shared" si="3"/>
        <v>0</v>
      </c>
      <c r="N21" s="400"/>
    </row>
    <row r="22" spans="1:14" ht="42.75" customHeight="1">
      <c r="A22" s="374"/>
      <c r="B22" s="327" t="s">
        <v>316</v>
      </c>
      <c r="C22" s="186">
        <v>0</v>
      </c>
      <c r="D22" s="186"/>
      <c r="E22" s="372">
        <f t="shared" si="4"/>
        <v>0</v>
      </c>
      <c r="F22" s="372"/>
      <c r="G22" s="372"/>
      <c r="H22" s="372"/>
      <c r="I22" s="372"/>
      <c r="J22" s="247"/>
      <c r="K22" s="247"/>
      <c r="M22" s="400">
        <f t="shared" si="3"/>
        <v>0</v>
      </c>
      <c r="N22" s="400"/>
    </row>
    <row r="23" spans="1:14" ht="42.75" customHeight="1">
      <c r="A23" s="374"/>
      <c r="B23" s="161" t="s">
        <v>317</v>
      </c>
      <c r="C23" s="186"/>
      <c r="D23" s="186"/>
      <c r="E23" s="372">
        <f t="shared" si="4"/>
        <v>0</v>
      </c>
      <c r="F23" s="372"/>
      <c r="G23" s="372"/>
      <c r="H23" s="372"/>
      <c r="I23" s="372"/>
      <c r="J23" s="247"/>
      <c r="K23" s="247"/>
      <c r="M23" s="400">
        <f t="shared" si="3"/>
        <v>0</v>
      </c>
      <c r="N23" s="400"/>
    </row>
    <row r="24" spans="1:14" s="169" customFormat="1" ht="42.75" customHeight="1">
      <c r="A24" s="29">
        <v>2</v>
      </c>
      <c r="B24" s="368" t="s">
        <v>318</v>
      </c>
      <c r="C24" s="185">
        <f aca="true" t="shared" si="5" ref="C24:I24">SUM(C25:C30)-C28</f>
        <v>560000000</v>
      </c>
      <c r="D24" s="185">
        <f t="shared" si="5"/>
        <v>560000000</v>
      </c>
      <c r="E24" s="155">
        <f t="shared" si="5"/>
        <v>422303646</v>
      </c>
      <c r="F24" s="155">
        <f t="shared" si="5"/>
        <v>0</v>
      </c>
      <c r="G24" s="155">
        <f t="shared" si="5"/>
        <v>366591611</v>
      </c>
      <c r="H24" s="155">
        <f t="shared" si="5"/>
        <v>55712035</v>
      </c>
      <c r="I24" s="155">
        <f t="shared" si="5"/>
        <v>0</v>
      </c>
      <c r="J24" s="247">
        <f>+E24/C24%</f>
        <v>75.41136535714286</v>
      </c>
      <c r="K24" s="247">
        <f>+E24/D24%</f>
        <v>75.41136535714286</v>
      </c>
      <c r="M24" s="400">
        <f t="shared" si="3"/>
        <v>0</v>
      </c>
      <c r="N24" s="400"/>
    </row>
    <row r="25" spans="1:14" ht="42.75" customHeight="1">
      <c r="A25" s="374"/>
      <c r="B25" s="28" t="s">
        <v>310</v>
      </c>
      <c r="C25" s="186">
        <v>250000000</v>
      </c>
      <c r="D25" s="186">
        <f>C25</f>
        <v>250000000</v>
      </c>
      <c r="E25" s="372">
        <f>SUM(F25:I25)</f>
        <v>164280800</v>
      </c>
      <c r="F25" s="372"/>
      <c r="G25" s="552">
        <v>139638680</v>
      </c>
      <c r="H25" s="552">
        <v>24642120</v>
      </c>
      <c r="I25" s="552"/>
      <c r="J25" s="247">
        <f>+E25/C25%</f>
        <v>65.71232</v>
      </c>
      <c r="K25" s="247">
        <f>+E25/D25%</f>
        <v>65.71232</v>
      </c>
      <c r="M25" s="400">
        <f t="shared" si="3"/>
        <v>0</v>
      </c>
      <c r="N25" s="400"/>
    </row>
    <row r="26" spans="1:14" ht="42.75" customHeight="1">
      <c r="A26" s="374"/>
      <c r="B26" s="28" t="s">
        <v>312</v>
      </c>
      <c r="C26" s="186">
        <v>190000000</v>
      </c>
      <c r="D26" s="186">
        <f>C26</f>
        <v>190000000</v>
      </c>
      <c r="E26" s="186">
        <f t="shared" si="4"/>
        <v>188849432</v>
      </c>
      <c r="F26" s="186"/>
      <c r="G26" s="186">
        <v>158514671</v>
      </c>
      <c r="H26" s="186">
        <v>30334761</v>
      </c>
      <c r="I26" s="372"/>
      <c r="J26" s="247">
        <f>+E26/C26%</f>
        <v>99.39443789473684</v>
      </c>
      <c r="K26" s="247">
        <f>+E26/D26%</f>
        <v>99.39443789473684</v>
      </c>
      <c r="M26" s="400">
        <f t="shared" si="3"/>
        <v>0</v>
      </c>
      <c r="N26" s="400"/>
    </row>
    <row r="27" spans="1:14" ht="42.75" customHeight="1">
      <c r="A27" s="374"/>
      <c r="B27" s="28" t="s">
        <v>313</v>
      </c>
      <c r="C27" s="186"/>
      <c r="D27" s="186">
        <f>C27</f>
        <v>0</v>
      </c>
      <c r="E27" s="372">
        <f t="shared" si="4"/>
        <v>0</v>
      </c>
      <c r="F27" s="372"/>
      <c r="G27" s="372">
        <v>0</v>
      </c>
      <c r="H27" s="372"/>
      <c r="I27" s="372"/>
      <c r="J27" s="247"/>
      <c r="K27" s="247"/>
      <c r="M27" s="400">
        <f t="shared" si="3"/>
        <v>0</v>
      </c>
      <c r="N27" s="400"/>
    </row>
    <row r="28" spans="1:14" ht="42.75" customHeight="1">
      <c r="A28" s="374"/>
      <c r="B28" s="161" t="s">
        <v>314</v>
      </c>
      <c r="C28" s="186"/>
      <c r="D28" s="186">
        <f>C28</f>
        <v>0</v>
      </c>
      <c r="E28" s="372">
        <f t="shared" si="4"/>
        <v>0</v>
      </c>
      <c r="F28" s="372"/>
      <c r="G28" s="372"/>
      <c r="H28" s="372"/>
      <c r="I28" s="372"/>
      <c r="J28" s="247"/>
      <c r="K28" s="247"/>
      <c r="M28" s="400">
        <f t="shared" si="3"/>
        <v>0</v>
      </c>
      <c r="N28" s="400"/>
    </row>
    <row r="29" spans="1:14" ht="42.75" customHeight="1">
      <c r="A29" s="374"/>
      <c r="B29" s="28" t="s">
        <v>319</v>
      </c>
      <c r="C29" s="186">
        <v>120000000</v>
      </c>
      <c r="D29" s="186">
        <f>C29</f>
        <v>120000000</v>
      </c>
      <c r="E29" s="372">
        <f t="shared" si="4"/>
        <v>69173414</v>
      </c>
      <c r="F29" s="372"/>
      <c r="G29" s="552">
        <v>68438260</v>
      </c>
      <c r="H29" s="552">
        <v>735154</v>
      </c>
      <c r="I29" s="372"/>
      <c r="J29" s="247"/>
      <c r="K29" s="247"/>
      <c r="M29" s="400">
        <f t="shared" si="3"/>
        <v>0</v>
      </c>
      <c r="N29" s="400"/>
    </row>
    <row r="30" spans="1:14" ht="42.75" customHeight="1">
      <c r="A30" s="374"/>
      <c r="B30" s="327" t="s">
        <v>316</v>
      </c>
      <c r="C30" s="186"/>
      <c r="D30" s="186"/>
      <c r="E30" s="372">
        <f t="shared" si="4"/>
        <v>0</v>
      </c>
      <c r="F30" s="372"/>
      <c r="G30" s="372">
        <v>0</v>
      </c>
      <c r="H30" s="372">
        <v>0</v>
      </c>
      <c r="I30" s="372"/>
      <c r="J30" s="247"/>
      <c r="K30" s="247"/>
      <c r="M30" s="400">
        <f t="shared" si="3"/>
        <v>0</v>
      </c>
      <c r="N30" s="400"/>
    </row>
    <row r="31" spans="1:14" s="169" customFormat="1" ht="42.75" customHeight="1">
      <c r="A31" s="29">
        <v>3</v>
      </c>
      <c r="B31" s="368" t="s">
        <v>320</v>
      </c>
      <c r="C31" s="185">
        <f aca="true" t="shared" si="6" ref="C31:I31">SUM(C32:C43)-C33-C35-C38-C40-C42</f>
        <v>0</v>
      </c>
      <c r="D31" s="185">
        <f t="shared" si="6"/>
        <v>0</v>
      </c>
      <c r="E31" s="155">
        <f t="shared" si="6"/>
        <v>0</v>
      </c>
      <c r="F31" s="155">
        <f t="shared" si="6"/>
        <v>0</v>
      </c>
      <c r="G31" s="155">
        <f t="shared" si="6"/>
        <v>0</v>
      </c>
      <c r="H31" s="155">
        <f t="shared" si="6"/>
        <v>0</v>
      </c>
      <c r="I31" s="155">
        <f t="shared" si="6"/>
        <v>0</v>
      </c>
      <c r="J31" s="247"/>
      <c r="K31" s="247"/>
      <c r="M31" s="400">
        <f t="shared" si="3"/>
        <v>0</v>
      </c>
      <c r="N31" s="400"/>
    </row>
    <row r="32" spans="1:14" ht="42.75" customHeight="1">
      <c r="A32" s="374"/>
      <c r="B32" s="28" t="s">
        <v>310</v>
      </c>
      <c r="C32" s="186">
        <v>0</v>
      </c>
      <c r="D32" s="186">
        <f>C32</f>
        <v>0</v>
      </c>
      <c r="E32" s="372"/>
      <c r="F32" s="372"/>
      <c r="G32" s="372"/>
      <c r="H32" s="372"/>
      <c r="I32" s="372"/>
      <c r="J32" s="247"/>
      <c r="K32" s="247"/>
      <c r="M32" s="400">
        <f t="shared" si="3"/>
        <v>0</v>
      </c>
      <c r="N32" s="400"/>
    </row>
    <row r="33" spans="1:14" ht="42.75" customHeight="1">
      <c r="A33" s="374"/>
      <c r="B33" s="161" t="s">
        <v>321</v>
      </c>
      <c r="C33" s="186"/>
      <c r="D33" s="186"/>
      <c r="E33" s="372"/>
      <c r="F33" s="372"/>
      <c r="G33" s="372"/>
      <c r="H33" s="372"/>
      <c r="I33" s="372"/>
      <c r="J33" s="247"/>
      <c r="K33" s="247"/>
      <c r="M33" s="400">
        <f t="shared" si="3"/>
        <v>0</v>
      </c>
      <c r="N33" s="400"/>
    </row>
    <row r="34" spans="1:14" ht="42.75" customHeight="1">
      <c r="A34" s="374"/>
      <c r="B34" s="28" t="s">
        <v>312</v>
      </c>
      <c r="C34" s="186">
        <v>0</v>
      </c>
      <c r="D34" s="186">
        <f>C34</f>
        <v>0</v>
      </c>
      <c r="E34" s="372"/>
      <c r="F34" s="372"/>
      <c r="G34" s="372"/>
      <c r="H34" s="372"/>
      <c r="I34" s="372"/>
      <c r="J34" s="247"/>
      <c r="K34" s="247"/>
      <c r="M34" s="400">
        <f t="shared" si="3"/>
        <v>0</v>
      </c>
      <c r="N34" s="400"/>
    </row>
    <row r="35" spans="1:14" ht="42.75" customHeight="1">
      <c r="A35" s="374"/>
      <c r="B35" s="161" t="s">
        <v>322</v>
      </c>
      <c r="C35" s="186"/>
      <c r="D35" s="186"/>
      <c r="E35" s="372">
        <f t="shared" si="4"/>
        <v>0</v>
      </c>
      <c r="F35" s="372"/>
      <c r="G35" s="372"/>
      <c r="H35" s="372"/>
      <c r="I35" s="372"/>
      <c r="J35" s="247"/>
      <c r="K35" s="247"/>
      <c r="M35" s="400">
        <f t="shared" si="3"/>
        <v>0</v>
      </c>
      <c r="N35" s="400"/>
    </row>
    <row r="36" spans="1:14" ht="42.75" customHeight="1">
      <c r="A36" s="374"/>
      <c r="B36" s="28" t="s">
        <v>323</v>
      </c>
      <c r="C36" s="186"/>
      <c r="D36" s="186"/>
      <c r="E36" s="372">
        <f t="shared" si="4"/>
        <v>0</v>
      </c>
      <c r="F36" s="372"/>
      <c r="G36" s="372"/>
      <c r="H36" s="372"/>
      <c r="I36" s="372"/>
      <c r="J36" s="247"/>
      <c r="K36" s="247"/>
      <c r="M36" s="400">
        <f t="shared" si="3"/>
        <v>0</v>
      </c>
      <c r="N36" s="400"/>
    </row>
    <row r="37" spans="1:14" ht="42.75" customHeight="1">
      <c r="A37" s="374"/>
      <c r="B37" s="28" t="s">
        <v>313</v>
      </c>
      <c r="C37" s="186"/>
      <c r="D37" s="186"/>
      <c r="E37" s="372">
        <f t="shared" si="4"/>
        <v>0</v>
      </c>
      <c r="F37" s="372"/>
      <c r="G37" s="372"/>
      <c r="H37" s="372"/>
      <c r="I37" s="372"/>
      <c r="J37" s="247"/>
      <c r="K37" s="247"/>
      <c r="M37" s="400">
        <f t="shared" si="3"/>
        <v>0</v>
      </c>
      <c r="N37" s="400"/>
    </row>
    <row r="38" spans="1:14" ht="42.75" customHeight="1">
      <c r="A38" s="374"/>
      <c r="B38" s="161" t="s">
        <v>324</v>
      </c>
      <c r="C38" s="186"/>
      <c r="D38" s="186"/>
      <c r="E38" s="372">
        <f t="shared" si="4"/>
        <v>0</v>
      </c>
      <c r="F38" s="372"/>
      <c r="G38" s="372"/>
      <c r="H38" s="372"/>
      <c r="I38" s="372"/>
      <c r="J38" s="247"/>
      <c r="K38" s="247"/>
      <c r="M38" s="400">
        <f t="shared" si="3"/>
        <v>0</v>
      </c>
      <c r="N38" s="400"/>
    </row>
    <row r="39" spans="1:14" s="401" customFormat="1" ht="42.75" customHeight="1">
      <c r="A39" s="225"/>
      <c r="B39" s="336" t="s">
        <v>319</v>
      </c>
      <c r="C39" s="186"/>
      <c r="D39" s="186"/>
      <c r="E39" s="372">
        <f t="shared" si="4"/>
        <v>0</v>
      </c>
      <c r="F39" s="372"/>
      <c r="G39" s="372"/>
      <c r="H39" s="372"/>
      <c r="I39" s="186"/>
      <c r="J39" s="247"/>
      <c r="K39" s="247"/>
      <c r="M39" s="400">
        <f t="shared" si="3"/>
        <v>0</v>
      </c>
      <c r="N39" s="400"/>
    </row>
    <row r="40" spans="1:14" ht="42.75" customHeight="1">
      <c r="A40" s="374"/>
      <c r="B40" s="161" t="s">
        <v>317</v>
      </c>
      <c r="C40" s="186"/>
      <c r="D40" s="186"/>
      <c r="E40" s="372">
        <f t="shared" si="4"/>
        <v>0</v>
      </c>
      <c r="F40" s="372"/>
      <c r="G40" s="372"/>
      <c r="H40" s="372"/>
      <c r="I40" s="372"/>
      <c r="J40" s="247"/>
      <c r="K40" s="247"/>
      <c r="M40" s="400">
        <f t="shared" si="3"/>
        <v>0</v>
      </c>
      <c r="N40" s="400"/>
    </row>
    <row r="41" spans="1:14" ht="42.75" customHeight="1">
      <c r="A41" s="374"/>
      <c r="B41" s="28" t="s">
        <v>325</v>
      </c>
      <c r="C41" s="186"/>
      <c r="D41" s="186"/>
      <c r="E41" s="372">
        <f t="shared" si="4"/>
        <v>0</v>
      </c>
      <c r="F41" s="372"/>
      <c r="G41" s="372"/>
      <c r="H41" s="372"/>
      <c r="I41" s="372"/>
      <c r="J41" s="247"/>
      <c r="K41" s="247"/>
      <c r="M41" s="400">
        <f t="shared" si="3"/>
        <v>0</v>
      </c>
      <c r="N41" s="400"/>
    </row>
    <row r="42" spans="1:14" ht="42.75" customHeight="1">
      <c r="A42" s="374"/>
      <c r="B42" s="161" t="s">
        <v>321</v>
      </c>
      <c r="C42" s="186"/>
      <c r="D42" s="186"/>
      <c r="E42" s="372">
        <f t="shared" si="4"/>
        <v>0</v>
      </c>
      <c r="F42" s="372"/>
      <c r="G42" s="372"/>
      <c r="H42" s="372"/>
      <c r="I42" s="372"/>
      <c r="J42" s="247"/>
      <c r="K42" s="247"/>
      <c r="M42" s="400">
        <f t="shared" si="3"/>
        <v>0</v>
      </c>
      <c r="N42" s="400"/>
    </row>
    <row r="43" spans="1:14" ht="42.75" customHeight="1">
      <c r="A43" s="374"/>
      <c r="B43" s="327" t="s">
        <v>316</v>
      </c>
      <c r="C43" s="186"/>
      <c r="D43" s="186"/>
      <c r="E43" s="372">
        <f t="shared" si="4"/>
        <v>0</v>
      </c>
      <c r="F43" s="372"/>
      <c r="G43" s="372"/>
      <c r="H43" s="372"/>
      <c r="I43" s="372"/>
      <c r="J43" s="247"/>
      <c r="K43" s="247"/>
      <c r="M43" s="400">
        <f t="shared" si="3"/>
        <v>0</v>
      </c>
      <c r="N43" s="400"/>
    </row>
    <row r="44" spans="1:14" s="169" customFormat="1" ht="42.75" customHeight="1">
      <c r="A44" s="29">
        <v>4</v>
      </c>
      <c r="B44" s="368" t="s">
        <v>326</v>
      </c>
      <c r="C44" s="185">
        <f aca="true" t="shared" si="7" ref="C44:I44">SUM(C45:C51)-C48</f>
        <v>76970000000</v>
      </c>
      <c r="D44" s="185">
        <f t="shared" si="7"/>
        <v>76970000000</v>
      </c>
      <c r="E44" s="155">
        <f t="shared" si="7"/>
        <v>102242688866</v>
      </c>
      <c r="F44" s="155">
        <f t="shared" si="7"/>
        <v>0</v>
      </c>
      <c r="G44" s="155">
        <f t="shared" si="7"/>
        <v>16872439175</v>
      </c>
      <c r="H44" s="155">
        <f t="shared" si="7"/>
        <v>85370249691</v>
      </c>
      <c r="I44" s="155">
        <f t="shared" si="7"/>
        <v>0</v>
      </c>
      <c r="J44" s="247">
        <f>+E44/C44%</f>
        <v>132.83446650123426</v>
      </c>
      <c r="K44" s="247">
        <f>+E44/D44%</f>
        <v>132.83446650123426</v>
      </c>
      <c r="M44" s="400">
        <f t="shared" si="3"/>
        <v>0</v>
      </c>
      <c r="N44" s="400"/>
    </row>
    <row r="45" spans="1:14" ht="42.75" customHeight="1">
      <c r="A45" s="374"/>
      <c r="B45" s="28" t="s">
        <v>310</v>
      </c>
      <c r="C45" s="186">
        <v>68400000000</v>
      </c>
      <c r="D45" s="186">
        <f>C45</f>
        <v>68400000000</v>
      </c>
      <c r="E45" s="372">
        <f t="shared" si="4"/>
        <v>88533876483</v>
      </c>
      <c r="F45" s="372"/>
      <c r="G45" s="552">
        <v>13279987918</v>
      </c>
      <c r="H45" s="552">
        <v>75253888565</v>
      </c>
      <c r="I45" s="372"/>
      <c r="J45" s="247">
        <f>+E45/C45%</f>
        <v>129.43549193421052</v>
      </c>
      <c r="K45" s="247">
        <f>+E45/D45%</f>
        <v>129.43549193421052</v>
      </c>
      <c r="M45" s="400">
        <f t="shared" si="3"/>
        <v>0</v>
      </c>
      <c r="N45" s="400"/>
    </row>
    <row r="46" spans="1:14" ht="42.75" customHeight="1">
      <c r="A46" s="374"/>
      <c r="B46" s="28" t="s">
        <v>312</v>
      </c>
      <c r="C46" s="186">
        <v>1010000000</v>
      </c>
      <c r="D46" s="186">
        <f>C46</f>
        <v>1010000000</v>
      </c>
      <c r="E46" s="372">
        <f t="shared" si="4"/>
        <v>2928275450</v>
      </c>
      <c r="F46" s="372"/>
      <c r="G46" s="552">
        <v>439174768</v>
      </c>
      <c r="H46" s="552">
        <v>2489100682</v>
      </c>
      <c r="I46" s="372"/>
      <c r="J46" s="247">
        <f>+E46/C46%</f>
        <v>289.9282623762376</v>
      </c>
      <c r="K46" s="247">
        <f>+E46/D46%</f>
        <v>289.9282623762376</v>
      </c>
      <c r="M46" s="400">
        <f t="shared" si="3"/>
        <v>0</v>
      </c>
      <c r="N46" s="400"/>
    </row>
    <row r="47" spans="1:14" ht="42.75" customHeight="1">
      <c r="A47" s="374"/>
      <c r="B47" s="28" t="s">
        <v>313</v>
      </c>
      <c r="C47" s="186">
        <v>100000000</v>
      </c>
      <c r="D47" s="186">
        <f>C47</f>
        <v>100000000</v>
      </c>
      <c r="E47" s="372">
        <f t="shared" si="4"/>
        <v>93151026</v>
      </c>
      <c r="F47" s="372"/>
      <c r="G47" s="552">
        <v>0</v>
      </c>
      <c r="H47" s="552">
        <v>93151026</v>
      </c>
      <c r="I47" s="372"/>
      <c r="J47" s="247">
        <f>+E47/C47%</f>
        <v>93.151026</v>
      </c>
      <c r="K47" s="247">
        <f>+E47/D47%</f>
        <v>93.151026</v>
      </c>
      <c r="M47" s="400">
        <f t="shared" si="3"/>
        <v>0</v>
      </c>
      <c r="N47" s="400"/>
    </row>
    <row r="48" spans="1:14" ht="42.75" customHeight="1">
      <c r="A48" s="374"/>
      <c r="B48" s="161" t="s">
        <v>327</v>
      </c>
      <c r="C48" s="186"/>
      <c r="D48" s="186"/>
      <c r="E48" s="372">
        <f t="shared" si="4"/>
        <v>0</v>
      </c>
      <c r="F48" s="372"/>
      <c r="G48" s="552"/>
      <c r="H48" s="552"/>
      <c r="I48" s="372"/>
      <c r="J48" s="247"/>
      <c r="K48" s="247"/>
      <c r="M48" s="400">
        <f t="shared" si="3"/>
        <v>0</v>
      </c>
      <c r="N48" s="400"/>
    </row>
    <row r="49" spans="1:14" s="401" customFormat="1" ht="42.75" customHeight="1">
      <c r="A49" s="225"/>
      <c r="B49" s="373" t="s">
        <v>319</v>
      </c>
      <c r="C49" s="186">
        <v>7460000000</v>
      </c>
      <c r="D49" s="186">
        <f>C49</f>
        <v>7460000000</v>
      </c>
      <c r="E49" s="186">
        <f t="shared" si="4"/>
        <v>10687385907</v>
      </c>
      <c r="F49" s="186"/>
      <c r="G49" s="552">
        <v>3153276489</v>
      </c>
      <c r="H49" s="552">
        <v>7534109418</v>
      </c>
      <c r="I49" s="186"/>
      <c r="J49" s="246">
        <f>+E49/C49%</f>
        <v>143.26254567024128</v>
      </c>
      <c r="K49" s="246">
        <f>+E49/D49%</f>
        <v>143.26254567024128</v>
      </c>
      <c r="M49" s="400">
        <f t="shared" si="3"/>
        <v>0</v>
      </c>
      <c r="N49" s="400"/>
    </row>
    <row r="50" spans="1:14" ht="42.75" customHeight="1">
      <c r="A50" s="374"/>
      <c r="B50" s="327" t="s">
        <v>328</v>
      </c>
      <c r="C50" s="186"/>
      <c r="D50" s="186"/>
      <c r="E50" s="372">
        <f t="shared" si="4"/>
        <v>0</v>
      </c>
      <c r="F50" s="372"/>
      <c r="G50" s="372"/>
      <c r="H50" s="372"/>
      <c r="I50" s="372"/>
      <c r="J50" s="247"/>
      <c r="K50" s="247"/>
      <c r="M50" s="400">
        <f t="shared" si="3"/>
        <v>0</v>
      </c>
      <c r="N50" s="400"/>
    </row>
    <row r="51" spans="1:14" ht="42.75" customHeight="1">
      <c r="A51" s="374"/>
      <c r="B51" s="327" t="s">
        <v>316</v>
      </c>
      <c r="C51" s="186"/>
      <c r="D51" s="186"/>
      <c r="E51" s="372">
        <f t="shared" si="4"/>
        <v>0</v>
      </c>
      <c r="F51" s="372"/>
      <c r="G51" s="372"/>
      <c r="H51" s="372"/>
      <c r="I51" s="372"/>
      <c r="J51" s="247"/>
      <c r="K51" s="247"/>
      <c r="M51" s="400">
        <f t="shared" si="3"/>
        <v>0</v>
      </c>
      <c r="N51" s="400"/>
    </row>
    <row r="52" spans="1:14" s="402" customFormat="1" ht="42.75" customHeight="1">
      <c r="A52" s="222">
        <v>5</v>
      </c>
      <c r="B52" s="223" t="s">
        <v>329</v>
      </c>
      <c r="C52" s="185">
        <v>7000000000</v>
      </c>
      <c r="D52" s="185">
        <f>C52</f>
        <v>7000000000</v>
      </c>
      <c r="E52" s="185">
        <f>SUM(F52:I52)</f>
        <v>8884650477</v>
      </c>
      <c r="F52" s="185"/>
      <c r="G52" s="185"/>
      <c r="H52" s="185">
        <v>8224787475</v>
      </c>
      <c r="I52" s="185">
        <v>659863002</v>
      </c>
      <c r="J52" s="247">
        <f>+E52/C52%</f>
        <v>126.92357824285715</v>
      </c>
      <c r="K52" s="247">
        <f>+E52/D52%</f>
        <v>126.92357824285715</v>
      </c>
      <c r="M52" s="400">
        <f t="shared" si="3"/>
        <v>0</v>
      </c>
      <c r="N52" s="400"/>
    </row>
    <row r="53" spans="1:14" s="169" customFormat="1" ht="42.75" customHeight="1">
      <c r="A53" s="29">
        <v>6</v>
      </c>
      <c r="B53" s="368" t="s">
        <v>330</v>
      </c>
      <c r="C53" s="185"/>
      <c r="D53" s="185"/>
      <c r="E53" s="155">
        <f t="shared" si="4"/>
        <v>0</v>
      </c>
      <c r="F53" s="155"/>
      <c r="G53" s="155"/>
      <c r="H53" s="155"/>
      <c r="I53" s="155"/>
      <c r="J53" s="247"/>
      <c r="K53" s="247"/>
      <c r="M53" s="400">
        <f t="shared" si="3"/>
        <v>0</v>
      </c>
      <c r="N53" s="400"/>
    </row>
    <row r="54" spans="1:14" s="402" customFormat="1" ht="42.75" customHeight="1">
      <c r="A54" s="222">
        <v>7</v>
      </c>
      <c r="B54" s="223" t="s">
        <v>331</v>
      </c>
      <c r="C54" s="185">
        <v>60000000</v>
      </c>
      <c r="D54" s="185">
        <f>C54</f>
        <v>60000000</v>
      </c>
      <c r="E54" s="185">
        <f t="shared" si="4"/>
        <v>90235089</v>
      </c>
      <c r="F54" s="185"/>
      <c r="G54" s="185"/>
      <c r="H54" s="185">
        <v>0</v>
      </c>
      <c r="I54" s="185">
        <v>90235089</v>
      </c>
      <c r="J54" s="247">
        <f>+E54/C54%</f>
        <v>150.391815</v>
      </c>
      <c r="K54" s="247">
        <f>+E54/D54%</f>
        <v>150.391815</v>
      </c>
      <c r="M54" s="400">
        <f t="shared" si="3"/>
        <v>0</v>
      </c>
      <c r="N54" s="400"/>
    </row>
    <row r="55" spans="1:14" s="169" customFormat="1" ht="42.75" customHeight="1">
      <c r="A55" s="29">
        <v>8</v>
      </c>
      <c r="B55" s="368" t="s">
        <v>332</v>
      </c>
      <c r="C55" s="185">
        <v>4870000000</v>
      </c>
      <c r="D55" s="185">
        <f>C55</f>
        <v>4870000000</v>
      </c>
      <c r="E55" s="155">
        <f>SUM(F55:I55)</f>
        <v>7665336905</v>
      </c>
      <c r="F55" s="155"/>
      <c r="G55" s="155">
        <v>766533450</v>
      </c>
      <c r="H55" s="155">
        <v>6898803455</v>
      </c>
      <c r="I55" s="155"/>
      <c r="J55" s="247">
        <f>+E55/C55%</f>
        <v>157.39911509240247</v>
      </c>
      <c r="K55" s="247">
        <f>+E55/D55%</f>
        <v>157.39911509240247</v>
      </c>
      <c r="M55" s="400">
        <f t="shared" si="3"/>
        <v>0</v>
      </c>
      <c r="N55" s="400"/>
    </row>
    <row r="56" spans="1:14" s="169" customFormat="1" ht="42.75" customHeight="1">
      <c r="A56" s="29">
        <v>9</v>
      </c>
      <c r="B56" s="368" t="s">
        <v>333</v>
      </c>
      <c r="C56" s="185">
        <v>9000000000</v>
      </c>
      <c r="D56" s="185">
        <f>C56</f>
        <v>9000000000</v>
      </c>
      <c r="E56" s="155">
        <f>SUM(F56:I56)</f>
        <v>6965253627</v>
      </c>
      <c r="F56" s="155">
        <v>3608705360</v>
      </c>
      <c r="G56" s="155">
        <v>3356548267</v>
      </c>
      <c r="H56" s="155">
        <f>SUM(H57:H58)</f>
        <v>0</v>
      </c>
      <c r="I56" s="155">
        <f>SUM(I57:I58)</f>
        <v>0</v>
      </c>
      <c r="J56" s="247"/>
      <c r="K56" s="247"/>
      <c r="M56" s="400">
        <f t="shared" si="3"/>
        <v>0</v>
      </c>
      <c r="N56" s="400"/>
    </row>
    <row r="57" spans="1:14" ht="42.75" customHeight="1">
      <c r="A57" s="374"/>
      <c r="B57" s="161" t="s">
        <v>334</v>
      </c>
      <c r="C57" s="186"/>
      <c r="D57" s="186"/>
      <c r="E57" s="372">
        <f>SUM(F57:I57)</f>
        <v>0</v>
      </c>
      <c r="F57" s="372"/>
      <c r="G57" s="372"/>
      <c r="H57" s="372"/>
      <c r="I57" s="372"/>
      <c r="J57" s="247"/>
      <c r="K57" s="247"/>
      <c r="M57" s="400">
        <f t="shared" si="3"/>
        <v>0</v>
      </c>
      <c r="N57" s="400"/>
    </row>
    <row r="58" spans="1:14" ht="42.75" customHeight="1">
      <c r="A58" s="374"/>
      <c r="B58" s="161" t="s">
        <v>335</v>
      </c>
      <c r="C58" s="186"/>
      <c r="D58" s="186"/>
      <c r="E58" s="372">
        <f t="shared" si="4"/>
        <v>25435627</v>
      </c>
      <c r="F58" s="372"/>
      <c r="G58" s="552">
        <v>25435627</v>
      </c>
      <c r="H58" s="372"/>
      <c r="I58" s="372"/>
      <c r="J58" s="247"/>
      <c r="K58" s="247"/>
      <c r="M58" s="400">
        <f t="shared" si="3"/>
        <v>0</v>
      </c>
      <c r="N58" s="400"/>
    </row>
    <row r="59" spans="1:14" s="169" customFormat="1" ht="42.75" customHeight="1">
      <c r="A59" s="29">
        <v>10</v>
      </c>
      <c r="B59" s="368" t="s">
        <v>336</v>
      </c>
      <c r="C59" s="185">
        <f aca="true" t="shared" si="8" ref="C59:I59">SUM(C60:C62)-C62</f>
        <v>1950000000</v>
      </c>
      <c r="D59" s="185">
        <f t="shared" si="8"/>
        <v>1950000000</v>
      </c>
      <c r="E59" s="155">
        <f t="shared" si="8"/>
        <v>1660932096</v>
      </c>
      <c r="F59" s="155">
        <f t="shared" si="8"/>
        <v>299453350</v>
      </c>
      <c r="G59" s="155">
        <f t="shared" si="8"/>
        <v>0</v>
      </c>
      <c r="H59" s="155">
        <f t="shared" si="8"/>
        <v>354753739</v>
      </c>
      <c r="I59" s="155">
        <f t="shared" si="8"/>
        <v>1006725007</v>
      </c>
      <c r="J59" s="247">
        <f>+E59/C59%</f>
        <v>85.17600492307692</v>
      </c>
      <c r="K59" s="247">
        <f>+E59/D59%</f>
        <v>85.17600492307692</v>
      </c>
      <c r="M59" s="400">
        <f t="shared" si="3"/>
        <v>0</v>
      </c>
      <c r="N59" s="400"/>
    </row>
    <row r="60" spans="1:14" ht="42.75" customHeight="1">
      <c r="A60" s="374"/>
      <c r="B60" s="161" t="s">
        <v>337</v>
      </c>
      <c r="C60" s="186">
        <v>0</v>
      </c>
      <c r="D60" s="186"/>
      <c r="E60" s="372">
        <f t="shared" si="4"/>
        <v>370405791</v>
      </c>
      <c r="F60" s="552">
        <v>299453350</v>
      </c>
      <c r="G60" s="552">
        <v>0</v>
      </c>
      <c r="H60" s="552">
        <v>65952441</v>
      </c>
      <c r="I60" s="552">
        <v>5000000</v>
      </c>
      <c r="J60" s="247" t="e">
        <f>+E60/C60%</f>
        <v>#DIV/0!</v>
      </c>
      <c r="K60" s="247" t="e">
        <f>+E60/D60%</f>
        <v>#DIV/0!</v>
      </c>
      <c r="M60" s="400">
        <f t="shared" si="3"/>
        <v>0</v>
      </c>
      <c r="N60" s="400"/>
    </row>
    <row r="61" spans="1:14" s="401" customFormat="1" ht="42.75" customHeight="1">
      <c r="A61" s="225"/>
      <c r="B61" s="258" t="s">
        <v>338</v>
      </c>
      <c r="C61" s="186">
        <v>1950000000</v>
      </c>
      <c r="D61" s="186">
        <f>C61</f>
        <v>1950000000</v>
      </c>
      <c r="E61" s="186">
        <f>SUM(F61:I61)</f>
        <v>1290526305</v>
      </c>
      <c r="F61" s="186"/>
      <c r="G61" s="186">
        <v>0</v>
      </c>
      <c r="H61" s="186">
        <f>72532680+216268618</f>
        <v>288801298</v>
      </c>
      <c r="I61" s="186">
        <f>42000000+455600000+504125007</f>
        <v>1001725007</v>
      </c>
      <c r="J61" s="247">
        <f>+E61/C61%</f>
        <v>66.18083615384616</v>
      </c>
      <c r="K61" s="247">
        <f>+E61/D61%</f>
        <v>66.18083615384616</v>
      </c>
      <c r="M61" s="400">
        <f t="shared" si="3"/>
        <v>0</v>
      </c>
      <c r="N61" s="400"/>
    </row>
    <row r="62" spans="1:14" ht="42.75" customHeight="1">
      <c r="A62" s="374"/>
      <c r="B62" s="161" t="s">
        <v>339</v>
      </c>
      <c r="C62" s="186">
        <v>303000000</v>
      </c>
      <c r="D62" s="186">
        <f>C62</f>
        <v>303000000</v>
      </c>
      <c r="E62" s="372">
        <f t="shared" si="4"/>
        <v>0</v>
      </c>
      <c r="F62" s="372"/>
      <c r="G62" s="372"/>
      <c r="H62" s="372"/>
      <c r="I62" s="372"/>
      <c r="J62" s="247">
        <f>+E62/C62%</f>
        <v>0</v>
      </c>
      <c r="K62" s="247">
        <f>+E62/D62%</f>
        <v>0</v>
      </c>
      <c r="M62" s="400">
        <f t="shared" si="3"/>
        <v>0</v>
      </c>
      <c r="N62" s="400"/>
    </row>
    <row r="63" spans="1:14" s="169" customFormat="1" ht="42.75" customHeight="1">
      <c r="A63" s="29">
        <v>11</v>
      </c>
      <c r="B63" s="368" t="s">
        <v>340</v>
      </c>
      <c r="C63" s="185">
        <f aca="true" t="shared" si="9" ref="C63:I63">SUM(C64:C65)</f>
        <v>4500000000</v>
      </c>
      <c r="D63" s="185">
        <v>19530000000</v>
      </c>
      <c r="E63" s="155">
        <f t="shared" si="9"/>
        <v>14067140460</v>
      </c>
      <c r="F63" s="155">
        <f t="shared" si="9"/>
        <v>0</v>
      </c>
      <c r="G63" s="155">
        <f>SUM(G64:G65)</f>
        <v>1688056851</v>
      </c>
      <c r="H63" s="155">
        <f t="shared" si="9"/>
        <v>10972369554</v>
      </c>
      <c r="I63" s="155">
        <f t="shared" si="9"/>
        <v>1406714055</v>
      </c>
      <c r="J63" s="247">
        <f>+E63/C63%</f>
        <v>312.6031213333333</v>
      </c>
      <c r="K63" s="247">
        <f>+E63/D63%</f>
        <v>72.02836897081413</v>
      </c>
      <c r="M63" s="400">
        <f t="shared" si="3"/>
        <v>0</v>
      </c>
      <c r="N63" s="400"/>
    </row>
    <row r="64" spans="1:14" ht="42.75" customHeight="1">
      <c r="A64" s="374"/>
      <c r="B64" s="161" t="s">
        <v>341</v>
      </c>
      <c r="C64" s="186"/>
      <c r="D64" s="186"/>
      <c r="E64" s="372">
        <f t="shared" si="4"/>
        <v>0</v>
      </c>
      <c r="F64" s="372"/>
      <c r="G64" s="372"/>
      <c r="H64" s="372"/>
      <c r="I64" s="372"/>
      <c r="J64" s="247"/>
      <c r="K64" s="247"/>
      <c r="M64" s="400">
        <f t="shared" si="3"/>
        <v>0</v>
      </c>
      <c r="N64" s="400"/>
    </row>
    <row r="65" spans="1:14" ht="42.75" customHeight="1">
      <c r="A65" s="374"/>
      <c r="B65" s="161" t="s">
        <v>342</v>
      </c>
      <c r="C65" s="186">
        <v>4500000000</v>
      </c>
      <c r="D65" s="186">
        <f>C65</f>
        <v>4500000000</v>
      </c>
      <c r="E65" s="372">
        <f t="shared" si="4"/>
        <v>14067140460</v>
      </c>
      <c r="F65" s="372"/>
      <c r="G65" s="552">
        <v>1688056851</v>
      </c>
      <c r="H65" s="552">
        <v>10972369554</v>
      </c>
      <c r="I65" s="552">
        <v>1406714055</v>
      </c>
      <c r="J65" s="247">
        <f>+E65/C65%</f>
        <v>312.6031213333333</v>
      </c>
      <c r="K65" s="247">
        <f>+E65/D65%</f>
        <v>312.6031213333333</v>
      </c>
      <c r="M65" s="400">
        <f t="shared" si="3"/>
        <v>0</v>
      </c>
      <c r="N65" s="400"/>
    </row>
    <row r="66" spans="1:14" s="169" customFormat="1" ht="42.75" customHeight="1">
      <c r="A66" s="29" t="s">
        <v>343</v>
      </c>
      <c r="B66" s="368" t="s">
        <v>344</v>
      </c>
      <c r="C66" s="185">
        <v>890000000</v>
      </c>
      <c r="D66" s="185">
        <f>C66</f>
        <v>890000000</v>
      </c>
      <c r="E66" s="155">
        <f t="shared" si="4"/>
        <v>1013978189</v>
      </c>
      <c r="F66" s="155"/>
      <c r="G66" s="155">
        <v>202795625</v>
      </c>
      <c r="H66" s="155">
        <v>811182564</v>
      </c>
      <c r="I66" s="155"/>
      <c r="J66" s="247">
        <f>+E66/C66%</f>
        <v>113.93013359550562</v>
      </c>
      <c r="K66" s="247">
        <f>+E66/D66%</f>
        <v>113.93013359550562</v>
      </c>
      <c r="M66" s="400">
        <f t="shared" si="3"/>
        <v>0</v>
      </c>
      <c r="N66" s="400"/>
    </row>
    <row r="67" spans="1:14" s="170" customFormat="1" ht="42.75" customHeight="1">
      <c r="A67" s="543"/>
      <c r="B67" s="161" t="s">
        <v>890</v>
      </c>
      <c r="C67" s="548"/>
      <c r="D67" s="548"/>
      <c r="E67" s="545">
        <f>SUM(F67:I67)</f>
        <v>0</v>
      </c>
      <c r="F67" s="545"/>
      <c r="G67" s="545"/>
      <c r="H67" s="545"/>
      <c r="I67" s="545"/>
      <c r="J67" s="544"/>
      <c r="K67" s="544"/>
      <c r="M67" s="400">
        <f t="shared" si="3"/>
        <v>0</v>
      </c>
      <c r="N67" s="400"/>
    </row>
    <row r="68" spans="1:14" ht="42.75" customHeight="1">
      <c r="A68" s="29">
        <v>13</v>
      </c>
      <c r="B68" s="368" t="s">
        <v>345</v>
      </c>
      <c r="C68" s="186"/>
      <c r="D68" s="186"/>
      <c r="E68" s="372">
        <f t="shared" si="4"/>
        <v>0</v>
      </c>
      <c r="F68" s="372"/>
      <c r="G68" s="372"/>
      <c r="H68" s="372"/>
      <c r="I68" s="372"/>
      <c r="J68" s="247"/>
      <c r="K68" s="247"/>
      <c r="M68" s="400">
        <f t="shared" si="3"/>
        <v>0</v>
      </c>
      <c r="N68" s="400"/>
    </row>
    <row r="69" spans="1:14" ht="42.75" customHeight="1">
      <c r="A69" s="28"/>
      <c r="B69" s="161" t="s">
        <v>346</v>
      </c>
      <c r="C69" s="186"/>
      <c r="D69" s="186"/>
      <c r="E69" s="372">
        <f t="shared" si="4"/>
        <v>0</v>
      </c>
      <c r="F69" s="372"/>
      <c r="G69" s="372"/>
      <c r="H69" s="372"/>
      <c r="I69" s="372"/>
      <c r="J69" s="247"/>
      <c r="K69" s="247"/>
      <c r="M69" s="400">
        <f t="shared" si="3"/>
        <v>0</v>
      </c>
      <c r="N69" s="400"/>
    </row>
    <row r="70" spans="1:14" ht="42.75" customHeight="1">
      <c r="A70" s="28"/>
      <c r="B70" s="161" t="s">
        <v>347</v>
      </c>
      <c r="C70" s="186"/>
      <c r="D70" s="186"/>
      <c r="E70" s="372">
        <f t="shared" si="4"/>
        <v>0</v>
      </c>
      <c r="F70" s="372"/>
      <c r="G70" s="372"/>
      <c r="H70" s="372"/>
      <c r="I70" s="372"/>
      <c r="J70" s="247"/>
      <c r="K70" s="247"/>
      <c r="M70" s="400">
        <f t="shared" si="3"/>
        <v>0</v>
      </c>
      <c r="N70" s="400"/>
    </row>
    <row r="71" spans="1:14" ht="42.75" customHeight="1">
      <c r="A71" s="29">
        <v>14</v>
      </c>
      <c r="B71" s="368" t="s">
        <v>348</v>
      </c>
      <c r="C71" s="186"/>
      <c r="D71" s="186"/>
      <c r="E71" s="372">
        <f t="shared" si="4"/>
        <v>0</v>
      </c>
      <c r="F71" s="372"/>
      <c r="G71" s="372"/>
      <c r="H71" s="372"/>
      <c r="I71" s="372"/>
      <c r="J71" s="247"/>
      <c r="K71" s="247"/>
      <c r="M71" s="400">
        <f t="shared" si="3"/>
        <v>0</v>
      </c>
      <c r="N71" s="400"/>
    </row>
    <row r="72" spans="1:14" ht="42.75" customHeight="1">
      <c r="A72" s="374"/>
      <c r="B72" s="161" t="s">
        <v>349</v>
      </c>
      <c r="C72" s="186"/>
      <c r="D72" s="186"/>
      <c r="E72" s="372">
        <f t="shared" si="4"/>
        <v>0</v>
      </c>
      <c r="F72" s="372"/>
      <c r="G72" s="372"/>
      <c r="H72" s="372"/>
      <c r="I72" s="372"/>
      <c r="J72" s="247"/>
      <c r="K72" s="247"/>
      <c r="M72" s="400">
        <f t="shared" si="3"/>
        <v>0</v>
      </c>
      <c r="N72" s="400"/>
    </row>
    <row r="73" spans="1:14" ht="42.75" customHeight="1">
      <c r="A73" s="28"/>
      <c r="B73" s="161" t="s">
        <v>350</v>
      </c>
      <c r="C73" s="186"/>
      <c r="D73" s="186"/>
      <c r="E73" s="372">
        <f t="shared" si="4"/>
        <v>0</v>
      </c>
      <c r="F73" s="372"/>
      <c r="G73" s="372"/>
      <c r="H73" s="372"/>
      <c r="I73" s="372"/>
      <c r="J73" s="247"/>
      <c r="K73" s="247"/>
      <c r="M73" s="400">
        <f t="shared" si="3"/>
        <v>0</v>
      </c>
      <c r="N73" s="400"/>
    </row>
    <row r="74" spans="1:14" ht="42.75" customHeight="1">
      <c r="A74" s="29">
        <v>15</v>
      </c>
      <c r="B74" s="368" t="s">
        <v>351</v>
      </c>
      <c r="C74" s="186"/>
      <c r="D74" s="186"/>
      <c r="E74" s="372">
        <f t="shared" si="4"/>
        <v>0</v>
      </c>
      <c r="F74" s="372"/>
      <c r="G74" s="372"/>
      <c r="H74" s="372"/>
      <c r="I74" s="372"/>
      <c r="J74" s="247"/>
      <c r="K74" s="247"/>
      <c r="M74" s="400">
        <f t="shared" si="3"/>
        <v>0</v>
      </c>
      <c r="N74" s="400"/>
    </row>
    <row r="75" spans="1:14" ht="42.75" customHeight="1">
      <c r="A75" s="28"/>
      <c r="B75" s="161" t="s">
        <v>352</v>
      </c>
      <c r="C75" s="186"/>
      <c r="D75" s="186"/>
      <c r="E75" s="372">
        <f t="shared" si="4"/>
        <v>0</v>
      </c>
      <c r="F75" s="372"/>
      <c r="G75" s="372"/>
      <c r="H75" s="372"/>
      <c r="I75" s="372"/>
      <c r="J75" s="247"/>
      <c r="K75" s="247"/>
      <c r="M75" s="400">
        <f t="shared" si="3"/>
        <v>0</v>
      </c>
      <c r="N75" s="400"/>
    </row>
    <row r="76" spans="1:14" ht="42.75" customHeight="1">
      <c r="A76" s="28"/>
      <c r="B76" s="161" t="s">
        <v>353</v>
      </c>
      <c r="C76" s="186"/>
      <c r="D76" s="186"/>
      <c r="E76" s="372">
        <f t="shared" si="4"/>
        <v>0</v>
      </c>
      <c r="F76" s="372"/>
      <c r="G76" s="372"/>
      <c r="H76" s="372"/>
      <c r="I76" s="372"/>
      <c r="J76" s="247"/>
      <c r="K76" s="247"/>
      <c r="M76" s="400">
        <f t="shared" si="3"/>
        <v>0</v>
      </c>
      <c r="N76" s="400"/>
    </row>
    <row r="77" spans="1:14" ht="42.75" customHeight="1">
      <c r="A77" s="29">
        <v>16</v>
      </c>
      <c r="B77" s="368" t="s">
        <v>354</v>
      </c>
      <c r="C77" s="186"/>
      <c r="D77" s="186"/>
      <c r="E77" s="372">
        <f t="shared" si="4"/>
        <v>0</v>
      </c>
      <c r="F77" s="372"/>
      <c r="G77" s="372"/>
      <c r="H77" s="372"/>
      <c r="I77" s="372"/>
      <c r="J77" s="247"/>
      <c r="K77" s="247"/>
      <c r="M77" s="400">
        <f aca="true" t="shared" si="10" ref="M77:M136">F77+G77+H77+I77-E77</f>
        <v>0</v>
      </c>
      <c r="N77" s="400"/>
    </row>
    <row r="78" spans="1:14" s="402" customFormat="1" ht="42.75" customHeight="1">
      <c r="A78" s="222">
        <v>17</v>
      </c>
      <c r="B78" s="223" t="s">
        <v>355</v>
      </c>
      <c r="C78" s="185">
        <v>2250000000</v>
      </c>
      <c r="D78" s="185">
        <f>C78</f>
        <v>2250000000</v>
      </c>
      <c r="E78" s="185">
        <f t="shared" si="4"/>
        <v>1815897542</v>
      </c>
      <c r="F78" s="185">
        <v>1485219140</v>
      </c>
      <c r="G78" s="185">
        <v>51275323</v>
      </c>
      <c r="H78" s="185">
        <v>254452079</v>
      </c>
      <c r="I78" s="185">
        <v>24951000</v>
      </c>
      <c r="J78" s="247">
        <f>+E78/C78%</f>
        <v>80.70655742222222</v>
      </c>
      <c r="K78" s="247">
        <f>+E78/D78%</f>
        <v>80.70655742222222</v>
      </c>
      <c r="M78" s="400">
        <f t="shared" si="10"/>
        <v>0</v>
      </c>
      <c r="N78" s="400"/>
    </row>
    <row r="79" spans="1:14" ht="42.75" customHeight="1">
      <c r="A79" s="28"/>
      <c r="B79" s="161" t="s">
        <v>356</v>
      </c>
      <c r="C79" s="186"/>
      <c r="D79" s="186"/>
      <c r="E79" s="372">
        <f t="shared" si="4"/>
        <v>1485219140</v>
      </c>
      <c r="F79" s="372">
        <f>F78</f>
        <v>1485219140</v>
      </c>
      <c r="G79" s="372"/>
      <c r="H79" s="372"/>
      <c r="I79" s="372"/>
      <c r="J79" s="247" t="e">
        <f>+E79/C79%</f>
        <v>#DIV/0!</v>
      </c>
      <c r="K79" s="247" t="e">
        <f>+E79/D79%</f>
        <v>#DIV/0!</v>
      </c>
      <c r="M79" s="400">
        <f t="shared" si="10"/>
        <v>0</v>
      </c>
      <c r="N79" s="400"/>
    </row>
    <row r="80" spans="1:14" s="402" customFormat="1" ht="42.75" customHeight="1">
      <c r="A80" s="222">
        <v>18</v>
      </c>
      <c r="B80" s="223" t="s">
        <v>357</v>
      </c>
      <c r="C80" s="185">
        <f aca="true" t="shared" si="11" ref="C80:I80">SUM(C81:C82)</f>
        <v>1870000000</v>
      </c>
      <c r="D80" s="185">
        <f t="shared" si="11"/>
        <v>1870000000</v>
      </c>
      <c r="E80" s="185">
        <f t="shared" si="11"/>
        <v>1841308837</v>
      </c>
      <c r="F80" s="185">
        <f t="shared" si="11"/>
        <v>982270239</v>
      </c>
      <c r="G80" s="185">
        <f t="shared" si="11"/>
        <v>420972960</v>
      </c>
      <c r="H80" s="185">
        <f t="shared" si="11"/>
        <v>438065638</v>
      </c>
      <c r="I80" s="185">
        <f t="shared" si="11"/>
        <v>0</v>
      </c>
      <c r="J80" s="247">
        <f>+E80/C80%</f>
        <v>98.46571320855615</v>
      </c>
      <c r="K80" s="247">
        <f>+E80/D80%</f>
        <v>98.46571320855615</v>
      </c>
      <c r="M80" s="400">
        <f t="shared" si="10"/>
        <v>0</v>
      </c>
      <c r="N80" s="400"/>
    </row>
    <row r="81" spans="1:14" ht="42.75" customHeight="1">
      <c r="A81" s="28"/>
      <c r="B81" s="161" t="s">
        <v>358</v>
      </c>
      <c r="C81" s="186">
        <v>1600000000</v>
      </c>
      <c r="D81" s="186">
        <f>C81</f>
        <v>1600000000</v>
      </c>
      <c r="E81" s="372">
        <f t="shared" si="4"/>
        <v>1403243199</v>
      </c>
      <c r="F81" s="552">
        <v>982270239</v>
      </c>
      <c r="G81" s="552">
        <v>420972960</v>
      </c>
      <c r="H81" s="552"/>
      <c r="I81" s="372"/>
      <c r="J81" s="247"/>
      <c r="K81" s="247"/>
      <c r="M81" s="400">
        <f t="shared" si="10"/>
        <v>0</v>
      </c>
      <c r="N81" s="400"/>
    </row>
    <row r="82" spans="1:14" ht="42.75" customHeight="1">
      <c r="A82" s="374"/>
      <c r="B82" s="161" t="s">
        <v>359</v>
      </c>
      <c r="C82" s="186">
        <v>270000000</v>
      </c>
      <c r="D82" s="186">
        <f>C82</f>
        <v>270000000</v>
      </c>
      <c r="E82" s="186">
        <f t="shared" si="4"/>
        <v>438065638</v>
      </c>
      <c r="F82" s="186"/>
      <c r="G82" s="186"/>
      <c r="H82" s="186">
        <f>152928000+285137638</f>
        <v>438065638</v>
      </c>
      <c r="I82" s="372"/>
      <c r="J82" s="247">
        <f>+E82/C82%</f>
        <v>162.2465325925926</v>
      </c>
      <c r="K82" s="247">
        <f>+E82/D82%</f>
        <v>162.2465325925926</v>
      </c>
      <c r="M82" s="400">
        <f t="shared" si="10"/>
        <v>0</v>
      </c>
      <c r="N82" s="400"/>
    </row>
    <row r="83" spans="1:14" s="402" customFormat="1" ht="42.75" customHeight="1">
      <c r="A83" s="222">
        <v>19</v>
      </c>
      <c r="B83" s="223" t="s">
        <v>360</v>
      </c>
      <c r="C83" s="185"/>
      <c r="D83" s="185">
        <f>C83</f>
        <v>0</v>
      </c>
      <c r="E83" s="185">
        <f t="shared" si="4"/>
        <v>0</v>
      </c>
      <c r="F83" s="185"/>
      <c r="G83" s="185"/>
      <c r="H83" s="185"/>
      <c r="I83" s="185"/>
      <c r="J83" s="247" t="e">
        <f>+E83/C83%</f>
        <v>#DIV/0!</v>
      </c>
      <c r="K83" s="247" t="e">
        <f>+E83/D83%</f>
        <v>#DIV/0!</v>
      </c>
      <c r="M83" s="400">
        <f t="shared" si="10"/>
        <v>0</v>
      </c>
      <c r="N83" s="400"/>
    </row>
    <row r="84" spans="1:14" s="169" customFormat="1" ht="42.75" customHeight="1">
      <c r="A84" s="29">
        <v>20</v>
      </c>
      <c r="B84" s="558" t="s">
        <v>361</v>
      </c>
      <c r="C84" s="185">
        <v>620000000</v>
      </c>
      <c r="D84" s="185">
        <f>C84</f>
        <v>620000000</v>
      </c>
      <c r="E84" s="155">
        <f t="shared" si="4"/>
        <v>280487183</v>
      </c>
      <c r="F84" s="155"/>
      <c r="G84" s="155">
        <v>280487183</v>
      </c>
      <c r="H84" s="155"/>
      <c r="I84" s="155"/>
      <c r="J84" s="248">
        <f>+E84/C84%</f>
        <v>45.239868225806454</v>
      </c>
      <c r="K84" s="248">
        <f>+E84/D84%</f>
        <v>45.239868225806454</v>
      </c>
      <c r="M84" s="400">
        <f t="shared" si="10"/>
        <v>0</v>
      </c>
      <c r="N84" s="400"/>
    </row>
    <row r="85" spans="1:14" ht="42.75" customHeight="1">
      <c r="A85" s="29">
        <v>21</v>
      </c>
      <c r="B85" s="368" t="s">
        <v>362</v>
      </c>
      <c r="C85" s="186"/>
      <c r="D85" s="186"/>
      <c r="E85" s="372">
        <f t="shared" si="4"/>
        <v>0</v>
      </c>
      <c r="F85" s="372"/>
      <c r="G85" s="372"/>
      <c r="H85" s="372"/>
      <c r="I85" s="372"/>
      <c r="J85" s="247"/>
      <c r="K85" s="247"/>
      <c r="M85" s="400">
        <f t="shared" si="10"/>
        <v>0</v>
      </c>
      <c r="N85" s="400"/>
    </row>
    <row r="86" spans="1:14" ht="42.75" customHeight="1">
      <c r="A86" s="29" t="s">
        <v>363</v>
      </c>
      <c r="B86" s="368" t="s">
        <v>364</v>
      </c>
      <c r="C86" s="186"/>
      <c r="D86" s="186"/>
      <c r="E86" s="372">
        <f t="shared" si="4"/>
        <v>0</v>
      </c>
      <c r="F86" s="372"/>
      <c r="G86" s="372"/>
      <c r="H86" s="372"/>
      <c r="I86" s="372"/>
      <c r="J86" s="247"/>
      <c r="K86" s="247"/>
      <c r="M86" s="400">
        <f t="shared" si="10"/>
        <v>0</v>
      </c>
      <c r="N86" s="400"/>
    </row>
    <row r="87" spans="1:14" ht="42.75" customHeight="1">
      <c r="A87" s="177">
        <v>1</v>
      </c>
      <c r="B87" s="178" t="s">
        <v>365</v>
      </c>
      <c r="C87" s="186"/>
      <c r="D87" s="186"/>
      <c r="E87" s="372">
        <f aca="true" t="shared" si="12" ref="E87:E132">SUM(F87:I87)</f>
        <v>0</v>
      </c>
      <c r="F87" s="372"/>
      <c r="G87" s="372"/>
      <c r="H87" s="372"/>
      <c r="I87" s="372"/>
      <c r="J87" s="247"/>
      <c r="K87" s="247"/>
      <c r="M87" s="400">
        <f t="shared" si="10"/>
        <v>0</v>
      </c>
      <c r="N87" s="400"/>
    </row>
    <row r="88" spans="1:14" ht="42.75" customHeight="1">
      <c r="A88" s="374" t="s">
        <v>366</v>
      </c>
      <c r="B88" s="28" t="s">
        <v>367</v>
      </c>
      <c r="C88" s="186"/>
      <c r="D88" s="186"/>
      <c r="E88" s="372">
        <f t="shared" si="12"/>
        <v>0</v>
      </c>
      <c r="F88" s="372"/>
      <c r="G88" s="372"/>
      <c r="H88" s="372"/>
      <c r="I88" s="372"/>
      <c r="J88" s="247"/>
      <c r="K88" s="247"/>
      <c r="M88" s="400">
        <f t="shared" si="10"/>
        <v>0</v>
      </c>
      <c r="N88" s="400"/>
    </row>
    <row r="89" spans="1:14" ht="42.75" customHeight="1">
      <c r="A89" s="374" t="s">
        <v>368</v>
      </c>
      <c r="B89" s="28" t="s">
        <v>369</v>
      </c>
      <c r="C89" s="186"/>
      <c r="D89" s="186"/>
      <c r="E89" s="372">
        <f t="shared" si="12"/>
        <v>0</v>
      </c>
      <c r="F89" s="372"/>
      <c r="G89" s="372"/>
      <c r="H89" s="372"/>
      <c r="I89" s="372"/>
      <c r="J89" s="247"/>
      <c r="K89" s="247"/>
      <c r="M89" s="400">
        <f t="shared" si="10"/>
        <v>0</v>
      </c>
      <c r="N89" s="400"/>
    </row>
    <row r="90" spans="1:14" ht="42.75" customHeight="1">
      <c r="A90" s="374" t="s">
        <v>370</v>
      </c>
      <c r="B90" s="28" t="s">
        <v>371</v>
      </c>
      <c r="C90" s="186"/>
      <c r="D90" s="186"/>
      <c r="E90" s="372">
        <f t="shared" si="12"/>
        <v>0</v>
      </c>
      <c r="F90" s="372"/>
      <c r="G90" s="372"/>
      <c r="H90" s="372"/>
      <c r="I90" s="372"/>
      <c r="J90" s="247"/>
      <c r="K90" s="247"/>
      <c r="M90" s="400">
        <f t="shared" si="10"/>
        <v>0</v>
      </c>
      <c r="N90" s="400"/>
    </row>
    <row r="91" spans="1:14" ht="42.75" customHeight="1">
      <c r="A91" s="374" t="s">
        <v>372</v>
      </c>
      <c r="B91" s="28" t="s">
        <v>373</v>
      </c>
      <c r="C91" s="186"/>
      <c r="D91" s="186"/>
      <c r="E91" s="372">
        <f t="shared" si="12"/>
        <v>0</v>
      </c>
      <c r="F91" s="372"/>
      <c r="G91" s="372"/>
      <c r="H91" s="372"/>
      <c r="I91" s="372"/>
      <c r="J91" s="247"/>
      <c r="K91" s="247"/>
      <c r="M91" s="400">
        <f t="shared" si="10"/>
        <v>0</v>
      </c>
      <c r="N91" s="400"/>
    </row>
    <row r="92" spans="1:14" ht="42.75" customHeight="1">
      <c r="A92" s="374" t="s">
        <v>374</v>
      </c>
      <c r="B92" s="28" t="s">
        <v>375</v>
      </c>
      <c r="C92" s="186"/>
      <c r="D92" s="186"/>
      <c r="E92" s="372">
        <f t="shared" si="12"/>
        <v>0</v>
      </c>
      <c r="F92" s="372"/>
      <c r="G92" s="372"/>
      <c r="H92" s="372"/>
      <c r="I92" s="372"/>
      <c r="J92" s="247"/>
      <c r="K92" s="247"/>
      <c r="M92" s="400">
        <f t="shared" si="10"/>
        <v>0</v>
      </c>
      <c r="N92" s="400"/>
    </row>
    <row r="93" spans="1:14" ht="42.75" customHeight="1">
      <c r="A93" s="374" t="s">
        <v>376</v>
      </c>
      <c r="B93" s="28" t="s">
        <v>377</v>
      </c>
      <c r="C93" s="186"/>
      <c r="D93" s="186"/>
      <c r="E93" s="372">
        <f t="shared" si="12"/>
        <v>0</v>
      </c>
      <c r="F93" s="372"/>
      <c r="G93" s="372"/>
      <c r="H93" s="372"/>
      <c r="I93" s="372"/>
      <c r="J93" s="247"/>
      <c r="K93" s="247"/>
      <c r="M93" s="400">
        <f t="shared" si="10"/>
        <v>0</v>
      </c>
      <c r="N93" s="400"/>
    </row>
    <row r="94" spans="1:14" ht="42.75" customHeight="1">
      <c r="A94" s="177">
        <v>2</v>
      </c>
      <c r="B94" s="178" t="s">
        <v>378</v>
      </c>
      <c r="C94" s="186"/>
      <c r="D94" s="186"/>
      <c r="E94" s="372">
        <f t="shared" si="12"/>
        <v>0</v>
      </c>
      <c r="F94" s="372"/>
      <c r="G94" s="372"/>
      <c r="H94" s="372"/>
      <c r="I94" s="372"/>
      <c r="J94" s="247"/>
      <c r="K94" s="247"/>
      <c r="M94" s="400">
        <f t="shared" si="10"/>
        <v>0</v>
      </c>
      <c r="N94" s="400"/>
    </row>
    <row r="95" spans="1:14" ht="42.75" customHeight="1">
      <c r="A95" s="177">
        <v>3</v>
      </c>
      <c r="B95" s="178" t="s">
        <v>379</v>
      </c>
      <c r="C95" s="186"/>
      <c r="D95" s="186"/>
      <c r="E95" s="372">
        <f t="shared" si="12"/>
        <v>0</v>
      </c>
      <c r="F95" s="372"/>
      <c r="G95" s="372"/>
      <c r="H95" s="372"/>
      <c r="I95" s="372"/>
      <c r="J95" s="247"/>
      <c r="K95" s="247"/>
      <c r="M95" s="400">
        <f t="shared" si="10"/>
        <v>0</v>
      </c>
      <c r="N95" s="400"/>
    </row>
    <row r="96" spans="1:14" ht="42.75" customHeight="1">
      <c r="A96" s="177">
        <v>4</v>
      </c>
      <c r="B96" s="178" t="s">
        <v>380</v>
      </c>
      <c r="C96" s="186"/>
      <c r="D96" s="186"/>
      <c r="E96" s="372">
        <f t="shared" si="12"/>
        <v>0</v>
      </c>
      <c r="F96" s="372"/>
      <c r="G96" s="372"/>
      <c r="H96" s="372"/>
      <c r="I96" s="372"/>
      <c r="J96" s="247"/>
      <c r="K96" s="247"/>
      <c r="M96" s="400">
        <f t="shared" si="10"/>
        <v>0</v>
      </c>
      <c r="N96" s="400"/>
    </row>
    <row r="97" spans="1:14" ht="42.75" customHeight="1">
      <c r="A97" s="29" t="s">
        <v>381</v>
      </c>
      <c r="B97" s="368" t="s">
        <v>382</v>
      </c>
      <c r="C97" s="186"/>
      <c r="D97" s="186"/>
      <c r="E97" s="372">
        <f t="shared" si="12"/>
        <v>0</v>
      </c>
      <c r="F97" s="372"/>
      <c r="G97" s="372"/>
      <c r="H97" s="372"/>
      <c r="I97" s="372"/>
      <c r="J97" s="247"/>
      <c r="K97" s="247"/>
      <c r="M97" s="400">
        <f t="shared" si="10"/>
        <v>0</v>
      </c>
      <c r="N97" s="400"/>
    </row>
    <row r="98" spans="1:14" ht="42.75" customHeight="1">
      <c r="A98" s="374">
        <v>1</v>
      </c>
      <c r="B98" s="28" t="s">
        <v>383</v>
      </c>
      <c r="C98" s="186"/>
      <c r="D98" s="186"/>
      <c r="E98" s="372">
        <f t="shared" si="12"/>
        <v>0</v>
      </c>
      <c r="F98" s="372"/>
      <c r="G98" s="372"/>
      <c r="H98" s="372"/>
      <c r="I98" s="372"/>
      <c r="J98" s="247"/>
      <c r="K98" s="247"/>
      <c r="M98" s="400">
        <f t="shared" si="10"/>
        <v>0</v>
      </c>
      <c r="N98" s="400"/>
    </row>
    <row r="99" spans="1:14" ht="42.75" customHeight="1">
      <c r="A99" s="374">
        <v>2</v>
      </c>
      <c r="B99" s="28" t="s">
        <v>384</v>
      </c>
      <c r="C99" s="186"/>
      <c r="D99" s="186"/>
      <c r="E99" s="372">
        <f t="shared" si="12"/>
        <v>0</v>
      </c>
      <c r="F99" s="372"/>
      <c r="G99" s="372"/>
      <c r="H99" s="372"/>
      <c r="I99" s="372"/>
      <c r="J99" s="247"/>
      <c r="K99" s="247"/>
      <c r="M99" s="400">
        <f t="shared" si="10"/>
        <v>0</v>
      </c>
      <c r="N99" s="400"/>
    </row>
    <row r="100" spans="1:14" ht="42.75" customHeight="1">
      <c r="A100" s="374">
        <v>3</v>
      </c>
      <c r="B100" s="28" t="s">
        <v>385</v>
      </c>
      <c r="C100" s="186"/>
      <c r="D100" s="186"/>
      <c r="E100" s="372">
        <f t="shared" si="12"/>
        <v>0</v>
      </c>
      <c r="F100" s="372"/>
      <c r="G100" s="372"/>
      <c r="H100" s="372"/>
      <c r="I100" s="372"/>
      <c r="J100" s="247"/>
      <c r="K100" s="247"/>
      <c r="M100" s="400">
        <f t="shared" si="10"/>
        <v>0</v>
      </c>
      <c r="N100" s="400"/>
    </row>
    <row r="101" spans="1:14" ht="42.75" customHeight="1">
      <c r="A101" s="374">
        <v>4</v>
      </c>
      <c r="B101" s="28" t="s">
        <v>386</v>
      </c>
      <c r="C101" s="186"/>
      <c r="D101" s="186"/>
      <c r="E101" s="372">
        <f t="shared" si="12"/>
        <v>0</v>
      </c>
      <c r="F101" s="372"/>
      <c r="G101" s="372"/>
      <c r="H101" s="372"/>
      <c r="I101" s="372"/>
      <c r="J101" s="247"/>
      <c r="K101" s="247"/>
      <c r="M101" s="400">
        <f t="shared" si="10"/>
        <v>0</v>
      </c>
      <c r="N101" s="400"/>
    </row>
    <row r="102" spans="1:14" ht="42.75" customHeight="1">
      <c r="A102" s="374">
        <v>5</v>
      </c>
      <c r="B102" s="28" t="s">
        <v>387</v>
      </c>
      <c r="C102" s="186"/>
      <c r="D102" s="186"/>
      <c r="E102" s="372">
        <f t="shared" si="12"/>
        <v>0</v>
      </c>
      <c r="F102" s="372"/>
      <c r="G102" s="372"/>
      <c r="H102" s="372"/>
      <c r="I102" s="372"/>
      <c r="J102" s="247"/>
      <c r="K102" s="247"/>
      <c r="M102" s="400">
        <f t="shared" si="10"/>
        <v>0</v>
      </c>
      <c r="N102" s="400"/>
    </row>
    <row r="103" spans="1:14" ht="42.75" customHeight="1">
      <c r="A103" s="374">
        <v>6</v>
      </c>
      <c r="B103" s="28" t="s">
        <v>388</v>
      </c>
      <c r="C103" s="186"/>
      <c r="D103" s="186"/>
      <c r="E103" s="372">
        <f t="shared" si="12"/>
        <v>0</v>
      </c>
      <c r="F103" s="372"/>
      <c r="G103" s="372"/>
      <c r="H103" s="372"/>
      <c r="I103" s="372"/>
      <c r="J103" s="247"/>
      <c r="K103" s="247"/>
      <c r="M103" s="400">
        <f t="shared" si="10"/>
        <v>0</v>
      </c>
      <c r="N103" s="400"/>
    </row>
    <row r="104" spans="1:14" ht="42.75" customHeight="1">
      <c r="A104" s="374">
        <v>7</v>
      </c>
      <c r="B104" s="28" t="s">
        <v>389</v>
      </c>
      <c r="C104" s="186"/>
      <c r="D104" s="186"/>
      <c r="E104" s="372">
        <f t="shared" si="12"/>
        <v>0</v>
      </c>
      <c r="F104" s="372"/>
      <c r="G104" s="372"/>
      <c r="H104" s="372"/>
      <c r="I104" s="372"/>
      <c r="J104" s="247"/>
      <c r="K104" s="247"/>
      <c r="M104" s="400">
        <f t="shared" si="10"/>
        <v>0</v>
      </c>
      <c r="N104" s="400"/>
    </row>
    <row r="105" spans="1:14" ht="42.75" customHeight="1">
      <c r="A105" s="374">
        <v>8</v>
      </c>
      <c r="B105" s="28" t="s">
        <v>390</v>
      </c>
      <c r="C105" s="186"/>
      <c r="D105" s="186"/>
      <c r="E105" s="372">
        <f t="shared" si="12"/>
        <v>0</v>
      </c>
      <c r="F105" s="372"/>
      <c r="G105" s="372"/>
      <c r="H105" s="372"/>
      <c r="I105" s="372"/>
      <c r="J105" s="247"/>
      <c r="K105" s="247"/>
      <c r="M105" s="400">
        <f t="shared" si="10"/>
        <v>0</v>
      </c>
      <c r="N105" s="400"/>
    </row>
    <row r="106" spans="1:14" ht="42.75" customHeight="1">
      <c r="A106" s="374">
        <v>9</v>
      </c>
      <c r="B106" s="28" t="s">
        <v>377</v>
      </c>
      <c r="C106" s="186"/>
      <c r="D106" s="186"/>
      <c r="E106" s="372">
        <f t="shared" si="12"/>
        <v>0</v>
      </c>
      <c r="F106" s="372"/>
      <c r="G106" s="372"/>
      <c r="H106" s="372"/>
      <c r="I106" s="372"/>
      <c r="J106" s="247"/>
      <c r="K106" s="247"/>
      <c r="M106" s="400">
        <f t="shared" si="10"/>
        <v>0</v>
      </c>
      <c r="N106" s="400"/>
    </row>
    <row r="107" spans="1:14" ht="42.75" customHeight="1">
      <c r="A107" s="29" t="s">
        <v>391</v>
      </c>
      <c r="B107" s="368" t="s">
        <v>392</v>
      </c>
      <c r="C107" s="186"/>
      <c r="D107" s="186"/>
      <c r="E107" s="372">
        <f t="shared" si="12"/>
        <v>0</v>
      </c>
      <c r="F107" s="372"/>
      <c r="G107" s="372"/>
      <c r="H107" s="372"/>
      <c r="I107" s="372"/>
      <c r="J107" s="247"/>
      <c r="K107" s="247"/>
      <c r="M107" s="400">
        <f t="shared" si="10"/>
        <v>0</v>
      </c>
      <c r="N107" s="400"/>
    </row>
    <row r="108" spans="1:14" ht="42.75" customHeight="1">
      <c r="A108" s="29" t="s">
        <v>393</v>
      </c>
      <c r="B108" s="368" t="s">
        <v>394</v>
      </c>
      <c r="C108" s="185"/>
      <c r="D108" s="185"/>
      <c r="E108" s="155">
        <f>SUM(E109:E110)</f>
        <v>0</v>
      </c>
      <c r="F108" s="155">
        <f>SUM(F109:F110)</f>
        <v>0</v>
      </c>
      <c r="G108" s="155">
        <f>SUM(G109:G110)</f>
        <v>0</v>
      </c>
      <c r="H108" s="155">
        <f>SUM(H109:H110)</f>
        <v>0</v>
      </c>
      <c r="I108" s="155">
        <f>SUM(I109:I110)</f>
        <v>0</v>
      </c>
      <c r="J108" s="247"/>
      <c r="K108" s="247"/>
      <c r="M108" s="400">
        <f t="shared" si="10"/>
        <v>0</v>
      </c>
      <c r="N108" s="400"/>
    </row>
    <row r="109" spans="1:14" ht="42.75" customHeight="1">
      <c r="A109" s="374">
        <v>1</v>
      </c>
      <c r="B109" s="28" t="s">
        <v>395</v>
      </c>
      <c r="C109" s="186"/>
      <c r="D109" s="186"/>
      <c r="E109" s="372">
        <f t="shared" si="12"/>
        <v>0</v>
      </c>
      <c r="F109" s="372"/>
      <c r="G109" s="372"/>
      <c r="H109" s="372">
        <v>0</v>
      </c>
      <c r="I109" s="372"/>
      <c r="J109" s="247"/>
      <c r="K109" s="247"/>
      <c r="M109" s="400">
        <f t="shared" si="10"/>
        <v>0</v>
      </c>
      <c r="N109" s="400"/>
    </row>
    <row r="110" spans="1:14" ht="42.75" customHeight="1">
      <c r="A110" s="374">
        <v>2</v>
      </c>
      <c r="B110" s="28" t="s">
        <v>396</v>
      </c>
      <c r="C110" s="186"/>
      <c r="D110" s="186"/>
      <c r="E110" s="372">
        <f t="shared" si="12"/>
        <v>0</v>
      </c>
      <c r="F110" s="372"/>
      <c r="G110" s="372"/>
      <c r="H110" s="372"/>
      <c r="I110" s="372"/>
      <c r="J110" s="247"/>
      <c r="K110" s="247"/>
      <c r="M110" s="400">
        <f t="shared" si="10"/>
        <v>0</v>
      </c>
      <c r="N110" s="400"/>
    </row>
    <row r="111" spans="1:14" ht="42.75" customHeight="1">
      <c r="A111" s="29" t="s">
        <v>397</v>
      </c>
      <c r="B111" s="368" t="s">
        <v>398</v>
      </c>
      <c r="C111" s="186"/>
      <c r="D111" s="186"/>
      <c r="E111" s="372">
        <f t="shared" si="12"/>
        <v>0</v>
      </c>
      <c r="F111" s="372"/>
      <c r="G111" s="372"/>
      <c r="H111" s="372"/>
      <c r="I111" s="372"/>
      <c r="J111" s="247"/>
      <c r="K111" s="247"/>
      <c r="M111" s="400">
        <f t="shared" si="10"/>
        <v>0</v>
      </c>
      <c r="N111" s="400"/>
    </row>
    <row r="112" spans="1:14" ht="42.75" customHeight="1">
      <c r="A112" s="177">
        <v>1</v>
      </c>
      <c r="B112" s="178" t="s">
        <v>399</v>
      </c>
      <c r="C112" s="186"/>
      <c r="D112" s="186"/>
      <c r="E112" s="372">
        <f t="shared" si="12"/>
        <v>0</v>
      </c>
      <c r="F112" s="372"/>
      <c r="G112" s="372"/>
      <c r="H112" s="372"/>
      <c r="I112" s="372"/>
      <c r="J112" s="247"/>
      <c r="K112" s="247"/>
      <c r="M112" s="400">
        <f t="shared" si="10"/>
        <v>0</v>
      </c>
      <c r="N112" s="400"/>
    </row>
    <row r="113" spans="1:14" ht="42.75" customHeight="1">
      <c r="A113" s="177">
        <v>2</v>
      </c>
      <c r="B113" s="178" t="s">
        <v>400</v>
      </c>
      <c r="C113" s="186"/>
      <c r="D113" s="186"/>
      <c r="E113" s="372">
        <f t="shared" si="12"/>
        <v>0</v>
      </c>
      <c r="F113" s="372"/>
      <c r="G113" s="372"/>
      <c r="H113" s="372"/>
      <c r="I113" s="372"/>
      <c r="J113" s="247"/>
      <c r="K113" s="247"/>
      <c r="M113" s="400">
        <f t="shared" si="10"/>
        <v>0</v>
      </c>
      <c r="N113" s="400"/>
    </row>
    <row r="114" spans="1:14" ht="42.75" customHeight="1">
      <c r="A114" s="374" t="s">
        <v>401</v>
      </c>
      <c r="B114" s="28" t="s">
        <v>402</v>
      </c>
      <c r="C114" s="186"/>
      <c r="D114" s="186"/>
      <c r="E114" s="372">
        <f t="shared" si="12"/>
        <v>0</v>
      </c>
      <c r="F114" s="372"/>
      <c r="G114" s="372"/>
      <c r="H114" s="372"/>
      <c r="I114" s="372"/>
      <c r="J114" s="247"/>
      <c r="K114" s="247"/>
      <c r="M114" s="400">
        <f t="shared" si="10"/>
        <v>0</v>
      </c>
      <c r="N114" s="400"/>
    </row>
    <row r="115" spans="1:14" ht="42.75" customHeight="1">
      <c r="A115" s="374" t="s">
        <v>403</v>
      </c>
      <c r="B115" s="28" t="s">
        <v>404</v>
      </c>
      <c r="C115" s="186"/>
      <c r="D115" s="186"/>
      <c r="E115" s="372">
        <f t="shared" si="12"/>
        <v>0</v>
      </c>
      <c r="F115" s="372"/>
      <c r="G115" s="372"/>
      <c r="H115" s="372"/>
      <c r="I115" s="372"/>
      <c r="J115" s="247"/>
      <c r="K115" s="247"/>
      <c r="M115" s="400">
        <f t="shared" si="10"/>
        <v>0</v>
      </c>
      <c r="N115" s="400"/>
    </row>
    <row r="116" spans="1:14" ht="42.75" customHeight="1">
      <c r="A116" s="177">
        <v>3</v>
      </c>
      <c r="B116" s="178" t="s">
        <v>405</v>
      </c>
      <c r="C116" s="186"/>
      <c r="D116" s="186"/>
      <c r="E116" s="372">
        <f t="shared" si="12"/>
        <v>0</v>
      </c>
      <c r="F116" s="372"/>
      <c r="G116" s="372"/>
      <c r="H116" s="372"/>
      <c r="I116" s="372"/>
      <c r="J116" s="247"/>
      <c r="K116" s="247"/>
      <c r="M116" s="400">
        <f t="shared" si="10"/>
        <v>0</v>
      </c>
      <c r="N116" s="400"/>
    </row>
    <row r="117" spans="1:14" ht="42.75" customHeight="1">
      <c r="A117" s="29" t="s">
        <v>297</v>
      </c>
      <c r="B117" s="368" t="s">
        <v>406</v>
      </c>
      <c r="C117" s="186"/>
      <c r="D117" s="186"/>
      <c r="E117" s="372">
        <f t="shared" si="12"/>
        <v>0</v>
      </c>
      <c r="F117" s="372"/>
      <c r="G117" s="372"/>
      <c r="H117" s="372"/>
      <c r="I117" s="372"/>
      <c r="J117" s="247"/>
      <c r="K117" s="247"/>
      <c r="M117" s="400">
        <f t="shared" si="10"/>
        <v>0</v>
      </c>
      <c r="N117" s="400"/>
    </row>
    <row r="118" spans="1:14" ht="42.75" customHeight="1">
      <c r="A118" s="29" t="s">
        <v>307</v>
      </c>
      <c r="B118" s="368" t="s">
        <v>407</v>
      </c>
      <c r="C118" s="186"/>
      <c r="D118" s="186"/>
      <c r="E118" s="372">
        <f t="shared" si="12"/>
        <v>0</v>
      </c>
      <c r="F118" s="372"/>
      <c r="G118" s="372"/>
      <c r="H118" s="372"/>
      <c r="I118" s="372"/>
      <c r="J118" s="247"/>
      <c r="K118" s="247"/>
      <c r="M118" s="400">
        <f t="shared" si="10"/>
        <v>0</v>
      </c>
      <c r="N118" s="400"/>
    </row>
    <row r="119" spans="1:14" ht="42.75" customHeight="1">
      <c r="A119" s="374">
        <v>1</v>
      </c>
      <c r="B119" s="28" t="s">
        <v>408</v>
      </c>
      <c r="C119" s="186"/>
      <c r="D119" s="186"/>
      <c r="E119" s="372">
        <f t="shared" si="12"/>
        <v>0</v>
      </c>
      <c r="F119" s="372"/>
      <c r="G119" s="372"/>
      <c r="H119" s="372"/>
      <c r="I119" s="372"/>
      <c r="J119" s="247"/>
      <c r="K119" s="247"/>
      <c r="M119" s="400">
        <f t="shared" si="10"/>
        <v>0</v>
      </c>
      <c r="N119" s="400"/>
    </row>
    <row r="120" spans="1:14" ht="42.75" customHeight="1">
      <c r="A120" s="374">
        <v>2</v>
      </c>
      <c r="B120" s="28" t="s">
        <v>409</v>
      </c>
      <c r="C120" s="186"/>
      <c r="D120" s="186"/>
      <c r="E120" s="372">
        <f t="shared" si="12"/>
        <v>0</v>
      </c>
      <c r="F120" s="372"/>
      <c r="G120" s="372"/>
      <c r="H120" s="372"/>
      <c r="I120" s="372"/>
      <c r="J120" s="247"/>
      <c r="K120" s="247"/>
      <c r="M120" s="400">
        <f t="shared" si="10"/>
        <v>0</v>
      </c>
      <c r="N120" s="400"/>
    </row>
    <row r="121" spans="1:14" ht="42.75" customHeight="1">
      <c r="A121" s="29" t="s">
        <v>363</v>
      </c>
      <c r="B121" s="368" t="s">
        <v>410</v>
      </c>
      <c r="C121" s="186"/>
      <c r="D121" s="186"/>
      <c r="E121" s="372">
        <f t="shared" si="12"/>
        <v>0</v>
      </c>
      <c r="F121" s="372"/>
      <c r="G121" s="372"/>
      <c r="H121" s="372"/>
      <c r="I121" s="372"/>
      <c r="J121" s="247"/>
      <c r="K121" s="247"/>
      <c r="M121" s="400">
        <f t="shared" si="10"/>
        <v>0</v>
      </c>
      <c r="N121" s="400"/>
    </row>
    <row r="122" spans="1:14" ht="42.75" customHeight="1">
      <c r="A122" s="374">
        <v>1</v>
      </c>
      <c r="B122" s="28" t="s">
        <v>408</v>
      </c>
      <c r="C122" s="186"/>
      <c r="D122" s="186"/>
      <c r="E122" s="372">
        <f t="shared" si="12"/>
        <v>0</v>
      </c>
      <c r="F122" s="372"/>
      <c r="G122" s="372"/>
      <c r="H122" s="372"/>
      <c r="I122" s="372"/>
      <c r="J122" s="247"/>
      <c r="K122" s="247"/>
      <c r="M122" s="400">
        <f t="shared" si="10"/>
        <v>0</v>
      </c>
      <c r="N122" s="400"/>
    </row>
    <row r="123" spans="1:14" ht="42.75" customHeight="1">
      <c r="A123" s="374">
        <v>2</v>
      </c>
      <c r="B123" s="28" t="s">
        <v>409</v>
      </c>
      <c r="C123" s="186"/>
      <c r="D123" s="186"/>
      <c r="E123" s="372">
        <f t="shared" si="12"/>
        <v>0</v>
      </c>
      <c r="F123" s="372"/>
      <c r="G123" s="372"/>
      <c r="H123" s="372"/>
      <c r="I123" s="372"/>
      <c r="J123" s="247"/>
      <c r="K123" s="247"/>
      <c r="M123" s="400">
        <f t="shared" si="10"/>
        <v>0</v>
      </c>
      <c r="N123" s="400"/>
    </row>
    <row r="124" spans="1:14" s="169" customFormat="1" ht="42.75" customHeight="1">
      <c r="A124" s="29" t="s">
        <v>411</v>
      </c>
      <c r="B124" s="368" t="s">
        <v>412</v>
      </c>
      <c r="C124" s="185">
        <f aca="true" t="shared" si="13" ref="C124:I124">C125+C130</f>
        <v>247832000000</v>
      </c>
      <c r="D124" s="185">
        <f t="shared" si="13"/>
        <v>247832000000</v>
      </c>
      <c r="E124" s="155">
        <f t="shared" si="13"/>
        <v>393979597825</v>
      </c>
      <c r="F124" s="155">
        <f t="shared" si="13"/>
        <v>0</v>
      </c>
      <c r="G124" s="155">
        <f t="shared" si="13"/>
        <v>35215362041</v>
      </c>
      <c r="H124" s="155">
        <f t="shared" si="13"/>
        <v>311057192150</v>
      </c>
      <c r="I124" s="155">
        <f t="shared" si="13"/>
        <v>47707043634</v>
      </c>
      <c r="J124" s="247">
        <f>+E124/C124%</f>
        <v>158.9704307050744</v>
      </c>
      <c r="K124" s="247">
        <f>+E124/D124%</f>
        <v>158.9704307050744</v>
      </c>
      <c r="M124" s="400">
        <f t="shared" si="10"/>
        <v>0</v>
      </c>
      <c r="N124" s="400"/>
    </row>
    <row r="125" spans="1:14" s="169" customFormat="1" ht="42.75" customHeight="1">
      <c r="A125" s="29" t="s">
        <v>307</v>
      </c>
      <c r="B125" s="368" t="s">
        <v>413</v>
      </c>
      <c r="C125" s="185">
        <f aca="true" t="shared" si="14" ref="C125:I125">C126+C127</f>
        <v>247832000000</v>
      </c>
      <c r="D125" s="185">
        <f t="shared" si="14"/>
        <v>247832000000</v>
      </c>
      <c r="E125" s="155">
        <f t="shared" si="14"/>
        <v>358211271634</v>
      </c>
      <c r="F125" s="155">
        <f t="shared" si="14"/>
        <v>0</v>
      </c>
      <c r="G125" s="155">
        <f t="shared" si="14"/>
        <v>0</v>
      </c>
      <c r="H125" s="155">
        <f t="shared" si="14"/>
        <v>310504228000</v>
      </c>
      <c r="I125" s="155">
        <f t="shared" si="14"/>
        <v>47707043634</v>
      </c>
      <c r="J125" s="247">
        <f>+E125/C125%</f>
        <v>144.53794168388262</v>
      </c>
      <c r="K125" s="247">
        <f>+E125/D125%</f>
        <v>144.53794168388262</v>
      </c>
      <c r="M125" s="400">
        <f t="shared" si="10"/>
        <v>0</v>
      </c>
      <c r="N125" s="400"/>
    </row>
    <row r="126" spans="1:14" s="171" customFormat="1" ht="42.75" customHeight="1">
      <c r="A126" s="177" t="s">
        <v>414</v>
      </c>
      <c r="B126" s="178" t="s">
        <v>415</v>
      </c>
      <c r="C126" s="564">
        <v>234856000000</v>
      </c>
      <c r="D126" s="564">
        <f>C126</f>
        <v>234856000000</v>
      </c>
      <c r="E126" s="179">
        <f t="shared" si="12"/>
        <v>277725340000</v>
      </c>
      <c r="F126" s="179"/>
      <c r="G126" s="179"/>
      <c r="H126" s="179">
        <v>234786490000</v>
      </c>
      <c r="I126" s="179">
        <v>42938850000</v>
      </c>
      <c r="J126" s="247">
        <f>+E126/C126%</f>
        <v>118.25345743774909</v>
      </c>
      <c r="K126" s="247">
        <f>+E126/D126%</f>
        <v>118.25345743774909</v>
      </c>
      <c r="M126" s="400">
        <f t="shared" si="10"/>
        <v>0</v>
      </c>
      <c r="N126" s="400"/>
    </row>
    <row r="127" spans="1:14" s="171" customFormat="1" ht="42.75" customHeight="1">
      <c r="A127" s="177" t="s">
        <v>416</v>
      </c>
      <c r="B127" s="178" t="s">
        <v>417</v>
      </c>
      <c r="C127" s="564">
        <f>SUM(C128:C129)</f>
        <v>12976000000</v>
      </c>
      <c r="D127" s="564">
        <f>SUM(D128:D129)</f>
        <v>12976000000</v>
      </c>
      <c r="E127" s="179">
        <f>SUM(E128:E129)</f>
        <v>80485931634</v>
      </c>
      <c r="F127" s="179">
        <f>SUM(F128:F129)</f>
        <v>0</v>
      </c>
      <c r="G127" s="179">
        <f>SUM(G128:G129)</f>
        <v>0</v>
      </c>
      <c r="H127" s="179">
        <f>SUM(H128:H129)</f>
        <v>75717738000</v>
      </c>
      <c r="I127" s="179">
        <f>SUM(I128:I129)</f>
        <v>4768193634</v>
      </c>
      <c r="J127" s="247">
        <f>+E127/C127%</f>
        <v>620.2676605579531</v>
      </c>
      <c r="K127" s="247">
        <f>+E127/D127%</f>
        <v>620.2676605579531</v>
      </c>
      <c r="M127" s="400">
        <f t="shared" si="10"/>
        <v>0</v>
      </c>
      <c r="N127" s="400"/>
    </row>
    <row r="128" spans="1:14" ht="42.75" customHeight="1">
      <c r="A128" s="371" t="s">
        <v>401</v>
      </c>
      <c r="B128" s="161" t="s">
        <v>418</v>
      </c>
      <c r="C128" s="186">
        <v>12976000000</v>
      </c>
      <c r="D128" s="186">
        <f>C128</f>
        <v>12976000000</v>
      </c>
      <c r="E128" s="372">
        <f>SUM(F128:I128)</f>
        <v>80485931634</v>
      </c>
      <c r="F128" s="372"/>
      <c r="G128" s="372"/>
      <c r="H128" s="179">
        <v>75717738000</v>
      </c>
      <c r="I128" s="179">
        <v>4768193634</v>
      </c>
      <c r="J128" s="247">
        <f>+E128/C128%</f>
        <v>620.2676605579531</v>
      </c>
      <c r="K128" s="247">
        <f>+E128/D128%</f>
        <v>620.2676605579531</v>
      </c>
      <c r="M128" s="400">
        <f t="shared" si="10"/>
        <v>0</v>
      </c>
      <c r="N128" s="400"/>
    </row>
    <row r="129" spans="1:14" ht="42.75" customHeight="1">
      <c r="A129" s="371" t="s">
        <v>403</v>
      </c>
      <c r="B129" s="161" t="s">
        <v>419</v>
      </c>
      <c r="C129" s="186"/>
      <c r="D129" s="186"/>
      <c r="E129" s="372">
        <f t="shared" si="12"/>
        <v>0</v>
      </c>
      <c r="F129" s="372"/>
      <c r="G129" s="372"/>
      <c r="H129" s="372"/>
      <c r="I129" s="372"/>
      <c r="J129" s="247"/>
      <c r="K129" s="247"/>
      <c r="M129" s="400">
        <f t="shared" si="10"/>
        <v>0</v>
      </c>
      <c r="N129" s="400"/>
    </row>
    <row r="130" spans="1:14" s="169" customFormat="1" ht="42.75" customHeight="1">
      <c r="A130" s="29" t="s">
        <v>363</v>
      </c>
      <c r="B130" s="368" t="s">
        <v>420</v>
      </c>
      <c r="C130" s="185"/>
      <c r="D130" s="185"/>
      <c r="E130" s="155">
        <f t="shared" si="12"/>
        <v>35768326191</v>
      </c>
      <c r="F130" s="155"/>
      <c r="G130" s="155">
        <v>35215362041</v>
      </c>
      <c r="H130" s="155">
        <v>552964150</v>
      </c>
      <c r="I130" s="155"/>
      <c r="J130" s="247"/>
      <c r="K130" s="247"/>
      <c r="M130" s="400">
        <f t="shared" si="10"/>
        <v>0</v>
      </c>
      <c r="N130" s="400"/>
    </row>
    <row r="131" spans="1:14" s="169" customFormat="1" ht="42.75" customHeight="1">
      <c r="A131" s="29" t="s">
        <v>421</v>
      </c>
      <c r="B131" s="368" t="s">
        <v>422</v>
      </c>
      <c r="C131" s="185"/>
      <c r="D131" s="185"/>
      <c r="E131" s="155">
        <f t="shared" si="12"/>
        <v>83783253546</v>
      </c>
      <c r="F131" s="155"/>
      <c r="G131" s="155"/>
      <c r="H131" s="155">
        <v>79096471426</v>
      </c>
      <c r="I131" s="155">
        <v>4686782120</v>
      </c>
      <c r="J131" s="247"/>
      <c r="K131" s="247"/>
      <c r="M131" s="400">
        <f t="shared" si="10"/>
        <v>0</v>
      </c>
      <c r="N131" s="400"/>
    </row>
    <row r="132" spans="1:14" s="169" customFormat="1" ht="42.75" customHeight="1">
      <c r="A132" s="29" t="s">
        <v>423</v>
      </c>
      <c r="B132" s="368" t="s">
        <v>424</v>
      </c>
      <c r="C132" s="185"/>
      <c r="D132" s="185"/>
      <c r="E132" s="155">
        <f t="shared" si="12"/>
        <v>1298019595</v>
      </c>
      <c r="F132" s="155"/>
      <c r="G132" s="155"/>
      <c r="H132" s="155">
        <v>1036417240</v>
      </c>
      <c r="I132" s="155">
        <v>261602355</v>
      </c>
      <c r="J132" s="247"/>
      <c r="K132" s="247"/>
      <c r="M132" s="400">
        <f t="shared" si="10"/>
        <v>0</v>
      </c>
      <c r="N132" s="400"/>
    </row>
    <row r="133" spans="1:14" s="169" customFormat="1" ht="42.75" customHeight="1">
      <c r="A133" s="180" t="s">
        <v>425</v>
      </c>
      <c r="B133" s="403" t="s">
        <v>426</v>
      </c>
      <c r="C133" s="565"/>
      <c r="D133" s="565"/>
      <c r="E133" s="184">
        <f>SUM(E134:E135)</f>
        <v>0</v>
      </c>
      <c r="F133" s="184">
        <f>SUM(F134:F135)</f>
        <v>0</v>
      </c>
      <c r="G133" s="184">
        <f>SUM(G134:G135)</f>
        <v>0</v>
      </c>
      <c r="H133" s="184">
        <f>SUM(H134:H135)</f>
        <v>0</v>
      </c>
      <c r="I133" s="184">
        <f>SUM(I134:I135)</f>
        <v>0</v>
      </c>
      <c r="J133" s="247"/>
      <c r="K133" s="247"/>
      <c r="M133" s="400">
        <f t="shared" si="10"/>
        <v>0</v>
      </c>
      <c r="N133" s="400"/>
    </row>
    <row r="134" spans="1:14" s="169" customFormat="1" ht="20.25" customHeight="1">
      <c r="A134" s="31"/>
      <c r="B134" s="475"/>
      <c r="C134" s="566"/>
      <c r="D134" s="566"/>
      <c r="E134" s="138"/>
      <c r="F134" s="138"/>
      <c r="G134" s="138"/>
      <c r="H134" s="138"/>
      <c r="I134" s="138"/>
      <c r="J134" s="398"/>
      <c r="K134" s="398"/>
      <c r="M134" s="400">
        <f t="shared" si="10"/>
        <v>0</v>
      </c>
      <c r="N134" s="400"/>
    </row>
    <row r="135" spans="1:13" s="169" customFormat="1" ht="24.75" customHeight="1" hidden="1">
      <c r="A135" s="472">
        <v>2</v>
      </c>
      <c r="B135" s="473" t="s">
        <v>427</v>
      </c>
      <c r="C135" s="567"/>
      <c r="D135" s="567"/>
      <c r="E135" s="471">
        <f>SUM(F135:I135)</f>
        <v>0</v>
      </c>
      <c r="F135" s="471"/>
      <c r="G135" s="471"/>
      <c r="H135" s="471"/>
      <c r="I135" s="471"/>
      <c r="J135" s="554"/>
      <c r="K135" s="554"/>
      <c r="M135" s="400">
        <f t="shared" si="10"/>
        <v>0</v>
      </c>
    </row>
    <row r="136" spans="1:13" s="402" customFormat="1" ht="15.75" hidden="1">
      <c r="A136" s="237"/>
      <c r="B136" s="404" t="s">
        <v>280</v>
      </c>
      <c r="C136" s="238">
        <f>312703000000-C12</f>
        <v>-50099000000</v>
      </c>
      <c r="D136" s="238">
        <f>312703000000-D12</f>
        <v>-65129000000</v>
      </c>
      <c r="E136" s="238">
        <f>438809796449-E12</f>
        <v>-190179101530</v>
      </c>
      <c r="F136" s="238">
        <f>1292284204-F12</f>
        <v>-5083363885</v>
      </c>
      <c r="G136" s="238">
        <f>17846560282-G12</f>
        <v>-43658497174</v>
      </c>
      <c r="H136" s="238">
        <f>364097964191-H12</f>
        <v>-141166311981</v>
      </c>
      <c r="I136" s="238">
        <f>55572987772-I12</f>
        <v>-270928490</v>
      </c>
      <c r="J136" s="238"/>
      <c r="K136" s="238"/>
      <c r="M136" s="400">
        <f t="shared" si="10"/>
        <v>0</v>
      </c>
    </row>
    <row r="137" spans="1:11" s="402" customFormat="1" ht="15.75">
      <c r="A137" s="237"/>
      <c r="B137" s="404"/>
      <c r="C137" s="238"/>
      <c r="D137" s="238"/>
      <c r="E137" s="238"/>
      <c r="F137" s="238"/>
      <c r="G137" s="238"/>
      <c r="H137" s="238"/>
      <c r="I137" s="238"/>
      <c r="J137" s="238"/>
      <c r="K137" s="238"/>
    </row>
    <row r="138" ht="12.75" hidden="1"/>
    <row r="139" spans="1:10" ht="15.75" hidden="1">
      <c r="A139" s="423"/>
      <c r="B139" s="534"/>
      <c r="C139" s="568"/>
      <c r="D139" s="569"/>
      <c r="E139" s="536"/>
      <c r="F139" s="536"/>
      <c r="G139" s="537"/>
      <c r="H139" s="979" t="s">
        <v>899</v>
      </c>
      <c r="I139" s="979"/>
      <c r="J139" s="979"/>
    </row>
    <row r="140" spans="1:10" ht="23.25" customHeight="1" hidden="1">
      <c r="A140" s="980" t="s">
        <v>281</v>
      </c>
      <c r="B140" s="980"/>
      <c r="C140" s="974" t="s">
        <v>282</v>
      </c>
      <c r="D140" s="974"/>
      <c r="E140" s="974"/>
      <c r="F140" s="974"/>
      <c r="G140" s="537"/>
      <c r="H140" s="980" t="s">
        <v>283</v>
      </c>
      <c r="I140" s="980"/>
      <c r="J140" s="980"/>
    </row>
    <row r="141" spans="1:10" ht="23.25" customHeight="1" hidden="1">
      <c r="A141" s="980" t="s">
        <v>284</v>
      </c>
      <c r="B141" s="980"/>
      <c r="C141" s="974" t="s">
        <v>285</v>
      </c>
      <c r="D141" s="974"/>
      <c r="E141" s="974"/>
      <c r="F141" s="974"/>
      <c r="G141" s="537"/>
      <c r="H141" s="980" t="s">
        <v>286</v>
      </c>
      <c r="I141" s="980"/>
      <c r="J141" s="980"/>
    </row>
    <row r="142" spans="1:10" ht="15.75" hidden="1">
      <c r="A142" s="539"/>
      <c r="B142" s="538"/>
      <c r="C142" s="570"/>
      <c r="D142" s="979"/>
      <c r="E142" s="979"/>
      <c r="F142" s="979"/>
      <c r="G142" s="537"/>
      <c r="H142" s="537"/>
      <c r="I142" s="537"/>
      <c r="J142" s="537"/>
    </row>
    <row r="143" ht="12.75" hidden="1"/>
    <row r="150" ht="12.75" hidden="1"/>
    <row r="151" ht="12.75" hidden="1"/>
    <row r="152" ht="12.75" hidden="1">
      <c r="A152" s="142" t="s">
        <v>428</v>
      </c>
    </row>
  </sheetData>
  <sheetProtection/>
  <mergeCells count="19">
    <mergeCell ref="D142:F142"/>
    <mergeCell ref="A9:A10"/>
    <mergeCell ref="B9:B10"/>
    <mergeCell ref="E9:E10"/>
    <mergeCell ref="H139:J139"/>
    <mergeCell ref="A140:B140"/>
    <mergeCell ref="H140:J140"/>
    <mergeCell ref="A141:B141"/>
    <mergeCell ref="H141:J141"/>
    <mergeCell ref="C140:F140"/>
    <mergeCell ref="C141:F141"/>
    <mergeCell ref="A3:K3"/>
    <mergeCell ref="A4:K4"/>
    <mergeCell ref="A6:K6"/>
    <mergeCell ref="A7:K7"/>
    <mergeCell ref="C9:D9"/>
    <mergeCell ref="F9:I9"/>
    <mergeCell ref="J9:K9"/>
    <mergeCell ref="A5:K5"/>
  </mergeCells>
  <printOptions/>
  <pageMargins left="0.31" right="0.24" top="0.8" bottom="0.34" header="0.31" footer="0.27"/>
  <pageSetup blackAndWhite="1" horizontalDpi="600" verticalDpi="600" orientation="landscape" paperSize="9" scale="60" r:id="rId4"/>
  <drawing r:id="rId3"/>
  <legacyDrawing r:id="rId2"/>
</worksheet>
</file>

<file path=xl/worksheets/sheet5.xml><?xml version="1.0" encoding="utf-8"?>
<worksheet xmlns="http://schemas.openxmlformats.org/spreadsheetml/2006/main" xmlns:r="http://schemas.openxmlformats.org/officeDocument/2006/relationships">
  <sheetPr>
    <tabColor rgb="FFFF0000"/>
  </sheetPr>
  <dimension ref="A1:Z74"/>
  <sheetViews>
    <sheetView tabSelected="1" zoomScalePageLayoutView="0" workbookViewId="0" topLeftCell="A3">
      <pane xSplit="2" ySplit="8" topLeftCell="C11" activePane="bottomRight" state="frozen"/>
      <selection pane="topLeft" activeCell="A1" sqref="A1"/>
      <selection pane="topRight" activeCell="A1" sqref="A1"/>
      <selection pane="bottomLeft" activeCell="A1" sqref="A1"/>
      <selection pane="bottomRight" activeCell="R8" sqref="R8"/>
    </sheetView>
  </sheetViews>
  <sheetFormatPr defaultColWidth="9.33203125" defaultRowHeight="12.75"/>
  <cols>
    <col min="1" max="1" width="6.66015625" style="0" customWidth="1"/>
    <col min="2" max="2" width="60.83203125" style="0" customWidth="1"/>
    <col min="3" max="3" width="21.33203125" style="218" customWidth="1"/>
    <col min="4" max="7" width="20" style="218" hidden="1" customWidth="1"/>
    <col min="8" max="8" width="21.33203125" style="219" customWidth="1"/>
    <col min="9" max="14" width="20" style="219" hidden="1" customWidth="1"/>
    <col min="15" max="15" width="21" style="132" customWidth="1"/>
    <col min="16" max="16" width="8.66015625" style="132" customWidth="1"/>
    <col min="17" max="17" width="19.83203125" style="132" customWidth="1"/>
    <col min="18" max="18" width="20.83203125" style="132" customWidth="1"/>
    <col min="19" max="20" width="13.66015625" style="0" customWidth="1"/>
    <col min="22" max="22" width="20" style="0" bestFit="1" customWidth="1"/>
    <col min="23" max="23" width="28" style="0" customWidth="1"/>
  </cols>
  <sheetData>
    <row r="1" spans="1:18" ht="12.75">
      <c r="A1" s="20"/>
      <c r="R1" s="239" t="s">
        <v>429</v>
      </c>
    </row>
    <row r="2" spans="1:18" ht="12.75">
      <c r="A2" s="20"/>
      <c r="R2" s="239"/>
    </row>
    <row r="3" spans="1:20" ht="18">
      <c r="A3" s="975" t="s">
        <v>898</v>
      </c>
      <c r="B3" s="975"/>
      <c r="C3" s="975"/>
      <c r="D3" s="975"/>
      <c r="E3" s="975"/>
      <c r="F3" s="975"/>
      <c r="G3" s="975"/>
      <c r="H3" s="975"/>
      <c r="I3" s="975"/>
      <c r="J3" s="975"/>
      <c r="K3" s="975"/>
      <c r="L3" s="975"/>
      <c r="M3" s="975"/>
      <c r="N3" s="975"/>
      <c r="O3" s="975"/>
      <c r="P3" s="975"/>
      <c r="Q3" s="975"/>
      <c r="R3" s="975"/>
      <c r="S3" s="975"/>
      <c r="T3" s="975"/>
    </row>
    <row r="4" spans="1:20" ht="12.75" hidden="1">
      <c r="A4" s="963" t="str">
        <f>'61-H'!A4:K4</f>
        <v>Kèm theo Báo cáo số:        /BC-UBND, ngày        /tháng        năm 2020 của UBND huyện Đăk Tô)</v>
      </c>
      <c r="B4" s="963"/>
      <c r="C4" s="963"/>
      <c r="D4" s="963"/>
      <c r="E4" s="963"/>
      <c r="F4" s="963"/>
      <c r="G4" s="963"/>
      <c r="H4" s="963"/>
      <c r="I4" s="963"/>
      <c r="J4" s="963"/>
      <c r="K4" s="963"/>
      <c r="L4" s="963"/>
      <c r="M4" s="963"/>
      <c r="N4" s="963"/>
      <c r="O4" s="963"/>
      <c r="P4" s="963"/>
      <c r="Q4" s="963"/>
      <c r="R4" s="963"/>
      <c r="S4" s="963"/>
      <c r="T4" s="963"/>
    </row>
    <row r="5" spans="1:20" ht="12.75" hidden="1">
      <c r="A5" s="963" t="str">
        <f>'61-H'!A5:K5</f>
        <v>Kèm theo Tờ trình số:        /TTr-UBND, ngày        /tháng        năm 2020 của UBND huyện Đăk Tô)</v>
      </c>
      <c r="B5" s="963"/>
      <c r="C5" s="963"/>
      <c r="D5" s="963"/>
      <c r="E5" s="963"/>
      <c r="F5" s="963"/>
      <c r="G5" s="963"/>
      <c r="H5" s="963"/>
      <c r="I5" s="963"/>
      <c r="J5" s="963"/>
      <c r="K5" s="963"/>
      <c r="L5" s="963"/>
      <c r="M5" s="963"/>
      <c r="N5" s="963"/>
      <c r="O5" s="963"/>
      <c r="P5" s="963"/>
      <c r="Q5" s="963"/>
      <c r="R5" s="963"/>
      <c r="S5" s="963"/>
      <c r="T5" s="963"/>
    </row>
    <row r="6" spans="1:20" ht="12.75" hidden="1">
      <c r="A6" s="963" t="str">
        <f>'61-H'!A6:K6</f>
        <v>Kèm theo Nghi quyết số:       /NQ-HĐND, ngày        /tháng        năm 2020 của HĐND huyện Đăk Tô)</v>
      </c>
      <c r="B6" s="963"/>
      <c r="C6" s="963"/>
      <c r="D6" s="963"/>
      <c r="E6" s="963"/>
      <c r="F6" s="963"/>
      <c r="G6" s="963"/>
      <c r="H6" s="963"/>
      <c r="I6" s="963"/>
      <c r="J6" s="963"/>
      <c r="K6" s="963"/>
      <c r="L6" s="963"/>
      <c r="M6" s="963"/>
      <c r="N6" s="963"/>
      <c r="O6" s="963"/>
      <c r="P6" s="963"/>
      <c r="Q6" s="963"/>
      <c r="R6" s="963"/>
      <c r="S6" s="963"/>
      <c r="T6" s="963"/>
    </row>
    <row r="7" spans="1:20" ht="12.75">
      <c r="A7" s="963" t="s">
        <v>430</v>
      </c>
      <c r="B7" s="963"/>
      <c r="C7" s="963"/>
      <c r="D7" s="963"/>
      <c r="E7" s="963"/>
      <c r="F7" s="963"/>
      <c r="G7" s="963"/>
      <c r="H7" s="963"/>
      <c r="I7" s="963"/>
      <c r="J7" s="963"/>
      <c r="K7" s="963"/>
      <c r="L7" s="963"/>
      <c r="M7" s="963"/>
      <c r="N7" s="963"/>
      <c r="O7" s="963"/>
      <c r="P7" s="963"/>
      <c r="Q7" s="963"/>
      <c r="R7" s="963"/>
      <c r="S7" s="963"/>
      <c r="T7" s="963"/>
    </row>
    <row r="8" spans="5:20" ht="12.75">
      <c r="E8" s="218">
        <f>I12-333225900000</f>
        <v>0</v>
      </c>
      <c r="R8" s="921"/>
      <c r="T8" s="206" t="s">
        <v>288</v>
      </c>
    </row>
    <row r="9" spans="1:23" ht="31.5" customHeight="1">
      <c r="A9" s="985" t="s">
        <v>3</v>
      </c>
      <c r="B9" s="978" t="s">
        <v>431</v>
      </c>
      <c r="C9" s="981" t="s">
        <v>825</v>
      </c>
      <c r="D9" s="982"/>
      <c r="E9" s="982"/>
      <c r="F9" s="982"/>
      <c r="G9" s="982"/>
      <c r="H9" s="982"/>
      <c r="I9" s="982"/>
      <c r="J9" s="982"/>
      <c r="K9" s="982"/>
      <c r="L9" s="983"/>
      <c r="M9" s="986" t="s">
        <v>896</v>
      </c>
      <c r="N9" s="987"/>
      <c r="O9" s="977" t="s">
        <v>290</v>
      </c>
      <c r="P9" s="977"/>
      <c r="Q9" s="977"/>
      <c r="R9" s="977"/>
      <c r="S9" s="978" t="s">
        <v>432</v>
      </c>
      <c r="T9" s="978"/>
      <c r="W9" s="148">
        <f>W10-O12</f>
        <v>0</v>
      </c>
    </row>
    <row r="10" spans="1:23" ht="57.75" customHeight="1">
      <c r="A10" s="985"/>
      <c r="B10" s="978"/>
      <c r="C10" s="174" t="s">
        <v>293</v>
      </c>
      <c r="D10" s="174" t="s">
        <v>433</v>
      </c>
      <c r="E10" s="174" t="s">
        <v>434</v>
      </c>
      <c r="F10" s="174" t="s">
        <v>435</v>
      </c>
      <c r="G10" s="174" t="s">
        <v>436</v>
      </c>
      <c r="H10" s="220" t="s">
        <v>294</v>
      </c>
      <c r="I10" s="220" t="s">
        <v>1059</v>
      </c>
      <c r="J10" s="220" t="s">
        <v>434</v>
      </c>
      <c r="K10" s="220" t="s">
        <v>435</v>
      </c>
      <c r="L10" s="220" t="s">
        <v>436</v>
      </c>
      <c r="M10" s="988"/>
      <c r="N10" s="989"/>
      <c r="O10" s="151" t="s">
        <v>437</v>
      </c>
      <c r="P10" s="151" t="s">
        <v>254</v>
      </c>
      <c r="Q10" s="151" t="s">
        <v>255</v>
      </c>
      <c r="R10" s="151" t="s">
        <v>256</v>
      </c>
      <c r="S10" s="22" t="s">
        <v>293</v>
      </c>
      <c r="T10" s="22" t="s">
        <v>294</v>
      </c>
      <c r="W10" s="442">
        <f>504104587283+55644196195</f>
        <v>559748783478</v>
      </c>
    </row>
    <row r="11" spans="1:20" s="410" customFormat="1" ht="36" customHeight="1">
      <c r="A11" s="187" t="s">
        <v>296</v>
      </c>
      <c r="B11" s="23" t="s">
        <v>297</v>
      </c>
      <c r="C11" s="411" t="s">
        <v>780</v>
      </c>
      <c r="D11" s="408"/>
      <c r="E11" s="408"/>
      <c r="F11" s="408"/>
      <c r="G11" s="408"/>
      <c r="H11" s="412" t="s">
        <v>781</v>
      </c>
      <c r="I11" s="409"/>
      <c r="J11" s="409"/>
      <c r="K11" s="409"/>
      <c r="L11" s="409"/>
      <c r="M11" s="551" t="s">
        <v>894</v>
      </c>
      <c r="N11" s="551" t="s">
        <v>895</v>
      </c>
      <c r="O11" s="175" t="s">
        <v>438</v>
      </c>
      <c r="P11" s="413" t="s">
        <v>299</v>
      </c>
      <c r="Q11" s="413" t="s">
        <v>300</v>
      </c>
      <c r="R11" s="413" t="s">
        <v>301</v>
      </c>
      <c r="S11" s="187" t="s">
        <v>439</v>
      </c>
      <c r="T11" s="187" t="s">
        <v>440</v>
      </c>
    </row>
    <row r="12" spans="1:23" s="202" customFormat="1" ht="29.25" customHeight="1">
      <c r="A12" s="441"/>
      <c r="B12" s="152" t="s">
        <v>489</v>
      </c>
      <c r="C12" s="442">
        <f aca="true" t="shared" si="0" ref="C12:H12">C13+C51+C56+C57</f>
        <v>330800000000</v>
      </c>
      <c r="D12" s="442">
        <f t="shared" si="0"/>
        <v>320000000000</v>
      </c>
      <c r="E12" s="442">
        <f t="shared" si="0"/>
        <v>10800000000</v>
      </c>
      <c r="F12" s="442">
        <f t="shared" si="0"/>
        <v>0</v>
      </c>
      <c r="G12" s="442">
        <f t="shared" si="0"/>
        <v>0</v>
      </c>
      <c r="H12" s="442">
        <f t="shared" si="0"/>
        <v>346201900000</v>
      </c>
      <c r="I12" s="442">
        <f aca="true" t="shared" si="1" ref="I12:R12">I13+I51+I56+I57</f>
        <v>333225900000</v>
      </c>
      <c r="J12" s="442">
        <f t="shared" si="1"/>
        <v>12976000000</v>
      </c>
      <c r="K12" s="442">
        <f t="shared" si="1"/>
        <v>0</v>
      </c>
      <c r="L12" s="442">
        <f t="shared" si="1"/>
        <v>0</v>
      </c>
      <c r="M12" s="442"/>
      <c r="N12" s="442"/>
      <c r="O12" s="442">
        <f t="shared" si="1"/>
        <v>559748783478</v>
      </c>
      <c r="P12" s="442">
        <f t="shared" si="1"/>
        <v>0</v>
      </c>
      <c r="Q12" s="442">
        <f>Q13+Q51+Q56+Q57</f>
        <v>504104587283</v>
      </c>
      <c r="R12" s="442">
        <f t="shared" si="1"/>
        <v>55644196195</v>
      </c>
      <c r="S12" s="244">
        <f>+O12/C12%</f>
        <v>169.21063587605803</v>
      </c>
      <c r="T12" s="244">
        <f>+O12/H12%</f>
        <v>161.68275895597338</v>
      </c>
      <c r="V12" s="476">
        <f>Q12-504104587283</f>
        <v>0</v>
      </c>
      <c r="W12" s="477" t="s">
        <v>823</v>
      </c>
    </row>
    <row r="13" spans="1:22" s="202" customFormat="1" ht="29.25" customHeight="1">
      <c r="A13" s="24" t="s">
        <v>296</v>
      </c>
      <c r="B13" s="25" t="s">
        <v>441</v>
      </c>
      <c r="C13" s="221">
        <f>+C14+C32+C33+C48+C49+C50</f>
        <v>330800000000</v>
      </c>
      <c r="D13" s="221">
        <f>+D14+D32+D33+D48+D49+D50</f>
        <v>320000000000</v>
      </c>
      <c r="E13" s="221">
        <f>+E14+E32+E33+E48+E49+E50</f>
        <v>10800000000</v>
      </c>
      <c r="F13" s="221">
        <f>+F14+F32+F33+F48+F49+F50</f>
        <v>0</v>
      </c>
      <c r="G13" s="221">
        <f aca="true" t="shared" si="2" ref="G13:R13">+G14+G32+G33+G48+G49+G50</f>
        <v>0</v>
      </c>
      <c r="H13" s="221">
        <f t="shared" si="2"/>
        <v>346201900000</v>
      </c>
      <c r="I13" s="221">
        <f t="shared" si="2"/>
        <v>333225900000</v>
      </c>
      <c r="J13" s="221">
        <f t="shared" si="2"/>
        <v>12976000000</v>
      </c>
      <c r="K13" s="221">
        <f t="shared" si="2"/>
        <v>0</v>
      </c>
      <c r="L13" s="221">
        <f t="shared" si="2"/>
        <v>0</v>
      </c>
      <c r="M13" s="221"/>
      <c r="N13" s="221"/>
      <c r="O13" s="221">
        <f t="shared" si="2"/>
        <v>476273413653</v>
      </c>
      <c r="P13" s="221">
        <f t="shared" si="2"/>
        <v>0</v>
      </c>
      <c r="Q13" s="221">
        <f>+Q14+Q32+Q33+Q48+Q49+Q50</f>
        <v>421182181608</v>
      </c>
      <c r="R13" s="221">
        <f t="shared" si="2"/>
        <v>55091232045</v>
      </c>
      <c r="S13" s="244">
        <f>+O13/C13%</f>
        <v>143.9762435468561</v>
      </c>
      <c r="T13" s="244">
        <f>+O13/H13%</f>
        <v>137.57099936568807</v>
      </c>
      <c r="V13" s="259"/>
    </row>
    <row r="14" spans="1:26" s="217" customFormat="1" ht="29.25" customHeight="1">
      <c r="A14" s="222" t="s">
        <v>307</v>
      </c>
      <c r="B14" s="223" t="s">
        <v>442</v>
      </c>
      <c r="C14" s="224">
        <f>C15+C30+C31</f>
        <v>21780000000</v>
      </c>
      <c r="D14" s="224">
        <f>D15+D30+D31</f>
        <v>10980000000</v>
      </c>
      <c r="E14" s="224">
        <f>E15+E30+E31</f>
        <v>10800000000</v>
      </c>
      <c r="F14" s="224">
        <f>F15+F30+F31</f>
        <v>0</v>
      </c>
      <c r="G14" s="224">
        <f>G15+G30+G31</f>
        <v>0</v>
      </c>
      <c r="H14" s="224">
        <f aca="true" t="shared" si="3" ref="H14:R14">H15+H30+H31</f>
        <v>35006400000</v>
      </c>
      <c r="I14" s="224">
        <f t="shared" si="3"/>
        <v>24206400000</v>
      </c>
      <c r="J14" s="224">
        <f t="shared" si="3"/>
        <v>10800000000</v>
      </c>
      <c r="K14" s="224">
        <f t="shared" si="3"/>
        <v>0</v>
      </c>
      <c r="L14" s="224">
        <f t="shared" si="3"/>
        <v>0</v>
      </c>
      <c r="M14" s="224"/>
      <c r="N14" s="224"/>
      <c r="O14" s="224">
        <f>O15+O30+O31</f>
        <v>58326935000</v>
      </c>
      <c r="P14" s="224">
        <f t="shared" si="3"/>
        <v>0</v>
      </c>
      <c r="Q14" s="224">
        <f>Q15+Q30+Q31</f>
        <v>56480292000</v>
      </c>
      <c r="R14" s="224">
        <f t="shared" si="3"/>
        <v>1846643000</v>
      </c>
      <c r="S14" s="245">
        <f>+O14/C14%</f>
        <v>267.80043617998166</v>
      </c>
      <c r="T14" s="245">
        <f>+O14/H14%</f>
        <v>166.61791843777138</v>
      </c>
      <c r="U14" s="131"/>
      <c r="V14" s="131"/>
      <c r="W14" s="131"/>
      <c r="X14" s="131"/>
      <c r="Y14" s="131"/>
      <c r="Z14" s="131"/>
    </row>
    <row r="15" spans="1:26" s="217" customFormat="1" ht="42" customHeight="1">
      <c r="A15" s="222">
        <v>1</v>
      </c>
      <c r="B15" s="223" t="s">
        <v>900</v>
      </c>
      <c r="C15" s="224">
        <f>SUM(C16:C29)</f>
        <v>21780000000</v>
      </c>
      <c r="D15" s="224">
        <f>SUM(D16:D29)</f>
        <v>10980000000</v>
      </c>
      <c r="E15" s="224">
        <f>SUM(E16:E29)</f>
        <v>10800000000</v>
      </c>
      <c r="F15" s="224">
        <f>SUM(F16:F29)</f>
        <v>0</v>
      </c>
      <c r="G15" s="224">
        <f>SUM(G16:G29)</f>
        <v>0</v>
      </c>
      <c r="H15" s="224">
        <f>SUM(H16:H29)</f>
        <v>35006400000</v>
      </c>
      <c r="I15" s="224">
        <f>SUM(I16:I29)</f>
        <v>24206400000</v>
      </c>
      <c r="J15" s="224">
        <f>SUM(J16:J29)</f>
        <v>10800000000</v>
      </c>
      <c r="K15" s="224">
        <f>SUM(K16:K29)</f>
        <v>0</v>
      </c>
      <c r="L15" s="224">
        <f aca="true" t="shared" si="4" ref="L15:R15">SUM(L16:L29)</f>
        <v>0</v>
      </c>
      <c r="M15" s="224">
        <f t="shared" si="4"/>
        <v>0</v>
      </c>
      <c r="N15" s="224">
        <f t="shared" si="4"/>
        <v>0</v>
      </c>
      <c r="O15" s="224">
        <f t="shared" si="4"/>
        <v>58326935000</v>
      </c>
      <c r="P15" s="224">
        <f t="shared" si="4"/>
        <v>0</v>
      </c>
      <c r="Q15" s="224">
        <f t="shared" si="4"/>
        <v>56480292000</v>
      </c>
      <c r="R15" s="224">
        <f t="shared" si="4"/>
        <v>1846643000</v>
      </c>
      <c r="S15" s="245">
        <f>+O15/C15%</f>
        <v>267.80043617998166</v>
      </c>
      <c r="T15" s="245">
        <f>+O15/H15%</f>
        <v>166.61791843777138</v>
      </c>
      <c r="U15" s="131"/>
      <c r="V15" s="131"/>
      <c r="W15" s="131"/>
      <c r="X15" s="131"/>
      <c r="Y15" s="131"/>
      <c r="Z15" s="131"/>
    </row>
    <row r="16" spans="1:20" s="131" customFormat="1" ht="29.25" customHeight="1">
      <c r="A16" s="225" t="s">
        <v>366</v>
      </c>
      <c r="B16" s="560" t="s">
        <v>443</v>
      </c>
      <c r="C16" s="226">
        <f aca="true" t="shared" si="5" ref="C16:C31">SUM(D16:G16)</f>
        <v>0</v>
      </c>
      <c r="D16" s="226"/>
      <c r="E16" s="226"/>
      <c r="F16" s="226"/>
      <c r="G16" s="226"/>
      <c r="H16" s="226">
        <f aca="true" t="shared" si="6" ref="H16:H29">SUM(I16:L16)</f>
        <v>0</v>
      </c>
      <c r="I16" s="226"/>
      <c r="J16" s="226"/>
      <c r="K16" s="226"/>
      <c r="L16" s="226"/>
      <c r="M16" s="226"/>
      <c r="N16" s="226"/>
      <c r="O16" s="186"/>
      <c r="P16" s="186"/>
      <c r="Q16" s="185"/>
      <c r="R16" s="185"/>
      <c r="S16" s="246"/>
      <c r="T16" s="246"/>
    </row>
    <row r="17" spans="1:20" s="131" customFormat="1" ht="29.25" customHeight="1">
      <c r="A17" s="225" t="s">
        <v>368</v>
      </c>
      <c r="B17" s="560" t="s">
        <v>444</v>
      </c>
      <c r="C17" s="226">
        <f t="shared" si="5"/>
        <v>0</v>
      </c>
      <c r="D17" s="226"/>
      <c r="E17" s="226"/>
      <c r="F17" s="226"/>
      <c r="G17" s="226"/>
      <c r="H17" s="226">
        <f t="shared" si="6"/>
        <v>0</v>
      </c>
      <c r="I17" s="226"/>
      <c r="J17" s="226"/>
      <c r="K17" s="226"/>
      <c r="L17" s="226"/>
      <c r="M17" s="226"/>
      <c r="N17" s="226"/>
      <c r="O17" s="186">
        <f>SUM(P17:R17)</f>
        <v>0</v>
      </c>
      <c r="P17" s="186"/>
      <c r="Q17" s="186"/>
      <c r="R17" s="186"/>
      <c r="S17" s="246"/>
      <c r="T17" s="246"/>
    </row>
    <row r="18" spans="1:20" s="131" customFormat="1" ht="29.25" customHeight="1">
      <c r="A18" s="225" t="s">
        <v>370</v>
      </c>
      <c r="B18" s="560" t="s">
        <v>445</v>
      </c>
      <c r="C18" s="226">
        <f t="shared" si="5"/>
        <v>5245660000</v>
      </c>
      <c r="D18" s="226">
        <f>786660000+1759000000</f>
        <v>2545660000</v>
      </c>
      <c r="E18" s="226">
        <f>2030000000+670000000</f>
        <v>2700000000</v>
      </c>
      <c r="F18" s="226"/>
      <c r="G18" s="226"/>
      <c r="H18" s="226">
        <f>SUM(I18:L18)</f>
        <v>5245660000</v>
      </c>
      <c r="I18" s="226">
        <f>786660000+1759000000</f>
        <v>2545660000</v>
      </c>
      <c r="J18" s="226">
        <f>2030000000+670000000</f>
        <v>2700000000</v>
      </c>
      <c r="K18" s="226"/>
      <c r="L18" s="226"/>
      <c r="M18" s="226"/>
      <c r="N18" s="226"/>
      <c r="O18" s="186">
        <f aca="true" t="shared" si="7" ref="O18:O31">SUM(P18:R18)</f>
        <v>14503619000</v>
      </c>
      <c r="P18" s="186"/>
      <c r="Q18" s="186">
        <v>14503619000</v>
      </c>
      <c r="R18" s="186"/>
      <c r="S18" s="246">
        <f>+O18/C18%</f>
        <v>276.4879729147524</v>
      </c>
      <c r="T18" s="246">
        <f>+O18/H18%</f>
        <v>276.4879729147524</v>
      </c>
    </row>
    <row r="19" spans="1:20" s="131" customFormat="1" ht="29.25" customHeight="1">
      <c r="A19" s="225" t="s">
        <v>372</v>
      </c>
      <c r="B19" s="560" t="s">
        <v>446</v>
      </c>
      <c r="C19" s="226">
        <f t="shared" si="5"/>
        <v>0</v>
      </c>
      <c r="D19" s="226"/>
      <c r="E19" s="226"/>
      <c r="F19" s="226"/>
      <c r="G19" s="226"/>
      <c r="H19" s="226">
        <f t="shared" si="6"/>
        <v>0</v>
      </c>
      <c r="I19" s="226"/>
      <c r="J19" s="226"/>
      <c r="K19" s="226"/>
      <c r="L19" s="226"/>
      <c r="M19" s="226"/>
      <c r="N19" s="226"/>
      <c r="O19" s="186">
        <f t="shared" si="7"/>
        <v>0</v>
      </c>
      <c r="P19" s="186"/>
      <c r="Q19" s="186"/>
      <c r="R19" s="186"/>
      <c r="S19" s="246"/>
      <c r="T19" s="246"/>
    </row>
    <row r="20" spans="1:20" s="131" customFormat="1" ht="29.25" customHeight="1">
      <c r="A20" s="225" t="s">
        <v>374</v>
      </c>
      <c r="B20" s="560" t="s">
        <v>447</v>
      </c>
      <c r="C20" s="226">
        <f t="shared" si="5"/>
        <v>0</v>
      </c>
      <c r="D20" s="226"/>
      <c r="E20" s="226"/>
      <c r="F20" s="226"/>
      <c r="G20" s="226"/>
      <c r="H20" s="226">
        <f t="shared" si="6"/>
        <v>0</v>
      </c>
      <c r="I20" s="226"/>
      <c r="J20" s="226"/>
      <c r="K20" s="226"/>
      <c r="L20" s="226"/>
      <c r="M20" s="226"/>
      <c r="N20" s="226"/>
      <c r="O20" s="186">
        <f t="shared" si="7"/>
        <v>0</v>
      </c>
      <c r="P20" s="186"/>
      <c r="Q20" s="186"/>
      <c r="R20" s="186"/>
      <c r="S20" s="246"/>
      <c r="T20" s="246"/>
    </row>
    <row r="21" spans="1:20" s="131" customFormat="1" ht="29.25" customHeight="1">
      <c r="A21" s="225" t="s">
        <v>376</v>
      </c>
      <c r="B21" s="560" t="s">
        <v>448</v>
      </c>
      <c r="C21" s="226">
        <f t="shared" si="5"/>
        <v>949000000</v>
      </c>
      <c r="D21" s="226">
        <v>949000000</v>
      </c>
      <c r="E21" s="226"/>
      <c r="F21" s="226"/>
      <c r="G21" s="226"/>
      <c r="H21" s="226">
        <f t="shared" si="6"/>
        <v>949000000</v>
      </c>
      <c r="I21" s="226">
        <v>949000000</v>
      </c>
      <c r="J21" s="226"/>
      <c r="K21" s="226"/>
      <c r="L21" s="226"/>
      <c r="M21" s="226"/>
      <c r="N21" s="226"/>
      <c r="O21" s="186">
        <f t="shared" si="7"/>
        <v>1962441000</v>
      </c>
      <c r="P21" s="186"/>
      <c r="Q21" s="186">
        <v>1962441000</v>
      </c>
      <c r="R21" s="186"/>
      <c r="S21" s="246">
        <f>+O21/C21%</f>
        <v>206.79041095890412</v>
      </c>
      <c r="T21" s="246">
        <f>+O21/H21%</f>
        <v>206.79041095890412</v>
      </c>
    </row>
    <row r="22" spans="1:20" s="131" customFormat="1" ht="29.25" customHeight="1">
      <c r="A22" s="225" t="s">
        <v>449</v>
      </c>
      <c r="B22" s="560" t="s">
        <v>450</v>
      </c>
      <c r="C22" s="226">
        <f t="shared" si="5"/>
        <v>0</v>
      </c>
      <c r="D22" s="226"/>
      <c r="E22" s="226"/>
      <c r="F22" s="226"/>
      <c r="G22" s="226"/>
      <c r="H22" s="226">
        <f t="shared" si="6"/>
        <v>0</v>
      </c>
      <c r="I22" s="226"/>
      <c r="J22" s="226"/>
      <c r="K22" s="226"/>
      <c r="L22" s="226"/>
      <c r="M22" s="226"/>
      <c r="N22" s="226"/>
      <c r="O22" s="186">
        <f t="shared" si="7"/>
        <v>238006000</v>
      </c>
      <c r="P22" s="186"/>
      <c r="Q22" s="186">
        <v>238006000</v>
      </c>
      <c r="R22" s="186"/>
      <c r="S22" s="246"/>
      <c r="T22" s="246"/>
    </row>
    <row r="23" spans="1:20" s="131" customFormat="1" ht="29.25" customHeight="1">
      <c r="A23" s="225" t="s">
        <v>451</v>
      </c>
      <c r="B23" s="560" t="s">
        <v>452</v>
      </c>
      <c r="C23" s="226">
        <f t="shared" si="5"/>
        <v>0</v>
      </c>
      <c r="D23" s="226"/>
      <c r="E23" s="226"/>
      <c r="F23" s="226"/>
      <c r="G23" s="226"/>
      <c r="H23" s="226">
        <f t="shared" si="6"/>
        <v>0</v>
      </c>
      <c r="I23" s="226"/>
      <c r="J23" s="226"/>
      <c r="K23" s="226"/>
      <c r="L23" s="226"/>
      <c r="M23" s="226"/>
      <c r="N23" s="226"/>
      <c r="O23" s="186">
        <f t="shared" si="7"/>
        <v>517718000</v>
      </c>
      <c r="P23" s="186"/>
      <c r="Q23" s="186">
        <v>517718000</v>
      </c>
      <c r="R23" s="186"/>
      <c r="S23" s="246" t="e">
        <f>+O23/C23%</f>
        <v>#DIV/0!</v>
      </c>
      <c r="T23" s="246" t="e">
        <f>+O23/H23%</f>
        <v>#DIV/0!</v>
      </c>
    </row>
    <row r="24" spans="1:20" s="131" customFormat="1" ht="29.25" customHeight="1">
      <c r="A24" s="225" t="s">
        <v>453</v>
      </c>
      <c r="B24" s="560" t="s">
        <v>454</v>
      </c>
      <c r="C24" s="226">
        <f t="shared" si="5"/>
        <v>0</v>
      </c>
      <c r="D24" s="226"/>
      <c r="E24" s="226"/>
      <c r="F24" s="226"/>
      <c r="G24" s="226"/>
      <c r="H24" s="226">
        <f t="shared" si="6"/>
        <v>0</v>
      </c>
      <c r="I24" s="226"/>
      <c r="J24" s="226"/>
      <c r="K24" s="226"/>
      <c r="L24" s="226"/>
      <c r="M24" s="226"/>
      <c r="N24" s="226"/>
      <c r="O24" s="186">
        <f t="shared" si="7"/>
        <v>0</v>
      </c>
      <c r="P24" s="186"/>
      <c r="Q24" s="186"/>
      <c r="R24" s="186"/>
      <c r="S24" s="246"/>
      <c r="T24" s="246"/>
    </row>
    <row r="25" spans="1:20" s="131" customFormat="1" ht="29.25" customHeight="1">
      <c r="A25" s="225" t="s">
        <v>455</v>
      </c>
      <c r="B25" s="560" t="s">
        <v>901</v>
      </c>
      <c r="C25" s="226">
        <f t="shared" si="5"/>
        <v>13058860000</v>
      </c>
      <c r="D25" s="226">
        <f>1200000000+450000000+3208860000+100000000</f>
        <v>4958860000</v>
      </c>
      <c r="E25" s="226">
        <f>5600000000+2500000000</f>
        <v>8100000000</v>
      </c>
      <c r="F25" s="226"/>
      <c r="G25" s="226"/>
      <c r="H25" s="226">
        <f t="shared" si="6"/>
        <v>13058860000</v>
      </c>
      <c r="I25" s="226">
        <f>1200000000+450000000+3208860000+100000000</f>
        <v>4958860000</v>
      </c>
      <c r="J25" s="226">
        <f>5600000000+2500000000</f>
        <v>8100000000</v>
      </c>
      <c r="K25" s="226"/>
      <c r="L25" s="226"/>
      <c r="M25" s="226"/>
      <c r="N25" s="226"/>
      <c r="O25" s="186">
        <f t="shared" si="7"/>
        <v>34658694000</v>
      </c>
      <c r="P25" s="186"/>
      <c r="Q25" s="186">
        <v>32812051000</v>
      </c>
      <c r="R25" s="186">
        <v>1846643000</v>
      </c>
      <c r="S25" s="246">
        <f>+O25/C25%</f>
        <v>265.40367229605033</v>
      </c>
      <c r="T25" s="246">
        <f>+O25/H25%</f>
        <v>265.40367229605033</v>
      </c>
    </row>
    <row r="26" spans="1:20" s="455" customFormat="1" ht="29.25" customHeight="1">
      <c r="A26" s="546"/>
      <c r="B26" s="258" t="s">
        <v>891</v>
      </c>
      <c r="C26" s="547"/>
      <c r="D26" s="547"/>
      <c r="E26" s="547"/>
      <c r="F26" s="547"/>
      <c r="G26" s="547"/>
      <c r="H26" s="547"/>
      <c r="I26" s="547"/>
      <c r="J26" s="547"/>
      <c r="K26" s="547"/>
      <c r="L26" s="547"/>
      <c r="M26" s="547"/>
      <c r="N26" s="547"/>
      <c r="O26" s="548">
        <f>SUM(P26:R26)</f>
        <v>0</v>
      </c>
      <c r="P26" s="548"/>
      <c r="Q26" s="548"/>
      <c r="R26" s="548"/>
      <c r="S26" s="549"/>
      <c r="T26" s="549"/>
    </row>
    <row r="27" spans="1:20" s="131" customFormat="1" ht="29.25" customHeight="1">
      <c r="A27" s="225" t="s">
        <v>456</v>
      </c>
      <c r="B27" s="560" t="s">
        <v>457</v>
      </c>
      <c r="C27" s="226">
        <f t="shared" si="5"/>
        <v>2526480000</v>
      </c>
      <c r="D27" s="226">
        <f>2426480000+100000000</f>
        <v>2526480000</v>
      </c>
      <c r="E27" s="226"/>
      <c r="F27" s="226"/>
      <c r="G27" s="226"/>
      <c r="H27" s="226">
        <f t="shared" si="6"/>
        <v>2526480000</v>
      </c>
      <c r="I27" s="226">
        <f>2426480000+100000000</f>
        <v>2526480000</v>
      </c>
      <c r="J27" s="226"/>
      <c r="K27" s="226"/>
      <c r="L27" s="226"/>
      <c r="M27" s="226"/>
      <c r="N27" s="226"/>
      <c r="O27" s="186">
        <f t="shared" si="7"/>
        <v>6446457000</v>
      </c>
      <c r="P27" s="186"/>
      <c r="Q27" s="186">
        <v>6446457000</v>
      </c>
      <c r="R27" s="186"/>
      <c r="S27" s="246"/>
      <c r="T27" s="246"/>
    </row>
    <row r="28" spans="1:20" s="131" customFormat="1" ht="29.25" customHeight="1">
      <c r="A28" s="225" t="s">
        <v>458</v>
      </c>
      <c r="B28" s="560" t="s">
        <v>459</v>
      </c>
      <c r="C28" s="226">
        <f t="shared" si="5"/>
        <v>0</v>
      </c>
      <c r="D28" s="226"/>
      <c r="E28" s="226"/>
      <c r="F28" s="226"/>
      <c r="G28" s="226"/>
      <c r="H28" s="226">
        <f t="shared" si="6"/>
        <v>0</v>
      </c>
      <c r="I28" s="226"/>
      <c r="J28" s="226"/>
      <c r="K28" s="226"/>
      <c r="L28" s="226"/>
      <c r="M28" s="226"/>
      <c r="N28" s="226"/>
      <c r="O28" s="186">
        <f t="shared" si="7"/>
        <v>0</v>
      </c>
      <c r="P28" s="186"/>
      <c r="Q28" s="186"/>
      <c r="R28" s="186"/>
      <c r="S28" s="246"/>
      <c r="T28" s="246"/>
    </row>
    <row r="29" spans="1:20" s="131" customFormat="1" ht="29.25" customHeight="1">
      <c r="A29" s="225" t="s">
        <v>460</v>
      </c>
      <c r="B29" s="560" t="s">
        <v>902</v>
      </c>
      <c r="C29" s="226">
        <f t="shared" si="5"/>
        <v>0</v>
      </c>
      <c r="D29" s="226"/>
      <c r="E29" s="226"/>
      <c r="F29" s="226"/>
      <c r="G29" s="226"/>
      <c r="H29" s="226">
        <f t="shared" si="6"/>
        <v>13226400000</v>
      </c>
      <c r="I29" s="226">
        <v>13226400000</v>
      </c>
      <c r="J29" s="226"/>
      <c r="K29" s="226"/>
      <c r="L29" s="226"/>
      <c r="M29" s="226"/>
      <c r="N29" s="226"/>
      <c r="O29" s="186">
        <f t="shared" si="7"/>
        <v>0</v>
      </c>
      <c r="P29" s="186"/>
      <c r="Q29" s="186"/>
      <c r="R29" s="186"/>
      <c r="S29" s="246"/>
      <c r="T29" s="246"/>
    </row>
    <row r="30" spans="1:20" s="131" customFormat="1" ht="29.25" customHeight="1">
      <c r="A30" s="222">
        <v>2</v>
      </c>
      <c r="B30" s="223" t="s">
        <v>461</v>
      </c>
      <c r="C30" s="226"/>
      <c r="D30" s="226"/>
      <c r="E30" s="226"/>
      <c r="F30" s="226"/>
      <c r="G30" s="226"/>
      <c r="H30" s="227"/>
      <c r="I30" s="226"/>
      <c r="J30" s="226"/>
      <c r="K30" s="226"/>
      <c r="L30" s="226"/>
      <c r="M30" s="226"/>
      <c r="N30" s="226"/>
      <c r="O30" s="186">
        <f t="shared" si="7"/>
        <v>0</v>
      </c>
      <c r="P30" s="186"/>
      <c r="Q30" s="186"/>
      <c r="R30" s="186"/>
      <c r="S30" s="246"/>
      <c r="T30" s="246"/>
    </row>
    <row r="31" spans="1:20" s="131" customFormat="1" ht="29.25" customHeight="1">
      <c r="A31" s="222">
        <v>3</v>
      </c>
      <c r="B31" s="223" t="s">
        <v>462</v>
      </c>
      <c r="C31" s="226">
        <f t="shared" si="5"/>
        <v>0</v>
      </c>
      <c r="D31" s="226"/>
      <c r="E31" s="226"/>
      <c r="F31" s="226"/>
      <c r="G31" s="226"/>
      <c r="H31" s="226">
        <f>SUM(I31:L31)</f>
        <v>0</v>
      </c>
      <c r="I31" s="226"/>
      <c r="J31" s="226"/>
      <c r="K31" s="226"/>
      <c r="L31" s="226"/>
      <c r="M31" s="226"/>
      <c r="N31" s="226"/>
      <c r="O31" s="186">
        <f t="shared" si="7"/>
        <v>0</v>
      </c>
      <c r="P31" s="186"/>
      <c r="Q31" s="186"/>
      <c r="R31" s="186"/>
      <c r="S31" s="246"/>
      <c r="T31" s="246"/>
    </row>
    <row r="32" spans="1:20" ht="29.25" customHeight="1">
      <c r="A32" s="29" t="s">
        <v>363</v>
      </c>
      <c r="B32" s="30" t="s">
        <v>463</v>
      </c>
      <c r="C32" s="226"/>
      <c r="D32" s="226"/>
      <c r="E32" s="226"/>
      <c r="F32" s="226"/>
      <c r="G32" s="226"/>
      <c r="H32" s="227"/>
      <c r="I32" s="227"/>
      <c r="J32" s="227"/>
      <c r="K32" s="227"/>
      <c r="L32" s="227"/>
      <c r="M32" s="227"/>
      <c r="N32" s="227"/>
      <c r="O32" s="137">
        <f aca="true" t="shared" si="8" ref="O32:O50">SUM(P32:R32)</f>
        <v>0</v>
      </c>
      <c r="P32" s="137"/>
      <c r="Q32" s="137"/>
      <c r="R32" s="137"/>
      <c r="S32" s="247"/>
      <c r="T32" s="247"/>
    </row>
    <row r="33" spans="1:20" s="202" customFormat="1" ht="29.25" customHeight="1">
      <c r="A33" s="29" t="s">
        <v>381</v>
      </c>
      <c r="B33" s="30" t="s">
        <v>464</v>
      </c>
      <c r="C33" s="224">
        <f>SUM(C34:C47)</f>
        <v>309020000000</v>
      </c>
      <c r="D33" s="224">
        <f>SUM(D34:D47)</f>
        <v>309020000000</v>
      </c>
      <c r="E33" s="224">
        <f>SUM(E34:E47)</f>
        <v>0</v>
      </c>
      <c r="F33" s="224">
        <f>SUM(F34:F47)</f>
        <v>0</v>
      </c>
      <c r="G33" s="224">
        <f>SUM(G34:G47)</f>
        <v>0</v>
      </c>
      <c r="H33" s="228">
        <f>SUM(H34:H47)</f>
        <v>311195500000</v>
      </c>
      <c r="I33" s="224">
        <f>SUM(I34:I47)</f>
        <v>309019500000</v>
      </c>
      <c r="J33" s="224">
        <f>SUM(J34:J47)</f>
        <v>2176000000</v>
      </c>
      <c r="K33" s="224">
        <f>SUM(K34:K47)</f>
        <v>0</v>
      </c>
      <c r="L33" s="224">
        <f>SUM(L34:L47)</f>
        <v>0</v>
      </c>
      <c r="M33" s="224"/>
      <c r="N33" s="224"/>
      <c r="O33" s="155">
        <f>SUM(O34:O47)</f>
        <v>315072397822</v>
      </c>
      <c r="P33" s="155">
        <f>SUM(P34:P47)</f>
        <v>0</v>
      </c>
      <c r="Q33" s="155">
        <f>SUM(Q34:Q47)</f>
        <v>266602531554</v>
      </c>
      <c r="R33" s="155">
        <f>SUM(R34:R47)</f>
        <v>48469866268</v>
      </c>
      <c r="S33" s="248">
        <f>+O33/C33%</f>
        <v>101.95857802795936</v>
      </c>
      <c r="T33" s="248">
        <f>+O33/H33%</f>
        <v>101.2458078031334</v>
      </c>
    </row>
    <row r="34" spans="1:20" ht="29.25" customHeight="1">
      <c r="A34" s="27" t="s">
        <v>401</v>
      </c>
      <c r="B34" s="28" t="s">
        <v>443</v>
      </c>
      <c r="C34" s="226">
        <f>SUM(D34:G34)</f>
        <v>3508000000</v>
      </c>
      <c r="D34" s="226">
        <v>3508000000</v>
      </c>
      <c r="E34" s="226"/>
      <c r="F34" s="226"/>
      <c r="G34" s="227"/>
      <c r="H34" s="227">
        <f>SUM(I34:L34)</f>
        <v>4585000000</v>
      </c>
      <c r="I34" s="227">
        <v>4585000000</v>
      </c>
      <c r="J34" s="226"/>
      <c r="K34" s="226"/>
      <c r="L34" s="227"/>
      <c r="M34" s="227"/>
      <c r="N34" s="227"/>
      <c r="O34" s="137">
        <f t="shared" si="8"/>
        <v>6061729226</v>
      </c>
      <c r="P34" s="137"/>
      <c r="Q34" s="553">
        <v>1970331700</v>
      </c>
      <c r="R34" s="553">
        <v>4091397526</v>
      </c>
      <c r="S34" s="247">
        <f>+O34/C34%</f>
        <v>172.79729834663627</v>
      </c>
      <c r="T34" s="247">
        <f>+O34/H34%</f>
        <v>132.20783480916032</v>
      </c>
    </row>
    <row r="35" spans="1:20" ht="29.25" customHeight="1">
      <c r="A35" s="27" t="s">
        <v>403</v>
      </c>
      <c r="B35" s="28" t="s">
        <v>444</v>
      </c>
      <c r="C35" s="226">
        <f aca="true" t="shared" si="9" ref="C35:C48">SUM(D35:G35)</f>
        <v>1922000000</v>
      </c>
      <c r="D35" s="226">
        <v>1922000000</v>
      </c>
      <c r="E35" s="226"/>
      <c r="F35" s="226"/>
      <c r="G35" s="227"/>
      <c r="H35" s="227">
        <f>SUM(I35:L35)</f>
        <v>1736500000</v>
      </c>
      <c r="I35" s="227">
        <v>1736500000</v>
      </c>
      <c r="J35" s="226"/>
      <c r="K35" s="226"/>
      <c r="L35" s="227"/>
      <c r="M35" s="227"/>
      <c r="N35" s="227"/>
      <c r="O35" s="137">
        <f t="shared" si="8"/>
        <v>1979013627</v>
      </c>
      <c r="P35" s="137"/>
      <c r="Q35" s="553">
        <v>1459000000</v>
      </c>
      <c r="R35" s="553">
        <v>520013627</v>
      </c>
      <c r="S35" s="247">
        <f>+O35/C35%</f>
        <v>102.9663697710718</v>
      </c>
      <c r="T35" s="247">
        <f>+O35/H35%</f>
        <v>113.96565660811979</v>
      </c>
    </row>
    <row r="36" spans="1:20" ht="29.25" customHeight="1">
      <c r="A36" s="27" t="s">
        <v>465</v>
      </c>
      <c r="B36" s="28" t="s">
        <v>445</v>
      </c>
      <c r="C36" s="226">
        <f>SUM(D36:G36)</f>
        <v>190771000000</v>
      </c>
      <c r="D36" s="226">
        <v>190771000000</v>
      </c>
      <c r="E36" s="226"/>
      <c r="F36" s="226"/>
      <c r="G36" s="227"/>
      <c r="H36" s="227">
        <f>SUM(I36:L36)</f>
        <v>190771000000</v>
      </c>
      <c r="I36" s="227">
        <v>190771000000</v>
      </c>
      <c r="J36" s="226">
        <f>E36</f>
        <v>0</v>
      </c>
      <c r="K36" s="226">
        <f>F36</f>
        <v>0</v>
      </c>
      <c r="L36" s="227"/>
      <c r="M36" s="227"/>
      <c r="N36" s="227"/>
      <c r="O36" s="137">
        <f t="shared" si="8"/>
        <v>193749173895</v>
      </c>
      <c r="P36" s="137"/>
      <c r="Q36" s="553">
        <v>193501692081</v>
      </c>
      <c r="R36" s="553">
        <v>247481814</v>
      </c>
      <c r="S36" s="247">
        <f>+O36/C36%</f>
        <v>101.56112506355788</v>
      </c>
      <c r="T36" s="247">
        <f>+O36/H36%</f>
        <v>101.56112506355788</v>
      </c>
    </row>
    <row r="37" spans="1:20" ht="29.25" customHeight="1">
      <c r="A37" s="27" t="s">
        <v>466</v>
      </c>
      <c r="B37" s="28" t="s">
        <v>446</v>
      </c>
      <c r="C37" s="226">
        <f t="shared" si="9"/>
        <v>150000000</v>
      </c>
      <c r="D37" s="226">
        <f>150*1000000</f>
        <v>150000000</v>
      </c>
      <c r="E37" s="226"/>
      <c r="F37" s="226"/>
      <c r="G37" s="227"/>
      <c r="H37" s="227">
        <f aca="true" t="shared" si="10" ref="H37:H48">SUM(I37:L37)</f>
        <v>150000000</v>
      </c>
      <c r="I37" s="227">
        <f>150*1000000</f>
        <v>150000000</v>
      </c>
      <c r="J37" s="226"/>
      <c r="K37" s="226"/>
      <c r="L37" s="227"/>
      <c r="M37" s="227"/>
      <c r="N37" s="227"/>
      <c r="O37" s="137">
        <f t="shared" si="8"/>
        <v>135000000</v>
      </c>
      <c r="P37" s="137"/>
      <c r="Q37" s="553">
        <v>135000000</v>
      </c>
      <c r="R37" s="553">
        <v>0</v>
      </c>
      <c r="S37" s="247"/>
      <c r="T37" s="247"/>
    </row>
    <row r="38" spans="1:20" ht="29.25" customHeight="1">
      <c r="A38" s="27" t="s">
        <v>467</v>
      </c>
      <c r="B38" s="28" t="s">
        <v>447</v>
      </c>
      <c r="C38" s="226">
        <f t="shared" si="9"/>
        <v>865000000</v>
      </c>
      <c r="D38" s="226">
        <v>865000000</v>
      </c>
      <c r="E38" s="226"/>
      <c r="F38" s="226"/>
      <c r="G38" s="227"/>
      <c r="H38" s="227">
        <f t="shared" si="10"/>
        <v>1044000000</v>
      </c>
      <c r="I38" s="226">
        <v>1044000000</v>
      </c>
      <c r="J38" s="226"/>
      <c r="K38" s="226"/>
      <c r="L38" s="227"/>
      <c r="M38" s="227"/>
      <c r="N38" s="227"/>
      <c r="O38" s="137">
        <f t="shared" si="8"/>
        <v>858267950</v>
      </c>
      <c r="P38" s="137"/>
      <c r="Q38" s="553">
        <v>312251850</v>
      </c>
      <c r="R38" s="553">
        <v>546016100</v>
      </c>
      <c r="S38" s="247"/>
      <c r="T38" s="247">
        <f aca="true" t="shared" si="11" ref="T38:T47">+O38/H38%</f>
        <v>82.20957375478928</v>
      </c>
    </row>
    <row r="39" spans="1:20" ht="29.25" customHeight="1">
      <c r="A39" s="27" t="s">
        <v>468</v>
      </c>
      <c r="B39" s="28" t="s">
        <v>448</v>
      </c>
      <c r="C39" s="226">
        <f>SUM(D39:G39)</f>
        <v>920000000</v>
      </c>
      <c r="D39" s="226">
        <v>920000000</v>
      </c>
      <c r="E39" s="226"/>
      <c r="F39" s="226"/>
      <c r="G39" s="227"/>
      <c r="H39" s="227">
        <f t="shared" si="10"/>
        <v>1163700000</v>
      </c>
      <c r="I39" s="227">
        <v>908700000</v>
      </c>
      <c r="J39" s="226">
        <v>255000000</v>
      </c>
      <c r="K39" s="226"/>
      <c r="L39" s="227"/>
      <c r="M39" s="227"/>
      <c r="N39" s="227"/>
      <c r="O39" s="137">
        <f t="shared" si="8"/>
        <v>1887970069</v>
      </c>
      <c r="P39" s="137"/>
      <c r="Q39" s="553">
        <v>1639187309</v>
      </c>
      <c r="R39" s="553">
        <v>248782760</v>
      </c>
      <c r="S39" s="247">
        <f aca="true" t="shared" si="12" ref="S39:S47">+O39/C39%</f>
        <v>205.2141379347826</v>
      </c>
      <c r="T39" s="247">
        <f t="shared" si="11"/>
        <v>162.23855538368994</v>
      </c>
    </row>
    <row r="40" spans="1:20" ht="29.25" customHeight="1">
      <c r="A40" s="27" t="s">
        <v>469</v>
      </c>
      <c r="B40" s="28" t="s">
        <v>450</v>
      </c>
      <c r="C40" s="226">
        <f t="shared" si="9"/>
        <v>743000000</v>
      </c>
      <c r="D40" s="226">
        <v>743000000</v>
      </c>
      <c r="E40" s="226"/>
      <c r="F40" s="226"/>
      <c r="G40" s="227"/>
      <c r="H40" s="227">
        <f t="shared" si="10"/>
        <v>863300000</v>
      </c>
      <c r="I40" s="227">
        <v>863300000</v>
      </c>
      <c r="J40" s="226"/>
      <c r="K40" s="226"/>
      <c r="L40" s="227"/>
      <c r="M40" s="227"/>
      <c r="N40" s="227"/>
      <c r="O40" s="137">
        <f t="shared" si="8"/>
        <v>839277984</v>
      </c>
      <c r="P40" s="137"/>
      <c r="Q40" s="553">
        <v>767277984</v>
      </c>
      <c r="R40" s="553">
        <v>72000000</v>
      </c>
      <c r="S40" s="247">
        <f t="shared" si="12"/>
        <v>112.9580059219381</v>
      </c>
      <c r="T40" s="247">
        <f t="shared" si="11"/>
        <v>97.21741966871308</v>
      </c>
    </row>
    <row r="41" spans="1:20" ht="29.25" customHeight="1">
      <c r="A41" s="27" t="s">
        <v>470</v>
      </c>
      <c r="B41" s="28" t="s">
        <v>452</v>
      </c>
      <c r="C41" s="226">
        <f t="shared" si="9"/>
        <v>331000000</v>
      </c>
      <c r="D41" s="226">
        <v>331000000</v>
      </c>
      <c r="E41" s="226"/>
      <c r="F41" s="226"/>
      <c r="G41" s="396"/>
      <c r="H41" s="227">
        <f t="shared" si="10"/>
        <v>281800000</v>
      </c>
      <c r="I41" s="227">
        <v>281800000</v>
      </c>
      <c r="J41" s="226"/>
      <c r="K41" s="226"/>
      <c r="L41" s="396"/>
      <c r="M41" s="396"/>
      <c r="N41" s="396"/>
      <c r="O41" s="137">
        <f t="shared" si="8"/>
        <v>696368698</v>
      </c>
      <c r="P41" s="137"/>
      <c r="Q41" s="553">
        <v>592630978</v>
      </c>
      <c r="R41" s="553">
        <v>103737720</v>
      </c>
      <c r="S41" s="247">
        <f t="shared" si="12"/>
        <v>210.38329244712992</v>
      </c>
      <c r="T41" s="247">
        <f t="shared" si="11"/>
        <v>247.11451312987936</v>
      </c>
    </row>
    <row r="42" spans="1:20" ht="29.25" customHeight="1">
      <c r="A42" s="27" t="s">
        <v>471</v>
      </c>
      <c r="B42" s="28" t="s">
        <v>454</v>
      </c>
      <c r="C42" s="226">
        <f t="shared" si="9"/>
        <v>10488000000</v>
      </c>
      <c r="D42" s="226">
        <v>10488000000</v>
      </c>
      <c r="E42" s="226"/>
      <c r="F42" s="226"/>
      <c r="G42" s="227"/>
      <c r="H42" s="227">
        <f>SUM(I42:L42)</f>
        <v>5267900000</v>
      </c>
      <c r="I42" s="227">
        <v>5267900000</v>
      </c>
      <c r="J42" s="226">
        <f>E42</f>
        <v>0</v>
      </c>
      <c r="K42" s="226"/>
      <c r="L42" s="227"/>
      <c r="M42" s="227"/>
      <c r="N42" s="227"/>
      <c r="O42" s="137">
        <f t="shared" si="8"/>
        <v>4598992086</v>
      </c>
      <c r="P42" s="137"/>
      <c r="Q42" s="553">
        <v>4211555686</v>
      </c>
      <c r="R42" s="553">
        <v>387436400</v>
      </c>
      <c r="S42" s="247">
        <f t="shared" si="12"/>
        <v>43.85003895881007</v>
      </c>
      <c r="T42" s="247">
        <f t="shared" si="11"/>
        <v>87.3021903604852</v>
      </c>
    </row>
    <row r="43" spans="1:20" ht="29.25" customHeight="1">
      <c r="A43" s="27" t="s">
        <v>472</v>
      </c>
      <c r="B43" s="28" t="s">
        <v>771</v>
      </c>
      <c r="C43" s="226">
        <f t="shared" si="9"/>
        <v>17020000000</v>
      </c>
      <c r="D43" s="483">
        <f>16669000000+351000000</f>
        <v>17020000000</v>
      </c>
      <c r="E43" s="483"/>
      <c r="F43" s="226"/>
      <c r="G43" s="227"/>
      <c r="H43" s="227">
        <f t="shared" si="10"/>
        <v>16382500000</v>
      </c>
      <c r="I43" s="482">
        <f>14230500000+351000000</f>
        <v>14581500000</v>
      </c>
      <c r="J43" s="482">
        <v>1801000000</v>
      </c>
      <c r="K43" s="226"/>
      <c r="L43" s="227"/>
      <c r="M43" s="227"/>
      <c r="N43" s="227"/>
      <c r="O43" s="137">
        <f t="shared" si="8"/>
        <v>22428145233</v>
      </c>
      <c r="P43" s="137"/>
      <c r="Q43" s="553">
        <v>17387504063</v>
      </c>
      <c r="R43" s="553">
        <v>5040641170</v>
      </c>
      <c r="S43" s="247">
        <f t="shared" si="12"/>
        <v>131.775236386604</v>
      </c>
      <c r="T43" s="247">
        <f t="shared" si="11"/>
        <v>136.9030687196704</v>
      </c>
    </row>
    <row r="44" spans="1:20" ht="29.25" customHeight="1">
      <c r="A44" s="27" t="s">
        <v>473</v>
      </c>
      <c r="B44" s="28" t="s">
        <v>457</v>
      </c>
      <c r="C44" s="226">
        <f t="shared" si="9"/>
        <v>60192000000</v>
      </c>
      <c r="D44" s="226">
        <v>60192000000</v>
      </c>
      <c r="E44" s="226"/>
      <c r="F44" s="186"/>
      <c r="G44" s="227"/>
      <c r="H44" s="227">
        <f t="shared" si="10"/>
        <v>64562500000</v>
      </c>
      <c r="I44" s="227">
        <v>64562500000</v>
      </c>
      <c r="J44" s="226">
        <f>E44</f>
        <v>0</v>
      </c>
      <c r="K44" s="186"/>
      <c r="L44" s="227"/>
      <c r="M44" s="227"/>
      <c r="N44" s="227"/>
      <c r="O44" s="137">
        <f t="shared" si="8"/>
        <v>62683097210</v>
      </c>
      <c r="P44" s="137"/>
      <c r="Q44" s="553">
        <v>28529278243</v>
      </c>
      <c r="R44" s="553">
        <v>34153818967</v>
      </c>
      <c r="S44" s="247">
        <f t="shared" si="12"/>
        <v>104.13858521065923</v>
      </c>
      <c r="T44" s="247">
        <f t="shared" si="11"/>
        <v>97.08901794385285</v>
      </c>
    </row>
    <row r="45" spans="1:20" ht="29.25" customHeight="1">
      <c r="A45" s="27" t="s">
        <v>474</v>
      </c>
      <c r="B45" s="28" t="s">
        <v>459</v>
      </c>
      <c r="C45" s="226">
        <f t="shared" si="9"/>
        <v>14206000000</v>
      </c>
      <c r="D45" s="226">
        <v>14206000000</v>
      </c>
      <c r="E45" s="226"/>
      <c r="F45" s="226"/>
      <c r="G45" s="227"/>
      <c r="H45" s="227">
        <f t="shared" si="10"/>
        <v>13896800000</v>
      </c>
      <c r="I45" s="227">
        <v>13896800000</v>
      </c>
      <c r="J45" s="226">
        <f>E45</f>
        <v>0</v>
      </c>
      <c r="K45" s="226">
        <f>F45</f>
        <v>0</v>
      </c>
      <c r="L45" s="227"/>
      <c r="M45" s="227"/>
      <c r="N45" s="227"/>
      <c r="O45" s="137">
        <f t="shared" si="8"/>
        <v>16989369354</v>
      </c>
      <c r="P45" s="137"/>
      <c r="Q45" s="553">
        <v>13930829170</v>
      </c>
      <c r="R45" s="553">
        <v>3058540184</v>
      </c>
      <c r="S45" s="247">
        <f t="shared" si="12"/>
        <v>119.59291393777278</v>
      </c>
      <c r="T45" s="247">
        <f t="shared" si="11"/>
        <v>122.25382357089401</v>
      </c>
    </row>
    <row r="46" spans="1:20" ht="29.25" customHeight="1">
      <c r="A46" s="27" t="s">
        <v>475</v>
      </c>
      <c r="B46" s="28" t="s">
        <v>476</v>
      </c>
      <c r="C46" s="226">
        <f t="shared" si="9"/>
        <v>1504000000</v>
      </c>
      <c r="D46" s="226">
        <v>1504000000</v>
      </c>
      <c r="E46" s="226"/>
      <c r="F46" s="226"/>
      <c r="G46" s="227"/>
      <c r="H46" s="227">
        <f t="shared" si="10"/>
        <v>4090500000</v>
      </c>
      <c r="I46" s="227">
        <v>3970500000</v>
      </c>
      <c r="J46" s="226">
        <v>120000000</v>
      </c>
      <c r="K46" s="226">
        <f>F46</f>
        <v>0</v>
      </c>
      <c r="L46" s="227"/>
      <c r="M46" s="227"/>
      <c r="N46" s="227"/>
      <c r="O46" s="137">
        <f t="shared" si="8"/>
        <v>2165992490</v>
      </c>
      <c r="P46" s="137"/>
      <c r="Q46" s="553">
        <v>2165992490</v>
      </c>
      <c r="R46" s="553">
        <v>0</v>
      </c>
      <c r="S46" s="247">
        <f t="shared" si="12"/>
        <v>144.01545811170212</v>
      </c>
      <c r="T46" s="247">
        <f t="shared" si="11"/>
        <v>52.95177826671556</v>
      </c>
    </row>
    <row r="47" spans="1:20" ht="29.25" customHeight="1">
      <c r="A47" s="27" t="s">
        <v>477</v>
      </c>
      <c r="B47" s="28" t="s">
        <v>478</v>
      </c>
      <c r="C47" s="226">
        <f t="shared" si="9"/>
        <v>6400000000</v>
      </c>
      <c r="D47" s="226">
        <v>6400000000</v>
      </c>
      <c r="E47" s="226"/>
      <c r="F47" s="226"/>
      <c r="G47" s="227"/>
      <c r="H47" s="227">
        <f t="shared" si="10"/>
        <v>6400000000</v>
      </c>
      <c r="I47" s="227">
        <v>6400000000</v>
      </c>
      <c r="J47" s="226"/>
      <c r="K47" s="226"/>
      <c r="L47" s="227"/>
      <c r="M47" s="227"/>
      <c r="N47" s="227"/>
      <c r="O47" s="137">
        <f t="shared" si="8"/>
        <v>0</v>
      </c>
      <c r="P47" s="137"/>
      <c r="Q47" s="137"/>
      <c r="R47" s="137"/>
      <c r="S47" s="247">
        <f t="shared" si="12"/>
        <v>0</v>
      </c>
      <c r="T47" s="247">
        <f t="shared" si="11"/>
        <v>0</v>
      </c>
    </row>
    <row r="48" spans="1:20" s="202" customFormat="1" ht="29.25" customHeight="1">
      <c r="A48" s="29" t="s">
        <v>391</v>
      </c>
      <c r="B48" s="30" t="s">
        <v>479</v>
      </c>
      <c r="C48" s="226">
        <f t="shared" si="9"/>
        <v>0</v>
      </c>
      <c r="D48" s="224"/>
      <c r="E48" s="226"/>
      <c r="F48" s="224"/>
      <c r="G48" s="224"/>
      <c r="H48" s="227">
        <f t="shared" si="10"/>
        <v>0</v>
      </c>
      <c r="I48" s="228"/>
      <c r="J48" s="226"/>
      <c r="K48" s="224"/>
      <c r="L48" s="224"/>
      <c r="M48" s="224"/>
      <c r="N48" s="224"/>
      <c r="O48" s="155"/>
      <c r="P48" s="155"/>
      <c r="Q48" s="155"/>
      <c r="R48" s="155"/>
      <c r="S48" s="248"/>
      <c r="T48" s="248"/>
    </row>
    <row r="49" spans="1:20" s="202" customFormat="1" ht="29.25" customHeight="1">
      <c r="A49" s="29" t="s">
        <v>393</v>
      </c>
      <c r="B49" s="30" t="s">
        <v>480</v>
      </c>
      <c r="C49" s="226"/>
      <c r="D49" s="224"/>
      <c r="E49" s="226"/>
      <c r="F49" s="224"/>
      <c r="G49" s="224"/>
      <c r="H49" s="227">
        <f aca="true" t="shared" si="13" ref="H49:H59">I49+J49+K49+L49</f>
        <v>0</v>
      </c>
      <c r="I49" s="224"/>
      <c r="J49" s="226"/>
      <c r="K49" s="224"/>
      <c r="L49" s="224"/>
      <c r="M49" s="224"/>
      <c r="N49" s="224"/>
      <c r="O49" s="155">
        <f t="shared" si="8"/>
        <v>0</v>
      </c>
      <c r="P49" s="155"/>
      <c r="Q49" s="155"/>
      <c r="R49" s="155"/>
      <c r="S49" s="248"/>
      <c r="T49" s="248"/>
    </row>
    <row r="50" spans="1:20" s="202" customFormat="1" ht="29.25" customHeight="1">
      <c r="A50" s="29" t="s">
        <v>397</v>
      </c>
      <c r="B50" s="30" t="s">
        <v>481</v>
      </c>
      <c r="C50" s="226">
        <f>D50+E50+F50</f>
        <v>0</v>
      </c>
      <c r="D50" s="224"/>
      <c r="E50" s="224"/>
      <c r="F50" s="224"/>
      <c r="G50" s="224"/>
      <c r="H50" s="227">
        <f t="shared" si="13"/>
        <v>0</v>
      </c>
      <c r="I50" s="224"/>
      <c r="J50" s="224"/>
      <c r="K50" s="224"/>
      <c r="L50" s="224"/>
      <c r="M50" s="224"/>
      <c r="N50" s="224"/>
      <c r="O50" s="155">
        <f t="shared" si="8"/>
        <v>102874080831</v>
      </c>
      <c r="P50" s="155"/>
      <c r="Q50" s="155">
        <v>98099358054</v>
      </c>
      <c r="R50" s="155">
        <v>4774722777</v>
      </c>
      <c r="S50" s="248"/>
      <c r="T50" s="248"/>
    </row>
    <row r="51" spans="1:20" s="202" customFormat="1" ht="29.25" customHeight="1">
      <c r="A51" s="29" t="s">
        <v>297</v>
      </c>
      <c r="B51" s="30" t="s">
        <v>482</v>
      </c>
      <c r="C51" s="224">
        <f>SUM(C52:C55)-C53</f>
        <v>0</v>
      </c>
      <c r="D51" s="224"/>
      <c r="E51" s="224"/>
      <c r="F51" s="224"/>
      <c r="G51" s="224"/>
      <c r="H51" s="228">
        <f t="shared" si="13"/>
        <v>0</v>
      </c>
      <c r="I51" s="224"/>
      <c r="J51" s="224"/>
      <c r="K51" s="224"/>
      <c r="L51" s="224"/>
      <c r="M51" s="224"/>
      <c r="N51" s="224"/>
      <c r="O51" s="155">
        <f>SUM(O52:O55)-O53</f>
        <v>47707043634</v>
      </c>
      <c r="P51" s="155">
        <f>SUM(P52:P55)-P53</f>
        <v>0</v>
      </c>
      <c r="Q51" s="155">
        <f>SUM(Q52:Q55)-Q53</f>
        <v>47707043634</v>
      </c>
      <c r="R51" s="155">
        <f>SUM(R52:R55)-R53</f>
        <v>0</v>
      </c>
      <c r="S51" s="248"/>
      <c r="T51" s="248"/>
    </row>
    <row r="52" spans="1:20" ht="29.25" customHeight="1">
      <c r="A52" s="27">
        <v>1</v>
      </c>
      <c r="B52" s="28" t="s">
        <v>483</v>
      </c>
      <c r="C52" s="226"/>
      <c r="D52" s="226"/>
      <c r="E52" s="226"/>
      <c r="F52" s="226"/>
      <c r="G52" s="226"/>
      <c r="H52" s="227">
        <f t="shared" si="13"/>
        <v>0</v>
      </c>
      <c r="I52" s="226"/>
      <c r="J52" s="226"/>
      <c r="K52" s="226"/>
      <c r="L52" s="226"/>
      <c r="M52" s="226"/>
      <c r="N52" s="226"/>
      <c r="O52" s="137">
        <f>SUM(P52:R52)</f>
        <v>42938850000</v>
      </c>
      <c r="P52" s="137"/>
      <c r="Q52" s="553">
        <v>42938850000</v>
      </c>
      <c r="R52" s="137"/>
      <c r="S52" s="247"/>
      <c r="T52" s="247"/>
    </row>
    <row r="53" spans="1:20" ht="29.25" customHeight="1">
      <c r="A53" s="27">
        <v>2</v>
      </c>
      <c r="B53" s="28" t="s">
        <v>417</v>
      </c>
      <c r="C53" s="226"/>
      <c r="D53" s="226"/>
      <c r="E53" s="226"/>
      <c r="F53" s="226"/>
      <c r="G53" s="226"/>
      <c r="H53" s="227">
        <f t="shared" si="13"/>
        <v>0</v>
      </c>
      <c r="I53" s="226"/>
      <c r="J53" s="226"/>
      <c r="K53" s="226"/>
      <c r="L53" s="226"/>
      <c r="M53" s="226"/>
      <c r="N53" s="226"/>
      <c r="O53" s="137">
        <f>SUM(P53:R53)</f>
        <v>4768193634</v>
      </c>
      <c r="P53" s="137"/>
      <c r="Q53" s="553">
        <v>4768193634</v>
      </c>
      <c r="R53" s="155"/>
      <c r="S53" s="248"/>
      <c r="T53" s="248"/>
    </row>
    <row r="54" spans="1:20" ht="29.25" customHeight="1">
      <c r="A54" s="984"/>
      <c r="B54" s="161" t="s">
        <v>484</v>
      </c>
      <c r="C54" s="226"/>
      <c r="D54" s="226"/>
      <c r="E54" s="226"/>
      <c r="F54" s="226"/>
      <c r="G54" s="226"/>
      <c r="H54" s="227">
        <f t="shared" si="13"/>
        <v>0</v>
      </c>
      <c r="I54" s="226"/>
      <c r="J54" s="226"/>
      <c r="K54" s="226"/>
      <c r="L54" s="226"/>
      <c r="M54" s="226"/>
      <c r="N54" s="226"/>
      <c r="O54" s="553">
        <f>SUM(P54:R54)</f>
        <v>4768193634</v>
      </c>
      <c r="P54" s="247"/>
      <c r="Q54" s="137">
        <f>'61-H'!I128</f>
        <v>4768193634</v>
      </c>
      <c r="R54" s="137"/>
      <c r="S54" s="247"/>
      <c r="T54" s="247"/>
    </row>
    <row r="55" spans="1:20" ht="29.25" customHeight="1">
      <c r="A55" s="984"/>
      <c r="B55" s="161" t="s">
        <v>485</v>
      </c>
      <c r="C55" s="226"/>
      <c r="D55" s="226"/>
      <c r="E55" s="226"/>
      <c r="F55" s="226"/>
      <c r="G55" s="226"/>
      <c r="H55" s="227">
        <f t="shared" si="13"/>
        <v>0</v>
      </c>
      <c r="I55" s="226"/>
      <c r="J55" s="226"/>
      <c r="K55" s="226"/>
      <c r="L55" s="226"/>
      <c r="M55" s="550"/>
      <c r="N55" s="550"/>
      <c r="O55" s="240"/>
      <c r="P55" s="249"/>
      <c r="Q55" s="240"/>
      <c r="R55" s="240"/>
      <c r="S55" s="249"/>
      <c r="T55" s="249"/>
    </row>
    <row r="56" spans="1:20" s="202" customFormat="1" ht="35.25" customHeight="1">
      <c r="A56" s="180" t="s">
        <v>411</v>
      </c>
      <c r="B56" s="181" t="s">
        <v>486</v>
      </c>
      <c r="C56" s="226">
        <f>D56+E56+F56</f>
        <v>0</v>
      </c>
      <c r="D56" s="229"/>
      <c r="E56" s="229"/>
      <c r="F56" s="229"/>
      <c r="G56" s="229"/>
      <c r="H56" s="227">
        <f t="shared" si="13"/>
        <v>0</v>
      </c>
      <c r="I56" s="229"/>
      <c r="J56" s="229"/>
      <c r="K56" s="229"/>
      <c r="L56" s="229"/>
      <c r="M56" s="229"/>
      <c r="N56" s="229"/>
      <c r="O56" s="184">
        <f>SUM(P56:R56)</f>
        <v>35768326191</v>
      </c>
      <c r="P56" s="184"/>
      <c r="Q56" s="241">
        <f>'61-H'!G130</f>
        <v>35215362041</v>
      </c>
      <c r="R56" s="241">
        <f>'61-H'!H130</f>
        <v>552964150</v>
      </c>
      <c r="S56" s="250"/>
      <c r="T56" s="250"/>
    </row>
    <row r="57" spans="1:20" s="202" customFormat="1" ht="29.25" customHeight="1">
      <c r="A57" s="29" t="s">
        <v>423</v>
      </c>
      <c r="B57" s="230" t="s">
        <v>487</v>
      </c>
      <c r="C57" s="224">
        <f>SUM(C58:C59)</f>
        <v>0</v>
      </c>
      <c r="D57" s="224"/>
      <c r="E57" s="224"/>
      <c r="F57" s="224"/>
      <c r="G57" s="224"/>
      <c r="H57" s="227">
        <f t="shared" si="13"/>
        <v>0</v>
      </c>
      <c r="I57" s="224"/>
      <c r="J57" s="224"/>
      <c r="K57" s="224"/>
      <c r="L57" s="224"/>
      <c r="M57" s="224"/>
      <c r="N57" s="224"/>
      <c r="O57" s="155">
        <f>SUM(O58:O59)</f>
        <v>0</v>
      </c>
      <c r="P57" s="155">
        <f>SUM(P58:P59)</f>
        <v>0</v>
      </c>
      <c r="Q57" s="155">
        <f>SUM(Q58:Q59)</f>
        <v>0</v>
      </c>
      <c r="R57" s="155">
        <f>SUM(R58:R59)</f>
        <v>0</v>
      </c>
      <c r="S57" s="248"/>
      <c r="T57" s="248"/>
    </row>
    <row r="58" spans="1:20" s="202" customFormat="1" ht="29.25" customHeight="1">
      <c r="A58" s="27">
        <v>1</v>
      </c>
      <c r="B58" s="231">
        <f>'61-H'!B134</f>
        <v>0</v>
      </c>
      <c r="C58" s="226">
        <f>D58+E58+F58</f>
        <v>0</v>
      </c>
      <c r="D58" s="224"/>
      <c r="E58" s="224"/>
      <c r="F58" s="224"/>
      <c r="G58" s="224"/>
      <c r="H58" s="227"/>
      <c r="I58" s="224"/>
      <c r="J58" s="224"/>
      <c r="K58" s="224"/>
      <c r="L58" s="224"/>
      <c r="M58" s="224"/>
      <c r="N58" s="224"/>
      <c r="O58" s="155">
        <f>Q58+R58</f>
        <v>0</v>
      </c>
      <c r="P58" s="155"/>
      <c r="Q58" s="155"/>
      <c r="R58" s="155"/>
      <c r="S58" s="248"/>
      <c r="T58" s="248"/>
    </row>
    <row r="59" spans="1:20" s="202" customFormat="1" ht="29.25" customHeight="1">
      <c r="A59" s="31">
        <v>2</v>
      </c>
      <c r="B59" s="397" t="s">
        <v>488</v>
      </c>
      <c r="C59" s="405">
        <f>D59+E59+F59</f>
        <v>0</v>
      </c>
      <c r="D59" s="406"/>
      <c r="E59" s="406"/>
      <c r="F59" s="406"/>
      <c r="G59" s="406"/>
      <c r="H59" s="407">
        <f t="shared" si="13"/>
        <v>0</v>
      </c>
      <c r="I59" s="406"/>
      <c r="J59" s="406"/>
      <c r="K59" s="406"/>
      <c r="L59" s="406"/>
      <c r="M59" s="406"/>
      <c r="N59" s="406"/>
      <c r="O59" s="260">
        <f>Q59+R59</f>
        <v>0</v>
      </c>
      <c r="P59" s="260"/>
      <c r="Q59" s="260">
        <f>'61-H'!H134</f>
        <v>0</v>
      </c>
      <c r="R59" s="260"/>
      <c r="S59" s="262"/>
      <c r="T59" s="262"/>
    </row>
    <row r="60" spans="1:20" s="202" customFormat="1" ht="24" customHeight="1" hidden="1">
      <c r="A60" s="232"/>
      <c r="B60" s="233"/>
      <c r="C60" s="234"/>
      <c r="D60" s="235"/>
      <c r="E60" s="235"/>
      <c r="F60" s="235"/>
      <c r="G60" s="235"/>
      <c r="H60" s="236"/>
      <c r="I60" s="242"/>
      <c r="J60" s="242"/>
      <c r="K60" s="242"/>
      <c r="L60" s="242"/>
      <c r="M60" s="242"/>
      <c r="N60" s="242"/>
      <c r="O60" s="243"/>
      <c r="P60" s="243"/>
      <c r="Q60" s="243"/>
      <c r="R60" s="243"/>
      <c r="S60" s="251"/>
      <c r="T60" s="251"/>
    </row>
    <row r="61" spans="1:23" s="131" customFormat="1" ht="3.75" customHeight="1" hidden="1">
      <c r="A61" s="139"/>
      <c r="B61" s="237" t="s">
        <v>280</v>
      </c>
      <c r="C61" s="238">
        <f>294791000000-C13</f>
        <v>-36009000000</v>
      </c>
      <c r="D61" s="238">
        <f>245608000000-D13</f>
        <v>-74392000000</v>
      </c>
      <c r="E61" s="238">
        <f>22894000000-E13</f>
        <v>12094000000</v>
      </c>
      <c r="F61" s="238">
        <f>6390000000-F13</f>
        <v>6390000000</v>
      </c>
      <c r="G61" s="238">
        <f>19899000000-G12</f>
        <v>19899000000</v>
      </c>
      <c r="H61" s="238">
        <f>294790960000-H12</f>
        <v>-51410940000</v>
      </c>
      <c r="I61" s="238">
        <f>245607960000-I12</f>
        <v>-87617940000</v>
      </c>
      <c r="J61" s="238">
        <f>22894000000-J12</f>
        <v>9918000000</v>
      </c>
      <c r="K61" s="238">
        <f>6390000000-K12</f>
        <v>6390000000</v>
      </c>
      <c r="L61" s="238">
        <f>19899000000-L12</f>
        <v>19899000000</v>
      </c>
      <c r="M61" s="238"/>
      <c r="N61" s="238"/>
      <c r="O61" s="238">
        <f>348542765001+54277015130-O12</f>
        <v>-156929003347</v>
      </c>
      <c r="P61" s="238" t="e">
        <f>239786000000-#REF!</f>
        <v>#REF!</v>
      </c>
      <c r="Q61" s="238">
        <f>348542765001-Q12</f>
        <v>-155561822282</v>
      </c>
      <c r="R61" s="238">
        <f>54277015130-R12</f>
        <v>-1367181065</v>
      </c>
      <c r="S61" s="238"/>
      <c r="T61" s="238"/>
      <c r="V61" s="205">
        <v>404048968131</v>
      </c>
      <c r="W61" s="204" t="e">
        <f>#REF!-V61</f>
        <v>#REF!</v>
      </c>
    </row>
    <row r="62" ht="19.5" customHeight="1"/>
    <row r="63" spans="2:20" ht="13.5" customHeight="1" hidden="1">
      <c r="B63" s="540"/>
      <c r="C63" s="541"/>
      <c r="D63" s="541"/>
      <c r="E63" s="541"/>
      <c r="F63" s="541"/>
      <c r="G63" s="541"/>
      <c r="H63" s="973"/>
      <c r="I63" s="973"/>
      <c r="J63" s="973"/>
      <c r="K63" s="973"/>
      <c r="L63" s="973"/>
      <c r="M63" s="973"/>
      <c r="N63" s="973"/>
      <c r="O63" s="973"/>
      <c r="P63" s="973"/>
      <c r="Q63" s="533"/>
      <c r="R63" s="973" t="s">
        <v>899</v>
      </c>
      <c r="S63" s="973"/>
      <c r="T63" s="973"/>
    </row>
    <row r="64" spans="2:20" ht="15.75" hidden="1">
      <c r="B64" s="542" t="s">
        <v>281</v>
      </c>
      <c r="C64" s="968" t="s">
        <v>282</v>
      </c>
      <c r="D64" s="968"/>
      <c r="E64" s="968"/>
      <c r="F64" s="968"/>
      <c r="G64" s="968"/>
      <c r="H64" s="968"/>
      <c r="I64" s="968"/>
      <c r="J64" s="968"/>
      <c r="K64" s="968"/>
      <c r="L64" s="968"/>
      <c r="M64" s="968"/>
      <c r="N64" s="968"/>
      <c r="O64" s="968"/>
      <c r="P64" s="968"/>
      <c r="Q64" s="533"/>
      <c r="R64" s="967" t="s">
        <v>283</v>
      </c>
      <c r="S64" s="967"/>
      <c r="T64" s="967"/>
    </row>
    <row r="65" spans="2:20" ht="15.75" hidden="1">
      <c r="B65" s="542" t="s">
        <v>284</v>
      </c>
      <c r="C65" s="968" t="s">
        <v>285</v>
      </c>
      <c r="D65" s="968"/>
      <c r="E65" s="968"/>
      <c r="F65" s="968"/>
      <c r="G65" s="968"/>
      <c r="H65" s="968"/>
      <c r="I65" s="968"/>
      <c r="J65" s="968"/>
      <c r="K65" s="968"/>
      <c r="L65" s="968"/>
      <c r="M65" s="968"/>
      <c r="N65" s="968"/>
      <c r="O65" s="968"/>
      <c r="P65" s="968"/>
      <c r="Q65" s="533"/>
      <c r="R65" s="967" t="s">
        <v>286</v>
      </c>
      <c r="S65" s="967"/>
      <c r="T65" s="967"/>
    </row>
    <row r="66" ht="12.75" hidden="1"/>
    <row r="67" ht="12.75" hidden="1"/>
    <row r="68" ht="12.75" hidden="1"/>
    <row r="69" ht="12.75" hidden="1"/>
    <row r="71" ht="12.75" hidden="1">
      <c r="A71" s="252" t="s">
        <v>490</v>
      </c>
    </row>
    <row r="72" ht="12.75" hidden="1">
      <c r="A72" s="142" t="s">
        <v>491</v>
      </c>
    </row>
    <row r="73" ht="12.75" hidden="1">
      <c r="A73" s="142" t="s">
        <v>492</v>
      </c>
    </row>
    <row r="74" ht="12.75" hidden="1">
      <c r="A74" s="142" t="s">
        <v>493</v>
      </c>
    </row>
    <row r="75" ht="12.75" hidden="1"/>
  </sheetData>
  <sheetProtection/>
  <mergeCells count="18">
    <mergeCell ref="A5:T5"/>
    <mergeCell ref="A54:A55"/>
    <mergeCell ref="B9:B10"/>
    <mergeCell ref="H63:P63"/>
    <mergeCell ref="R63:T63"/>
    <mergeCell ref="S9:T9"/>
    <mergeCell ref="A9:A10"/>
    <mergeCell ref="M9:N10"/>
    <mergeCell ref="C64:P64"/>
    <mergeCell ref="R64:T64"/>
    <mergeCell ref="C65:P65"/>
    <mergeCell ref="R65:T65"/>
    <mergeCell ref="A3:T3"/>
    <mergeCell ref="A4:T4"/>
    <mergeCell ref="A6:T6"/>
    <mergeCell ref="A7:T7"/>
    <mergeCell ref="C9:L9"/>
    <mergeCell ref="O9:R9"/>
  </mergeCells>
  <printOptions/>
  <pageMargins left="0.48" right="0.2" top="0.78" bottom="0.31" header="0.31" footer="0.2"/>
  <pageSetup blackAndWhite="1" horizontalDpi="600" verticalDpi="600" orientation="landscape" paperSize="9" scale="65" r:id="rId4"/>
  <drawing r:id="rId3"/>
  <legacyDrawing r:id="rId2"/>
</worksheet>
</file>

<file path=xl/worksheets/sheet6.xml><?xml version="1.0" encoding="utf-8"?>
<worksheet xmlns="http://schemas.openxmlformats.org/spreadsheetml/2006/main" xmlns:r="http://schemas.openxmlformats.org/officeDocument/2006/relationships">
  <dimension ref="A1:L7"/>
  <sheetViews>
    <sheetView zoomScalePageLayoutView="0" workbookViewId="0" topLeftCell="A1">
      <selection activeCell="C4" sqref="C4"/>
    </sheetView>
  </sheetViews>
  <sheetFormatPr defaultColWidth="9.33203125" defaultRowHeight="12.75"/>
  <cols>
    <col min="1" max="1" width="9.33203125" style="427" customWidth="1"/>
    <col min="2" max="2" width="44.83203125" style="423" customWidth="1"/>
    <col min="3" max="3" width="13" style="423" customWidth="1"/>
    <col min="4" max="12" width="11.66015625" style="423" customWidth="1"/>
    <col min="13" max="16384" width="9.33203125" style="423" customWidth="1"/>
  </cols>
  <sheetData>
    <row r="1" spans="1:12" ht="21" customHeight="1">
      <c r="A1" s="992" t="s">
        <v>3</v>
      </c>
      <c r="B1" s="992" t="s">
        <v>783</v>
      </c>
      <c r="C1" s="990" t="s">
        <v>794</v>
      </c>
      <c r="D1" s="990" t="s">
        <v>788</v>
      </c>
      <c r="E1" s="994" t="s">
        <v>789</v>
      </c>
      <c r="F1" s="996" t="s">
        <v>538</v>
      </c>
      <c r="G1" s="996"/>
      <c r="H1" s="997"/>
      <c r="I1" s="990" t="s">
        <v>790</v>
      </c>
      <c r="J1" s="990" t="s">
        <v>791</v>
      </c>
      <c r="K1" s="990" t="s">
        <v>792</v>
      </c>
      <c r="L1" s="990" t="s">
        <v>793</v>
      </c>
    </row>
    <row r="2" spans="1:12" ht="85.5" customHeight="1">
      <c r="A2" s="993"/>
      <c r="B2" s="993"/>
      <c r="C2" s="991"/>
      <c r="D2" s="991"/>
      <c r="E2" s="995"/>
      <c r="F2" s="428" t="s">
        <v>478</v>
      </c>
      <c r="G2" s="428" t="s">
        <v>795</v>
      </c>
      <c r="H2" s="428"/>
      <c r="I2" s="991"/>
      <c r="J2" s="991"/>
      <c r="K2" s="991"/>
      <c r="L2" s="991"/>
    </row>
    <row r="3" spans="1:12" ht="24.75" customHeight="1">
      <c r="A3" s="156">
        <v>1</v>
      </c>
      <c r="B3" s="424" t="s">
        <v>784</v>
      </c>
      <c r="C3" s="429">
        <v>40</v>
      </c>
      <c r="D3" s="429">
        <v>1067.79</v>
      </c>
      <c r="E3" s="429">
        <f>SUM(F3:H3)</f>
        <v>950</v>
      </c>
      <c r="F3" s="429">
        <v>271</v>
      </c>
      <c r="G3" s="429">
        <f>629+50</f>
        <v>679</v>
      </c>
      <c r="H3" s="429"/>
      <c r="I3" s="429"/>
      <c r="J3" s="429">
        <f>C3+D3+E3+I3</f>
        <v>2057.79</v>
      </c>
      <c r="K3" s="429">
        <v>2017.447231</v>
      </c>
      <c r="L3" s="429">
        <f>K3/J3*100</f>
        <v>98.03950991111824</v>
      </c>
    </row>
    <row r="4" spans="1:12" ht="24.75" customHeight="1">
      <c r="A4" s="156">
        <v>2</v>
      </c>
      <c r="B4" s="424" t="s">
        <v>785</v>
      </c>
      <c r="C4" s="429"/>
      <c r="D4" s="429">
        <v>5964.03</v>
      </c>
      <c r="E4" s="429"/>
      <c r="F4" s="429"/>
      <c r="G4" s="429"/>
      <c r="H4" s="429"/>
      <c r="I4" s="429"/>
      <c r="J4" s="429"/>
      <c r="K4" s="429"/>
      <c r="L4" s="429"/>
    </row>
    <row r="5" spans="1:12" ht="24.75" customHeight="1">
      <c r="A5" s="156">
        <v>3</v>
      </c>
      <c r="B5" s="424" t="s">
        <v>786</v>
      </c>
      <c r="C5" s="429"/>
      <c r="D5" s="429">
        <v>2745.3</v>
      </c>
      <c r="E5" s="429"/>
      <c r="F5" s="429"/>
      <c r="G5" s="429"/>
      <c r="H5" s="429"/>
      <c r="I5" s="429"/>
      <c r="J5" s="429"/>
      <c r="K5" s="429"/>
      <c r="L5" s="429"/>
    </row>
    <row r="6" spans="1:12" ht="24.75" customHeight="1">
      <c r="A6" s="156">
        <v>4</v>
      </c>
      <c r="B6" s="424" t="s">
        <v>592</v>
      </c>
      <c r="C6" s="429"/>
      <c r="D6" s="429">
        <v>2288.5</v>
      </c>
      <c r="E6" s="429"/>
      <c r="F6" s="429"/>
      <c r="G6" s="429"/>
      <c r="H6" s="429"/>
      <c r="I6" s="429"/>
      <c r="J6" s="429"/>
      <c r="K6" s="429"/>
      <c r="L6" s="429"/>
    </row>
    <row r="7" spans="1:12" ht="24.75" customHeight="1">
      <c r="A7" s="425">
        <v>5</v>
      </c>
      <c r="B7" s="426" t="s">
        <v>787</v>
      </c>
      <c r="C7" s="430"/>
      <c r="D7" s="430">
        <v>883.43</v>
      </c>
      <c r="E7" s="430"/>
      <c r="F7" s="430"/>
      <c r="G7" s="430"/>
      <c r="H7" s="430"/>
      <c r="I7" s="430"/>
      <c r="J7" s="430"/>
      <c r="K7" s="430"/>
      <c r="L7" s="430"/>
    </row>
  </sheetData>
  <sheetProtection/>
  <mergeCells count="10">
    <mergeCell ref="I1:I2"/>
    <mergeCell ref="J1:J2"/>
    <mergeCell ref="K1:K2"/>
    <mergeCell ref="L1:L2"/>
    <mergeCell ref="A1:A2"/>
    <mergeCell ref="B1:B2"/>
    <mergeCell ref="C1:C2"/>
    <mergeCell ref="D1:D2"/>
    <mergeCell ref="E1:E2"/>
    <mergeCell ref="F1:H1"/>
  </mergeCells>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D13"/>
  <sheetViews>
    <sheetView zoomScalePageLayoutView="0" workbookViewId="0" topLeftCell="A1">
      <selection activeCell="I13" sqref="I13"/>
    </sheetView>
  </sheetViews>
  <sheetFormatPr defaultColWidth="9.33203125" defaultRowHeight="12.75"/>
  <cols>
    <col min="1" max="1" width="6.83203125" style="421" customWidth="1"/>
    <col min="2" max="2" width="34.83203125" style="172" customWidth="1"/>
    <col min="3" max="3" width="11.16015625" style="172" customWidth="1"/>
    <col min="4" max="4" width="17.16015625" style="172" customWidth="1"/>
    <col min="5" max="16384" width="9.33203125" style="172" customWidth="1"/>
  </cols>
  <sheetData>
    <row r="1" ht="12.75">
      <c r="C1" s="422"/>
    </row>
    <row r="2" spans="1:4" ht="12.75">
      <c r="A2" s="431" t="s">
        <v>3</v>
      </c>
      <c r="B2" s="432" t="s">
        <v>808</v>
      </c>
      <c r="C2" s="431" t="s">
        <v>811</v>
      </c>
      <c r="D2" s="432" t="s">
        <v>803</v>
      </c>
    </row>
    <row r="3" spans="1:4" ht="37.5" customHeight="1">
      <c r="A3" s="431">
        <v>1</v>
      </c>
      <c r="B3" s="433" t="s">
        <v>810</v>
      </c>
      <c r="C3" s="438">
        <f>3492-914</f>
        <v>2578</v>
      </c>
      <c r="D3" s="998" t="s">
        <v>802</v>
      </c>
    </row>
    <row r="4" spans="1:4" ht="12.75">
      <c r="A4" s="431">
        <v>2</v>
      </c>
      <c r="B4" s="432" t="s">
        <v>796</v>
      </c>
      <c r="C4" s="438">
        <f>5651.53</f>
        <v>5651.53</v>
      </c>
      <c r="D4" s="998"/>
    </row>
    <row r="5" spans="1:4" ht="12.75">
      <c r="A5" s="431">
        <v>3</v>
      </c>
      <c r="B5" s="432" t="s">
        <v>797</v>
      </c>
      <c r="C5" s="438">
        <f>C4-C3</f>
        <v>3073.5299999999997</v>
      </c>
      <c r="D5" s="998"/>
    </row>
    <row r="6" spans="1:4" ht="12.75">
      <c r="A6" s="434" t="s">
        <v>804</v>
      </c>
      <c r="B6" s="432" t="s">
        <v>798</v>
      </c>
      <c r="C6" s="438"/>
      <c r="D6" s="998"/>
    </row>
    <row r="7" spans="1:4" ht="12.75">
      <c r="A7" s="431"/>
      <c r="B7" s="435" t="s">
        <v>799</v>
      </c>
      <c r="C7" s="438">
        <f>9000-6343.9-493.1</f>
        <v>2163.0000000000005</v>
      </c>
      <c r="D7" s="998"/>
    </row>
    <row r="8" spans="1:4" ht="12.75">
      <c r="A8" s="431"/>
      <c r="B8" s="435" t="s">
        <v>800</v>
      </c>
      <c r="C8" s="438">
        <f>1100-866.43-31.8</f>
        <v>201.77000000000004</v>
      </c>
      <c r="D8" s="998"/>
    </row>
    <row r="9" spans="1:4" ht="12.75">
      <c r="A9" s="431"/>
      <c r="B9" s="435" t="s">
        <v>801</v>
      </c>
      <c r="C9" s="438">
        <v>708.76</v>
      </c>
      <c r="D9" s="998"/>
    </row>
    <row r="10" spans="1:4" s="169" customFormat="1" ht="12.75">
      <c r="A10" s="436">
        <v>4</v>
      </c>
      <c r="B10" s="437" t="s">
        <v>805</v>
      </c>
      <c r="C10" s="439">
        <f>SUM(C11:C12)</f>
        <v>364.1</v>
      </c>
      <c r="D10" s="998"/>
    </row>
    <row r="11" spans="1:4" ht="12.75">
      <c r="A11" s="431"/>
      <c r="B11" s="432" t="s">
        <v>806</v>
      </c>
      <c r="C11" s="438">
        <v>144.6</v>
      </c>
      <c r="D11" s="998"/>
    </row>
    <row r="12" spans="1:4" ht="12.75">
      <c r="A12" s="431"/>
      <c r="B12" s="432" t="s">
        <v>807</v>
      </c>
      <c r="C12" s="438">
        <f>183.5+36</f>
        <v>219.5</v>
      </c>
      <c r="D12" s="998"/>
    </row>
    <row r="13" spans="1:4" s="169" customFormat="1" ht="12.75">
      <c r="A13" s="436">
        <v>5</v>
      </c>
      <c r="B13" s="437" t="s">
        <v>809</v>
      </c>
      <c r="C13" s="439">
        <f>C4+C10</f>
        <v>6015.63</v>
      </c>
      <c r="D13" s="998"/>
    </row>
  </sheetData>
  <sheetProtection/>
  <mergeCells count="1">
    <mergeCell ref="D3:D13"/>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I42"/>
  <sheetViews>
    <sheetView zoomScalePageLayoutView="0" workbookViewId="0" topLeftCell="A1">
      <pane ySplit="6" topLeftCell="A7" activePane="bottomLeft" state="frozen"/>
      <selection pane="topLeft" activeCell="A1" sqref="A1"/>
      <selection pane="bottomLeft" activeCell="A22" sqref="A22"/>
    </sheetView>
  </sheetViews>
  <sheetFormatPr defaultColWidth="9.33203125" defaultRowHeight="12.75"/>
  <cols>
    <col min="1" max="1" width="53" style="0" customWidth="1"/>
    <col min="3" max="3" width="8.33203125" style="0" customWidth="1"/>
    <col min="4" max="4" width="10" style="0" customWidth="1"/>
    <col min="5" max="5" width="15.16015625" style="0" customWidth="1"/>
    <col min="6" max="6" width="14.16015625" style="0" customWidth="1"/>
    <col min="7" max="7" width="14.66015625" style="0" customWidth="1"/>
    <col min="8" max="8" width="13.66015625" style="0" customWidth="1"/>
    <col min="9" max="9" width="13.83203125" style="0" customWidth="1"/>
  </cols>
  <sheetData>
    <row r="1" spans="1:8" ht="12.75">
      <c r="A1" s="17"/>
      <c r="H1" s="20" t="s">
        <v>494</v>
      </c>
    </row>
    <row r="2" ht="12.75">
      <c r="A2" s="17"/>
    </row>
    <row r="3" spans="1:9" ht="12.75">
      <c r="A3" s="999" t="s">
        <v>495</v>
      </c>
      <c r="B3" s="999"/>
      <c r="C3" s="999"/>
      <c r="D3" s="999"/>
      <c r="E3" s="999"/>
      <c r="F3" s="999"/>
      <c r="G3" s="999"/>
      <c r="H3" s="999"/>
      <c r="I3" s="999"/>
    </row>
    <row r="4" spans="1:9" ht="12.75">
      <c r="A4" s="963" t="s">
        <v>496</v>
      </c>
      <c r="B4" s="963"/>
      <c r="C4" s="963"/>
      <c r="D4" s="963"/>
      <c r="E4" s="963"/>
      <c r="F4" s="963"/>
      <c r="G4" s="963"/>
      <c r="H4" s="963"/>
      <c r="I4" s="963"/>
    </row>
    <row r="5" ht="12.75">
      <c r="I5" s="143" t="s">
        <v>247</v>
      </c>
    </row>
    <row r="6" spans="1:9" ht="25.5">
      <c r="A6" s="216" t="s">
        <v>497</v>
      </c>
      <c r="B6" s="216" t="s">
        <v>498</v>
      </c>
      <c r="C6" s="216" t="s">
        <v>499</v>
      </c>
      <c r="D6" s="216" t="s">
        <v>500</v>
      </c>
      <c r="E6" s="216" t="s">
        <v>501</v>
      </c>
      <c r="F6" s="216" t="s">
        <v>502</v>
      </c>
      <c r="G6" s="216" t="s">
        <v>503</v>
      </c>
      <c r="H6" s="216" t="s">
        <v>504</v>
      </c>
      <c r="I6" s="216" t="s">
        <v>505</v>
      </c>
    </row>
    <row r="7" spans="1:9" ht="12.75">
      <c r="A7" s="27"/>
      <c r="B7" s="29"/>
      <c r="C7" s="29"/>
      <c r="D7" s="29"/>
      <c r="E7" s="29"/>
      <c r="F7" s="29"/>
      <c r="G7" s="29"/>
      <c r="H7" s="29"/>
      <c r="I7" s="29"/>
    </row>
    <row r="8" spans="1:9" ht="12.75">
      <c r="A8" s="27"/>
      <c r="B8" s="29"/>
      <c r="C8" s="29"/>
      <c r="D8" s="29"/>
      <c r="E8" s="29"/>
      <c r="F8" s="29"/>
      <c r="G8" s="29"/>
      <c r="H8" s="29"/>
      <c r="I8" s="29"/>
    </row>
    <row r="9" spans="1:9" ht="12.75">
      <c r="A9" s="27"/>
      <c r="B9" s="29"/>
      <c r="C9" s="29"/>
      <c r="D9" s="29"/>
      <c r="E9" s="29"/>
      <c r="F9" s="29"/>
      <c r="G9" s="29"/>
      <c r="H9" s="29"/>
      <c r="I9" s="29"/>
    </row>
    <row r="10" spans="1:9" ht="12.75">
      <c r="A10" s="27"/>
      <c r="B10" s="29"/>
      <c r="C10" s="29"/>
      <c r="D10" s="29"/>
      <c r="E10" s="29"/>
      <c r="F10" s="29"/>
      <c r="G10" s="29"/>
      <c r="H10" s="29"/>
      <c r="I10" s="29"/>
    </row>
    <row r="11" spans="1:9" ht="12.75">
      <c r="A11" s="27"/>
      <c r="B11" s="29"/>
      <c r="C11" s="29"/>
      <c r="D11" s="29"/>
      <c r="E11" s="29"/>
      <c r="F11" s="29"/>
      <c r="G11" s="29"/>
      <c r="H11" s="29"/>
      <c r="I11" s="29"/>
    </row>
    <row r="12" spans="1:9" ht="12.75">
      <c r="A12" s="27"/>
      <c r="B12" s="29"/>
      <c r="C12" s="29"/>
      <c r="D12" s="29"/>
      <c r="E12" s="29"/>
      <c r="F12" s="29"/>
      <c r="G12" s="29"/>
      <c r="H12" s="29"/>
      <c r="I12" s="29"/>
    </row>
    <row r="13" spans="1:9" ht="25.5" customHeight="1">
      <c r="A13" s="213" t="s">
        <v>506</v>
      </c>
      <c r="B13" s="213"/>
      <c r="C13" s="213"/>
      <c r="D13" s="213"/>
      <c r="E13" s="213"/>
      <c r="F13" s="213"/>
      <c r="G13" s="213"/>
      <c r="H13" s="29"/>
      <c r="I13" s="29"/>
    </row>
    <row r="14" spans="1:9" ht="12.75">
      <c r="A14" s="27"/>
      <c r="B14" s="29"/>
      <c r="C14" s="29"/>
      <c r="D14" s="29"/>
      <c r="E14" s="29"/>
      <c r="F14" s="29"/>
      <c r="G14" s="29"/>
      <c r="H14" s="29"/>
      <c r="I14" s="29"/>
    </row>
    <row r="15" spans="1:9" ht="12.75">
      <c r="A15" s="27"/>
      <c r="B15" s="29"/>
      <c r="C15" s="29"/>
      <c r="D15" s="29"/>
      <c r="E15" s="29"/>
      <c r="F15" s="29"/>
      <c r="G15" s="29"/>
      <c r="H15" s="29"/>
      <c r="I15" s="29"/>
    </row>
    <row r="16" spans="1:9" ht="12.75">
      <c r="A16" s="27"/>
      <c r="B16" s="29"/>
      <c r="C16" s="29"/>
      <c r="D16" s="29"/>
      <c r="E16" s="29"/>
      <c r="F16" s="29"/>
      <c r="G16" s="29"/>
      <c r="H16" s="29"/>
      <c r="I16" s="29"/>
    </row>
    <row r="17" spans="1:9" ht="12.75">
      <c r="A17" s="27"/>
      <c r="B17" s="29"/>
      <c r="C17" s="29"/>
      <c r="D17" s="29"/>
      <c r="E17" s="29"/>
      <c r="F17" s="29"/>
      <c r="G17" s="29"/>
      <c r="H17" s="29"/>
      <c r="I17" s="29"/>
    </row>
    <row r="18" spans="1:9" ht="12.75">
      <c r="A18" s="214"/>
      <c r="B18" s="214"/>
      <c r="C18" s="214"/>
      <c r="D18" s="214"/>
      <c r="E18" s="214"/>
      <c r="F18" s="214"/>
      <c r="G18" s="214"/>
      <c r="H18" s="214"/>
      <c r="I18" s="214"/>
    </row>
    <row r="19" spans="1:9" ht="12.75">
      <c r="A19" s="214"/>
      <c r="B19" s="214"/>
      <c r="C19" s="214"/>
      <c r="D19" s="214"/>
      <c r="E19" s="214"/>
      <c r="F19" s="214"/>
      <c r="G19" s="214"/>
      <c r="H19" s="214"/>
      <c r="I19" s="214"/>
    </row>
    <row r="20" spans="1:9" ht="12.75">
      <c r="A20" s="214"/>
      <c r="B20" s="214"/>
      <c r="C20" s="214"/>
      <c r="D20" s="214"/>
      <c r="E20" s="214"/>
      <c r="F20" s="214"/>
      <c r="G20" s="214"/>
      <c r="H20" s="214"/>
      <c r="I20" s="214"/>
    </row>
    <row r="21" spans="1:9" ht="12.75">
      <c r="A21" s="214"/>
      <c r="B21" s="214"/>
      <c r="C21" s="214"/>
      <c r="D21" s="214"/>
      <c r="E21" s="214"/>
      <c r="F21" s="214"/>
      <c r="G21" s="214"/>
      <c r="H21" s="214"/>
      <c r="I21" s="214"/>
    </row>
    <row r="22" spans="1:9" ht="12.75">
      <c r="A22" s="214"/>
      <c r="B22" s="214"/>
      <c r="C22" s="214"/>
      <c r="D22" s="214"/>
      <c r="E22" s="214"/>
      <c r="F22" s="214"/>
      <c r="G22" s="214"/>
      <c r="H22" s="214"/>
      <c r="I22" s="214"/>
    </row>
    <row r="23" spans="1:9" ht="12.75">
      <c r="A23" s="214"/>
      <c r="B23" s="214"/>
      <c r="C23" s="214"/>
      <c r="D23" s="214"/>
      <c r="E23" s="214"/>
      <c r="F23" s="214"/>
      <c r="G23" s="214"/>
      <c r="H23" s="214"/>
      <c r="I23" s="214"/>
    </row>
    <row r="24" spans="1:9" ht="12.75">
      <c r="A24" s="214"/>
      <c r="B24" s="214"/>
      <c r="C24" s="214"/>
      <c r="D24" s="214"/>
      <c r="E24" s="214"/>
      <c r="F24" s="214"/>
      <c r="G24" s="214"/>
      <c r="H24" s="214"/>
      <c r="I24" s="214"/>
    </row>
    <row r="25" spans="1:9" ht="12.75">
      <c r="A25" s="214"/>
      <c r="B25" s="214"/>
      <c r="C25" s="214"/>
      <c r="D25" s="214"/>
      <c r="E25" s="214"/>
      <c r="F25" s="214"/>
      <c r="G25" s="214"/>
      <c r="H25" s="214"/>
      <c r="I25" s="214"/>
    </row>
    <row r="26" spans="1:9" ht="12.75">
      <c r="A26" s="214"/>
      <c r="B26" s="214"/>
      <c r="C26" s="214"/>
      <c r="D26" s="214"/>
      <c r="E26" s="214"/>
      <c r="F26" s="214"/>
      <c r="G26" s="214"/>
      <c r="H26" s="214"/>
      <c r="I26" s="214"/>
    </row>
    <row r="27" spans="1:9" ht="12.75">
      <c r="A27" s="214"/>
      <c r="B27" s="214"/>
      <c r="C27" s="214"/>
      <c r="D27" s="214"/>
      <c r="E27" s="214"/>
      <c r="F27" s="214"/>
      <c r="G27" s="214"/>
      <c r="H27" s="214"/>
      <c r="I27" s="214"/>
    </row>
    <row r="28" spans="1:9" ht="12.75">
      <c r="A28" s="214"/>
      <c r="B28" s="214"/>
      <c r="C28" s="214"/>
      <c r="D28" s="214"/>
      <c r="E28" s="214"/>
      <c r="F28" s="214"/>
      <c r="G28" s="214"/>
      <c r="H28" s="214"/>
      <c r="I28" s="214"/>
    </row>
    <row r="29" spans="1:9" ht="12.75">
      <c r="A29" s="214"/>
      <c r="B29" s="214"/>
      <c r="C29" s="214"/>
      <c r="D29" s="214"/>
      <c r="E29" s="214"/>
      <c r="F29" s="214"/>
      <c r="G29" s="214"/>
      <c r="H29" s="214"/>
      <c r="I29" s="214"/>
    </row>
    <row r="30" spans="1:9" ht="12.75">
      <c r="A30" s="214"/>
      <c r="B30" s="214"/>
      <c r="C30" s="214"/>
      <c r="D30" s="214"/>
      <c r="E30" s="214"/>
      <c r="F30" s="214"/>
      <c r="G30" s="214"/>
      <c r="H30" s="214"/>
      <c r="I30" s="214"/>
    </row>
    <row r="31" spans="1:9" ht="12.75">
      <c r="A31" s="214"/>
      <c r="B31" s="214"/>
      <c r="C31" s="214"/>
      <c r="D31" s="214"/>
      <c r="E31" s="214"/>
      <c r="F31" s="214"/>
      <c r="G31" s="214"/>
      <c r="H31" s="214"/>
      <c r="I31" s="214"/>
    </row>
    <row r="32" spans="1:9" ht="12.75">
      <c r="A32" s="214"/>
      <c r="B32" s="214"/>
      <c r="C32" s="214"/>
      <c r="D32" s="214"/>
      <c r="E32" s="214"/>
      <c r="F32" s="214"/>
      <c r="G32" s="214"/>
      <c r="H32" s="214"/>
      <c r="I32" s="214"/>
    </row>
    <row r="33" spans="1:9" ht="12.75">
      <c r="A33" s="214"/>
      <c r="B33" s="214"/>
      <c r="C33" s="214"/>
      <c r="D33" s="214"/>
      <c r="E33" s="214"/>
      <c r="F33" s="214"/>
      <c r="G33" s="214"/>
      <c r="H33" s="214"/>
      <c r="I33" s="214"/>
    </row>
    <row r="34" spans="1:9" ht="12.75">
      <c r="A34" s="214"/>
      <c r="B34" s="214"/>
      <c r="C34" s="214"/>
      <c r="D34" s="214"/>
      <c r="E34" s="214"/>
      <c r="F34" s="214"/>
      <c r="G34" s="214"/>
      <c r="H34" s="214"/>
      <c r="I34" s="214"/>
    </row>
    <row r="35" spans="1:9" ht="12.75">
      <c r="A35" s="214"/>
      <c r="B35" s="214"/>
      <c r="C35" s="214"/>
      <c r="D35" s="214"/>
      <c r="E35" s="214"/>
      <c r="F35" s="214"/>
      <c r="G35" s="214"/>
      <c r="H35" s="214"/>
      <c r="I35" s="214"/>
    </row>
    <row r="36" spans="1:9" ht="12.75">
      <c r="A36" s="214"/>
      <c r="B36" s="214"/>
      <c r="C36" s="214"/>
      <c r="D36" s="214"/>
      <c r="E36" s="214"/>
      <c r="F36" s="214"/>
      <c r="G36" s="214"/>
      <c r="H36" s="214"/>
      <c r="I36" s="214"/>
    </row>
    <row r="37" spans="1:9" ht="12.75">
      <c r="A37" s="214"/>
      <c r="B37" s="214"/>
      <c r="C37" s="214"/>
      <c r="D37" s="214"/>
      <c r="E37" s="214"/>
      <c r="F37" s="214"/>
      <c r="G37" s="214"/>
      <c r="H37" s="214"/>
      <c r="I37" s="214"/>
    </row>
    <row r="38" spans="1:9" ht="12.75">
      <c r="A38" s="208"/>
      <c r="B38" s="208"/>
      <c r="C38" s="208"/>
      <c r="D38" s="208"/>
      <c r="E38" s="208"/>
      <c r="F38" s="208"/>
      <c r="G38" s="208"/>
      <c r="H38" s="208"/>
      <c r="I38" s="208"/>
    </row>
    <row r="40" spans="1:8" ht="12.75">
      <c r="A40" s="962" t="s">
        <v>507</v>
      </c>
      <c r="B40" s="962"/>
      <c r="F40" s="962" t="s">
        <v>508</v>
      </c>
      <c r="G40" s="962"/>
      <c r="H40" s="962"/>
    </row>
    <row r="41" spans="1:7" ht="12.75">
      <c r="A41" s="999" t="s">
        <v>509</v>
      </c>
      <c r="B41" s="999"/>
      <c r="F41" s="96" t="s">
        <v>510</v>
      </c>
      <c r="G41" s="96"/>
    </row>
    <row r="42" spans="1:7" ht="12.75">
      <c r="A42" s="962" t="s">
        <v>511</v>
      </c>
      <c r="B42" s="962"/>
      <c r="G42" s="215" t="s">
        <v>511</v>
      </c>
    </row>
  </sheetData>
  <sheetProtection/>
  <mergeCells count="6">
    <mergeCell ref="A3:I3"/>
    <mergeCell ref="A4:I4"/>
    <mergeCell ref="A40:B40"/>
    <mergeCell ref="F40:H40"/>
    <mergeCell ref="A41:B41"/>
    <mergeCell ref="A42:B42"/>
  </mergeCells>
  <printOptions/>
  <pageMargins left="0.31" right="0.19" top="0.5" bottom="0.37" header="0.3" footer="0.3"/>
  <pageSetup blackAndWhite="1"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G38"/>
  <sheetViews>
    <sheetView zoomScalePageLayoutView="0" workbookViewId="0" topLeftCell="A1">
      <selection activeCell="F22" sqref="F22"/>
    </sheetView>
  </sheetViews>
  <sheetFormatPr defaultColWidth="9.33203125" defaultRowHeight="12.75"/>
  <cols>
    <col min="1" max="1" width="12.5" style="0" customWidth="1"/>
    <col min="2" max="2" width="12" style="0" customWidth="1"/>
    <col min="3" max="3" width="12.83203125" style="0" customWidth="1"/>
    <col min="4" max="4" width="13.33203125" style="0" customWidth="1"/>
    <col min="5" max="5" width="13.5" style="0" customWidth="1"/>
    <col min="6" max="6" width="14.83203125" style="0" customWidth="1"/>
    <col min="7" max="7" width="24.66015625" style="0" customWidth="1"/>
  </cols>
  <sheetData>
    <row r="1" spans="1:7" ht="12.75">
      <c r="A1" s="17"/>
      <c r="G1" s="21" t="s">
        <v>512</v>
      </c>
    </row>
    <row r="3" spans="1:7" ht="12.75">
      <c r="A3" s="999" t="s">
        <v>513</v>
      </c>
      <c r="B3" s="999"/>
      <c r="C3" s="999"/>
      <c r="D3" s="999"/>
      <c r="E3" s="999"/>
      <c r="F3" s="999"/>
      <c r="G3" s="999"/>
    </row>
    <row r="4" spans="1:7" ht="12.75">
      <c r="A4" s="963" t="s">
        <v>496</v>
      </c>
      <c r="B4" s="963"/>
      <c r="C4" s="963"/>
      <c r="D4" s="963"/>
      <c r="E4" s="963"/>
      <c r="F4" s="963"/>
      <c r="G4" s="963"/>
    </row>
    <row r="5" ht="12.75">
      <c r="G5" s="143" t="s">
        <v>247</v>
      </c>
    </row>
    <row r="6" spans="1:7" ht="20.25" customHeight="1">
      <c r="A6" s="22" t="s">
        <v>497</v>
      </c>
      <c r="B6" s="22" t="s">
        <v>498</v>
      </c>
      <c r="C6" s="22" t="s">
        <v>514</v>
      </c>
      <c r="D6" s="22" t="s">
        <v>515</v>
      </c>
      <c r="E6" s="22" t="s">
        <v>499</v>
      </c>
      <c r="F6" s="22" t="s">
        <v>500</v>
      </c>
      <c r="G6" s="22" t="s">
        <v>516</v>
      </c>
    </row>
    <row r="7" spans="1:7" ht="12.75">
      <c r="A7" s="26"/>
      <c r="B7" s="26"/>
      <c r="C7" s="26"/>
      <c r="D7" s="26"/>
      <c r="E7" s="26"/>
      <c r="F7" s="26"/>
      <c r="G7" s="26"/>
    </row>
    <row r="8" spans="1:7" ht="12.75">
      <c r="A8" s="26"/>
      <c r="B8" s="26"/>
      <c r="C8" s="26"/>
      <c r="D8" s="26"/>
      <c r="E8" s="26"/>
      <c r="F8" s="26"/>
      <c r="G8" s="26"/>
    </row>
    <row r="9" spans="1:7" ht="12.75">
      <c r="A9" s="26"/>
      <c r="B9" s="26"/>
      <c r="C9" s="26"/>
      <c r="D9" s="26"/>
      <c r="E9" s="26"/>
      <c r="F9" s="26"/>
      <c r="G9" s="26"/>
    </row>
    <row r="10" spans="1:7" ht="12.75">
      <c r="A10" s="27"/>
      <c r="B10" s="27"/>
      <c r="C10" s="27"/>
      <c r="D10" s="27"/>
      <c r="E10" s="27"/>
      <c r="F10" s="27"/>
      <c r="G10" s="27"/>
    </row>
    <row r="11" spans="1:7" ht="12.75">
      <c r="A11" s="27"/>
      <c r="B11" s="27"/>
      <c r="C11" s="27"/>
      <c r="D11" s="27"/>
      <c r="E11" s="27"/>
      <c r="F11" s="27"/>
      <c r="G11" s="27"/>
    </row>
    <row r="12" spans="1:7" ht="25.5" customHeight="1">
      <c r="A12" s="1000" t="s">
        <v>506</v>
      </c>
      <c r="B12" s="1000"/>
      <c r="C12" s="1000"/>
      <c r="D12" s="1000"/>
      <c r="E12" s="1000"/>
      <c r="F12" s="1000"/>
      <c r="G12" s="27"/>
    </row>
    <row r="13" spans="1:7" ht="12.75">
      <c r="A13" s="27"/>
      <c r="B13" s="27"/>
      <c r="C13" s="27"/>
      <c r="D13" s="27"/>
      <c r="E13" s="27"/>
      <c r="F13" s="27"/>
      <c r="G13" s="27"/>
    </row>
    <row r="14" spans="1:7" ht="12.75">
      <c r="A14" s="27"/>
      <c r="B14" s="27"/>
      <c r="C14" s="27"/>
      <c r="D14" s="27"/>
      <c r="E14" s="27"/>
      <c r="F14" s="27"/>
      <c r="G14" s="27"/>
    </row>
    <row r="15" spans="1:7" ht="12.75">
      <c r="A15" s="27"/>
      <c r="B15" s="27"/>
      <c r="C15" s="27"/>
      <c r="D15" s="27"/>
      <c r="E15" s="27"/>
      <c r="F15" s="27"/>
      <c r="G15" s="27"/>
    </row>
    <row r="16" spans="1:7" ht="12.75">
      <c r="A16" s="214"/>
      <c r="B16" s="214"/>
      <c r="C16" s="214"/>
      <c r="D16" s="214"/>
      <c r="E16" s="214"/>
      <c r="F16" s="214"/>
      <c r="G16" s="214"/>
    </row>
    <row r="17" spans="1:7" ht="12.75">
      <c r="A17" s="214"/>
      <c r="B17" s="214"/>
      <c r="C17" s="214"/>
      <c r="D17" s="214"/>
      <c r="E17" s="214"/>
      <c r="F17" s="214"/>
      <c r="G17" s="214"/>
    </row>
    <row r="18" spans="1:7" ht="12.75">
      <c r="A18" s="214"/>
      <c r="B18" s="214"/>
      <c r="C18" s="214"/>
      <c r="D18" s="214"/>
      <c r="E18" s="214"/>
      <c r="F18" s="214"/>
      <c r="G18" s="214"/>
    </row>
    <row r="19" spans="1:7" ht="12.75">
      <c r="A19" s="214"/>
      <c r="B19" s="214"/>
      <c r="C19" s="214"/>
      <c r="D19" s="214"/>
      <c r="E19" s="214"/>
      <c r="F19" s="214"/>
      <c r="G19" s="214"/>
    </row>
    <row r="20" spans="1:7" ht="12.75">
      <c r="A20" s="214"/>
      <c r="B20" s="214"/>
      <c r="C20" s="214"/>
      <c r="D20" s="214"/>
      <c r="E20" s="214"/>
      <c r="F20" s="214"/>
      <c r="G20" s="214"/>
    </row>
    <row r="21" spans="1:7" ht="12.75">
      <c r="A21" s="214"/>
      <c r="B21" s="214"/>
      <c r="C21" s="214"/>
      <c r="D21" s="214"/>
      <c r="E21" s="214"/>
      <c r="F21" s="214"/>
      <c r="G21" s="214"/>
    </row>
    <row r="22" spans="1:7" ht="12.75">
      <c r="A22" s="214"/>
      <c r="B22" s="214"/>
      <c r="C22" s="214"/>
      <c r="D22" s="214"/>
      <c r="E22" s="214"/>
      <c r="F22" s="214"/>
      <c r="G22" s="214"/>
    </row>
    <row r="23" spans="1:7" ht="12.75">
      <c r="A23" s="214"/>
      <c r="B23" s="214"/>
      <c r="C23" s="214"/>
      <c r="D23" s="214"/>
      <c r="E23" s="214"/>
      <c r="F23" s="214"/>
      <c r="G23" s="214"/>
    </row>
    <row r="24" spans="1:7" ht="12.75">
      <c r="A24" s="214"/>
      <c r="B24" s="214"/>
      <c r="C24" s="214"/>
      <c r="D24" s="214"/>
      <c r="E24" s="214"/>
      <c r="F24" s="214"/>
      <c r="G24" s="214"/>
    </row>
    <row r="25" spans="1:7" ht="12.75">
      <c r="A25" s="214"/>
      <c r="B25" s="214"/>
      <c r="C25" s="214"/>
      <c r="D25" s="214"/>
      <c r="E25" s="214"/>
      <c r="F25" s="214"/>
      <c r="G25" s="214"/>
    </row>
    <row r="26" spans="1:7" ht="12.75">
      <c r="A26" s="214"/>
      <c r="B26" s="214"/>
      <c r="C26" s="214"/>
      <c r="D26" s="214"/>
      <c r="E26" s="214"/>
      <c r="F26" s="214"/>
      <c r="G26" s="214"/>
    </row>
    <row r="27" spans="1:7" ht="12.75">
      <c r="A27" s="214"/>
      <c r="B27" s="214"/>
      <c r="C27" s="214"/>
      <c r="D27" s="214"/>
      <c r="E27" s="214"/>
      <c r="F27" s="214"/>
      <c r="G27" s="214"/>
    </row>
    <row r="28" spans="1:7" ht="12.75">
      <c r="A28" s="214"/>
      <c r="B28" s="214"/>
      <c r="C28" s="214"/>
      <c r="D28" s="214"/>
      <c r="E28" s="214"/>
      <c r="F28" s="214"/>
      <c r="G28" s="214"/>
    </row>
    <row r="29" spans="1:7" ht="12.75">
      <c r="A29" s="214"/>
      <c r="B29" s="214"/>
      <c r="C29" s="214"/>
      <c r="D29" s="214"/>
      <c r="E29" s="214"/>
      <c r="F29" s="214"/>
      <c r="G29" s="214"/>
    </row>
    <row r="30" spans="1:7" ht="12.75">
      <c r="A30" s="214"/>
      <c r="B30" s="214"/>
      <c r="C30" s="214"/>
      <c r="D30" s="214"/>
      <c r="E30" s="214"/>
      <c r="F30" s="214"/>
      <c r="G30" s="214"/>
    </row>
    <row r="31" spans="1:7" ht="12.75">
      <c r="A31" s="214"/>
      <c r="B31" s="214"/>
      <c r="C31" s="214"/>
      <c r="D31" s="214"/>
      <c r="E31" s="214"/>
      <c r="F31" s="214"/>
      <c r="G31" s="214"/>
    </row>
    <row r="32" spans="1:7" ht="12.75">
      <c r="A32" s="214"/>
      <c r="B32" s="214"/>
      <c r="C32" s="214"/>
      <c r="D32" s="214"/>
      <c r="E32" s="214"/>
      <c r="F32" s="214"/>
      <c r="G32" s="214"/>
    </row>
    <row r="33" spans="1:7" ht="12.75">
      <c r="A33" s="214"/>
      <c r="B33" s="214"/>
      <c r="C33" s="214"/>
      <c r="D33" s="214"/>
      <c r="E33" s="214"/>
      <c r="F33" s="214"/>
      <c r="G33" s="214"/>
    </row>
    <row r="34" spans="1:7" ht="12.75">
      <c r="A34" s="208"/>
      <c r="B34" s="208"/>
      <c r="C34" s="208"/>
      <c r="D34" s="208"/>
      <c r="E34" s="208"/>
      <c r="F34" s="208"/>
      <c r="G34" s="208"/>
    </row>
    <row r="36" spans="1:6" ht="12.75">
      <c r="A36" s="215" t="s">
        <v>507</v>
      </c>
      <c r="F36" s="215" t="s">
        <v>508</v>
      </c>
    </row>
    <row r="37" spans="1:6" ht="12.75">
      <c r="A37" s="20" t="s">
        <v>509</v>
      </c>
      <c r="F37" s="20" t="s">
        <v>510</v>
      </c>
    </row>
    <row r="38" spans="1:6" ht="12.75">
      <c r="A38" s="215" t="s">
        <v>511</v>
      </c>
      <c r="F38" s="215" t="s">
        <v>511</v>
      </c>
    </row>
  </sheetData>
  <sheetProtection/>
  <mergeCells count="3">
    <mergeCell ref="A3:G3"/>
    <mergeCell ref="A4:G4"/>
    <mergeCell ref="A12:F12"/>
  </mergeCells>
  <printOptions/>
  <pageMargins left="0.79" right="0.41" top="0.48" bottom="0.34" header="0.3" footer="0.3"/>
  <pageSetup blackAndWhite="1"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trangminhtruc</dc:creator>
  <cp:keywords/>
  <dc:description/>
  <cp:lastModifiedBy>Windows User</cp:lastModifiedBy>
  <cp:lastPrinted>2023-07-18T07:32:43Z</cp:lastPrinted>
  <dcterms:created xsi:type="dcterms:W3CDTF">2017-05-11T00:46:56Z</dcterms:created>
  <dcterms:modified xsi:type="dcterms:W3CDTF">2023-07-19T02:59:51Z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1033-10.2.0.7635</vt:lpwstr>
  </property>
</Properties>
</file>