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kỳ họp chuyên đề\"/>
    </mc:Choice>
  </mc:AlternateContent>
  <bookViews>
    <workbookView xWindow="-120" yWindow="-120" windowWidth="20730" windowHeight="11760" activeTab="2"/>
  </bookViews>
  <sheets>
    <sheet name="TH" sheetId="9" r:id="rId1"/>
    <sheet name="Biểu Thuyết minh DT GD" sheetId="13" r:id="rId2"/>
    <sheet name="chi tiết nguồn" sheetId="12" r:id="rId3"/>
    <sheet name="Biểu xác định lại số thu" sheetId="11" state="hidden" r:id="rId4"/>
    <sheet name="Biểu CL số thu so với ĐN" sheetId="10" state="hidden" r:id="rId5"/>
    <sheet name="chênh lệch Kp" sheetId="7" state="hidden" r:id="rId6"/>
    <sheet name="Chênh lệch SLBC" sheetId="8" state="hidden" r:id="rId7"/>
    <sheet name="BCPGD" sheetId="3" state="hidden" r:id="rId8"/>
    <sheet name="DT 2024" sheetId="4" state="hidden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" l="1"/>
  <c r="Q4" i="12" a="1"/>
  <c r="Q4" i="12" s="1"/>
  <c r="A3" i="13"/>
  <c r="T41" i="13"/>
  <c r="S41" i="13"/>
  <c r="S37" i="13" s="1"/>
  <c r="S49" i="13"/>
  <c r="S45" i="13" s="1"/>
  <c r="Z67" i="13"/>
  <c r="Z66" i="13"/>
  <c r="X66" i="13"/>
  <c r="X63" i="13"/>
  <c r="T37" i="13"/>
  <c r="R36" i="13"/>
  <c r="N72" i="13"/>
  <c r="N71" i="13"/>
  <c r="R71" i="13" s="1"/>
  <c r="S70" i="13"/>
  <c r="T72" i="13"/>
  <c r="R72" i="13"/>
  <c r="V67" i="13"/>
  <c r="V66" i="13"/>
  <c r="V64" i="13"/>
  <c r="V63" i="13"/>
  <c r="T65" i="13"/>
  <c r="T57" i="13"/>
  <c r="T58" i="13"/>
  <c r="T59" i="13"/>
  <c r="T56" i="13"/>
  <c r="T52" i="13"/>
  <c r="T53" i="13"/>
  <c r="T54" i="13"/>
  <c r="T51" i="13"/>
  <c r="S50" i="13"/>
  <c r="T47" i="13"/>
  <c r="T48" i="13"/>
  <c r="T46" i="13"/>
  <c r="S42" i="13"/>
  <c r="T42" i="13"/>
  <c r="T43" i="13"/>
  <c r="T35" i="13"/>
  <c r="T34" i="13"/>
  <c r="T33" i="13"/>
  <c r="T31" i="13"/>
  <c r="T27" i="13"/>
  <c r="T28" i="13"/>
  <c r="T29" i="13"/>
  <c r="T30" i="13"/>
  <c r="T26" i="13"/>
  <c r="S23" i="13"/>
  <c r="S24" i="13"/>
  <c r="T22" i="13"/>
  <c r="T21" i="13" s="1"/>
  <c r="T20" i="13" s="1"/>
  <c r="S20" i="13"/>
  <c r="S21" i="13"/>
  <c r="T19" i="13"/>
  <c r="T18" i="13" s="1"/>
  <c r="T17" i="13" s="1"/>
  <c r="S18" i="13"/>
  <c r="S17" i="13" s="1"/>
  <c r="D722" i="9"/>
  <c r="D649" i="9"/>
  <c r="D629" i="9"/>
  <c r="D630" i="9"/>
  <c r="D590" i="9"/>
  <c r="C591" i="9"/>
  <c r="C593" i="9"/>
  <c r="D465" i="9"/>
  <c r="S36" i="13" l="1"/>
  <c r="T49" i="13"/>
  <c r="R70" i="13"/>
  <c r="T71" i="13"/>
  <c r="T70" i="13" s="1"/>
  <c r="T50" i="13"/>
  <c r="T45" i="13"/>
  <c r="T36" i="13" s="1"/>
  <c r="T24" i="13"/>
  <c r="T23" i="13" s="1"/>
  <c r="D552" i="9"/>
  <c r="C553" i="9"/>
  <c r="B553" i="9"/>
  <c r="D532" i="9"/>
  <c r="D531" i="9"/>
  <c r="D530" i="9"/>
  <c r="D529" i="9"/>
  <c r="D525" i="9"/>
  <c r="D524" i="9"/>
  <c r="D523" i="9"/>
  <c r="D522" i="9"/>
  <c r="D520" i="9" s="1"/>
  <c r="D521" i="9"/>
  <c r="D519" i="9"/>
  <c r="C520" i="9"/>
  <c r="C518" i="9" s="1"/>
  <c r="B520" i="9"/>
  <c r="B518" i="9" s="1"/>
  <c r="C528" i="9"/>
  <c r="C526" i="9" s="1"/>
  <c r="B528" i="9"/>
  <c r="D500" i="9"/>
  <c r="D498" i="9" s="1"/>
  <c r="D496" i="9" s="1"/>
  <c r="D499" i="9"/>
  <c r="D495" i="9"/>
  <c r="D494" i="9"/>
  <c r="D493" i="9"/>
  <c r="D491" i="9"/>
  <c r="C498" i="9"/>
  <c r="C496" i="9" s="1"/>
  <c r="C492" i="9"/>
  <c r="C490" i="9" s="1"/>
  <c r="D472" i="9"/>
  <c r="D471" i="9"/>
  <c r="D467" i="9"/>
  <c r="D466" i="9"/>
  <c r="D464" i="9" s="1"/>
  <c r="D462" i="9" s="1"/>
  <c r="C470" i="9"/>
  <c r="C468" i="9" s="1"/>
  <c r="B470" i="9"/>
  <c r="D463" i="9"/>
  <c r="C464" i="9"/>
  <c r="C462" i="9" s="1"/>
  <c r="B464" i="9"/>
  <c r="B462" i="9" s="1"/>
  <c r="C442" i="9"/>
  <c r="C440" i="9" s="1"/>
  <c r="D444" i="9"/>
  <c r="D443" i="9"/>
  <c r="D439" i="9"/>
  <c r="D438" i="9"/>
  <c r="D437" i="9"/>
  <c r="D435" i="9"/>
  <c r="C436" i="9"/>
  <c r="C434" i="9" s="1"/>
  <c r="C413" i="9"/>
  <c r="C411" i="9" s="1"/>
  <c r="D416" i="9"/>
  <c r="D415" i="9"/>
  <c r="D414" i="9"/>
  <c r="D410" i="9"/>
  <c r="D409" i="9"/>
  <c r="D408" i="9"/>
  <c r="D406" i="9"/>
  <c r="C407" i="9"/>
  <c r="C405" i="9" s="1"/>
  <c r="B379" i="9"/>
  <c r="B377" i="9" s="1"/>
  <c r="C385" i="9"/>
  <c r="C383" i="9" s="1"/>
  <c r="D387" i="9"/>
  <c r="D386" i="9"/>
  <c r="D382" i="9"/>
  <c r="D381" i="9"/>
  <c r="D380" i="9"/>
  <c r="D378" i="9"/>
  <c r="C379" i="9"/>
  <c r="C377" i="9" s="1"/>
  <c r="B385" i="9"/>
  <c r="C356" i="9"/>
  <c r="C354" i="9" s="1"/>
  <c r="D359" i="9"/>
  <c r="D358" i="9"/>
  <c r="D357" i="9"/>
  <c r="D353" i="9"/>
  <c r="D352" i="9"/>
  <c r="D351" i="9"/>
  <c r="D349" i="9"/>
  <c r="C350" i="9"/>
  <c r="C348" i="9" s="1"/>
  <c r="C327" i="9"/>
  <c r="C325" i="9" s="1"/>
  <c r="D330" i="9"/>
  <c r="D329" i="9"/>
  <c r="D328" i="9"/>
  <c r="D324" i="9"/>
  <c r="D323" i="9"/>
  <c r="D322" i="9"/>
  <c r="D321" i="9"/>
  <c r="D319" i="9"/>
  <c r="C320" i="9"/>
  <c r="C318" i="9" s="1"/>
  <c r="C296" i="9"/>
  <c r="C294" i="9" s="1"/>
  <c r="D299" i="9"/>
  <c r="D297" i="9"/>
  <c r="D293" i="9"/>
  <c r="D292" i="9"/>
  <c r="D291" i="9"/>
  <c r="D290" i="9"/>
  <c r="D289" i="9"/>
  <c r="D287" i="9"/>
  <c r="C288" i="9"/>
  <c r="C286" i="9" s="1"/>
  <c r="C265" i="9"/>
  <c r="C263" i="9" s="1"/>
  <c r="D268" i="9"/>
  <c r="D266" i="9"/>
  <c r="D262" i="9"/>
  <c r="D261" i="9"/>
  <c r="D260" i="9"/>
  <c r="D259" i="9"/>
  <c r="D258" i="9"/>
  <c r="D256" i="9"/>
  <c r="C257" i="9"/>
  <c r="C255" i="9" s="1"/>
  <c r="C233" i="9"/>
  <c r="C231" i="9" s="1"/>
  <c r="D237" i="9"/>
  <c r="D236" i="9"/>
  <c r="D234" i="9"/>
  <c r="D230" i="9"/>
  <c r="D229" i="9"/>
  <c r="D228" i="9"/>
  <c r="D227" i="9"/>
  <c r="D226" i="9"/>
  <c r="D225" i="9" s="1"/>
  <c r="D224" i="9"/>
  <c r="C225" i="9"/>
  <c r="C223" i="9" s="1"/>
  <c r="C201" i="9"/>
  <c r="C199" i="9" s="1"/>
  <c r="D205" i="9"/>
  <c r="D204" i="9"/>
  <c r="D203" i="9"/>
  <c r="D202" i="9"/>
  <c r="D198" i="9"/>
  <c r="D197" i="9"/>
  <c r="D196" i="9"/>
  <c r="D195" i="9"/>
  <c r="D194" i="9"/>
  <c r="D192" i="9"/>
  <c r="C193" i="9"/>
  <c r="C191" i="9" s="1"/>
  <c r="B201" i="9"/>
  <c r="B199" i="9" s="1"/>
  <c r="B193" i="9"/>
  <c r="B191" i="9" s="1"/>
  <c r="C168" i="9"/>
  <c r="C166" i="9" s="1"/>
  <c r="D173" i="9"/>
  <c r="D172" i="9"/>
  <c r="D171" i="9"/>
  <c r="D169" i="9"/>
  <c r="D165" i="9"/>
  <c r="D164" i="9"/>
  <c r="D163" i="9"/>
  <c r="D162" i="9"/>
  <c r="D161" i="9"/>
  <c r="D160" i="9"/>
  <c r="D158" i="9"/>
  <c r="C159" i="9"/>
  <c r="C157" i="9" s="1"/>
  <c r="D126" i="9"/>
  <c r="C125" i="9"/>
  <c r="C123" i="9" s="1"/>
  <c r="C134" i="9"/>
  <c r="C132" i="9" s="1"/>
  <c r="D139" i="9"/>
  <c r="D138" i="9"/>
  <c r="D137" i="9"/>
  <c r="D135" i="9"/>
  <c r="D131" i="9"/>
  <c r="D130" i="9"/>
  <c r="D129" i="9"/>
  <c r="D128" i="9"/>
  <c r="D127" i="9"/>
  <c r="D124" i="9"/>
  <c r="D103" i="9"/>
  <c r="D104" i="9"/>
  <c r="C102" i="9"/>
  <c r="C100" i="9" s="1"/>
  <c r="B102" i="9"/>
  <c r="B100" i="9" s="1"/>
  <c r="D105" i="9"/>
  <c r="D99" i="9"/>
  <c r="D98" i="9"/>
  <c r="D97" i="9"/>
  <c r="D96" i="9"/>
  <c r="D95" i="9"/>
  <c r="D93" i="9"/>
  <c r="C94" i="9"/>
  <c r="C92" i="9" s="1"/>
  <c r="B94" i="9"/>
  <c r="B92" i="9" s="1"/>
  <c r="D74" i="9"/>
  <c r="D73" i="9"/>
  <c r="D72" i="9"/>
  <c r="D68" i="9"/>
  <c r="D67" i="9"/>
  <c r="D66" i="9"/>
  <c r="D65" i="9"/>
  <c r="D62" i="9"/>
  <c r="C32" i="9"/>
  <c r="B20" i="9"/>
  <c r="B21" i="9"/>
  <c r="B22" i="9"/>
  <c r="D43" i="9"/>
  <c r="D42" i="9"/>
  <c r="D41" i="9"/>
  <c r="D37" i="9"/>
  <c r="D36" i="9"/>
  <c r="D35" i="9"/>
  <c r="D34" i="9"/>
  <c r="D33" i="9"/>
  <c r="D31" i="9"/>
  <c r="B526" i="9"/>
  <c r="B498" i="9"/>
  <c r="B496" i="9" s="1"/>
  <c r="C481" i="9"/>
  <c r="B492" i="9"/>
  <c r="B490" i="9" s="1"/>
  <c r="B442" i="9"/>
  <c r="B440" i="9" s="1"/>
  <c r="B436" i="9"/>
  <c r="B434" i="9" s="1"/>
  <c r="B413" i="9"/>
  <c r="B411" i="9" s="1"/>
  <c r="B407" i="9"/>
  <c r="B405" i="9" s="1"/>
  <c r="B356" i="9"/>
  <c r="B354" i="9" s="1"/>
  <c r="B350" i="9"/>
  <c r="B348" i="9" s="1"/>
  <c r="B327" i="9"/>
  <c r="B325" i="9" s="1"/>
  <c r="B320" i="9"/>
  <c r="B318" i="9" s="1"/>
  <c r="B298" i="9"/>
  <c r="D298" i="9" s="1"/>
  <c r="B296" i="9"/>
  <c r="B294" i="9" s="1"/>
  <c r="B278" i="9"/>
  <c r="B277" i="9"/>
  <c r="B276" i="9"/>
  <c r="B267" i="9"/>
  <c r="B265" i="9" s="1"/>
  <c r="B263" i="9" s="1"/>
  <c r="B247" i="9"/>
  <c r="B246" i="9"/>
  <c r="B245" i="9"/>
  <c r="B235" i="9"/>
  <c r="B233" i="9" s="1"/>
  <c r="B231" i="9" s="1"/>
  <c r="B225" i="9"/>
  <c r="B223" i="9" s="1"/>
  <c r="B215" i="9"/>
  <c r="B214" i="9"/>
  <c r="B213" i="9"/>
  <c r="B183" i="9"/>
  <c r="B182" i="9"/>
  <c r="B186" i="9" s="1"/>
  <c r="B181" i="9"/>
  <c r="B170" i="9"/>
  <c r="B168" i="9" s="1"/>
  <c r="B166" i="9" s="1"/>
  <c r="B159" i="9"/>
  <c r="B157" i="9" s="1"/>
  <c r="B149" i="9"/>
  <c r="B148" i="9"/>
  <c r="B147" i="9"/>
  <c r="B136" i="9"/>
  <c r="D136" i="9" s="1"/>
  <c r="B134" i="9"/>
  <c r="B132" i="9" s="1"/>
  <c r="B125" i="9"/>
  <c r="B123" i="9" s="1"/>
  <c r="B115" i="9"/>
  <c r="B114" i="9"/>
  <c r="B113" i="9"/>
  <c r="B84" i="9"/>
  <c r="B83" i="9"/>
  <c r="B82" i="9"/>
  <c r="C63" i="9"/>
  <c r="C61" i="9" s="1"/>
  <c r="C71" i="9"/>
  <c r="C69" i="9" s="1"/>
  <c r="B71" i="9"/>
  <c r="B69" i="9" s="1"/>
  <c r="B53" i="9"/>
  <c r="B52" i="9"/>
  <c r="B51" i="9"/>
  <c r="C40" i="9"/>
  <c r="C38" i="9" s="1"/>
  <c r="B40" i="9"/>
  <c r="B38" i="9" s="1"/>
  <c r="B32" i="9"/>
  <c r="B30" i="9" s="1"/>
  <c r="D470" i="9" l="1"/>
  <c r="D468" i="9" s="1"/>
  <c r="D461" i="9" s="1"/>
  <c r="D460" i="9" s="1"/>
  <c r="D518" i="9"/>
  <c r="D528" i="9"/>
  <c r="D526" i="9" s="1"/>
  <c r="D170" i="9"/>
  <c r="D40" i="9"/>
  <c r="D38" i="9" s="1"/>
  <c r="D288" i="9"/>
  <c r="D267" i="9"/>
  <c r="D265" i="9" s="1"/>
  <c r="D263" i="9" s="1"/>
  <c r="D492" i="9"/>
  <c r="B19" i="9"/>
  <c r="D71" i="9"/>
  <c r="D69" i="9" s="1"/>
  <c r="D257" i="9"/>
  <c r="D255" i="9" s="1"/>
  <c r="D102" i="9"/>
  <c r="D100" i="9" s="1"/>
  <c r="C517" i="9"/>
  <c r="C516" i="9" s="1"/>
  <c r="D159" i="9"/>
  <c r="D157" i="9" s="1"/>
  <c r="D193" i="9"/>
  <c r="D385" i="9"/>
  <c r="D383" i="9" s="1"/>
  <c r="D436" i="9"/>
  <c r="D442" i="9"/>
  <c r="D440" i="9" s="1"/>
  <c r="D490" i="9"/>
  <c r="D489" i="9" s="1"/>
  <c r="D488" i="9" s="1"/>
  <c r="C489" i="9"/>
  <c r="C488" i="9" s="1"/>
  <c r="C461" i="9"/>
  <c r="C460" i="9" s="1"/>
  <c r="D320" i="9"/>
  <c r="D413" i="9"/>
  <c r="D411" i="9" s="1"/>
  <c r="C433" i="9"/>
  <c r="C432" i="9" s="1"/>
  <c r="D434" i="9"/>
  <c r="D407" i="9"/>
  <c r="D405" i="9" s="1"/>
  <c r="C404" i="9"/>
  <c r="C403" i="9" s="1"/>
  <c r="D379" i="9"/>
  <c r="D377" i="9" s="1"/>
  <c r="C376" i="9"/>
  <c r="C375" i="9" s="1"/>
  <c r="D356" i="9"/>
  <c r="D354" i="9" s="1"/>
  <c r="D327" i="9"/>
  <c r="D325" i="9" s="1"/>
  <c r="D296" i="9"/>
  <c r="D294" i="9" s="1"/>
  <c r="D350" i="9"/>
  <c r="D348" i="9" s="1"/>
  <c r="D347" i="9" s="1"/>
  <c r="D346" i="9" s="1"/>
  <c r="C347" i="9"/>
  <c r="C346" i="9" s="1"/>
  <c r="D318" i="9"/>
  <c r="C317" i="9"/>
  <c r="C316" i="9" s="1"/>
  <c r="C285" i="9"/>
  <c r="C284" i="9" s="1"/>
  <c r="D286" i="9"/>
  <c r="C254" i="9"/>
  <c r="C253" i="9" s="1"/>
  <c r="D235" i="9"/>
  <c r="D233" i="9" s="1"/>
  <c r="D231" i="9" s="1"/>
  <c r="B122" i="9"/>
  <c r="D201" i="9"/>
  <c r="D199" i="9" s="1"/>
  <c r="D134" i="9"/>
  <c r="D132" i="9" s="1"/>
  <c r="D32" i="9"/>
  <c r="D30" i="9" s="1"/>
  <c r="D29" i="9" s="1"/>
  <c r="D28" i="9" s="1"/>
  <c r="C222" i="9"/>
  <c r="C221" i="9" s="1"/>
  <c r="D223" i="9"/>
  <c r="D191" i="9"/>
  <c r="C190" i="9"/>
  <c r="C189" i="9" s="1"/>
  <c r="D168" i="9"/>
  <c r="D166" i="9" s="1"/>
  <c r="C156" i="9"/>
  <c r="C155" i="9" s="1"/>
  <c r="D125" i="9"/>
  <c r="D123" i="9" s="1"/>
  <c r="C122" i="9"/>
  <c r="C121" i="9" s="1"/>
  <c r="D94" i="9"/>
  <c r="C91" i="9"/>
  <c r="C90" i="9" s="1"/>
  <c r="C60" i="9"/>
  <c r="C59" i="9" s="1"/>
  <c r="C30" i="9"/>
  <c r="C29" i="9" s="1"/>
  <c r="C28" i="9" s="1"/>
  <c r="B517" i="9"/>
  <c r="B516" i="9" s="1"/>
  <c r="B489" i="9"/>
  <c r="B488" i="9" s="1"/>
  <c r="B433" i="9"/>
  <c r="B432" i="9" s="1"/>
  <c r="B404" i="9"/>
  <c r="B403" i="9" s="1"/>
  <c r="B347" i="9"/>
  <c r="B346" i="9" s="1"/>
  <c r="B317" i="9"/>
  <c r="B316" i="9" s="1"/>
  <c r="B222" i="9"/>
  <c r="B221" i="9" s="1"/>
  <c r="B190" i="9"/>
  <c r="B189" i="9" s="1"/>
  <c r="B156" i="9"/>
  <c r="B155" i="9" s="1"/>
  <c r="B121" i="9"/>
  <c r="B91" i="9"/>
  <c r="B90" i="9" s="1"/>
  <c r="B29" i="9"/>
  <c r="B28" i="9" s="1"/>
  <c r="S282" i="13"/>
  <c r="S263" i="13"/>
  <c r="S244" i="13"/>
  <c r="S225" i="13"/>
  <c r="S206" i="13"/>
  <c r="S187" i="13"/>
  <c r="S168" i="13"/>
  <c r="S149" i="13"/>
  <c r="S130" i="13"/>
  <c r="S111" i="13"/>
  <c r="S730" i="13"/>
  <c r="S738" i="13"/>
  <c r="S727" i="13"/>
  <c r="S726" i="13" s="1"/>
  <c r="S719" i="13"/>
  <c r="S716" i="13"/>
  <c r="S711" i="13"/>
  <c r="S708" i="13"/>
  <c r="S707" i="13" s="1"/>
  <c r="S706" i="13" s="1"/>
  <c r="S700" i="13"/>
  <c r="S698" i="13"/>
  <c r="S697" i="13" s="1"/>
  <c r="S692" i="13"/>
  <c r="S689" i="13"/>
  <c r="S681" i="13"/>
  <c r="S678" i="13"/>
  <c r="S673" i="13"/>
  <c r="S670" i="13"/>
  <c r="S662" i="13"/>
  <c r="S659" i="13"/>
  <c r="S654" i="13"/>
  <c r="S651" i="13"/>
  <c r="S643" i="13"/>
  <c r="S640" i="13"/>
  <c r="S635" i="13"/>
  <c r="S632" i="13"/>
  <c r="S624" i="13"/>
  <c r="S621" i="13"/>
  <c r="S616" i="13"/>
  <c r="S613" i="13"/>
  <c r="S605" i="13"/>
  <c r="S602" i="13"/>
  <c r="S597" i="13"/>
  <c r="S594" i="13"/>
  <c r="S593" i="13" s="1"/>
  <c r="S592" i="13" s="1"/>
  <c r="S586" i="13"/>
  <c r="S578" i="13"/>
  <c r="S575" i="13"/>
  <c r="S574" i="13" s="1"/>
  <c r="S573" i="13" s="1"/>
  <c r="S572" i="13"/>
  <c r="S567" i="13" s="1"/>
  <c r="S571" i="13"/>
  <c r="S570" i="13"/>
  <c r="S569" i="13"/>
  <c r="S568" i="13"/>
  <c r="S566" i="13"/>
  <c r="S565" i="13"/>
  <c r="S561" i="13"/>
  <c r="S560" i="13"/>
  <c r="S558" i="13"/>
  <c r="S557" i="13"/>
  <c r="S548" i="13"/>
  <c r="S540" i="13"/>
  <c r="S537" i="13"/>
  <c r="S536" i="13" s="1"/>
  <c r="S535" i="13" s="1"/>
  <c r="S529" i="13"/>
  <c r="S526" i="13"/>
  <c r="S521" i="13"/>
  <c r="S518" i="13"/>
  <c r="S510" i="13"/>
  <c r="S507" i="13"/>
  <c r="S502" i="13"/>
  <c r="S499" i="13"/>
  <c r="S491" i="13"/>
  <c r="S488" i="13"/>
  <c r="S483" i="13"/>
  <c r="S480" i="13"/>
  <c r="S472" i="13"/>
  <c r="S464" i="13"/>
  <c r="S461" i="13"/>
  <c r="S460" i="13" s="1"/>
  <c r="S459" i="13" s="1"/>
  <c r="S453" i="13"/>
  <c r="S445" i="13"/>
  <c r="S442" i="13"/>
  <c r="S441" i="13" s="1"/>
  <c r="S440" i="13" s="1"/>
  <c r="S434" i="13"/>
  <c r="S431" i="13"/>
  <c r="S426" i="13"/>
  <c r="S423" i="13"/>
  <c r="S415" i="13"/>
  <c r="S412" i="13"/>
  <c r="S407" i="13"/>
  <c r="S404" i="13"/>
  <c r="S396" i="13"/>
  <c r="S393" i="13"/>
  <c r="S388" i="13"/>
  <c r="S385" i="13"/>
  <c r="S377" i="13"/>
  <c r="S374" i="13"/>
  <c r="S369" i="13"/>
  <c r="S366" i="13"/>
  <c r="S365" i="13" s="1"/>
  <c r="S364" i="13" s="1"/>
  <c r="S358" i="13"/>
  <c r="S355" i="13"/>
  <c r="S350" i="13"/>
  <c r="S347" i="13"/>
  <c r="S339" i="13"/>
  <c r="T339" i="13"/>
  <c r="S336" i="13"/>
  <c r="S331" i="13"/>
  <c r="S328" i="13"/>
  <c r="S320" i="13"/>
  <c r="S317" i="13"/>
  <c r="S312" i="13"/>
  <c r="S309" i="13"/>
  <c r="S306" i="13"/>
  <c r="S305" i="13"/>
  <c r="S77" i="13" s="1"/>
  <c r="S304" i="13"/>
  <c r="S303" i="13"/>
  <c r="S302" i="13"/>
  <c r="S301" i="13" s="1"/>
  <c r="S300" i="13"/>
  <c r="S299" i="13"/>
  <c r="S295" i="13"/>
  <c r="S294" i="13"/>
  <c r="S292" i="13"/>
  <c r="S291" i="13"/>
  <c r="S97" i="13"/>
  <c r="S96" i="13"/>
  <c r="S95" i="13"/>
  <c r="S94" i="13"/>
  <c r="S93" i="13"/>
  <c r="S92" i="13" s="1"/>
  <c r="S91" i="13"/>
  <c r="S90" i="13"/>
  <c r="S86" i="13"/>
  <c r="S85" i="13"/>
  <c r="S83" i="13"/>
  <c r="S82" i="13"/>
  <c r="S81" i="13" s="1"/>
  <c r="S78" i="13"/>
  <c r="S279" i="13"/>
  <c r="S274" i="13"/>
  <c r="S271" i="13"/>
  <c r="S260" i="13"/>
  <c r="E258" i="13"/>
  <c r="D258" i="13" s="1"/>
  <c r="R258" i="13" s="1"/>
  <c r="T258" i="13" s="1"/>
  <c r="S255" i="13"/>
  <c r="S252" i="13"/>
  <c r="S241" i="13"/>
  <c r="S236" i="13"/>
  <c r="S233" i="13"/>
  <c r="S222" i="13"/>
  <c r="S217" i="13"/>
  <c r="S214" i="13"/>
  <c r="S213" i="13" s="1"/>
  <c r="S212" i="13" s="1"/>
  <c r="S203" i="13"/>
  <c r="S198" i="13"/>
  <c r="S195" i="13"/>
  <c r="S184" i="13"/>
  <c r="S179" i="13"/>
  <c r="S176" i="13"/>
  <c r="S165" i="13"/>
  <c r="T161" i="13"/>
  <c r="T160" i="13" s="1"/>
  <c r="S160" i="13"/>
  <c r="S157" i="13"/>
  <c r="S146" i="13"/>
  <c r="S141" i="13"/>
  <c r="S138" i="13"/>
  <c r="S127" i="13"/>
  <c r="S122" i="13"/>
  <c r="S119" i="13"/>
  <c r="S108" i="13"/>
  <c r="S99" i="13" s="1"/>
  <c r="S98" i="13" s="1"/>
  <c r="O43" i="12"/>
  <c r="P43" i="12" s="1"/>
  <c r="O42" i="12"/>
  <c r="P42" i="12" s="1"/>
  <c r="O41" i="12"/>
  <c r="O40" i="12"/>
  <c r="O39" i="12"/>
  <c r="P39" i="12" s="1"/>
  <c r="O38" i="12"/>
  <c r="P38" i="12" s="1"/>
  <c r="O37" i="12"/>
  <c r="O36" i="12"/>
  <c r="O35" i="12"/>
  <c r="P35" i="12" s="1"/>
  <c r="L43" i="12"/>
  <c r="L42" i="12"/>
  <c r="L41" i="12"/>
  <c r="L40" i="12"/>
  <c r="L39" i="12"/>
  <c r="L38" i="12"/>
  <c r="L37" i="12"/>
  <c r="L36" i="12"/>
  <c r="L35" i="12"/>
  <c r="I43" i="12"/>
  <c r="I42" i="12"/>
  <c r="I41" i="12"/>
  <c r="I40" i="12"/>
  <c r="I39" i="12"/>
  <c r="I38" i="12"/>
  <c r="I37" i="12"/>
  <c r="I36" i="12"/>
  <c r="I35" i="12"/>
  <c r="E36" i="12"/>
  <c r="E37" i="12"/>
  <c r="E38" i="12"/>
  <c r="F38" i="12" s="1"/>
  <c r="E39" i="12"/>
  <c r="E40" i="12"/>
  <c r="E41" i="12"/>
  <c r="F41" i="12" s="1"/>
  <c r="E42" i="12"/>
  <c r="F42" i="12" s="1"/>
  <c r="E43" i="12"/>
  <c r="F43" i="12" s="1"/>
  <c r="E35" i="12"/>
  <c r="F35" i="12" s="1"/>
  <c r="O33" i="12"/>
  <c r="P33" i="12" s="1"/>
  <c r="O32" i="12"/>
  <c r="P32" i="12" s="1"/>
  <c r="O31" i="12"/>
  <c r="O30" i="12"/>
  <c r="O29" i="12"/>
  <c r="P29" i="12" s="1"/>
  <c r="O28" i="12"/>
  <c r="P28" i="12" s="1"/>
  <c r="O27" i="12"/>
  <c r="O26" i="12"/>
  <c r="O25" i="12"/>
  <c r="P25" i="12" s="1"/>
  <c r="O24" i="12"/>
  <c r="P24" i="12" s="1"/>
  <c r="O23" i="12"/>
  <c r="P23" i="12" s="1"/>
  <c r="O22" i="12"/>
  <c r="P22" i="12" s="1"/>
  <c r="O21" i="12"/>
  <c r="P21" i="12" s="1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E22" i="12"/>
  <c r="E23" i="12"/>
  <c r="F23" i="12" s="1"/>
  <c r="E24" i="12"/>
  <c r="F24" i="12" s="1"/>
  <c r="E25" i="12"/>
  <c r="E26" i="12"/>
  <c r="E27" i="12"/>
  <c r="E28" i="12"/>
  <c r="F28" i="12" s="1"/>
  <c r="E29" i="12"/>
  <c r="E30" i="12"/>
  <c r="F30" i="12" s="1"/>
  <c r="E31" i="12"/>
  <c r="F31" i="12" s="1"/>
  <c r="E32" i="12"/>
  <c r="F32" i="12" s="1"/>
  <c r="E33" i="12"/>
  <c r="F33" i="12" s="1"/>
  <c r="E21" i="12"/>
  <c r="F21" i="12" s="1"/>
  <c r="O19" i="12"/>
  <c r="P19" i="12" s="1"/>
  <c r="O18" i="12"/>
  <c r="P18" i="12" s="1"/>
  <c r="O17" i="12"/>
  <c r="O16" i="12"/>
  <c r="O15" i="12"/>
  <c r="P15" i="12" s="1"/>
  <c r="O14" i="12"/>
  <c r="P14" i="12" s="1"/>
  <c r="O13" i="12"/>
  <c r="O12" i="12"/>
  <c r="O11" i="12"/>
  <c r="P11" i="12" s="1"/>
  <c r="O10" i="12"/>
  <c r="L19" i="12"/>
  <c r="L18" i="12"/>
  <c r="L17" i="12"/>
  <c r="L16" i="12"/>
  <c r="L15" i="12"/>
  <c r="L14" i="12"/>
  <c r="L13" i="12"/>
  <c r="L12" i="12"/>
  <c r="L11" i="12"/>
  <c r="L10" i="12"/>
  <c r="I19" i="12"/>
  <c r="I18" i="12"/>
  <c r="I17" i="12"/>
  <c r="I16" i="12"/>
  <c r="I15" i="12"/>
  <c r="I14" i="12"/>
  <c r="I13" i="12"/>
  <c r="I12" i="12"/>
  <c r="I11" i="12"/>
  <c r="I10" i="12"/>
  <c r="E11" i="12"/>
  <c r="F11" i="12" s="1"/>
  <c r="E12" i="12"/>
  <c r="E13" i="12"/>
  <c r="E14" i="12"/>
  <c r="F14" i="12" s="1"/>
  <c r="E15" i="12"/>
  <c r="E16" i="12"/>
  <c r="F16" i="12" s="1"/>
  <c r="E17" i="12"/>
  <c r="F17" i="12" s="1"/>
  <c r="E18" i="12"/>
  <c r="F18" i="12" s="1"/>
  <c r="E19" i="12"/>
  <c r="E10" i="12"/>
  <c r="F10" i="12" s="1"/>
  <c r="S103" i="13"/>
  <c r="S100" i="13"/>
  <c r="R101" i="13"/>
  <c r="Q62" i="13"/>
  <c r="Q743" i="13"/>
  <c r="L743" i="13"/>
  <c r="N743" i="13" s="1"/>
  <c r="D743" i="13"/>
  <c r="Q742" i="13"/>
  <c r="L742" i="13"/>
  <c r="N742" i="13" s="1"/>
  <c r="O742" i="13" s="1"/>
  <c r="P742" i="13" s="1"/>
  <c r="G742" i="13"/>
  <c r="E742" i="13"/>
  <c r="D742" i="13"/>
  <c r="Q741" i="13"/>
  <c r="N741" i="13"/>
  <c r="L741" i="13"/>
  <c r="G741" i="13"/>
  <c r="E741" i="13"/>
  <c r="R740" i="13"/>
  <c r="T740" i="13" s="1"/>
  <c r="Q740" i="13"/>
  <c r="L740" i="13"/>
  <c r="N740" i="13" s="1"/>
  <c r="O740" i="13" s="1"/>
  <c r="P740" i="13" s="1"/>
  <c r="D740" i="13"/>
  <c r="I740" i="13" s="1"/>
  <c r="Q739" i="13"/>
  <c r="L739" i="13"/>
  <c r="E739" i="13"/>
  <c r="D739" i="13" s="1"/>
  <c r="M738" i="13"/>
  <c r="K738" i="13"/>
  <c r="J738" i="13"/>
  <c r="H738" i="13"/>
  <c r="G738" i="13"/>
  <c r="F738" i="13"/>
  <c r="E738" i="13"/>
  <c r="G737" i="13"/>
  <c r="E736" i="13"/>
  <c r="D736" i="13"/>
  <c r="K736" i="13" s="1"/>
  <c r="L736" i="13" s="1"/>
  <c r="Q735" i="13"/>
  <c r="F735" i="13"/>
  <c r="E735" i="13"/>
  <c r="Q734" i="13"/>
  <c r="O734" i="13"/>
  <c r="L734" i="13"/>
  <c r="N734" i="13" s="1"/>
  <c r="P734" i="13" s="1"/>
  <c r="E733" i="13"/>
  <c r="D733" i="13" s="1"/>
  <c r="E732" i="13"/>
  <c r="E731" i="13"/>
  <c r="D731" i="13"/>
  <c r="Q730" i="13"/>
  <c r="N730" i="13"/>
  <c r="P730" i="13" s="1"/>
  <c r="O730" i="13" s="1"/>
  <c r="L730" i="13"/>
  <c r="G730" i="13"/>
  <c r="F730" i="13"/>
  <c r="G729" i="13"/>
  <c r="D729" i="13" s="1"/>
  <c r="H729" i="13" s="1"/>
  <c r="E728" i="13"/>
  <c r="D728" i="13"/>
  <c r="H728" i="13" s="1"/>
  <c r="Q727" i="13"/>
  <c r="N727" i="13"/>
  <c r="L727" i="13"/>
  <c r="F727" i="13"/>
  <c r="E727" i="13"/>
  <c r="M726" i="13"/>
  <c r="J726" i="13"/>
  <c r="I726" i="13"/>
  <c r="F726" i="13"/>
  <c r="Q724" i="13"/>
  <c r="L724" i="13"/>
  <c r="N724" i="13" s="1"/>
  <c r="O724" i="13" s="1"/>
  <c r="D724" i="13"/>
  <c r="Q723" i="13"/>
  <c r="L723" i="13"/>
  <c r="N723" i="13" s="1"/>
  <c r="O723" i="13" s="1"/>
  <c r="G723" i="13"/>
  <c r="G719" i="13" s="1"/>
  <c r="E723" i="13"/>
  <c r="Q722" i="13"/>
  <c r="L722" i="13"/>
  <c r="N722" i="13" s="1"/>
  <c r="O722" i="13" s="1"/>
  <c r="D722" i="13"/>
  <c r="I722" i="13" s="1"/>
  <c r="Q721" i="13"/>
  <c r="L721" i="13"/>
  <c r="N721" i="13" s="1"/>
  <c r="D721" i="13"/>
  <c r="I721" i="13" s="1"/>
  <c r="Q720" i="13"/>
  <c r="Q719" i="13" s="1"/>
  <c r="N720" i="13"/>
  <c r="L720" i="13"/>
  <c r="E720" i="13"/>
  <c r="D720" i="13"/>
  <c r="M719" i="13"/>
  <c r="K719" i="13"/>
  <c r="J719" i="13"/>
  <c r="J706" i="13" s="1"/>
  <c r="H719" i="13"/>
  <c r="F719" i="13"/>
  <c r="G718" i="13"/>
  <c r="D718" i="13"/>
  <c r="K718" i="13" s="1"/>
  <c r="L718" i="13" s="1"/>
  <c r="E717" i="13"/>
  <c r="Q716" i="13"/>
  <c r="G716" i="13"/>
  <c r="F716" i="13"/>
  <c r="Q715" i="13"/>
  <c r="L715" i="13"/>
  <c r="N715" i="13" s="1"/>
  <c r="P715" i="13" s="1"/>
  <c r="O715" i="13" s="1"/>
  <c r="E714" i="13"/>
  <c r="D714" i="13" s="1"/>
  <c r="E713" i="13"/>
  <c r="D713" i="13" s="1"/>
  <c r="E712" i="13"/>
  <c r="Q711" i="13"/>
  <c r="L711" i="13"/>
  <c r="N711" i="13" s="1"/>
  <c r="P711" i="13" s="1"/>
  <c r="O711" i="13" s="1"/>
  <c r="G711" i="13"/>
  <c r="F711" i="13"/>
  <c r="G710" i="13"/>
  <c r="E709" i="13"/>
  <c r="Q708" i="13"/>
  <c r="L708" i="13"/>
  <c r="F708" i="13"/>
  <c r="Q707" i="13"/>
  <c r="M707" i="13"/>
  <c r="J707" i="13"/>
  <c r="I707" i="13"/>
  <c r="F707" i="13"/>
  <c r="F706" i="13" s="1"/>
  <c r="M706" i="13"/>
  <c r="Q705" i="13"/>
  <c r="L705" i="13"/>
  <c r="N705" i="13" s="1"/>
  <c r="D705" i="13"/>
  <c r="Q704" i="13"/>
  <c r="L704" i="13"/>
  <c r="N704" i="13" s="1"/>
  <c r="O704" i="13" s="1"/>
  <c r="G704" i="13"/>
  <c r="D704" i="13" s="1"/>
  <c r="R704" i="13" s="1"/>
  <c r="T704" i="13" s="1"/>
  <c r="E704" i="13"/>
  <c r="Q703" i="13"/>
  <c r="N703" i="13"/>
  <c r="L703" i="13"/>
  <c r="G703" i="13"/>
  <c r="E703" i="13"/>
  <c r="Q702" i="13"/>
  <c r="L702" i="13"/>
  <c r="N702" i="13" s="1"/>
  <c r="O702" i="13" s="1"/>
  <c r="P702" i="13" s="1"/>
  <c r="D702" i="13"/>
  <c r="I702" i="13" s="1"/>
  <c r="Q701" i="13"/>
  <c r="L701" i="13"/>
  <c r="E701" i="13"/>
  <c r="M700" i="13"/>
  <c r="K700" i="13"/>
  <c r="J700" i="13"/>
  <c r="H700" i="13"/>
  <c r="F700" i="13"/>
  <c r="F687" i="13" s="1"/>
  <c r="G699" i="13"/>
  <c r="E698" i="13"/>
  <c r="D698" i="13"/>
  <c r="K698" i="13" s="1"/>
  <c r="Q697" i="13"/>
  <c r="F697" i="13"/>
  <c r="E697" i="13"/>
  <c r="Q696" i="13"/>
  <c r="L696" i="13"/>
  <c r="E695" i="13"/>
  <c r="D695" i="13" s="1"/>
  <c r="E694" i="13"/>
  <c r="D694" i="13"/>
  <c r="E693" i="13"/>
  <c r="Q692" i="13"/>
  <c r="N692" i="13"/>
  <c r="P692" i="13" s="1"/>
  <c r="O692" i="13" s="1"/>
  <c r="L692" i="13"/>
  <c r="G692" i="13"/>
  <c r="F692" i="13"/>
  <c r="G691" i="13"/>
  <c r="G689" i="13" s="1"/>
  <c r="D691" i="13"/>
  <c r="H690" i="13"/>
  <c r="E690" i="13"/>
  <c r="D690" i="13" s="1"/>
  <c r="R690" i="13" s="1"/>
  <c r="T690" i="13" s="1"/>
  <c r="Q689" i="13"/>
  <c r="N689" i="13"/>
  <c r="L689" i="13"/>
  <c r="F689" i="13"/>
  <c r="F688" i="13" s="1"/>
  <c r="E689" i="13"/>
  <c r="M688" i="13"/>
  <c r="J688" i="13"/>
  <c r="I688" i="13"/>
  <c r="Q686" i="13"/>
  <c r="L686" i="13"/>
  <c r="N686" i="13" s="1"/>
  <c r="O686" i="13" s="1"/>
  <c r="G686" i="13"/>
  <c r="Q685" i="13"/>
  <c r="L685" i="13"/>
  <c r="N685" i="13" s="1"/>
  <c r="D685" i="13"/>
  <c r="Q684" i="13"/>
  <c r="L684" i="13"/>
  <c r="N684" i="13" s="1"/>
  <c r="I684" i="13"/>
  <c r="D684" i="13"/>
  <c r="R683" i="13"/>
  <c r="T683" i="13" s="1"/>
  <c r="Q683" i="13"/>
  <c r="L683" i="13"/>
  <c r="N683" i="13" s="1"/>
  <c r="I683" i="13"/>
  <c r="D683" i="13"/>
  <c r="Q682" i="13"/>
  <c r="L682" i="13"/>
  <c r="I682" i="13"/>
  <c r="E682" i="13"/>
  <c r="D682" i="13" s="1"/>
  <c r="M681" i="13"/>
  <c r="K681" i="13"/>
  <c r="J681" i="13"/>
  <c r="H681" i="13"/>
  <c r="F681" i="13"/>
  <c r="E681" i="13"/>
  <c r="G680" i="13"/>
  <c r="E679" i="13"/>
  <c r="E678" i="13" s="1"/>
  <c r="Q678" i="13"/>
  <c r="F678" i="13"/>
  <c r="Q677" i="13"/>
  <c r="L677" i="13"/>
  <c r="N677" i="13" s="1"/>
  <c r="P677" i="13" s="1"/>
  <c r="E676" i="13"/>
  <c r="D676" i="13"/>
  <c r="H676" i="13" s="1"/>
  <c r="E675" i="13"/>
  <c r="D675" i="13"/>
  <c r="E674" i="13"/>
  <c r="D674" i="13"/>
  <c r="Q673" i="13"/>
  <c r="L673" i="13"/>
  <c r="N673" i="13" s="1"/>
  <c r="P673" i="13" s="1"/>
  <c r="O673" i="13" s="1"/>
  <c r="G673" i="13"/>
  <c r="F673" i="13"/>
  <c r="E673" i="13"/>
  <c r="D673" i="13" s="1"/>
  <c r="H673" i="13" s="1"/>
  <c r="G672" i="13"/>
  <c r="E671" i="13"/>
  <c r="Q670" i="13"/>
  <c r="N670" i="13"/>
  <c r="L670" i="13"/>
  <c r="F670" i="13"/>
  <c r="M669" i="13"/>
  <c r="J669" i="13"/>
  <c r="I669" i="13"/>
  <c r="Q667" i="13"/>
  <c r="L667" i="13"/>
  <c r="N667" i="13" s="1"/>
  <c r="D667" i="13"/>
  <c r="Q666" i="13"/>
  <c r="L666" i="13"/>
  <c r="N666" i="13" s="1"/>
  <c r="O666" i="13" s="1"/>
  <c r="I666" i="13"/>
  <c r="D666" i="13"/>
  <c r="Q665" i="13"/>
  <c r="O665" i="13"/>
  <c r="L665" i="13"/>
  <c r="N665" i="13" s="1"/>
  <c r="D665" i="13"/>
  <c r="Q664" i="13"/>
  <c r="O664" i="13"/>
  <c r="P664" i="13" s="1"/>
  <c r="L664" i="13"/>
  <c r="N664" i="13" s="1"/>
  <c r="D664" i="13"/>
  <c r="I664" i="13" s="1"/>
  <c r="Q663" i="13"/>
  <c r="L663" i="13"/>
  <c r="N663" i="13" s="1"/>
  <c r="E663" i="13"/>
  <c r="M662" i="13"/>
  <c r="K662" i="13"/>
  <c r="J662" i="13"/>
  <c r="H662" i="13"/>
  <c r="G662" i="13"/>
  <c r="F662" i="13"/>
  <c r="G661" i="13"/>
  <c r="D661" i="13" s="1"/>
  <c r="K661" i="13" s="1"/>
  <c r="L661" i="13" s="1"/>
  <c r="E660" i="13"/>
  <c r="D660" i="13"/>
  <c r="K660" i="13" s="1"/>
  <c r="Q659" i="13"/>
  <c r="F659" i="13"/>
  <c r="E659" i="13"/>
  <c r="Q658" i="13"/>
  <c r="L658" i="13"/>
  <c r="R657" i="13"/>
  <c r="T657" i="13" s="1"/>
  <c r="E657" i="13"/>
  <c r="D657" i="13" s="1"/>
  <c r="H657" i="13" s="1"/>
  <c r="R656" i="13"/>
  <c r="T656" i="13" s="1"/>
  <c r="H656" i="13"/>
  <c r="E656" i="13"/>
  <c r="D656" i="13" s="1"/>
  <c r="E655" i="13"/>
  <c r="D655" i="13"/>
  <c r="Q654" i="13"/>
  <c r="L654" i="13"/>
  <c r="N654" i="13" s="1"/>
  <c r="P654" i="13" s="1"/>
  <c r="O654" i="13" s="1"/>
  <c r="G654" i="13"/>
  <c r="F654" i="13"/>
  <c r="G653" i="13"/>
  <c r="E652" i="13"/>
  <c r="D652" i="13" s="1"/>
  <c r="Q651" i="13"/>
  <c r="L651" i="13"/>
  <c r="F651" i="13"/>
  <c r="E651" i="13"/>
  <c r="M650" i="13"/>
  <c r="M649" i="13" s="1"/>
  <c r="J650" i="13"/>
  <c r="I650" i="13"/>
  <c r="Q648" i="13"/>
  <c r="L648" i="13"/>
  <c r="D648" i="13"/>
  <c r="I648" i="13" s="1"/>
  <c r="R647" i="13"/>
  <c r="T647" i="13" s="1"/>
  <c r="Q647" i="13"/>
  <c r="L647" i="13"/>
  <c r="N647" i="13" s="1"/>
  <c r="D647" i="13"/>
  <c r="I647" i="13" s="1"/>
  <c r="Q646" i="13"/>
  <c r="N646" i="13"/>
  <c r="L646" i="13"/>
  <c r="D646" i="13"/>
  <c r="Q645" i="13"/>
  <c r="N645" i="13"/>
  <c r="L645" i="13"/>
  <c r="D645" i="13"/>
  <c r="I645" i="13" s="1"/>
  <c r="Q644" i="13"/>
  <c r="L644" i="13"/>
  <c r="N644" i="13" s="1"/>
  <c r="E644" i="13"/>
  <c r="D644" i="13"/>
  <c r="M643" i="13"/>
  <c r="M630" i="13" s="1"/>
  <c r="K643" i="13"/>
  <c r="J643" i="13"/>
  <c r="H643" i="13"/>
  <c r="G643" i="13"/>
  <c r="F643" i="13"/>
  <c r="E643" i="13"/>
  <c r="G642" i="13"/>
  <c r="E641" i="13"/>
  <c r="D641" i="13"/>
  <c r="K641" i="13" s="1"/>
  <c r="Q640" i="13"/>
  <c r="F640" i="13"/>
  <c r="F631" i="13" s="1"/>
  <c r="F630" i="13" s="1"/>
  <c r="E640" i="13"/>
  <c r="Q639" i="13"/>
  <c r="N639" i="13"/>
  <c r="P639" i="13" s="1"/>
  <c r="O639" i="13" s="1"/>
  <c r="L639" i="13"/>
  <c r="E638" i="13"/>
  <c r="D638" i="13"/>
  <c r="R638" i="13" s="1"/>
  <c r="T638" i="13" s="1"/>
  <c r="R637" i="13"/>
  <c r="T637" i="13" s="1"/>
  <c r="E637" i="13"/>
  <c r="D637" i="13"/>
  <c r="H637" i="13" s="1"/>
  <c r="E636" i="13"/>
  <c r="D636" i="13" s="1"/>
  <c r="Q635" i="13"/>
  <c r="L635" i="13"/>
  <c r="G635" i="13"/>
  <c r="F635" i="13"/>
  <c r="G634" i="13"/>
  <c r="G632" i="13" s="1"/>
  <c r="D634" i="13"/>
  <c r="E633" i="13"/>
  <c r="Q632" i="13"/>
  <c r="L632" i="13"/>
  <c r="F632" i="13"/>
  <c r="M631" i="13"/>
  <c r="J631" i="13"/>
  <c r="I631" i="13"/>
  <c r="Q629" i="13"/>
  <c r="N629" i="13"/>
  <c r="O629" i="13" s="1"/>
  <c r="L629" i="13"/>
  <c r="G629" i="13"/>
  <c r="Q628" i="13"/>
  <c r="L628" i="13"/>
  <c r="N628" i="13" s="1"/>
  <c r="R628" i="13" s="1"/>
  <c r="T628" i="13" s="1"/>
  <c r="D628" i="13"/>
  <c r="I628" i="13" s="1"/>
  <c r="Q627" i="13"/>
  <c r="N627" i="13"/>
  <c r="L627" i="13"/>
  <c r="D627" i="13"/>
  <c r="I627" i="13" s="1"/>
  <c r="Q626" i="13"/>
  <c r="L626" i="13"/>
  <c r="D626" i="13"/>
  <c r="I626" i="13" s="1"/>
  <c r="Q625" i="13"/>
  <c r="O625" i="13"/>
  <c r="N625" i="13"/>
  <c r="L625" i="13"/>
  <c r="E625" i="13"/>
  <c r="E624" i="13" s="1"/>
  <c r="D625" i="13"/>
  <c r="M624" i="13"/>
  <c r="K624" i="13"/>
  <c r="J624" i="13"/>
  <c r="J611" i="13" s="1"/>
  <c r="H624" i="13"/>
  <c r="F624" i="13"/>
  <c r="G623" i="13"/>
  <c r="E622" i="13"/>
  <c r="Q621" i="13"/>
  <c r="F621" i="13"/>
  <c r="Q620" i="13"/>
  <c r="L620" i="13"/>
  <c r="N620" i="13" s="1"/>
  <c r="P620" i="13" s="1"/>
  <c r="R619" i="13"/>
  <c r="T619" i="13" s="1"/>
  <c r="H619" i="13"/>
  <c r="E619" i="13"/>
  <c r="D619" i="13"/>
  <c r="E618" i="13"/>
  <c r="D618" i="13" s="1"/>
  <c r="R618" i="13" s="1"/>
  <c r="E617" i="13"/>
  <c r="D617" i="13"/>
  <c r="Q616" i="13"/>
  <c r="L616" i="13"/>
  <c r="G616" i="13"/>
  <c r="F616" i="13"/>
  <c r="G615" i="13"/>
  <c r="D615" i="13" s="1"/>
  <c r="E614" i="13"/>
  <c r="E613" i="13" s="1"/>
  <c r="D614" i="13"/>
  <c r="Q613" i="13"/>
  <c r="L613" i="13"/>
  <c r="G613" i="13"/>
  <c r="F613" i="13"/>
  <c r="M612" i="13"/>
  <c r="M611" i="13" s="1"/>
  <c r="J612" i="13"/>
  <c r="I612" i="13"/>
  <c r="Q610" i="13"/>
  <c r="L610" i="13"/>
  <c r="N610" i="13" s="1"/>
  <c r="D610" i="13"/>
  <c r="I610" i="13" s="1"/>
  <c r="Q609" i="13"/>
  <c r="O609" i="13"/>
  <c r="L609" i="13"/>
  <c r="N609" i="13" s="1"/>
  <c r="G609" i="13"/>
  <c r="E609" i="13"/>
  <c r="Q608" i="13"/>
  <c r="L608" i="13"/>
  <c r="N608" i="13" s="1"/>
  <c r="O608" i="13" s="1"/>
  <c r="G608" i="13"/>
  <c r="E608" i="13"/>
  <c r="D608" i="13" s="1"/>
  <c r="Q607" i="13"/>
  <c r="O607" i="13"/>
  <c r="L607" i="13"/>
  <c r="N607" i="13" s="1"/>
  <c r="D607" i="13"/>
  <c r="Q606" i="13"/>
  <c r="L606" i="13"/>
  <c r="L605" i="13" s="1"/>
  <c r="E606" i="13"/>
  <c r="M605" i="13"/>
  <c r="K605" i="13"/>
  <c r="J605" i="13"/>
  <c r="H605" i="13"/>
  <c r="F605" i="13"/>
  <c r="G604" i="13"/>
  <c r="D604" i="13" s="1"/>
  <c r="K604" i="13" s="1"/>
  <c r="E603" i="13"/>
  <c r="Q602" i="13"/>
  <c r="F602" i="13"/>
  <c r="F593" i="13" s="1"/>
  <c r="F592" i="13" s="1"/>
  <c r="Q601" i="13"/>
  <c r="L601" i="13"/>
  <c r="H600" i="13"/>
  <c r="E600" i="13"/>
  <c r="D600" i="13"/>
  <c r="R600" i="13" s="1"/>
  <c r="T600" i="13" s="1"/>
  <c r="E599" i="13"/>
  <c r="D599" i="13" s="1"/>
  <c r="E598" i="13"/>
  <c r="Q597" i="13"/>
  <c r="P597" i="13"/>
  <c r="O597" i="13"/>
  <c r="N597" i="13"/>
  <c r="L597" i="13"/>
  <c r="G597" i="13"/>
  <c r="F597" i="13"/>
  <c r="G596" i="13"/>
  <c r="G594" i="13" s="1"/>
  <c r="D596" i="13"/>
  <c r="R595" i="13"/>
  <c r="T595" i="13" s="1"/>
  <c r="E595" i="13"/>
  <c r="D595" i="13"/>
  <c r="H595" i="13" s="1"/>
  <c r="Q594" i="13"/>
  <c r="L594" i="13"/>
  <c r="F594" i="13"/>
  <c r="E594" i="13"/>
  <c r="M593" i="13"/>
  <c r="J593" i="13"/>
  <c r="I593" i="13"/>
  <c r="R591" i="13"/>
  <c r="T591" i="13" s="1"/>
  <c r="Q591" i="13"/>
  <c r="L591" i="13"/>
  <c r="N591" i="13" s="1"/>
  <c r="I591" i="13"/>
  <c r="D591" i="13"/>
  <c r="Q590" i="13"/>
  <c r="L590" i="13"/>
  <c r="N590" i="13" s="1"/>
  <c r="G590" i="13"/>
  <c r="E590" i="13"/>
  <c r="D590" i="13" s="1"/>
  <c r="I590" i="13" s="1"/>
  <c r="Q589" i="13"/>
  <c r="N589" i="13"/>
  <c r="L589" i="13"/>
  <c r="G589" i="13"/>
  <c r="E589" i="13"/>
  <c r="Q588" i="13"/>
  <c r="N588" i="13"/>
  <c r="R588" i="13" s="1"/>
  <c r="T588" i="13" s="1"/>
  <c r="L588" i="13"/>
  <c r="I588" i="13"/>
  <c r="D588" i="13"/>
  <c r="Q587" i="13"/>
  <c r="Q586" i="13" s="1"/>
  <c r="N587" i="13"/>
  <c r="L587" i="13"/>
  <c r="E587" i="13"/>
  <c r="D587" i="13"/>
  <c r="I587" i="13" s="1"/>
  <c r="M586" i="13"/>
  <c r="K586" i="13"/>
  <c r="J586" i="13"/>
  <c r="H586" i="13"/>
  <c r="F586" i="13"/>
  <c r="G585" i="13"/>
  <c r="D585" i="13"/>
  <c r="K585" i="13" s="1"/>
  <c r="L585" i="13" s="1"/>
  <c r="E584" i="13"/>
  <c r="Q583" i="13"/>
  <c r="G583" i="13"/>
  <c r="F583" i="13"/>
  <c r="Q582" i="13"/>
  <c r="L582" i="13"/>
  <c r="N582" i="13" s="1"/>
  <c r="P582" i="13" s="1"/>
  <c r="E581" i="13"/>
  <c r="E562" i="13" s="1"/>
  <c r="D562" i="13" s="1"/>
  <c r="D581" i="13"/>
  <c r="R581" i="13" s="1"/>
  <c r="T581" i="13" s="1"/>
  <c r="E580" i="13"/>
  <c r="D580" i="13" s="1"/>
  <c r="R580" i="13" s="1"/>
  <c r="E579" i="13"/>
  <c r="Q578" i="13"/>
  <c r="L578" i="13"/>
  <c r="G578" i="13"/>
  <c r="F578" i="13"/>
  <c r="G577" i="13"/>
  <c r="E576" i="13"/>
  <c r="D576" i="13" s="1"/>
  <c r="R576" i="13" s="1"/>
  <c r="T576" i="13" s="1"/>
  <c r="Q575" i="13"/>
  <c r="L575" i="13"/>
  <c r="N575" i="13" s="1"/>
  <c r="F575" i="13"/>
  <c r="M574" i="13"/>
  <c r="J574" i="13"/>
  <c r="J573" i="13" s="1"/>
  <c r="I574" i="13"/>
  <c r="Q572" i="13"/>
  <c r="L572" i="13"/>
  <c r="N572" i="13" s="1"/>
  <c r="O572" i="13" s="1"/>
  <c r="F572" i="13"/>
  <c r="E572" i="13"/>
  <c r="Q571" i="13"/>
  <c r="L571" i="13"/>
  <c r="N571" i="13" s="1"/>
  <c r="F571" i="13"/>
  <c r="Q570" i="13"/>
  <c r="N570" i="13"/>
  <c r="L570" i="13"/>
  <c r="F570" i="13"/>
  <c r="Q569" i="13"/>
  <c r="L569" i="13"/>
  <c r="N569" i="13" s="1"/>
  <c r="G569" i="13"/>
  <c r="F569" i="13"/>
  <c r="E569" i="13"/>
  <c r="Q568" i="13"/>
  <c r="N568" i="13"/>
  <c r="O568" i="13" s="1"/>
  <c r="L568" i="13"/>
  <c r="G568" i="13"/>
  <c r="F568" i="13"/>
  <c r="Q567" i="13"/>
  <c r="M567" i="13"/>
  <c r="K567" i="13"/>
  <c r="J567" i="13"/>
  <c r="J554" i="13" s="1"/>
  <c r="H567" i="13"/>
  <c r="F566" i="13"/>
  <c r="E566" i="13"/>
  <c r="G565" i="13"/>
  <c r="F565" i="13"/>
  <c r="F564" i="13" s="1"/>
  <c r="Q564" i="13"/>
  <c r="Q563" i="13"/>
  <c r="L563" i="13"/>
  <c r="Q559" i="13"/>
  <c r="N559" i="13"/>
  <c r="P559" i="13" s="1"/>
  <c r="O559" i="13" s="1"/>
  <c r="L559" i="13"/>
  <c r="G559" i="13"/>
  <c r="F559" i="13"/>
  <c r="F558" i="13"/>
  <c r="E558" i="13"/>
  <c r="G557" i="13"/>
  <c r="F557" i="13"/>
  <c r="Q556" i="13"/>
  <c r="L556" i="13"/>
  <c r="M555" i="13"/>
  <c r="M554" i="13" s="1"/>
  <c r="J555" i="13"/>
  <c r="I555" i="13"/>
  <c r="Q553" i="13"/>
  <c r="L553" i="13"/>
  <c r="N553" i="13" s="1"/>
  <c r="G553" i="13"/>
  <c r="D553" i="13"/>
  <c r="Q552" i="13"/>
  <c r="O552" i="13"/>
  <c r="L552" i="13"/>
  <c r="N552" i="13" s="1"/>
  <c r="D552" i="13"/>
  <c r="R552" i="13" s="1"/>
  <c r="T552" i="13" s="1"/>
  <c r="Q551" i="13"/>
  <c r="L551" i="13"/>
  <c r="N551" i="13" s="1"/>
  <c r="G551" i="13"/>
  <c r="E551" i="13"/>
  <c r="Q550" i="13"/>
  <c r="L550" i="13"/>
  <c r="N550" i="13" s="1"/>
  <c r="R550" i="13" s="1"/>
  <c r="T550" i="13" s="1"/>
  <c r="I550" i="13"/>
  <c r="D550" i="13"/>
  <c r="Q549" i="13"/>
  <c r="L549" i="13"/>
  <c r="N549" i="13" s="1"/>
  <c r="O549" i="13" s="1"/>
  <c r="D549" i="13"/>
  <c r="M548" i="13"/>
  <c r="K548" i="13"/>
  <c r="J548" i="13"/>
  <c r="J535" i="13" s="1"/>
  <c r="H548" i="13"/>
  <c r="F548" i="13"/>
  <c r="E548" i="13"/>
  <c r="G547" i="13"/>
  <c r="E546" i="13"/>
  <c r="D546" i="13"/>
  <c r="K546" i="13" s="1"/>
  <c r="Q545" i="13"/>
  <c r="Q536" i="13" s="1"/>
  <c r="F545" i="13"/>
  <c r="E545" i="13"/>
  <c r="Q544" i="13"/>
  <c r="L544" i="13"/>
  <c r="D543" i="13"/>
  <c r="H543" i="13" s="1"/>
  <c r="E542" i="13"/>
  <c r="D542" i="13" s="1"/>
  <c r="E541" i="13"/>
  <c r="Q540" i="13"/>
  <c r="L540" i="13"/>
  <c r="G540" i="13"/>
  <c r="F540" i="13"/>
  <c r="F536" i="13" s="1"/>
  <c r="F535" i="13" s="1"/>
  <c r="G539" i="13"/>
  <c r="E538" i="13"/>
  <c r="D538" i="13" s="1"/>
  <c r="Q537" i="13"/>
  <c r="P537" i="13"/>
  <c r="O537" i="13" s="1"/>
  <c r="L537" i="13"/>
  <c r="N537" i="13" s="1"/>
  <c r="F537" i="13"/>
  <c r="E537" i="13"/>
  <c r="M536" i="13"/>
  <c r="J536" i="13"/>
  <c r="I536" i="13"/>
  <c r="Q534" i="13"/>
  <c r="L534" i="13"/>
  <c r="N534" i="13" s="1"/>
  <c r="D534" i="13"/>
  <c r="I534" i="13" s="1"/>
  <c r="Q533" i="13"/>
  <c r="L533" i="13"/>
  <c r="N533" i="13" s="1"/>
  <c r="G533" i="13"/>
  <c r="E533" i="13"/>
  <c r="Q532" i="13"/>
  <c r="N532" i="13"/>
  <c r="L532" i="13"/>
  <c r="G532" i="13"/>
  <c r="E532" i="13"/>
  <c r="Q531" i="13"/>
  <c r="N531" i="13"/>
  <c r="L531" i="13"/>
  <c r="D531" i="13"/>
  <c r="I531" i="13" s="1"/>
  <c r="Q530" i="13"/>
  <c r="L530" i="13"/>
  <c r="D530" i="13"/>
  <c r="M529" i="13"/>
  <c r="K529" i="13"/>
  <c r="J529" i="13"/>
  <c r="H529" i="13"/>
  <c r="F529" i="13"/>
  <c r="E529" i="13"/>
  <c r="G528" i="13"/>
  <c r="E527" i="13"/>
  <c r="D527" i="13"/>
  <c r="K527" i="13" s="1"/>
  <c r="Q526" i="13"/>
  <c r="F526" i="13"/>
  <c r="E526" i="13"/>
  <c r="Q525" i="13"/>
  <c r="L525" i="13"/>
  <c r="H524" i="13"/>
  <c r="D524" i="13"/>
  <c r="R524" i="13" s="1"/>
  <c r="E523" i="13"/>
  <c r="R522" i="13"/>
  <c r="T522" i="13" s="1"/>
  <c r="H522" i="13"/>
  <c r="E522" i="13"/>
  <c r="D522" i="13"/>
  <c r="Q521" i="13"/>
  <c r="L521" i="13"/>
  <c r="G521" i="13"/>
  <c r="F521" i="13"/>
  <c r="G520" i="13"/>
  <c r="H519" i="13"/>
  <c r="E519" i="13"/>
  <c r="E518" i="13" s="1"/>
  <c r="D519" i="13"/>
  <c r="R519" i="13" s="1"/>
  <c r="Q518" i="13"/>
  <c r="L518" i="13"/>
  <c r="F518" i="13"/>
  <c r="M517" i="13"/>
  <c r="J517" i="13"/>
  <c r="J516" i="13" s="1"/>
  <c r="I517" i="13"/>
  <c r="Q515" i="13"/>
  <c r="P515" i="13"/>
  <c r="N515" i="13"/>
  <c r="O515" i="13" s="1"/>
  <c r="L515" i="13"/>
  <c r="D515" i="13"/>
  <c r="I515" i="13" s="1"/>
  <c r="Q514" i="13"/>
  <c r="L514" i="13"/>
  <c r="N514" i="13" s="1"/>
  <c r="D514" i="13"/>
  <c r="I514" i="13" s="1"/>
  <c r="Q513" i="13"/>
  <c r="L513" i="13"/>
  <c r="N513" i="13" s="1"/>
  <c r="R513" i="13" s="1"/>
  <c r="T513" i="13" s="1"/>
  <c r="D513" i="13"/>
  <c r="I513" i="13" s="1"/>
  <c r="Q512" i="13"/>
  <c r="L512" i="13"/>
  <c r="N512" i="13" s="1"/>
  <c r="D512" i="13"/>
  <c r="Q511" i="13"/>
  <c r="L511" i="13"/>
  <c r="N511" i="13" s="1"/>
  <c r="I511" i="13"/>
  <c r="D511" i="13"/>
  <c r="M510" i="13"/>
  <c r="K510" i="13"/>
  <c r="J510" i="13"/>
  <c r="J497" i="13" s="1"/>
  <c r="H510" i="13"/>
  <c r="G510" i="13"/>
  <c r="F510" i="13"/>
  <c r="E510" i="13"/>
  <c r="D510" i="13" s="1"/>
  <c r="G509" i="13"/>
  <c r="E508" i="13"/>
  <c r="E507" i="13" s="1"/>
  <c r="D508" i="13"/>
  <c r="K508" i="13" s="1"/>
  <c r="Q507" i="13"/>
  <c r="F507" i="13"/>
  <c r="Q506" i="13"/>
  <c r="L506" i="13"/>
  <c r="N506" i="13" s="1"/>
  <c r="P506" i="13" s="1"/>
  <c r="O506" i="13" s="1"/>
  <c r="D505" i="13"/>
  <c r="E504" i="13"/>
  <c r="D504" i="13" s="1"/>
  <c r="R504" i="13" s="1"/>
  <c r="T504" i="13" s="1"/>
  <c r="E503" i="13"/>
  <c r="D503" i="13" s="1"/>
  <c r="R503" i="13" s="1"/>
  <c r="Q502" i="13"/>
  <c r="L502" i="13"/>
  <c r="G502" i="13"/>
  <c r="F502" i="13"/>
  <c r="R501" i="13"/>
  <c r="T501" i="13" s="1"/>
  <c r="H501" i="13"/>
  <c r="G501" i="13"/>
  <c r="D501" i="13"/>
  <c r="R500" i="13"/>
  <c r="H500" i="13"/>
  <c r="E500" i="13"/>
  <c r="D500" i="13"/>
  <c r="Q499" i="13"/>
  <c r="N499" i="13"/>
  <c r="P499" i="13" s="1"/>
  <c r="L499" i="13"/>
  <c r="G499" i="13"/>
  <c r="F499" i="13"/>
  <c r="E499" i="13"/>
  <c r="M498" i="13"/>
  <c r="J498" i="13"/>
  <c r="I498" i="13"/>
  <c r="Q496" i="13"/>
  <c r="L496" i="13"/>
  <c r="N496" i="13" s="1"/>
  <c r="O496" i="13" s="1"/>
  <c r="D496" i="13"/>
  <c r="I496" i="13" s="1"/>
  <c r="Q495" i="13"/>
  <c r="L495" i="13"/>
  <c r="N495" i="13" s="1"/>
  <c r="D495" i="13"/>
  <c r="Q494" i="13"/>
  <c r="L494" i="13"/>
  <c r="N494" i="13" s="1"/>
  <c r="D494" i="13"/>
  <c r="I494" i="13" s="1"/>
  <c r="Q493" i="13"/>
  <c r="L493" i="13"/>
  <c r="D493" i="13"/>
  <c r="I493" i="13" s="1"/>
  <c r="Q492" i="13"/>
  <c r="L492" i="13"/>
  <c r="N492" i="13" s="1"/>
  <c r="O492" i="13" s="1"/>
  <c r="P492" i="13" s="1"/>
  <c r="D492" i="13"/>
  <c r="Q491" i="13"/>
  <c r="M491" i="13"/>
  <c r="K491" i="13"/>
  <c r="J491" i="13"/>
  <c r="H491" i="13"/>
  <c r="G491" i="13"/>
  <c r="F491" i="13"/>
  <c r="E491" i="13"/>
  <c r="G490" i="13"/>
  <c r="D490" i="13" s="1"/>
  <c r="K490" i="13" s="1"/>
  <c r="L489" i="13"/>
  <c r="E489" i="13"/>
  <c r="D489" i="13"/>
  <c r="K489" i="13" s="1"/>
  <c r="Q488" i="13"/>
  <c r="F488" i="13"/>
  <c r="E488" i="13"/>
  <c r="Q487" i="13"/>
  <c r="L487" i="13"/>
  <c r="N487" i="13" s="1"/>
  <c r="P487" i="13" s="1"/>
  <c r="O487" i="13" s="1"/>
  <c r="D486" i="13"/>
  <c r="E485" i="13"/>
  <c r="D485" i="13" s="1"/>
  <c r="E484" i="13"/>
  <c r="D484" i="13" s="1"/>
  <c r="R484" i="13" s="1"/>
  <c r="T484" i="13" s="1"/>
  <c r="Q483" i="13"/>
  <c r="P483" i="13"/>
  <c r="O483" i="13" s="1"/>
  <c r="L483" i="13"/>
  <c r="N483" i="13" s="1"/>
  <c r="G483" i="13"/>
  <c r="F483" i="13"/>
  <c r="E483" i="13"/>
  <c r="G482" i="13"/>
  <c r="E481" i="13"/>
  <c r="E480" i="13" s="1"/>
  <c r="D481" i="13"/>
  <c r="Q480" i="13"/>
  <c r="Q479" i="13" s="1"/>
  <c r="L480" i="13"/>
  <c r="F480" i="13"/>
  <c r="M479" i="13"/>
  <c r="J479" i="13"/>
  <c r="J478" i="13" s="1"/>
  <c r="I479" i="13"/>
  <c r="Q477" i="13"/>
  <c r="L477" i="13"/>
  <c r="N477" i="13" s="1"/>
  <c r="O477" i="13" s="1"/>
  <c r="P477" i="13" s="1"/>
  <c r="D477" i="13"/>
  <c r="Q476" i="13"/>
  <c r="P476" i="13"/>
  <c r="O476" i="13"/>
  <c r="L476" i="13"/>
  <c r="N476" i="13" s="1"/>
  <c r="G476" i="13"/>
  <c r="E476" i="13"/>
  <c r="E305" i="13" s="1"/>
  <c r="Q475" i="13"/>
  <c r="L475" i="13"/>
  <c r="N475" i="13" s="1"/>
  <c r="O475" i="13" s="1"/>
  <c r="G475" i="13"/>
  <c r="E475" i="13"/>
  <c r="Q474" i="13"/>
  <c r="L474" i="13"/>
  <c r="N474" i="13" s="1"/>
  <c r="D474" i="13"/>
  <c r="Q473" i="13"/>
  <c r="L473" i="13"/>
  <c r="D473" i="13"/>
  <c r="I473" i="13" s="1"/>
  <c r="M472" i="13"/>
  <c r="K472" i="13"/>
  <c r="J472" i="13"/>
  <c r="H472" i="13"/>
  <c r="F472" i="13"/>
  <c r="G471" i="13"/>
  <c r="D471" i="13" s="1"/>
  <c r="K471" i="13" s="1"/>
  <c r="L471" i="13" s="1"/>
  <c r="E470" i="13"/>
  <c r="E469" i="13" s="1"/>
  <c r="D470" i="13"/>
  <c r="K470" i="13" s="1"/>
  <c r="Q469" i="13"/>
  <c r="F469" i="13"/>
  <c r="Q468" i="13"/>
  <c r="N468" i="13"/>
  <c r="P468" i="13" s="1"/>
  <c r="L468" i="13"/>
  <c r="D467" i="13"/>
  <c r="E466" i="13"/>
  <c r="D466" i="13"/>
  <c r="E465" i="13"/>
  <c r="D465" i="13" s="1"/>
  <c r="Q464" i="13"/>
  <c r="N464" i="13"/>
  <c r="P464" i="13" s="1"/>
  <c r="L464" i="13"/>
  <c r="G464" i="13"/>
  <c r="F464" i="13"/>
  <c r="E464" i="13"/>
  <c r="G463" i="13"/>
  <c r="D463" i="13" s="1"/>
  <c r="R463" i="13" s="1"/>
  <c r="T463" i="13" s="1"/>
  <c r="E462" i="13"/>
  <c r="D462" i="13" s="1"/>
  <c r="R462" i="13" s="1"/>
  <c r="T462" i="13" s="1"/>
  <c r="T461" i="13" s="1"/>
  <c r="Q461" i="13"/>
  <c r="L461" i="13"/>
  <c r="G461" i="13"/>
  <c r="F461" i="13"/>
  <c r="E461" i="13"/>
  <c r="M460" i="13"/>
  <c r="J460" i="13"/>
  <c r="J459" i="13" s="1"/>
  <c r="I460" i="13"/>
  <c r="Q458" i="13"/>
  <c r="L458" i="13"/>
  <c r="N458" i="13" s="1"/>
  <c r="G458" i="13"/>
  <c r="D458" i="13" s="1"/>
  <c r="R457" i="13"/>
  <c r="T457" i="13" s="1"/>
  <c r="Q457" i="13"/>
  <c r="L457" i="13"/>
  <c r="N457" i="13" s="1"/>
  <c r="D457" i="13"/>
  <c r="I457" i="13" s="1"/>
  <c r="Q456" i="13"/>
  <c r="L456" i="13"/>
  <c r="N456" i="13" s="1"/>
  <c r="G456" i="13"/>
  <c r="D456" i="13" s="1"/>
  <c r="I456" i="13" s="1"/>
  <c r="E456" i="13"/>
  <c r="Q455" i="13"/>
  <c r="L455" i="13"/>
  <c r="N455" i="13" s="1"/>
  <c r="O455" i="13" s="1"/>
  <c r="D455" i="13"/>
  <c r="I455" i="13" s="1"/>
  <c r="Q454" i="13"/>
  <c r="L454" i="13"/>
  <c r="D454" i="13"/>
  <c r="I454" i="13" s="1"/>
  <c r="M453" i="13"/>
  <c r="K453" i="13"/>
  <c r="J453" i="13"/>
  <c r="H453" i="13"/>
  <c r="F453" i="13"/>
  <c r="E453" i="13"/>
  <c r="G452" i="13"/>
  <c r="D452" i="13" s="1"/>
  <c r="K452" i="13" s="1"/>
  <c r="L452" i="13" s="1"/>
  <c r="E451" i="13"/>
  <c r="Q450" i="13"/>
  <c r="F450" i="13"/>
  <c r="Q449" i="13"/>
  <c r="L449" i="13"/>
  <c r="R448" i="13"/>
  <c r="H448" i="13"/>
  <c r="D448" i="13"/>
  <c r="E447" i="13"/>
  <c r="D447" i="13"/>
  <c r="E446" i="13"/>
  <c r="Q445" i="13"/>
  <c r="N445" i="13"/>
  <c r="P445" i="13" s="1"/>
  <c r="L445" i="13"/>
  <c r="G445" i="13"/>
  <c r="F445" i="13"/>
  <c r="H444" i="13"/>
  <c r="G444" i="13"/>
  <c r="D444" i="13" s="1"/>
  <c r="R444" i="13" s="1"/>
  <c r="T444" i="13" s="1"/>
  <c r="E443" i="13"/>
  <c r="E442" i="13" s="1"/>
  <c r="D443" i="13"/>
  <c r="Q442" i="13"/>
  <c r="Q441" i="13" s="1"/>
  <c r="L442" i="13"/>
  <c r="G442" i="13"/>
  <c r="F442" i="13"/>
  <c r="D442" i="13"/>
  <c r="M441" i="13"/>
  <c r="M440" i="13" s="1"/>
  <c r="J441" i="13"/>
  <c r="J440" i="13" s="1"/>
  <c r="I441" i="13"/>
  <c r="Q439" i="13"/>
  <c r="L439" i="13"/>
  <c r="N439" i="13" s="1"/>
  <c r="D439" i="13"/>
  <c r="Q438" i="13"/>
  <c r="L438" i="13"/>
  <c r="N438" i="13" s="1"/>
  <c r="D438" i="13"/>
  <c r="I438" i="13" s="1"/>
  <c r="Q437" i="13"/>
  <c r="L437" i="13"/>
  <c r="L434" i="13" s="1"/>
  <c r="D437" i="13"/>
  <c r="Q436" i="13"/>
  <c r="O436" i="13"/>
  <c r="P436" i="13" s="1"/>
  <c r="L436" i="13"/>
  <c r="N436" i="13" s="1"/>
  <c r="D436" i="13"/>
  <c r="R436" i="13" s="1"/>
  <c r="T436" i="13" s="1"/>
  <c r="Q435" i="13"/>
  <c r="N435" i="13"/>
  <c r="L435" i="13"/>
  <c r="D435" i="13"/>
  <c r="M434" i="13"/>
  <c r="K434" i="13"/>
  <c r="J434" i="13"/>
  <c r="J421" i="13" s="1"/>
  <c r="H434" i="13"/>
  <c r="G434" i="13"/>
  <c r="F434" i="13"/>
  <c r="E434" i="13"/>
  <c r="D434" i="13" s="1"/>
  <c r="G433" i="13"/>
  <c r="E432" i="13"/>
  <c r="Q431" i="13"/>
  <c r="F431" i="13"/>
  <c r="Q430" i="13"/>
  <c r="L430" i="13"/>
  <c r="D429" i="13"/>
  <c r="R429" i="13" s="1"/>
  <c r="E428" i="13"/>
  <c r="D428" i="13" s="1"/>
  <c r="E427" i="13"/>
  <c r="E426" i="13" s="1"/>
  <c r="D427" i="13"/>
  <c r="Q426" i="13"/>
  <c r="L426" i="13"/>
  <c r="N426" i="13" s="1"/>
  <c r="P426" i="13" s="1"/>
  <c r="G426" i="13"/>
  <c r="F426" i="13"/>
  <c r="G425" i="13"/>
  <c r="G423" i="13" s="1"/>
  <c r="D425" i="13"/>
  <c r="R425" i="13" s="1"/>
  <c r="E424" i="13"/>
  <c r="D424" i="13"/>
  <c r="R424" i="13" s="1"/>
  <c r="T424" i="13" s="1"/>
  <c r="Q423" i="13"/>
  <c r="P423" i="13"/>
  <c r="L423" i="13"/>
  <c r="N423" i="13" s="1"/>
  <c r="F423" i="13"/>
  <c r="E423" i="13"/>
  <c r="M422" i="13"/>
  <c r="J422" i="13"/>
  <c r="I422" i="13"/>
  <c r="Q420" i="13"/>
  <c r="L420" i="13"/>
  <c r="N420" i="13" s="1"/>
  <c r="G420" i="13"/>
  <c r="Q419" i="13"/>
  <c r="N419" i="13"/>
  <c r="O419" i="13" s="1"/>
  <c r="P419" i="13" s="1"/>
  <c r="L419" i="13"/>
  <c r="D419" i="13"/>
  <c r="Q418" i="13"/>
  <c r="L418" i="13"/>
  <c r="N418" i="13" s="1"/>
  <c r="D418" i="13"/>
  <c r="Q417" i="13"/>
  <c r="L417" i="13"/>
  <c r="N417" i="13" s="1"/>
  <c r="D417" i="13"/>
  <c r="I417" i="13" s="1"/>
  <c r="Q416" i="13"/>
  <c r="L416" i="13"/>
  <c r="D416" i="13"/>
  <c r="I416" i="13" s="1"/>
  <c r="M415" i="13"/>
  <c r="K415" i="13"/>
  <c r="J415" i="13"/>
  <c r="J402" i="13" s="1"/>
  <c r="H415" i="13"/>
  <c r="F415" i="13"/>
  <c r="E415" i="13"/>
  <c r="G414" i="13"/>
  <c r="D414" i="13" s="1"/>
  <c r="K414" i="13" s="1"/>
  <c r="E413" i="13"/>
  <c r="Q412" i="13"/>
  <c r="G412" i="13"/>
  <c r="F412" i="13"/>
  <c r="Q411" i="13"/>
  <c r="L411" i="13"/>
  <c r="N411" i="13" s="1"/>
  <c r="P411" i="13" s="1"/>
  <c r="D410" i="13"/>
  <c r="R410" i="13" s="1"/>
  <c r="E409" i="13"/>
  <c r="E408" i="13"/>
  <c r="D408" i="13"/>
  <c r="H408" i="13" s="1"/>
  <c r="Q407" i="13"/>
  <c r="L407" i="13"/>
  <c r="N407" i="13" s="1"/>
  <c r="P407" i="13" s="1"/>
  <c r="O407" i="13" s="1"/>
  <c r="G407" i="13"/>
  <c r="F407" i="13"/>
  <c r="G406" i="13"/>
  <c r="D406" i="13"/>
  <c r="R406" i="13" s="1"/>
  <c r="T406" i="13" s="1"/>
  <c r="E405" i="13"/>
  <c r="Q404" i="13"/>
  <c r="Q403" i="13" s="1"/>
  <c r="L404" i="13"/>
  <c r="G404" i="13"/>
  <c r="F404" i="13"/>
  <c r="M403" i="13"/>
  <c r="J403" i="13"/>
  <c r="I403" i="13"/>
  <c r="F403" i="13"/>
  <c r="F402" i="13" s="1"/>
  <c r="Q401" i="13"/>
  <c r="L401" i="13"/>
  <c r="N401" i="13" s="1"/>
  <c r="D401" i="13"/>
  <c r="Q400" i="13"/>
  <c r="L400" i="13"/>
  <c r="N400" i="13" s="1"/>
  <c r="D400" i="13"/>
  <c r="I400" i="13" s="1"/>
  <c r="Q399" i="13"/>
  <c r="L399" i="13"/>
  <c r="D399" i="13"/>
  <c r="Q398" i="13"/>
  <c r="L398" i="13"/>
  <c r="N398" i="13" s="1"/>
  <c r="D398" i="13"/>
  <c r="Q397" i="13"/>
  <c r="L397" i="13"/>
  <c r="N397" i="13" s="1"/>
  <c r="D397" i="13"/>
  <c r="I397" i="13" s="1"/>
  <c r="M396" i="13"/>
  <c r="K396" i="13"/>
  <c r="J396" i="13"/>
  <c r="H396" i="13"/>
  <c r="G396" i="13"/>
  <c r="F396" i="13"/>
  <c r="E396" i="13"/>
  <c r="D396" i="13"/>
  <c r="G395" i="13"/>
  <c r="G393" i="13" s="1"/>
  <c r="D395" i="13"/>
  <c r="K395" i="13" s="1"/>
  <c r="K394" i="13"/>
  <c r="E394" i="13"/>
  <c r="D394" i="13"/>
  <c r="Q393" i="13"/>
  <c r="F393" i="13"/>
  <c r="E393" i="13"/>
  <c r="D393" i="13" s="1"/>
  <c r="Q392" i="13"/>
  <c r="L392" i="13"/>
  <c r="D391" i="13"/>
  <c r="R391" i="13" s="1"/>
  <c r="R390" i="13"/>
  <c r="T390" i="13" s="1"/>
  <c r="H390" i="13"/>
  <c r="E390" i="13"/>
  <c r="D390" i="13"/>
  <c r="E389" i="13"/>
  <c r="E388" i="13" s="1"/>
  <c r="Q388" i="13"/>
  <c r="L388" i="13"/>
  <c r="N388" i="13" s="1"/>
  <c r="P388" i="13" s="1"/>
  <c r="O388" i="13" s="1"/>
  <c r="G388" i="13"/>
  <c r="F388" i="13"/>
  <c r="G387" i="13"/>
  <c r="E386" i="13"/>
  <c r="E385" i="13" s="1"/>
  <c r="Q385" i="13"/>
  <c r="Q384" i="13" s="1"/>
  <c r="L385" i="13"/>
  <c r="N385" i="13" s="1"/>
  <c r="P385" i="13" s="1"/>
  <c r="F385" i="13"/>
  <c r="F384" i="13" s="1"/>
  <c r="M384" i="13"/>
  <c r="M383" i="13" s="1"/>
  <c r="J384" i="13"/>
  <c r="I384" i="13"/>
  <c r="F383" i="13"/>
  <c r="Q382" i="13"/>
  <c r="L382" i="13"/>
  <c r="N382" i="13" s="1"/>
  <c r="G382" i="13"/>
  <c r="G377" i="13" s="1"/>
  <c r="D382" i="13"/>
  <c r="I382" i="13" s="1"/>
  <c r="Q381" i="13"/>
  <c r="L381" i="13"/>
  <c r="D381" i="13"/>
  <c r="I381" i="13" s="1"/>
  <c r="Q380" i="13"/>
  <c r="L380" i="13"/>
  <c r="N380" i="13" s="1"/>
  <c r="D380" i="13"/>
  <c r="Q379" i="13"/>
  <c r="N379" i="13"/>
  <c r="O379" i="13" s="1"/>
  <c r="P379" i="13" s="1"/>
  <c r="L379" i="13"/>
  <c r="D379" i="13"/>
  <c r="I379" i="13" s="1"/>
  <c r="Q378" i="13"/>
  <c r="L378" i="13"/>
  <c r="N378" i="13" s="1"/>
  <c r="I378" i="13"/>
  <c r="D378" i="13"/>
  <c r="M377" i="13"/>
  <c r="K377" i="13"/>
  <c r="J377" i="13"/>
  <c r="H377" i="13"/>
  <c r="F377" i="13"/>
  <c r="E377" i="13"/>
  <c r="G376" i="13"/>
  <c r="D376" i="13"/>
  <c r="K376" i="13" s="1"/>
  <c r="E375" i="13"/>
  <c r="Q374" i="13"/>
  <c r="G374" i="13"/>
  <c r="F374" i="13"/>
  <c r="Q373" i="13"/>
  <c r="L373" i="13"/>
  <c r="N373" i="13" s="1"/>
  <c r="P373" i="13" s="1"/>
  <c r="O373" i="13" s="1"/>
  <c r="D372" i="13"/>
  <c r="E371" i="13"/>
  <c r="D371" i="13" s="1"/>
  <c r="R371" i="13" s="1"/>
  <c r="T371" i="13" s="1"/>
  <c r="E370" i="13"/>
  <c r="D370" i="13"/>
  <c r="Q369" i="13"/>
  <c r="L369" i="13"/>
  <c r="G369" i="13"/>
  <c r="F369" i="13"/>
  <c r="G368" i="13"/>
  <c r="G366" i="13" s="1"/>
  <c r="G365" i="13" s="1"/>
  <c r="G364" i="13" s="1"/>
  <c r="D368" i="13"/>
  <c r="H368" i="13" s="1"/>
  <c r="R367" i="13"/>
  <c r="T367" i="13" s="1"/>
  <c r="E367" i="13"/>
  <c r="D367" i="13" s="1"/>
  <c r="H367" i="13" s="1"/>
  <c r="Q366" i="13"/>
  <c r="L366" i="13"/>
  <c r="F366" i="13"/>
  <c r="E366" i="13"/>
  <c r="M365" i="13"/>
  <c r="M364" i="13" s="1"/>
  <c r="J365" i="13"/>
  <c r="I365" i="13"/>
  <c r="J364" i="13"/>
  <c r="Q363" i="13"/>
  <c r="L363" i="13"/>
  <c r="N363" i="13" s="1"/>
  <c r="O363" i="13" s="1"/>
  <c r="D363" i="13"/>
  <c r="I363" i="13" s="1"/>
  <c r="Q362" i="13"/>
  <c r="L362" i="13"/>
  <c r="N362" i="13" s="1"/>
  <c r="D362" i="13"/>
  <c r="Q361" i="13"/>
  <c r="L361" i="13"/>
  <c r="N361" i="13" s="1"/>
  <c r="G361" i="13"/>
  <c r="G358" i="13" s="1"/>
  <c r="E361" i="13"/>
  <c r="Q360" i="13"/>
  <c r="O360" i="13"/>
  <c r="L360" i="13"/>
  <c r="N360" i="13" s="1"/>
  <c r="D360" i="13"/>
  <c r="I360" i="13" s="1"/>
  <c r="Q359" i="13"/>
  <c r="L359" i="13"/>
  <c r="D359" i="13"/>
  <c r="I359" i="13" s="1"/>
  <c r="M358" i="13"/>
  <c r="K358" i="13"/>
  <c r="J358" i="13"/>
  <c r="H358" i="13"/>
  <c r="F358" i="13"/>
  <c r="G357" i="13"/>
  <c r="D357" i="13" s="1"/>
  <c r="K357" i="13" s="1"/>
  <c r="E356" i="13"/>
  <c r="Q355" i="13"/>
  <c r="F355" i="13"/>
  <c r="Q354" i="13"/>
  <c r="L354" i="13"/>
  <c r="N354" i="13" s="1"/>
  <c r="P354" i="13" s="1"/>
  <c r="O354" i="13" s="1"/>
  <c r="D353" i="13"/>
  <c r="E352" i="13"/>
  <c r="D352" i="13" s="1"/>
  <c r="R352" i="13" s="1"/>
  <c r="T352" i="13" s="1"/>
  <c r="E351" i="13"/>
  <c r="E350" i="13" s="1"/>
  <c r="D351" i="13"/>
  <c r="Q350" i="13"/>
  <c r="L350" i="13"/>
  <c r="N350" i="13" s="1"/>
  <c r="P350" i="13" s="1"/>
  <c r="O350" i="13" s="1"/>
  <c r="G350" i="13"/>
  <c r="F350" i="13"/>
  <c r="G349" i="13"/>
  <c r="E348" i="13"/>
  <c r="Q347" i="13"/>
  <c r="L347" i="13"/>
  <c r="N347" i="13" s="1"/>
  <c r="F347" i="13"/>
  <c r="M346" i="13"/>
  <c r="J346" i="13"/>
  <c r="J345" i="13" s="1"/>
  <c r="I346" i="13"/>
  <c r="Q344" i="13"/>
  <c r="N344" i="13"/>
  <c r="R344" i="13" s="1"/>
  <c r="L344" i="13"/>
  <c r="D344" i="13"/>
  <c r="I344" i="13" s="1"/>
  <c r="Q343" i="13"/>
  <c r="L343" i="13"/>
  <c r="N343" i="13" s="1"/>
  <c r="D343" i="13"/>
  <c r="Q342" i="13"/>
  <c r="L342" i="13"/>
  <c r="N342" i="13" s="1"/>
  <c r="O342" i="13" s="1"/>
  <c r="P342" i="13" s="1"/>
  <c r="D342" i="13"/>
  <c r="Q341" i="13"/>
  <c r="L341" i="13"/>
  <c r="N341" i="13" s="1"/>
  <c r="D341" i="13"/>
  <c r="Q340" i="13"/>
  <c r="L340" i="13"/>
  <c r="D340" i="13"/>
  <c r="I340" i="13" s="1"/>
  <c r="Q339" i="13"/>
  <c r="M339" i="13"/>
  <c r="K339" i="13"/>
  <c r="J339" i="13"/>
  <c r="J326" i="13" s="1"/>
  <c r="H339" i="13"/>
  <c r="G339" i="13"/>
  <c r="F339" i="13"/>
  <c r="E339" i="13"/>
  <c r="D339" i="13" s="1"/>
  <c r="K338" i="13"/>
  <c r="G338" i="13"/>
  <c r="D338" i="13" s="1"/>
  <c r="E337" i="13"/>
  <c r="Q336" i="13"/>
  <c r="G336" i="13"/>
  <c r="F336" i="13"/>
  <c r="Q335" i="13"/>
  <c r="L335" i="13"/>
  <c r="N335" i="13" s="1"/>
  <c r="P335" i="13" s="1"/>
  <c r="O335" i="13" s="1"/>
  <c r="D334" i="13"/>
  <c r="E333" i="13"/>
  <c r="D333" i="13"/>
  <c r="E332" i="13"/>
  <c r="D332" i="13"/>
  <c r="R332" i="13" s="1"/>
  <c r="T332" i="13" s="1"/>
  <c r="Q331" i="13"/>
  <c r="L331" i="13"/>
  <c r="G331" i="13"/>
  <c r="F331" i="13"/>
  <c r="E331" i="13"/>
  <c r="G330" i="13"/>
  <c r="R329" i="13"/>
  <c r="T329" i="13" s="1"/>
  <c r="H329" i="13"/>
  <c r="E329" i="13"/>
  <c r="D329" i="13" s="1"/>
  <c r="Q328" i="13"/>
  <c r="N328" i="13"/>
  <c r="P328" i="13" s="1"/>
  <c r="O328" i="13" s="1"/>
  <c r="L328" i="13"/>
  <c r="F328" i="13"/>
  <c r="E328" i="13"/>
  <c r="M327" i="13"/>
  <c r="J327" i="13"/>
  <c r="I327" i="13"/>
  <c r="M326" i="13"/>
  <c r="Q325" i="13"/>
  <c r="L325" i="13"/>
  <c r="N325" i="13" s="1"/>
  <c r="O325" i="13" s="1"/>
  <c r="D325" i="13"/>
  <c r="Q324" i="13"/>
  <c r="L324" i="13"/>
  <c r="N324" i="13" s="1"/>
  <c r="G324" i="13"/>
  <c r="G320" i="13" s="1"/>
  <c r="E324" i="13"/>
  <c r="E320" i="13" s="1"/>
  <c r="Q323" i="13"/>
  <c r="Q320" i="13" s="1"/>
  <c r="O323" i="13"/>
  <c r="L323" i="13"/>
  <c r="N323" i="13" s="1"/>
  <c r="D323" i="13"/>
  <c r="I323" i="13" s="1"/>
  <c r="Q322" i="13"/>
  <c r="L322" i="13"/>
  <c r="N322" i="13" s="1"/>
  <c r="D322" i="13"/>
  <c r="Q321" i="13"/>
  <c r="L321" i="13"/>
  <c r="I321" i="13"/>
  <c r="D321" i="13"/>
  <c r="M320" i="13"/>
  <c r="K320" i="13"/>
  <c r="J320" i="13"/>
  <c r="J307" i="13" s="1"/>
  <c r="H320" i="13"/>
  <c r="F320" i="13"/>
  <c r="G319" i="13"/>
  <c r="D319" i="13" s="1"/>
  <c r="K319" i="13" s="1"/>
  <c r="E318" i="13"/>
  <c r="E317" i="13" s="1"/>
  <c r="Q317" i="13"/>
  <c r="F317" i="13"/>
  <c r="Q316" i="13"/>
  <c r="L316" i="13"/>
  <c r="N316" i="13" s="1"/>
  <c r="P316" i="13" s="1"/>
  <c r="D315" i="13"/>
  <c r="H314" i="13"/>
  <c r="E314" i="13"/>
  <c r="D314" i="13"/>
  <c r="R314" i="13" s="1"/>
  <c r="T314" i="13" s="1"/>
  <c r="E313" i="13"/>
  <c r="Q312" i="13"/>
  <c r="N312" i="13"/>
  <c r="P312" i="13" s="1"/>
  <c r="O312" i="13" s="1"/>
  <c r="L312" i="13"/>
  <c r="G312" i="13"/>
  <c r="F312" i="13"/>
  <c r="G311" i="13"/>
  <c r="D311" i="13"/>
  <c r="R311" i="13" s="1"/>
  <c r="T311" i="13" s="1"/>
  <c r="E310" i="13"/>
  <c r="D310" i="13" s="1"/>
  <c r="R310" i="13" s="1"/>
  <c r="Q309" i="13"/>
  <c r="Q308" i="13" s="1"/>
  <c r="Q307" i="13" s="1"/>
  <c r="P309" i="13"/>
  <c r="O309" i="13" s="1"/>
  <c r="L309" i="13"/>
  <c r="N309" i="13" s="1"/>
  <c r="G309" i="13"/>
  <c r="F309" i="13"/>
  <c r="E309" i="13"/>
  <c r="D309" i="13" s="1"/>
  <c r="M308" i="13"/>
  <c r="J308" i="13"/>
  <c r="I308" i="13"/>
  <c r="M307" i="13"/>
  <c r="Q306" i="13"/>
  <c r="L306" i="13"/>
  <c r="N306" i="13" s="1"/>
  <c r="F306" i="13"/>
  <c r="E306" i="13"/>
  <c r="Q305" i="13"/>
  <c r="L305" i="13"/>
  <c r="N305" i="13" s="1"/>
  <c r="F305" i="13"/>
  <c r="Q304" i="13"/>
  <c r="L304" i="13"/>
  <c r="N304" i="13" s="1"/>
  <c r="F304" i="13"/>
  <c r="Q303" i="13"/>
  <c r="L303" i="13"/>
  <c r="N303" i="13" s="1"/>
  <c r="G303" i="13"/>
  <c r="F303" i="13"/>
  <c r="E303" i="13"/>
  <c r="Q302" i="13"/>
  <c r="L302" i="13"/>
  <c r="N302" i="13" s="1"/>
  <c r="O302" i="13" s="1"/>
  <c r="G302" i="13"/>
  <c r="F302" i="13"/>
  <c r="F301" i="13" s="1"/>
  <c r="E302" i="13"/>
  <c r="M301" i="13"/>
  <c r="K301" i="13"/>
  <c r="J301" i="13"/>
  <c r="J288" i="13" s="1"/>
  <c r="H301" i="13"/>
  <c r="F300" i="13"/>
  <c r="E300" i="13"/>
  <c r="G299" i="13"/>
  <c r="F299" i="13"/>
  <c r="Q298" i="13"/>
  <c r="Q297" i="13"/>
  <c r="P297" i="13"/>
  <c r="L297" i="13"/>
  <c r="N297" i="13" s="1"/>
  <c r="E296" i="13"/>
  <c r="D296" i="13"/>
  <c r="R296" i="13" s="1"/>
  <c r="Q293" i="13"/>
  <c r="L293" i="13"/>
  <c r="G293" i="13"/>
  <c r="F293" i="13"/>
  <c r="F292" i="13"/>
  <c r="F290" i="13" s="1"/>
  <c r="E292" i="13"/>
  <c r="G291" i="13"/>
  <c r="F291" i="13"/>
  <c r="Q290" i="13"/>
  <c r="L290" i="13"/>
  <c r="M289" i="13"/>
  <c r="M288" i="13" s="1"/>
  <c r="J289" i="13"/>
  <c r="I289" i="13"/>
  <c r="Q287" i="13"/>
  <c r="L287" i="13"/>
  <c r="N287" i="13" s="1"/>
  <c r="I287" i="13"/>
  <c r="D287" i="13"/>
  <c r="Q286" i="13"/>
  <c r="L286" i="13"/>
  <c r="N286" i="13" s="1"/>
  <c r="D286" i="13"/>
  <c r="I286" i="13" s="1"/>
  <c r="Q285" i="13"/>
  <c r="L285" i="13"/>
  <c r="L282" i="13" s="1"/>
  <c r="I285" i="13"/>
  <c r="D285" i="13"/>
  <c r="Q284" i="13"/>
  <c r="L284" i="13"/>
  <c r="N284" i="13" s="1"/>
  <c r="G284" i="13"/>
  <c r="G282" i="13" s="1"/>
  <c r="E284" i="13"/>
  <c r="Q283" i="13"/>
  <c r="L283" i="13"/>
  <c r="N283" i="13" s="1"/>
  <c r="E283" i="13"/>
  <c r="D283" i="13"/>
  <c r="I283" i="13" s="1"/>
  <c r="M282" i="13"/>
  <c r="K282" i="13"/>
  <c r="J282" i="13"/>
  <c r="H282" i="13"/>
  <c r="F282" i="13"/>
  <c r="G281" i="13"/>
  <c r="D281" i="13" s="1"/>
  <c r="K281" i="13" s="1"/>
  <c r="L281" i="13" s="1"/>
  <c r="E280" i="13"/>
  <c r="E279" i="13" s="1"/>
  <c r="Q279" i="13"/>
  <c r="G279" i="13"/>
  <c r="F279" i="13"/>
  <c r="Q278" i="13"/>
  <c r="L278" i="13"/>
  <c r="N278" i="13" s="1"/>
  <c r="P278" i="13" s="1"/>
  <c r="O278" i="13" s="1"/>
  <c r="E277" i="13"/>
  <c r="D277" i="13" s="1"/>
  <c r="E276" i="13"/>
  <c r="D276" i="13"/>
  <c r="E275" i="13"/>
  <c r="D275" i="13" s="1"/>
  <c r="R275" i="13" s="1"/>
  <c r="Q274" i="13"/>
  <c r="L274" i="13"/>
  <c r="N274" i="13" s="1"/>
  <c r="P274" i="13" s="1"/>
  <c r="O274" i="13" s="1"/>
  <c r="G274" i="13"/>
  <c r="F274" i="13"/>
  <c r="R273" i="13"/>
  <c r="T273" i="13" s="1"/>
  <c r="H273" i="13"/>
  <c r="G273" i="13"/>
  <c r="D273" i="13"/>
  <c r="E272" i="13"/>
  <c r="Q271" i="13"/>
  <c r="Q270" i="13" s="1"/>
  <c r="L271" i="13"/>
  <c r="N271" i="13" s="1"/>
  <c r="G271" i="13"/>
  <c r="F271" i="13"/>
  <c r="F270" i="13" s="1"/>
  <c r="M270" i="13"/>
  <c r="J270" i="13"/>
  <c r="J269" i="13" s="1"/>
  <c r="I270" i="13"/>
  <c r="M269" i="13"/>
  <c r="Q268" i="13"/>
  <c r="O268" i="13"/>
  <c r="L268" i="13"/>
  <c r="N268" i="13" s="1"/>
  <c r="D268" i="13"/>
  <c r="I268" i="13" s="1"/>
  <c r="Q267" i="13"/>
  <c r="O267" i="13"/>
  <c r="N267" i="13"/>
  <c r="L267" i="13"/>
  <c r="D267" i="13"/>
  <c r="R267" i="13" s="1"/>
  <c r="T267" i="13" s="1"/>
  <c r="R266" i="13"/>
  <c r="T266" i="13" s="1"/>
  <c r="Q266" i="13"/>
  <c r="L266" i="13"/>
  <c r="N266" i="13" s="1"/>
  <c r="D266" i="13"/>
  <c r="I266" i="13" s="1"/>
  <c r="Q265" i="13"/>
  <c r="L265" i="13"/>
  <c r="N265" i="13" s="1"/>
  <c r="G265" i="13"/>
  <c r="G263" i="13" s="1"/>
  <c r="E265" i="13"/>
  <c r="D265" i="13" s="1"/>
  <c r="Q264" i="13"/>
  <c r="L264" i="13"/>
  <c r="E264" i="13"/>
  <c r="D264" i="13" s="1"/>
  <c r="I264" i="13" s="1"/>
  <c r="M263" i="13"/>
  <c r="K263" i="13"/>
  <c r="J263" i="13"/>
  <c r="H263" i="13"/>
  <c r="F263" i="13"/>
  <c r="K262" i="13"/>
  <c r="L262" i="13" s="1"/>
  <c r="G262" i="13"/>
  <c r="D262" i="13"/>
  <c r="E261" i="13"/>
  <c r="Q260" i="13"/>
  <c r="G260" i="13"/>
  <c r="F260" i="13"/>
  <c r="Q259" i="13"/>
  <c r="L259" i="13"/>
  <c r="N259" i="13" s="1"/>
  <c r="P259" i="13" s="1"/>
  <c r="E257" i="13"/>
  <c r="D257" i="13" s="1"/>
  <c r="E256" i="13"/>
  <c r="D256" i="13"/>
  <c r="R256" i="13" s="1"/>
  <c r="Q255" i="13"/>
  <c r="N255" i="13"/>
  <c r="P255" i="13" s="1"/>
  <c r="O255" i="13" s="1"/>
  <c r="L255" i="13"/>
  <c r="G255" i="13"/>
  <c r="F255" i="13"/>
  <c r="G254" i="13"/>
  <c r="D254" i="13"/>
  <c r="E253" i="13"/>
  <c r="D253" i="13"/>
  <c r="R253" i="13" s="1"/>
  <c r="T253" i="13" s="1"/>
  <c r="Q252" i="13"/>
  <c r="L252" i="13"/>
  <c r="N252" i="13" s="1"/>
  <c r="P252" i="13" s="1"/>
  <c r="G252" i="13"/>
  <c r="F252" i="13"/>
  <c r="F251" i="13" s="1"/>
  <c r="F250" i="13" s="1"/>
  <c r="E252" i="13"/>
  <c r="M251" i="13"/>
  <c r="J251" i="13"/>
  <c r="J250" i="13" s="1"/>
  <c r="I251" i="13"/>
  <c r="Q249" i="13"/>
  <c r="L249" i="13"/>
  <c r="N249" i="13" s="1"/>
  <c r="D249" i="13"/>
  <c r="I249" i="13" s="1"/>
  <c r="Q248" i="13"/>
  <c r="L248" i="13"/>
  <c r="N248" i="13" s="1"/>
  <c r="D248" i="13"/>
  <c r="Q247" i="13"/>
  <c r="O247" i="13"/>
  <c r="L247" i="13"/>
  <c r="N247" i="13" s="1"/>
  <c r="D247" i="13"/>
  <c r="I247" i="13" s="1"/>
  <c r="Q246" i="13"/>
  <c r="L246" i="13"/>
  <c r="N246" i="13" s="1"/>
  <c r="G246" i="13"/>
  <c r="G244" i="13" s="1"/>
  <c r="E246" i="13"/>
  <c r="D246" i="13" s="1"/>
  <c r="Q245" i="13"/>
  <c r="L245" i="13"/>
  <c r="I245" i="13"/>
  <c r="E245" i="13"/>
  <c r="D245" i="13"/>
  <c r="M244" i="13"/>
  <c r="K244" i="13"/>
  <c r="J244" i="13"/>
  <c r="H244" i="13"/>
  <c r="F244" i="13"/>
  <c r="G243" i="13"/>
  <c r="D243" i="13" s="1"/>
  <c r="K243" i="13" s="1"/>
  <c r="L243" i="13" s="1"/>
  <c r="E242" i="13"/>
  <c r="D242" i="13" s="1"/>
  <c r="K242" i="13" s="1"/>
  <c r="L242" i="13" s="1"/>
  <c r="Q241" i="13"/>
  <c r="K241" i="13"/>
  <c r="K232" i="13" s="1"/>
  <c r="K231" i="13" s="1"/>
  <c r="G241" i="13"/>
  <c r="F241" i="13"/>
  <c r="E241" i="13"/>
  <c r="Q240" i="13"/>
  <c r="L240" i="13"/>
  <c r="N240" i="13" s="1"/>
  <c r="P240" i="13" s="1"/>
  <c r="E239" i="13"/>
  <c r="D239" i="13"/>
  <c r="E238" i="13"/>
  <c r="D238" i="13" s="1"/>
  <c r="H237" i="13"/>
  <c r="E237" i="13"/>
  <c r="D237" i="13"/>
  <c r="R237" i="13" s="1"/>
  <c r="T237" i="13" s="1"/>
  <c r="Q236" i="13"/>
  <c r="L236" i="13"/>
  <c r="N236" i="13" s="1"/>
  <c r="P236" i="13" s="1"/>
  <c r="O236" i="13" s="1"/>
  <c r="G236" i="13"/>
  <c r="F236" i="13"/>
  <c r="G235" i="13"/>
  <c r="G233" i="13" s="1"/>
  <c r="D235" i="13"/>
  <c r="E234" i="13"/>
  <c r="E233" i="13" s="1"/>
  <c r="D234" i="13"/>
  <c r="H234" i="13" s="1"/>
  <c r="Q233" i="13"/>
  <c r="L233" i="13"/>
  <c r="N233" i="13" s="1"/>
  <c r="P233" i="13" s="1"/>
  <c r="O233" i="13" s="1"/>
  <c r="F233" i="13"/>
  <c r="M232" i="13"/>
  <c r="M231" i="13" s="1"/>
  <c r="J232" i="13"/>
  <c r="J231" i="13" s="1"/>
  <c r="I232" i="13"/>
  <c r="Q230" i="13"/>
  <c r="O230" i="13"/>
  <c r="L230" i="13"/>
  <c r="N230" i="13" s="1"/>
  <c r="G230" i="13"/>
  <c r="D230" i="13"/>
  <c r="Q229" i="13"/>
  <c r="L229" i="13"/>
  <c r="N229" i="13" s="1"/>
  <c r="D229" i="13"/>
  <c r="I229" i="13" s="1"/>
  <c r="Q228" i="13"/>
  <c r="L228" i="13"/>
  <c r="N228" i="13" s="1"/>
  <c r="D228" i="13"/>
  <c r="I228" i="13" s="1"/>
  <c r="Q227" i="13"/>
  <c r="L227" i="13"/>
  <c r="G227" i="13"/>
  <c r="E227" i="13"/>
  <c r="Q226" i="13"/>
  <c r="L226" i="13"/>
  <c r="N226" i="13" s="1"/>
  <c r="O226" i="13" s="1"/>
  <c r="P226" i="13" s="1"/>
  <c r="E226" i="13"/>
  <c r="D226" i="13" s="1"/>
  <c r="Q225" i="13"/>
  <c r="M225" i="13"/>
  <c r="K225" i="13"/>
  <c r="J225" i="13"/>
  <c r="J212" i="13" s="1"/>
  <c r="H225" i="13"/>
  <c r="F225" i="13"/>
  <c r="G224" i="13"/>
  <c r="G222" i="13" s="1"/>
  <c r="E223" i="13"/>
  <c r="E222" i="13" s="1"/>
  <c r="Q222" i="13"/>
  <c r="F222" i="13"/>
  <c r="Q221" i="13"/>
  <c r="L221" i="13"/>
  <c r="E220" i="13"/>
  <c r="D220" i="13"/>
  <c r="H220" i="13" s="1"/>
  <c r="E219" i="13"/>
  <c r="D219" i="13" s="1"/>
  <c r="R219" i="13" s="1"/>
  <c r="T219" i="13" s="1"/>
  <c r="E218" i="13"/>
  <c r="E217" i="13" s="1"/>
  <c r="D218" i="13"/>
  <c r="Q217" i="13"/>
  <c r="Q213" i="13" s="1"/>
  <c r="Q212" i="13" s="1"/>
  <c r="L217" i="13"/>
  <c r="N217" i="13" s="1"/>
  <c r="P217" i="13" s="1"/>
  <c r="G217" i="13"/>
  <c r="F217" i="13"/>
  <c r="G216" i="13"/>
  <c r="E215" i="13"/>
  <c r="D215" i="13" s="1"/>
  <c r="Q214" i="13"/>
  <c r="L214" i="13"/>
  <c r="F214" i="13"/>
  <c r="F213" i="13" s="1"/>
  <c r="F212" i="13" s="1"/>
  <c r="E214" i="13"/>
  <c r="M213" i="13"/>
  <c r="J213" i="13"/>
  <c r="I213" i="13"/>
  <c r="Q211" i="13"/>
  <c r="L211" i="13"/>
  <c r="N211" i="13" s="1"/>
  <c r="G211" i="13"/>
  <c r="D211" i="13" s="1"/>
  <c r="I211" i="13" s="1"/>
  <c r="Q210" i="13"/>
  <c r="L210" i="13"/>
  <c r="N210" i="13" s="1"/>
  <c r="D210" i="13"/>
  <c r="I210" i="13" s="1"/>
  <c r="Q209" i="13"/>
  <c r="L209" i="13"/>
  <c r="N209" i="13" s="1"/>
  <c r="O209" i="13" s="1"/>
  <c r="P209" i="13" s="1"/>
  <c r="D209" i="13"/>
  <c r="Q208" i="13"/>
  <c r="L208" i="13"/>
  <c r="N208" i="13" s="1"/>
  <c r="G208" i="13"/>
  <c r="G206" i="13" s="1"/>
  <c r="E208" i="13"/>
  <c r="D208" i="13"/>
  <c r="Q207" i="13"/>
  <c r="L207" i="13"/>
  <c r="E207" i="13"/>
  <c r="D207" i="13" s="1"/>
  <c r="I207" i="13" s="1"/>
  <c r="M206" i="13"/>
  <c r="K206" i="13"/>
  <c r="J206" i="13"/>
  <c r="H206" i="13"/>
  <c r="F206" i="13"/>
  <c r="G205" i="13"/>
  <c r="E204" i="13"/>
  <c r="D204" i="13" s="1"/>
  <c r="K204" i="13" s="1"/>
  <c r="Q203" i="13"/>
  <c r="F203" i="13"/>
  <c r="Q202" i="13"/>
  <c r="P202" i="13"/>
  <c r="O202" i="13" s="1"/>
  <c r="N202" i="13"/>
  <c r="L202" i="13"/>
  <c r="E201" i="13"/>
  <c r="D201" i="13" s="1"/>
  <c r="E200" i="13"/>
  <c r="E199" i="13"/>
  <c r="D199" i="13" s="1"/>
  <c r="Q198" i="13"/>
  <c r="N198" i="13"/>
  <c r="P198" i="13" s="1"/>
  <c r="L198" i="13"/>
  <c r="G198" i="13"/>
  <c r="F198" i="13"/>
  <c r="F194" i="13" s="1"/>
  <c r="F193" i="13" s="1"/>
  <c r="G197" i="13"/>
  <c r="D197" i="13" s="1"/>
  <c r="H197" i="13" s="1"/>
  <c r="E196" i="13"/>
  <c r="D196" i="13" s="1"/>
  <c r="Q195" i="13"/>
  <c r="L195" i="13"/>
  <c r="F195" i="13"/>
  <c r="M194" i="13"/>
  <c r="M193" i="13" s="1"/>
  <c r="J194" i="13"/>
  <c r="J193" i="13" s="1"/>
  <c r="I194" i="13"/>
  <c r="Q192" i="13"/>
  <c r="N192" i="13"/>
  <c r="L192" i="13"/>
  <c r="G192" i="13"/>
  <c r="D192" i="13"/>
  <c r="Q191" i="13"/>
  <c r="L191" i="13"/>
  <c r="N191" i="13" s="1"/>
  <c r="O191" i="13" s="1"/>
  <c r="D191" i="13"/>
  <c r="R191" i="13" s="1"/>
  <c r="T191" i="13" s="1"/>
  <c r="Q190" i="13"/>
  <c r="L190" i="13"/>
  <c r="N190" i="13" s="1"/>
  <c r="G190" i="13"/>
  <c r="E190" i="13"/>
  <c r="D190" i="13"/>
  <c r="I190" i="13" s="1"/>
  <c r="Q189" i="13"/>
  <c r="L189" i="13"/>
  <c r="N189" i="13" s="1"/>
  <c r="G189" i="13"/>
  <c r="G187" i="13" s="1"/>
  <c r="E189" i="13"/>
  <c r="Q188" i="13"/>
  <c r="L188" i="13"/>
  <c r="N188" i="13" s="1"/>
  <c r="E188" i="13"/>
  <c r="D188" i="13" s="1"/>
  <c r="I188" i="13" s="1"/>
  <c r="Q187" i="13"/>
  <c r="M187" i="13"/>
  <c r="K187" i="13"/>
  <c r="J187" i="13"/>
  <c r="H187" i="13"/>
  <c r="F187" i="13"/>
  <c r="G186" i="13"/>
  <c r="E185" i="13"/>
  <c r="Q184" i="13"/>
  <c r="F184" i="13"/>
  <c r="Q183" i="13"/>
  <c r="N183" i="13"/>
  <c r="P183" i="13" s="1"/>
  <c r="O183" i="13" s="1"/>
  <c r="L183" i="13"/>
  <c r="E182" i="13"/>
  <c r="D182" i="13" s="1"/>
  <c r="E181" i="13"/>
  <c r="D181" i="13" s="1"/>
  <c r="E180" i="13"/>
  <c r="E179" i="13" s="1"/>
  <c r="Q179" i="13"/>
  <c r="L179" i="13"/>
  <c r="G179" i="13"/>
  <c r="F179" i="13"/>
  <c r="G178" i="13"/>
  <c r="G176" i="13" s="1"/>
  <c r="E177" i="13"/>
  <c r="E176" i="13" s="1"/>
  <c r="Q176" i="13"/>
  <c r="L176" i="13"/>
  <c r="N176" i="13" s="1"/>
  <c r="F176" i="13"/>
  <c r="F175" i="13" s="1"/>
  <c r="F174" i="13" s="1"/>
  <c r="M175" i="13"/>
  <c r="M174" i="13" s="1"/>
  <c r="J175" i="13"/>
  <c r="J174" i="13" s="1"/>
  <c r="I175" i="13"/>
  <c r="Q173" i="13"/>
  <c r="L173" i="13"/>
  <c r="N173" i="13" s="1"/>
  <c r="I173" i="13"/>
  <c r="G173" i="13"/>
  <c r="D173" i="13" s="1"/>
  <c r="Q172" i="13"/>
  <c r="L172" i="13"/>
  <c r="N172" i="13" s="1"/>
  <c r="I172" i="13"/>
  <c r="D172" i="13"/>
  <c r="Q171" i="13"/>
  <c r="L171" i="13"/>
  <c r="G171" i="13"/>
  <c r="G95" i="13" s="1"/>
  <c r="E171" i="13"/>
  <c r="Q170" i="13"/>
  <c r="N170" i="13"/>
  <c r="L170" i="13"/>
  <c r="G170" i="13"/>
  <c r="E170" i="13"/>
  <c r="Q169" i="13"/>
  <c r="L169" i="13"/>
  <c r="N169" i="13" s="1"/>
  <c r="O169" i="13" s="1"/>
  <c r="E169" i="13"/>
  <c r="D169" i="13"/>
  <c r="M168" i="13"/>
  <c r="K168" i="13"/>
  <c r="J168" i="13"/>
  <c r="H168" i="13"/>
  <c r="F168" i="13"/>
  <c r="G167" i="13"/>
  <c r="D167" i="13" s="1"/>
  <c r="K167" i="13" s="1"/>
  <c r="E166" i="13"/>
  <c r="Q165" i="13"/>
  <c r="G165" i="13"/>
  <c r="F165" i="13"/>
  <c r="Q164" i="13"/>
  <c r="L164" i="13"/>
  <c r="E163" i="13"/>
  <c r="E162" i="13"/>
  <c r="D162" i="13" s="1"/>
  <c r="R162" i="13" s="1"/>
  <c r="T162" i="13" s="1"/>
  <c r="R161" i="13"/>
  <c r="R160" i="13" s="1"/>
  <c r="H161" i="13"/>
  <c r="E161" i="13"/>
  <c r="D161" i="13" s="1"/>
  <c r="Q160" i="13"/>
  <c r="L160" i="13"/>
  <c r="G160" i="13"/>
  <c r="F160" i="13"/>
  <c r="E160" i="13"/>
  <c r="G159" i="13"/>
  <c r="D159" i="13" s="1"/>
  <c r="R159" i="13" s="1"/>
  <c r="T159" i="13" s="1"/>
  <c r="E158" i="13"/>
  <c r="E157" i="13" s="1"/>
  <c r="D158" i="13"/>
  <c r="Q157" i="13"/>
  <c r="Q156" i="13" s="1"/>
  <c r="L157" i="13"/>
  <c r="N157" i="13" s="1"/>
  <c r="P157" i="13" s="1"/>
  <c r="O157" i="13" s="1"/>
  <c r="F157" i="13"/>
  <c r="M156" i="13"/>
  <c r="M155" i="13" s="1"/>
  <c r="J156" i="13"/>
  <c r="I156" i="13"/>
  <c r="Q154" i="13"/>
  <c r="O154" i="13"/>
  <c r="P154" i="13" s="1"/>
  <c r="L154" i="13"/>
  <c r="N154" i="13" s="1"/>
  <c r="D154" i="13"/>
  <c r="Q153" i="13"/>
  <c r="L153" i="13"/>
  <c r="N153" i="13" s="1"/>
  <c r="D153" i="13"/>
  <c r="I153" i="13" s="1"/>
  <c r="Q152" i="13"/>
  <c r="L152" i="13"/>
  <c r="N152" i="13" s="1"/>
  <c r="D152" i="13"/>
  <c r="Q151" i="13"/>
  <c r="L151" i="13"/>
  <c r="N151" i="13" s="1"/>
  <c r="G151" i="13"/>
  <c r="E151" i="13"/>
  <c r="D151" i="13" s="1"/>
  <c r="I151" i="13" s="1"/>
  <c r="Q150" i="13"/>
  <c r="L150" i="13"/>
  <c r="N150" i="13" s="1"/>
  <c r="E150" i="13"/>
  <c r="D150" i="13"/>
  <c r="I150" i="13" s="1"/>
  <c r="M149" i="13"/>
  <c r="L149" i="13"/>
  <c r="K149" i="13"/>
  <c r="J149" i="13"/>
  <c r="H149" i="13"/>
  <c r="G149" i="13"/>
  <c r="F149" i="13"/>
  <c r="G148" i="13"/>
  <c r="D148" i="13" s="1"/>
  <c r="K148" i="13" s="1"/>
  <c r="E147" i="13"/>
  <c r="D147" i="13"/>
  <c r="K147" i="13" s="1"/>
  <c r="L147" i="13" s="1"/>
  <c r="Q146" i="13"/>
  <c r="F146" i="13"/>
  <c r="E146" i="13"/>
  <c r="Q145" i="13"/>
  <c r="L145" i="13"/>
  <c r="N145" i="13" s="1"/>
  <c r="P145" i="13" s="1"/>
  <c r="O145" i="13" s="1"/>
  <c r="H144" i="13"/>
  <c r="E144" i="13"/>
  <c r="D144" i="13" s="1"/>
  <c r="R144" i="13" s="1"/>
  <c r="T144" i="13" s="1"/>
  <c r="E143" i="13"/>
  <c r="D143" i="13"/>
  <c r="R142" i="13"/>
  <c r="E142" i="13"/>
  <c r="D142" i="13"/>
  <c r="H142" i="13" s="1"/>
  <c r="Q141" i="13"/>
  <c r="L141" i="13"/>
  <c r="N141" i="13" s="1"/>
  <c r="G141" i="13"/>
  <c r="F141" i="13"/>
  <c r="G140" i="13"/>
  <c r="G138" i="13" s="1"/>
  <c r="D140" i="13"/>
  <c r="E139" i="13"/>
  <c r="D139" i="13" s="1"/>
  <c r="Q138" i="13"/>
  <c r="N138" i="13"/>
  <c r="P138" i="13" s="1"/>
  <c r="L138" i="13"/>
  <c r="F138" i="13"/>
  <c r="E138" i="13"/>
  <c r="M137" i="13"/>
  <c r="J137" i="13"/>
  <c r="I137" i="13"/>
  <c r="F137" i="13"/>
  <c r="F136" i="13" s="1"/>
  <c r="J136" i="13"/>
  <c r="Q135" i="13"/>
  <c r="L135" i="13"/>
  <c r="N135" i="13" s="1"/>
  <c r="D135" i="13"/>
  <c r="Q134" i="13"/>
  <c r="L134" i="13"/>
  <c r="N134" i="13" s="1"/>
  <c r="R134" i="13" s="1"/>
  <c r="T134" i="13" s="1"/>
  <c r="I134" i="13"/>
  <c r="D134" i="13"/>
  <c r="Q133" i="13"/>
  <c r="L133" i="13"/>
  <c r="N133" i="13" s="1"/>
  <c r="I133" i="13"/>
  <c r="D133" i="13"/>
  <c r="Q132" i="13"/>
  <c r="L132" i="13"/>
  <c r="N132" i="13" s="1"/>
  <c r="G132" i="13"/>
  <c r="E132" i="13"/>
  <c r="Q131" i="13"/>
  <c r="Q130" i="13" s="1"/>
  <c r="O131" i="13"/>
  <c r="P131" i="13" s="1"/>
  <c r="L131" i="13"/>
  <c r="N131" i="13" s="1"/>
  <c r="E131" i="13"/>
  <c r="E130" i="13" s="1"/>
  <c r="D131" i="13"/>
  <c r="M130" i="13"/>
  <c r="K130" i="13"/>
  <c r="J130" i="13"/>
  <c r="H130" i="13"/>
  <c r="F130" i="13"/>
  <c r="F117" i="13" s="1"/>
  <c r="G129" i="13"/>
  <c r="D129" i="13"/>
  <c r="K129" i="13" s="1"/>
  <c r="L129" i="13" s="1"/>
  <c r="E128" i="13"/>
  <c r="Q127" i="13"/>
  <c r="G127" i="13"/>
  <c r="F127" i="13"/>
  <c r="Q126" i="13"/>
  <c r="L126" i="13"/>
  <c r="N126" i="13" s="1"/>
  <c r="E125" i="13"/>
  <c r="D125" i="13"/>
  <c r="H125" i="13" s="1"/>
  <c r="E124" i="13"/>
  <c r="D124" i="13" s="1"/>
  <c r="E123" i="13"/>
  <c r="Q122" i="13"/>
  <c r="L122" i="13"/>
  <c r="N122" i="13" s="1"/>
  <c r="P122" i="13" s="1"/>
  <c r="G122" i="13"/>
  <c r="F122" i="13"/>
  <c r="G121" i="13"/>
  <c r="E120" i="13"/>
  <c r="D120" i="13" s="1"/>
  <c r="Q119" i="13"/>
  <c r="N119" i="13"/>
  <c r="P119" i="13" s="1"/>
  <c r="L119" i="13"/>
  <c r="F119" i="13"/>
  <c r="F118" i="13" s="1"/>
  <c r="E119" i="13"/>
  <c r="M118" i="13"/>
  <c r="M117" i="13" s="1"/>
  <c r="J118" i="13"/>
  <c r="I118" i="13"/>
  <c r="Q116" i="13"/>
  <c r="L116" i="13"/>
  <c r="N116" i="13" s="1"/>
  <c r="D116" i="13"/>
  <c r="I116" i="13" s="1"/>
  <c r="Q115" i="13"/>
  <c r="L115" i="13"/>
  <c r="N115" i="13" s="1"/>
  <c r="O115" i="13" s="1"/>
  <c r="P115" i="13" s="1"/>
  <c r="D115" i="13"/>
  <c r="I115" i="13" s="1"/>
  <c r="Q114" i="13"/>
  <c r="L114" i="13"/>
  <c r="I114" i="13"/>
  <c r="D114" i="13"/>
  <c r="Q113" i="13"/>
  <c r="N113" i="13"/>
  <c r="O113" i="13" s="1"/>
  <c r="P113" i="13" s="1"/>
  <c r="L113" i="13"/>
  <c r="G113" i="13"/>
  <c r="G111" i="13" s="1"/>
  <c r="E113" i="13"/>
  <c r="D113" i="13"/>
  <c r="I113" i="13" s="1"/>
  <c r="Q112" i="13"/>
  <c r="L112" i="13"/>
  <c r="N112" i="13" s="1"/>
  <c r="E112" i="13"/>
  <c r="D112" i="13" s="1"/>
  <c r="I112" i="13" s="1"/>
  <c r="M111" i="13"/>
  <c r="K111" i="13"/>
  <c r="J111" i="13"/>
  <c r="H111" i="13"/>
  <c r="F111" i="13"/>
  <c r="G110" i="13"/>
  <c r="E109" i="13"/>
  <c r="E108" i="13" s="1"/>
  <c r="Q108" i="13"/>
  <c r="F108" i="13"/>
  <c r="Q107" i="13"/>
  <c r="N107" i="13"/>
  <c r="P107" i="13" s="1"/>
  <c r="L107" i="13"/>
  <c r="E106" i="13"/>
  <c r="D106" i="13"/>
  <c r="H106" i="13" s="1"/>
  <c r="E105" i="13"/>
  <c r="D105" i="13"/>
  <c r="R104" i="13"/>
  <c r="T104" i="13" s="1"/>
  <c r="H104" i="13"/>
  <c r="E104" i="13"/>
  <c r="D104" i="13"/>
  <c r="Q103" i="13"/>
  <c r="N103" i="13"/>
  <c r="P103" i="13" s="1"/>
  <c r="L103" i="13"/>
  <c r="G103" i="13"/>
  <c r="F103" i="13"/>
  <c r="E103" i="13"/>
  <c r="D103" i="13" s="1"/>
  <c r="H103" i="13" s="1"/>
  <c r="G102" i="13"/>
  <c r="D102" i="13"/>
  <c r="R102" i="13" s="1"/>
  <c r="T102" i="13" s="1"/>
  <c r="E101" i="13"/>
  <c r="D101" i="13" s="1"/>
  <c r="H101" i="13" s="1"/>
  <c r="Q100" i="13"/>
  <c r="Q99" i="13" s="1"/>
  <c r="L100" i="13"/>
  <c r="N100" i="13" s="1"/>
  <c r="P100" i="13" s="1"/>
  <c r="G100" i="13"/>
  <c r="F100" i="13"/>
  <c r="E100" i="13"/>
  <c r="M99" i="13"/>
  <c r="M98" i="13" s="1"/>
  <c r="J99" i="13"/>
  <c r="I99" i="13"/>
  <c r="Q97" i="13"/>
  <c r="L97" i="13"/>
  <c r="N97" i="13" s="1"/>
  <c r="G97" i="13"/>
  <c r="F97" i="13"/>
  <c r="E97" i="13"/>
  <c r="E78" i="13" s="1"/>
  <c r="Q96" i="13"/>
  <c r="N96" i="13"/>
  <c r="O96" i="13" s="1"/>
  <c r="P96" i="13" s="1"/>
  <c r="L96" i="13"/>
  <c r="G96" i="13"/>
  <c r="F96" i="13"/>
  <c r="E96" i="13"/>
  <c r="Q95" i="13"/>
  <c r="L95" i="13"/>
  <c r="N95" i="13" s="1"/>
  <c r="F95" i="13"/>
  <c r="F76" i="13" s="1"/>
  <c r="E95" i="13"/>
  <c r="Q94" i="13"/>
  <c r="L94" i="13"/>
  <c r="N94" i="13" s="1"/>
  <c r="F94" i="13"/>
  <c r="Q93" i="13"/>
  <c r="Q92" i="13" s="1"/>
  <c r="L93" i="13"/>
  <c r="N93" i="13" s="1"/>
  <c r="G93" i="13"/>
  <c r="F93" i="13"/>
  <c r="F74" i="13" s="1"/>
  <c r="M92" i="13"/>
  <c r="K92" i="13"/>
  <c r="J92" i="13"/>
  <c r="H92" i="13"/>
  <c r="F91" i="13"/>
  <c r="F72" i="13" s="1"/>
  <c r="E91" i="13"/>
  <c r="G90" i="13"/>
  <c r="G71" i="13" s="1"/>
  <c r="F90" i="13"/>
  <c r="Q89" i="13"/>
  <c r="Q88" i="13"/>
  <c r="L88" i="13"/>
  <c r="N88" i="13" s="1"/>
  <c r="P88" i="13" s="1"/>
  <c r="O88" i="13" s="1"/>
  <c r="Q84" i="13"/>
  <c r="L84" i="13"/>
  <c r="G84" i="13"/>
  <c r="F84" i="13"/>
  <c r="F83" i="13"/>
  <c r="E83" i="13"/>
  <c r="G82" i="13"/>
  <c r="G63" i="13" s="1"/>
  <c r="F82" i="13"/>
  <c r="Q81" i="13"/>
  <c r="L81" i="13"/>
  <c r="N81" i="13" s="1"/>
  <c r="P81" i="13" s="1"/>
  <c r="F81" i="13"/>
  <c r="M80" i="13"/>
  <c r="M79" i="13" s="1"/>
  <c r="J80" i="13"/>
  <c r="J79" i="13" s="1"/>
  <c r="I80" i="13"/>
  <c r="Q78" i="13"/>
  <c r="L78" i="13"/>
  <c r="N78" i="13" s="1"/>
  <c r="Q77" i="13"/>
  <c r="L77" i="13"/>
  <c r="N77" i="13" s="1"/>
  <c r="Q76" i="13"/>
  <c r="L76" i="13"/>
  <c r="N76" i="13" s="1"/>
  <c r="Q75" i="13"/>
  <c r="L75" i="13"/>
  <c r="N75" i="13" s="1"/>
  <c r="F75" i="13"/>
  <c r="Q74" i="13"/>
  <c r="L74" i="13"/>
  <c r="N74" i="13" s="1"/>
  <c r="G74" i="13"/>
  <c r="M73" i="13"/>
  <c r="K73" i="13"/>
  <c r="J73" i="13"/>
  <c r="H73" i="13"/>
  <c r="Q70" i="13"/>
  <c r="Q69" i="13"/>
  <c r="L69" i="13"/>
  <c r="N69" i="13" s="1"/>
  <c r="P69" i="13" s="1"/>
  <c r="O69" i="13" s="1"/>
  <c r="Q65" i="13"/>
  <c r="L65" i="13"/>
  <c r="G65" i="13"/>
  <c r="F65" i="13"/>
  <c r="L62" i="13"/>
  <c r="N62" i="13" s="1"/>
  <c r="M61" i="13"/>
  <c r="M60" i="13" s="1"/>
  <c r="J61" i="13"/>
  <c r="J60" i="13" s="1"/>
  <c r="I61" i="13"/>
  <c r="Q59" i="13"/>
  <c r="L59" i="13"/>
  <c r="N59" i="13" s="1"/>
  <c r="O59" i="13" s="1"/>
  <c r="P59" i="13" s="1"/>
  <c r="E59" i="13"/>
  <c r="D59" i="13" s="1"/>
  <c r="Q58" i="13"/>
  <c r="L58" i="13"/>
  <c r="N58" i="13" s="1"/>
  <c r="E58" i="13"/>
  <c r="M57" i="13"/>
  <c r="K57" i="13"/>
  <c r="J57" i="13"/>
  <c r="H57" i="13"/>
  <c r="G57" i="13"/>
  <c r="F57" i="13"/>
  <c r="Q56" i="13"/>
  <c r="E56" i="13"/>
  <c r="D56" i="13"/>
  <c r="Q55" i="13"/>
  <c r="L55" i="13"/>
  <c r="N55" i="13" s="1"/>
  <c r="P55" i="13" s="1"/>
  <c r="O55" i="13" s="1"/>
  <c r="E54" i="13"/>
  <c r="D54" i="13"/>
  <c r="R54" i="13" s="1"/>
  <c r="Q53" i="13"/>
  <c r="L53" i="13"/>
  <c r="E53" i="13"/>
  <c r="D53" i="13" s="1"/>
  <c r="H53" i="13" s="1"/>
  <c r="Q52" i="13"/>
  <c r="L52" i="13"/>
  <c r="N52" i="13" s="1"/>
  <c r="E52" i="13"/>
  <c r="D52" i="13"/>
  <c r="M51" i="13"/>
  <c r="J51" i="13"/>
  <c r="I51" i="13"/>
  <c r="G51" i="13"/>
  <c r="G50" i="13" s="1"/>
  <c r="F51" i="13"/>
  <c r="P49" i="13"/>
  <c r="L49" i="13"/>
  <c r="N49" i="13" s="1"/>
  <c r="D49" i="13"/>
  <c r="R49" i="13" s="1"/>
  <c r="P48" i="13"/>
  <c r="L48" i="13"/>
  <c r="N48" i="13" s="1"/>
  <c r="P47" i="13"/>
  <c r="L47" i="13"/>
  <c r="O47" i="13" s="1"/>
  <c r="I47" i="13"/>
  <c r="D47" i="13"/>
  <c r="P46" i="13"/>
  <c r="L46" i="13"/>
  <c r="L45" i="13" s="1"/>
  <c r="Q45" i="13"/>
  <c r="M45" i="13"/>
  <c r="K45" i="13"/>
  <c r="J45" i="13"/>
  <c r="H45" i="13"/>
  <c r="G45" i="13"/>
  <c r="F45" i="13"/>
  <c r="P43" i="13"/>
  <c r="L43" i="13"/>
  <c r="L42" i="13" s="1"/>
  <c r="D43" i="13"/>
  <c r="D42" i="13" s="1"/>
  <c r="Q42" i="13"/>
  <c r="P42" i="13"/>
  <c r="M42" i="13"/>
  <c r="K42" i="13"/>
  <c r="J42" i="13"/>
  <c r="I42" i="13"/>
  <c r="H42" i="13"/>
  <c r="G42" i="13"/>
  <c r="F42" i="13"/>
  <c r="E42" i="13"/>
  <c r="P41" i="13"/>
  <c r="K41" i="13"/>
  <c r="L41" i="13" s="1"/>
  <c r="D41" i="13"/>
  <c r="P40" i="13"/>
  <c r="L40" i="13"/>
  <c r="H40" i="13"/>
  <c r="D40" i="13"/>
  <c r="P39" i="13"/>
  <c r="K39" i="13"/>
  <c r="L39" i="13" s="1"/>
  <c r="D39" i="13"/>
  <c r="P38" i="13"/>
  <c r="O38" i="13"/>
  <c r="N38" i="13"/>
  <c r="K38" i="13"/>
  <c r="D38" i="13"/>
  <c r="Q37" i="13"/>
  <c r="M37" i="13"/>
  <c r="J37" i="13"/>
  <c r="I37" i="13"/>
  <c r="H37" i="13"/>
  <c r="H36" i="13" s="1"/>
  <c r="G37" i="13"/>
  <c r="F37" i="13"/>
  <c r="E37" i="13"/>
  <c r="J36" i="13"/>
  <c r="L35" i="13"/>
  <c r="D35" i="13"/>
  <c r="D34" i="13" s="1"/>
  <c r="Q34" i="13"/>
  <c r="P34" i="13"/>
  <c r="M34" i="13"/>
  <c r="K34" i="13"/>
  <c r="J34" i="13"/>
  <c r="H34" i="13"/>
  <c r="G34" i="13"/>
  <c r="F34" i="13"/>
  <c r="E34" i="13"/>
  <c r="D33" i="13"/>
  <c r="K33" i="13" s="1"/>
  <c r="Q32" i="13"/>
  <c r="L32" i="13"/>
  <c r="Q31" i="13"/>
  <c r="M31" i="13"/>
  <c r="J31" i="13"/>
  <c r="I31" i="13"/>
  <c r="H31" i="13"/>
  <c r="G31" i="13"/>
  <c r="F31" i="13"/>
  <c r="K30" i="13"/>
  <c r="L30" i="13" s="1"/>
  <c r="D30" i="13"/>
  <c r="L29" i="13"/>
  <c r="O29" i="13" s="1"/>
  <c r="K29" i="13"/>
  <c r="D29" i="13"/>
  <c r="K28" i="13"/>
  <c r="L28" i="13" s="1"/>
  <c r="N28" i="13" s="1"/>
  <c r="D28" i="13"/>
  <c r="K27" i="13"/>
  <c r="D27" i="13"/>
  <c r="Q26" i="13"/>
  <c r="K26" i="13"/>
  <c r="L26" i="13" s="1"/>
  <c r="D26" i="13"/>
  <c r="Q25" i="13"/>
  <c r="L25" i="13"/>
  <c r="N25" i="13" s="1"/>
  <c r="M24" i="13"/>
  <c r="J24" i="13"/>
  <c r="I24" i="13"/>
  <c r="H24" i="13"/>
  <c r="G24" i="13"/>
  <c r="F24" i="13"/>
  <c r="L22" i="13"/>
  <c r="L21" i="13" s="1"/>
  <c r="L20" i="13" s="1"/>
  <c r="I22" i="13"/>
  <c r="I21" i="13" s="1"/>
  <c r="I20" i="13" s="1"/>
  <c r="D22" i="13"/>
  <c r="D21" i="13" s="1"/>
  <c r="D20" i="13" s="1"/>
  <c r="Q21" i="13"/>
  <c r="Q20" i="13" s="1"/>
  <c r="P21" i="13"/>
  <c r="P20" i="13" s="1"/>
  <c r="M21" i="13"/>
  <c r="M20" i="13" s="1"/>
  <c r="K21" i="13"/>
  <c r="K20" i="13" s="1"/>
  <c r="J21" i="13"/>
  <c r="J20" i="13" s="1"/>
  <c r="H21" i="13"/>
  <c r="G21" i="13"/>
  <c r="G20" i="13" s="1"/>
  <c r="F21" i="13"/>
  <c r="F20" i="13" s="1"/>
  <c r="E21" i="13"/>
  <c r="E20" i="13" s="1"/>
  <c r="H20" i="13"/>
  <c r="O19" i="13"/>
  <c r="O18" i="13" s="1"/>
  <c r="O17" i="13" s="1"/>
  <c r="L19" i="13"/>
  <c r="N19" i="13" s="1"/>
  <c r="N18" i="13" s="1"/>
  <c r="N17" i="13" s="1"/>
  <c r="I19" i="13"/>
  <c r="I18" i="13" s="1"/>
  <c r="I17" i="13" s="1"/>
  <c r="D19" i="13"/>
  <c r="Q18" i="13"/>
  <c r="Q17" i="13" s="1"/>
  <c r="P18" i="13"/>
  <c r="M18" i="13"/>
  <c r="M17" i="13" s="1"/>
  <c r="K18" i="13"/>
  <c r="J18" i="13"/>
  <c r="H18" i="13"/>
  <c r="H17" i="13" s="1"/>
  <c r="G18" i="13"/>
  <c r="G17" i="13" s="1"/>
  <c r="F18" i="13"/>
  <c r="F17" i="13" s="1"/>
  <c r="E18" i="13"/>
  <c r="E17" i="13" s="1"/>
  <c r="P17" i="13"/>
  <c r="K17" i="13"/>
  <c r="J17" i="13"/>
  <c r="P12" i="12"/>
  <c r="P13" i="12"/>
  <c r="P16" i="12"/>
  <c r="P17" i="12"/>
  <c r="P26" i="12"/>
  <c r="P27" i="12"/>
  <c r="P30" i="12"/>
  <c r="P31" i="12"/>
  <c r="P36" i="12"/>
  <c r="P37" i="12"/>
  <c r="P40" i="12"/>
  <c r="P41" i="12"/>
  <c r="F12" i="12"/>
  <c r="F13" i="12"/>
  <c r="F15" i="12"/>
  <c r="F19" i="12"/>
  <c r="F22" i="12"/>
  <c r="F25" i="12"/>
  <c r="F26" i="12"/>
  <c r="F27" i="12"/>
  <c r="F29" i="12"/>
  <c r="F36" i="12"/>
  <c r="F37" i="12"/>
  <c r="F39" i="12"/>
  <c r="F40" i="12"/>
  <c r="D17" i="9"/>
  <c r="D48" i="9"/>
  <c r="F36" i="13" l="1"/>
  <c r="J50" i="13"/>
  <c r="J23" i="13"/>
  <c r="K24" i="13"/>
  <c r="O97" i="13"/>
  <c r="P97" i="13"/>
  <c r="R116" i="13"/>
  <c r="T116" i="13" s="1"/>
  <c r="O116" i="13"/>
  <c r="P116" i="13" s="1"/>
  <c r="O495" i="13"/>
  <c r="P495" i="13" s="1"/>
  <c r="L127" i="13"/>
  <c r="L118" i="13" s="1"/>
  <c r="H257" i="13"/>
  <c r="R257" i="13"/>
  <c r="T257" i="13" s="1"/>
  <c r="O684" i="13"/>
  <c r="P684" i="13"/>
  <c r="O30" i="13"/>
  <c r="N30" i="13"/>
  <c r="R30" i="13" s="1"/>
  <c r="L167" i="13"/>
  <c r="T167" i="13"/>
  <c r="R199" i="13"/>
  <c r="T199" i="13" s="1"/>
  <c r="H199" i="13"/>
  <c r="O210" i="13"/>
  <c r="P210" i="13"/>
  <c r="L18" i="13"/>
  <c r="L17" i="13" s="1"/>
  <c r="H23" i="13"/>
  <c r="I35" i="13"/>
  <c r="I34" i="13" s="1"/>
  <c r="D121" i="13"/>
  <c r="G119" i="13"/>
  <c r="G118" i="13" s="1"/>
  <c r="T142" i="13"/>
  <c r="D146" i="13"/>
  <c r="I154" i="13"/>
  <c r="R154" i="13"/>
  <c r="T154" i="13" s="1"/>
  <c r="D179" i="13"/>
  <c r="H179" i="13" s="1"/>
  <c r="R229" i="13"/>
  <c r="T229" i="13" s="1"/>
  <c r="T256" i="13"/>
  <c r="D261" i="13"/>
  <c r="K261" i="13" s="1"/>
  <c r="E260" i="13"/>
  <c r="D260" i="13" s="1"/>
  <c r="T275" i="13"/>
  <c r="E282" i="13"/>
  <c r="D282" i="13" s="1"/>
  <c r="D284" i="13"/>
  <c r="D337" i="13"/>
  <c r="K337" i="13" s="1"/>
  <c r="E336" i="13"/>
  <c r="D336" i="13" s="1"/>
  <c r="L338" i="13"/>
  <c r="T338" i="13"/>
  <c r="I341" i="13"/>
  <c r="R341" i="13"/>
  <c r="L357" i="13"/>
  <c r="T357" i="13"/>
  <c r="L396" i="13"/>
  <c r="N399" i="13"/>
  <c r="D413" i="13"/>
  <c r="K413" i="13" s="1"/>
  <c r="E412" i="13"/>
  <c r="R423" i="13"/>
  <c r="T425" i="13"/>
  <c r="R435" i="13"/>
  <c r="T435" i="13" s="1"/>
  <c r="I435" i="13"/>
  <c r="O439" i="13"/>
  <c r="P439" i="13"/>
  <c r="G441" i="13"/>
  <c r="E450" i="13"/>
  <c r="D450" i="13" s="1"/>
  <c r="D451" i="13"/>
  <c r="K451" i="13" s="1"/>
  <c r="R467" i="13"/>
  <c r="H467" i="13"/>
  <c r="P532" i="13"/>
  <c r="O532" i="13"/>
  <c r="D551" i="13"/>
  <c r="G548" i="13"/>
  <c r="D548" i="13" s="1"/>
  <c r="L604" i="13"/>
  <c r="T604" i="13"/>
  <c r="D623" i="13"/>
  <c r="K623" i="13" s="1"/>
  <c r="L623" i="13" s="1"/>
  <c r="G621" i="13"/>
  <c r="D671" i="13"/>
  <c r="E670" i="13"/>
  <c r="H691" i="13"/>
  <c r="R691" i="13"/>
  <c r="T691" i="13" s="1"/>
  <c r="T101" i="13"/>
  <c r="R100" i="13"/>
  <c r="R19" i="13"/>
  <c r="R18" i="13" s="1"/>
  <c r="R17" i="13" s="1"/>
  <c r="O122" i="13"/>
  <c r="G157" i="13"/>
  <c r="P170" i="13"/>
  <c r="Q194" i="13"/>
  <c r="N285" i="13"/>
  <c r="L319" i="13"/>
  <c r="T319" i="13" s="1"/>
  <c r="L320" i="13"/>
  <c r="N437" i="13"/>
  <c r="D541" i="13"/>
  <c r="E540" i="13"/>
  <c r="D540" i="13" s="1"/>
  <c r="H540" i="13" s="1"/>
  <c r="N563" i="13"/>
  <c r="P563" i="13" s="1"/>
  <c r="O563" i="13" s="1"/>
  <c r="D598" i="13"/>
  <c r="E597" i="13"/>
  <c r="D597" i="13" s="1"/>
  <c r="H597" i="13" s="1"/>
  <c r="N606" i="13"/>
  <c r="N605" i="13" s="1"/>
  <c r="N626" i="13"/>
  <c r="O626" i="13" s="1"/>
  <c r="P626" i="13" s="1"/>
  <c r="L624" i="13"/>
  <c r="D642" i="13"/>
  <c r="K642" i="13" s="1"/>
  <c r="G640" i="13"/>
  <c r="G688" i="13"/>
  <c r="E730" i="13"/>
  <c r="D730" i="13" s="1"/>
  <c r="H730" i="13" s="1"/>
  <c r="D732" i="13"/>
  <c r="O49" i="13"/>
  <c r="Q61" i="13"/>
  <c r="O81" i="13"/>
  <c r="R143" i="13"/>
  <c r="T143" i="13" s="1"/>
  <c r="H143" i="13"/>
  <c r="R151" i="13"/>
  <c r="T151" i="13" s="1"/>
  <c r="G195" i="13"/>
  <c r="E206" i="13"/>
  <c r="D206" i="13" s="1"/>
  <c r="R210" i="13"/>
  <c r="T210" i="13" s="1"/>
  <c r="D227" i="13"/>
  <c r="G225" i="13"/>
  <c r="E244" i="13"/>
  <c r="D244" i="13" s="1"/>
  <c r="R276" i="13"/>
  <c r="T276" i="13" s="1"/>
  <c r="T274" i="13" s="1"/>
  <c r="H276" i="13"/>
  <c r="P325" i="13"/>
  <c r="R382" i="13"/>
  <c r="T382" i="13" s="1"/>
  <c r="L394" i="13"/>
  <c r="T394" i="13"/>
  <c r="K393" i="13"/>
  <c r="K384" i="13" s="1"/>
  <c r="K383" i="13" s="1"/>
  <c r="O438" i="13"/>
  <c r="P438" i="13" s="1"/>
  <c r="M516" i="13"/>
  <c r="Q535" i="13"/>
  <c r="G602" i="13"/>
  <c r="T618" i="13"/>
  <c r="Q706" i="13"/>
  <c r="I23" i="13"/>
  <c r="Q24" i="13"/>
  <c r="Q23" i="13" s="1"/>
  <c r="G36" i="13"/>
  <c r="M36" i="13"/>
  <c r="E72" i="13"/>
  <c r="H102" i="13"/>
  <c r="L111" i="13"/>
  <c r="E127" i="13"/>
  <c r="D127" i="13" s="1"/>
  <c r="D128" i="13"/>
  <c r="K128" i="13" s="1"/>
  <c r="L128" i="13" s="1"/>
  <c r="G146" i="13"/>
  <c r="G137" i="13" s="1"/>
  <c r="G136" i="13" s="1"/>
  <c r="R152" i="13"/>
  <c r="T152" i="13" s="1"/>
  <c r="I152" i="13"/>
  <c r="I149" i="13" s="1"/>
  <c r="I136" i="13" s="1"/>
  <c r="O170" i="13"/>
  <c r="L168" i="13"/>
  <c r="G184" i="13"/>
  <c r="G175" i="13" s="1"/>
  <c r="G174" i="13" s="1"/>
  <c r="D186" i="13"/>
  <c r="K186" i="13" s="1"/>
  <c r="L186" i="13" s="1"/>
  <c r="R190" i="13"/>
  <c r="T190" i="13" s="1"/>
  <c r="R196" i="13"/>
  <c r="T196" i="13" s="1"/>
  <c r="H196" i="13"/>
  <c r="E203" i="13"/>
  <c r="D217" i="13"/>
  <c r="H217" i="13" s="1"/>
  <c r="R220" i="13"/>
  <c r="T220" i="13" s="1"/>
  <c r="E225" i="13"/>
  <c r="D225" i="13" s="1"/>
  <c r="M250" i="13"/>
  <c r="H253" i="13"/>
  <c r="E255" i="13"/>
  <c r="H256" i="13"/>
  <c r="F269" i="13"/>
  <c r="D279" i="13"/>
  <c r="O287" i="13"/>
  <c r="P287" i="13" s="1"/>
  <c r="R309" i="13"/>
  <c r="T310" i="13"/>
  <c r="H311" i="13"/>
  <c r="D324" i="13"/>
  <c r="F327" i="13"/>
  <c r="F326" i="13" s="1"/>
  <c r="D330" i="13"/>
  <c r="G328" i="13"/>
  <c r="G327" i="13" s="1"/>
  <c r="G326" i="13" s="1"/>
  <c r="H332" i="13"/>
  <c r="D366" i="13"/>
  <c r="H366" i="13" s="1"/>
  <c r="R368" i="13"/>
  <c r="T368" i="13" s="1"/>
  <c r="Q365" i="13"/>
  <c r="H371" i="13"/>
  <c r="D377" i="13"/>
  <c r="L395" i="13"/>
  <c r="T395" i="13" s="1"/>
  <c r="D412" i="13"/>
  <c r="L414" i="13"/>
  <c r="T414" i="13" s="1"/>
  <c r="R419" i="13"/>
  <c r="T419" i="13" s="1"/>
  <c r="R427" i="13"/>
  <c r="T427" i="13" s="1"/>
  <c r="H427" i="13"/>
  <c r="I436" i="13"/>
  <c r="R447" i="13"/>
  <c r="T447" i="13" s="1"/>
  <c r="H447" i="13"/>
  <c r="G450" i="13"/>
  <c r="L488" i="13"/>
  <c r="L479" i="13" s="1"/>
  <c r="D491" i="13"/>
  <c r="R496" i="13"/>
  <c r="T496" i="13" s="1"/>
  <c r="L508" i="13"/>
  <c r="T508" i="13"/>
  <c r="F556" i="13"/>
  <c r="F555" i="13" s="1"/>
  <c r="D579" i="13"/>
  <c r="E560" i="13"/>
  <c r="O591" i="13"/>
  <c r="P591" i="13"/>
  <c r="H599" i="13"/>
  <c r="R599" i="13"/>
  <c r="T599" i="13" s="1"/>
  <c r="N601" i="13"/>
  <c r="P601" i="13" s="1"/>
  <c r="O601" i="13"/>
  <c r="E616" i="13"/>
  <c r="D616" i="13" s="1"/>
  <c r="H616" i="13" s="1"/>
  <c r="H618" i="13"/>
  <c r="I625" i="13"/>
  <c r="R625" i="13"/>
  <c r="T625" i="13" s="1"/>
  <c r="E632" i="13"/>
  <c r="D632" i="13" s="1"/>
  <c r="H632" i="13" s="1"/>
  <c r="D633" i="13"/>
  <c r="O647" i="13"/>
  <c r="P647" i="13"/>
  <c r="I667" i="13"/>
  <c r="R667" i="13"/>
  <c r="T667" i="13" s="1"/>
  <c r="F725" i="13"/>
  <c r="Q726" i="13"/>
  <c r="E57" i="13"/>
  <c r="D57" i="13" s="1"/>
  <c r="E82" i="13"/>
  <c r="D82" i="13" s="1"/>
  <c r="R82" i="13" s="1"/>
  <c r="N84" i="13"/>
  <c r="P84" i="13" s="1"/>
  <c r="O84" i="13" s="1"/>
  <c r="L92" i="13"/>
  <c r="O103" i="13"/>
  <c r="R106" i="13"/>
  <c r="T106" i="13" s="1"/>
  <c r="O112" i="13"/>
  <c r="P112" i="13" s="1"/>
  <c r="R113" i="13"/>
  <c r="T113" i="13" s="1"/>
  <c r="N114" i="13"/>
  <c r="N111" i="13" s="1"/>
  <c r="E122" i="13"/>
  <c r="D122" i="13" s="1"/>
  <c r="H122" i="13" s="1"/>
  <c r="R125" i="13"/>
  <c r="T125" i="13" s="1"/>
  <c r="E141" i="13"/>
  <c r="D141" i="13" s="1"/>
  <c r="H141" i="13" s="1"/>
  <c r="M136" i="13"/>
  <c r="O151" i="13"/>
  <c r="P151" i="13" s="1"/>
  <c r="G156" i="13"/>
  <c r="H162" i="13"/>
  <c r="J155" i="13"/>
  <c r="G168" i="13"/>
  <c r="G155" i="13" s="1"/>
  <c r="Q168" i="13"/>
  <c r="Q155" i="13" s="1"/>
  <c r="D177" i="13"/>
  <c r="D180" i="13"/>
  <c r="R180" i="13" s="1"/>
  <c r="T180" i="13" s="1"/>
  <c r="T179" i="13" s="1"/>
  <c r="E195" i="13"/>
  <c r="D195" i="13" s="1"/>
  <c r="H195" i="13" s="1"/>
  <c r="N195" i="13"/>
  <c r="P195" i="13" s="1"/>
  <c r="O195" i="13" s="1"/>
  <c r="D223" i="13"/>
  <c r="K223" i="13" s="1"/>
  <c r="L223" i="13" s="1"/>
  <c r="P230" i="13"/>
  <c r="Q251" i="13"/>
  <c r="Q250" i="13" s="1"/>
  <c r="Q263" i="13"/>
  <c r="P268" i="13"/>
  <c r="E274" i="13"/>
  <c r="D274" i="13" s="1"/>
  <c r="H274" i="13" s="1"/>
  <c r="R283" i="13"/>
  <c r="T283" i="13" s="1"/>
  <c r="O284" i="13"/>
  <c r="P284" i="13" s="1"/>
  <c r="R287" i="13"/>
  <c r="T287" i="13" s="1"/>
  <c r="G305" i="13"/>
  <c r="H310" i="13"/>
  <c r="F308" i="13"/>
  <c r="F307" i="13" s="1"/>
  <c r="P323" i="13"/>
  <c r="F346" i="13"/>
  <c r="F345" i="13" s="1"/>
  <c r="T366" i="13"/>
  <c r="D388" i="13"/>
  <c r="H388" i="13" s="1"/>
  <c r="Q396" i="13"/>
  <c r="Q383" i="13" s="1"/>
  <c r="R408" i="13"/>
  <c r="T408" i="13" s="1"/>
  <c r="O411" i="13"/>
  <c r="D426" i="13"/>
  <c r="H426" i="13" s="1"/>
  <c r="N434" i="13"/>
  <c r="O435" i="13"/>
  <c r="P435" i="13" s="1"/>
  <c r="R439" i="13"/>
  <c r="T439" i="13" s="1"/>
  <c r="F441" i="13"/>
  <c r="P455" i="13"/>
  <c r="O457" i="13"/>
  <c r="P457" i="13"/>
  <c r="M478" i="13"/>
  <c r="H481" i="13"/>
  <c r="R481" i="13"/>
  <c r="T481" i="13" s="1"/>
  <c r="L490" i="13"/>
  <c r="T490" i="13"/>
  <c r="H504" i="13"/>
  <c r="Q517" i="13"/>
  <c r="D520" i="13"/>
  <c r="G518" i="13"/>
  <c r="D518" i="13" s="1"/>
  <c r="D533" i="13"/>
  <c r="I533" i="13" s="1"/>
  <c r="R549" i="13"/>
  <c r="T549" i="13" s="1"/>
  <c r="L567" i="13"/>
  <c r="Q574" i="13"/>
  <c r="Q573" i="13" s="1"/>
  <c r="I608" i="13"/>
  <c r="R608" i="13"/>
  <c r="T608" i="13" s="1"/>
  <c r="F612" i="13"/>
  <c r="F611" i="13" s="1"/>
  <c r="H614" i="13"/>
  <c r="R614" i="13"/>
  <c r="T614" i="13" s="1"/>
  <c r="E621" i="13"/>
  <c r="D621" i="13" s="1"/>
  <c r="D622" i="13"/>
  <c r="K622" i="13" s="1"/>
  <c r="K621" i="13" s="1"/>
  <c r="K612" i="13" s="1"/>
  <c r="K611" i="13" s="1"/>
  <c r="O646" i="13"/>
  <c r="P646" i="13" s="1"/>
  <c r="Q650" i="13"/>
  <c r="O683" i="13"/>
  <c r="P683" i="13"/>
  <c r="E692" i="13"/>
  <c r="D693" i="13"/>
  <c r="N696" i="13"/>
  <c r="P696" i="13" s="1"/>
  <c r="O696" i="13" s="1"/>
  <c r="R702" i="13"/>
  <c r="T702" i="13" s="1"/>
  <c r="M345" i="13"/>
  <c r="D350" i="13"/>
  <c r="H350" i="13" s="1"/>
  <c r="R362" i="13"/>
  <c r="T362" i="13" s="1"/>
  <c r="E369" i="13"/>
  <c r="D369" i="13" s="1"/>
  <c r="H369" i="13" s="1"/>
  <c r="L376" i="13"/>
  <c r="T376" i="13"/>
  <c r="R417" i="13"/>
  <c r="T417" i="13" s="1"/>
  <c r="T423" i="13"/>
  <c r="Q422" i="13"/>
  <c r="D476" i="13"/>
  <c r="R476" i="13" s="1"/>
  <c r="T476" i="13" s="1"/>
  <c r="T489" i="13"/>
  <c r="Q498" i="13"/>
  <c r="Q497" i="13" s="1"/>
  <c r="R499" i="13"/>
  <c r="T500" i="13"/>
  <c r="T499" i="13" s="1"/>
  <c r="T519" i="13"/>
  <c r="Q548" i="13"/>
  <c r="G571" i="13"/>
  <c r="G612" i="13"/>
  <c r="R617" i="13"/>
  <c r="T617" i="13" s="1"/>
  <c r="T616" i="13" s="1"/>
  <c r="H617" i="13"/>
  <c r="Q612" i="13"/>
  <c r="D629" i="13"/>
  <c r="I629" i="13" s="1"/>
  <c r="I624" i="13" s="1"/>
  <c r="I611" i="13" s="1"/>
  <c r="G624" i="13"/>
  <c r="K659" i="13"/>
  <c r="K650" i="13" s="1"/>
  <c r="K649" i="13" s="1"/>
  <c r="R664" i="13"/>
  <c r="T664" i="13" s="1"/>
  <c r="M668" i="13"/>
  <c r="Q681" i="13"/>
  <c r="T689" i="13"/>
  <c r="D699" i="13"/>
  <c r="K699" i="13" s="1"/>
  <c r="L699" i="13" s="1"/>
  <c r="G697" i="13"/>
  <c r="D697" i="13" s="1"/>
  <c r="R742" i="13"/>
  <c r="T742" i="13" s="1"/>
  <c r="I742" i="13"/>
  <c r="F63" i="13"/>
  <c r="F78" i="13"/>
  <c r="Q111" i="13"/>
  <c r="Q98" i="13" s="1"/>
  <c r="J117" i="13"/>
  <c r="Q118" i="13"/>
  <c r="Q117" i="13" s="1"/>
  <c r="Q137" i="13"/>
  <c r="E149" i="13"/>
  <c r="D149" i="13" s="1"/>
  <c r="D157" i="13"/>
  <c r="D160" i="13"/>
  <c r="H160" i="13" s="1"/>
  <c r="R172" i="13"/>
  <c r="T172" i="13" s="1"/>
  <c r="Q206" i="13"/>
  <c r="Q232" i="13"/>
  <c r="L241" i="13"/>
  <c r="G251" i="13"/>
  <c r="G250" i="13" s="1"/>
  <c r="R268" i="13"/>
  <c r="T268" i="13" s="1"/>
  <c r="E294" i="13"/>
  <c r="F298" i="13"/>
  <c r="F289" i="13" s="1"/>
  <c r="F288" i="13" s="1"/>
  <c r="D302" i="13"/>
  <c r="I302" i="13" s="1"/>
  <c r="D303" i="13"/>
  <c r="R323" i="13"/>
  <c r="T323" i="13" s="1"/>
  <c r="R360" i="13"/>
  <c r="T360" i="13" s="1"/>
  <c r="I362" i="13"/>
  <c r="R363" i="13"/>
  <c r="T363" i="13" s="1"/>
  <c r="R379" i="13"/>
  <c r="T379" i="13" s="1"/>
  <c r="M402" i="13"/>
  <c r="H410" i="13"/>
  <c r="I419" i="13"/>
  <c r="F422" i="13"/>
  <c r="F421" i="13" s="1"/>
  <c r="R438" i="13"/>
  <c r="T438" i="13" s="1"/>
  <c r="F440" i="13"/>
  <c r="Q453" i="13"/>
  <c r="Q440" i="13" s="1"/>
  <c r="H463" i="13"/>
  <c r="O499" i="13"/>
  <c r="R502" i="13"/>
  <c r="T503" i="13"/>
  <c r="T502" i="13" s="1"/>
  <c r="N525" i="13"/>
  <c r="P525" i="13" s="1"/>
  <c r="O525" i="13" s="1"/>
  <c r="I549" i="13"/>
  <c r="O570" i="13"/>
  <c r="P570" i="13" s="1"/>
  <c r="G572" i="13"/>
  <c r="O582" i="13"/>
  <c r="D603" i="13"/>
  <c r="K603" i="13" s="1"/>
  <c r="E602" i="13"/>
  <c r="D602" i="13" s="1"/>
  <c r="Q605" i="13"/>
  <c r="O620" i="13"/>
  <c r="L641" i="13"/>
  <c r="T641" i="13"/>
  <c r="J630" i="13"/>
  <c r="I646" i="13"/>
  <c r="R646" i="13"/>
  <c r="T646" i="13" s="1"/>
  <c r="Q643" i="13"/>
  <c r="Q700" i="13"/>
  <c r="P722" i="13"/>
  <c r="M725" i="13"/>
  <c r="D738" i="13"/>
  <c r="Q738" i="13"/>
  <c r="O9" i="12"/>
  <c r="P9" i="12" s="1"/>
  <c r="S84" i="13"/>
  <c r="S80" i="13" s="1"/>
  <c r="S79" i="13" s="1"/>
  <c r="S327" i="13"/>
  <c r="S326" i="13" s="1"/>
  <c r="S384" i="13"/>
  <c r="S383" i="13" s="1"/>
  <c r="S725" i="13"/>
  <c r="S137" i="13"/>
  <c r="S136" i="13" s="1"/>
  <c r="D517" i="9"/>
  <c r="D516" i="9" s="1"/>
  <c r="F460" i="13"/>
  <c r="F459" i="13" s="1"/>
  <c r="M459" i="13"/>
  <c r="E472" i="13"/>
  <c r="D472" i="13" s="1"/>
  <c r="F498" i="13"/>
  <c r="F497" i="13" s="1"/>
  <c r="Q510" i="13"/>
  <c r="M535" i="13"/>
  <c r="M573" i="13"/>
  <c r="T580" i="13"/>
  <c r="L586" i="13"/>
  <c r="M592" i="13"/>
  <c r="Q631" i="13"/>
  <c r="Q630" i="13" s="1"/>
  <c r="E635" i="13"/>
  <c r="E654" i="13"/>
  <c r="D654" i="13" s="1"/>
  <c r="H654" i="13" s="1"/>
  <c r="R665" i="13"/>
  <c r="T665" i="13" s="1"/>
  <c r="R666" i="13"/>
  <c r="T666" i="13" s="1"/>
  <c r="Q669" i="13"/>
  <c r="J687" i="13"/>
  <c r="R689" i="13"/>
  <c r="Q688" i="13"/>
  <c r="Q687" i="13" s="1"/>
  <c r="R705" i="13"/>
  <c r="T705" i="13" s="1"/>
  <c r="R722" i="13"/>
  <c r="T722" i="13" s="1"/>
  <c r="J725" i="13"/>
  <c r="D741" i="13"/>
  <c r="S118" i="13"/>
  <c r="S117" i="13" s="1"/>
  <c r="S175" i="13"/>
  <c r="S174" i="13" s="1"/>
  <c r="S194" i="13"/>
  <c r="S193" i="13" s="1"/>
  <c r="S89" i="13"/>
  <c r="S71" i="13"/>
  <c r="S308" i="13"/>
  <c r="S307" i="13" s="1"/>
  <c r="S346" i="13"/>
  <c r="S345" i="13" s="1"/>
  <c r="S403" i="13"/>
  <c r="S402" i="13" s="1"/>
  <c r="S498" i="13"/>
  <c r="S497" i="13" s="1"/>
  <c r="S631" i="13"/>
  <c r="S630" i="13" s="1"/>
  <c r="S422" i="13"/>
  <c r="S421" i="13" s="1"/>
  <c r="S517" i="13"/>
  <c r="S516" i="13" s="1"/>
  <c r="S650" i="13"/>
  <c r="S649" i="13" s="1"/>
  <c r="S669" i="13"/>
  <c r="S668" i="13" s="1"/>
  <c r="S688" i="13"/>
  <c r="S687" i="13" s="1"/>
  <c r="S479" i="13"/>
  <c r="S478" i="13" s="1"/>
  <c r="S612" i="13"/>
  <c r="S611" i="13" s="1"/>
  <c r="T255" i="13"/>
  <c r="S251" i="13"/>
  <c r="S250" i="13" s="1"/>
  <c r="D376" i="9"/>
  <c r="D375" i="9" s="1"/>
  <c r="D156" i="9"/>
  <c r="D155" i="9" s="1"/>
  <c r="D404" i="9"/>
  <c r="D403" i="9" s="1"/>
  <c r="D285" i="9"/>
  <c r="D284" i="9" s="1"/>
  <c r="D122" i="9"/>
  <c r="D121" i="9" s="1"/>
  <c r="D254" i="9"/>
  <c r="D253" i="9" s="1"/>
  <c r="D433" i="9"/>
  <c r="D432" i="9" s="1"/>
  <c r="D317" i="9"/>
  <c r="D316" i="9" s="1"/>
  <c r="D222" i="9"/>
  <c r="D221" i="9" s="1"/>
  <c r="D190" i="9"/>
  <c r="D189" i="9" s="1"/>
  <c r="D92" i="9"/>
  <c r="D91" i="9" s="1"/>
  <c r="D90" i="9" s="1"/>
  <c r="S232" i="13"/>
  <c r="S231" i="13" s="1"/>
  <c r="S559" i="13"/>
  <c r="S564" i="13"/>
  <c r="S67" i="13"/>
  <c r="S72" i="13"/>
  <c r="S556" i="13"/>
  <c r="S64" i="13"/>
  <c r="S298" i="13"/>
  <c r="S293" i="13"/>
  <c r="S290" i="13"/>
  <c r="S63" i="13"/>
  <c r="S75" i="13"/>
  <c r="S74" i="13"/>
  <c r="S76" i="13"/>
  <c r="S66" i="13"/>
  <c r="S270" i="13"/>
  <c r="S269" i="13" s="1"/>
  <c r="S156" i="13"/>
  <c r="S155" i="13" s="1"/>
  <c r="O34" i="12"/>
  <c r="P34" i="12" s="1"/>
  <c r="P10" i="12"/>
  <c r="O26" i="13"/>
  <c r="N26" i="13"/>
  <c r="R26" i="13" s="1"/>
  <c r="N46" i="13"/>
  <c r="N45" i="13" s="1"/>
  <c r="I49" i="13"/>
  <c r="D18" i="13"/>
  <c r="D17" i="13" s="1"/>
  <c r="O46" i="13"/>
  <c r="N22" i="13"/>
  <c r="N21" i="13" s="1"/>
  <c r="N20" i="13" s="1"/>
  <c r="O28" i="13"/>
  <c r="O22" i="13"/>
  <c r="O21" i="13" s="1"/>
  <c r="O20" i="13" s="1"/>
  <c r="M23" i="13"/>
  <c r="M13" i="13" s="1"/>
  <c r="P37" i="13"/>
  <c r="F50" i="13"/>
  <c r="N47" i="13"/>
  <c r="R47" i="13" s="1"/>
  <c r="Q51" i="13"/>
  <c r="Q50" i="13" s="1"/>
  <c r="Q57" i="13"/>
  <c r="G23" i="13"/>
  <c r="R28" i="13"/>
  <c r="P45" i="13"/>
  <c r="P36" i="13" s="1"/>
  <c r="Q36" i="13"/>
  <c r="O48" i="13"/>
  <c r="M50" i="13"/>
  <c r="L57" i="13"/>
  <c r="D176" i="13"/>
  <c r="O252" i="13"/>
  <c r="O285" i="13"/>
  <c r="P285" i="13" s="1"/>
  <c r="N57" i="13"/>
  <c r="O58" i="13"/>
  <c r="O57" i="13" s="1"/>
  <c r="Q60" i="13"/>
  <c r="N92" i="13"/>
  <c r="O93" i="13"/>
  <c r="P93" i="13" s="1"/>
  <c r="O132" i="13"/>
  <c r="O130" i="13" s="1"/>
  <c r="N130" i="13"/>
  <c r="L204" i="13"/>
  <c r="T204" i="13" s="1"/>
  <c r="H309" i="13"/>
  <c r="O75" i="13"/>
  <c r="P75" i="13" s="1"/>
  <c r="R208" i="13"/>
  <c r="T208" i="13" s="1"/>
  <c r="I208" i="13"/>
  <c r="L37" i="13"/>
  <c r="L36" i="13" s="1"/>
  <c r="O39" i="13"/>
  <c r="N39" i="13"/>
  <c r="I59" i="13"/>
  <c r="R59" i="13"/>
  <c r="R120" i="13"/>
  <c r="H120" i="13"/>
  <c r="R249" i="13"/>
  <c r="T249" i="13" s="1"/>
  <c r="O249" i="13"/>
  <c r="P249" i="13" s="1"/>
  <c r="O316" i="13"/>
  <c r="K56" i="13"/>
  <c r="O111" i="13"/>
  <c r="R218" i="13"/>
  <c r="H218" i="13"/>
  <c r="O610" i="13"/>
  <c r="P610" i="13" s="1"/>
  <c r="J13" i="13"/>
  <c r="N32" i="13"/>
  <c r="O76" i="13"/>
  <c r="P76" i="13" s="1"/>
  <c r="D166" i="13"/>
  <c r="K166" i="13" s="1"/>
  <c r="E165" i="13"/>
  <c r="D165" i="13" s="1"/>
  <c r="I226" i="13"/>
  <c r="R226" i="13"/>
  <c r="T226" i="13" s="1"/>
  <c r="D95" i="13"/>
  <c r="R181" i="13"/>
  <c r="T181" i="13" s="1"/>
  <c r="H181" i="13"/>
  <c r="R302" i="13"/>
  <c r="P77" i="13"/>
  <c r="O77" i="13"/>
  <c r="O95" i="13"/>
  <c r="P95" i="13" s="1"/>
  <c r="G108" i="13"/>
  <c r="D108" i="13" s="1"/>
  <c r="G91" i="13"/>
  <c r="G89" i="13" s="1"/>
  <c r="D110" i="13"/>
  <c r="K110" i="13" s="1"/>
  <c r="L110" i="13" s="1"/>
  <c r="E126" i="13"/>
  <c r="D126" i="13" s="1"/>
  <c r="H126" i="13" s="1"/>
  <c r="L377" i="13"/>
  <c r="N381" i="13"/>
  <c r="N377" i="13" s="1"/>
  <c r="H82" i="13"/>
  <c r="D328" i="13"/>
  <c r="O41" i="13"/>
  <c r="N41" i="13"/>
  <c r="R41" i="13" s="1"/>
  <c r="O78" i="13"/>
  <c r="P78" i="13" s="1"/>
  <c r="O100" i="13"/>
  <c r="P126" i="13"/>
  <c r="O173" i="13"/>
  <c r="P173" i="13"/>
  <c r="N73" i="13"/>
  <c r="O74" i="13"/>
  <c r="P74" i="13" s="1"/>
  <c r="D163" i="13"/>
  <c r="E87" i="13"/>
  <c r="L232" i="13"/>
  <c r="E240" i="13"/>
  <c r="D240" i="13" s="1"/>
  <c r="H240" i="13" s="1"/>
  <c r="N241" i="13"/>
  <c r="N232" i="13" s="1"/>
  <c r="E86" i="13"/>
  <c r="I111" i="13"/>
  <c r="I98" i="13" s="1"/>
  <c r="L130" i="13"/>
  <c r="G94" i="13"/>
  <c r="G75" i="13" s="1"/>
  <c r="D132" i="13"/>
  <c r="H180" i="13"/>
  <c r="N187" i="13"/>
  <c r="O211" i="13"/>
  <c r="P211" i="13" s="1"/>
  <c r="F232" i="13"/>
  <c r="F231" i="13" s="1"/>
  <c r="P265" i="13"/>
  <c r="D294" i="13"/>
  <c r="R330" i="13"/>
  <c r="T330" i="13" s="1"/>
  <c r="T328" i="13" s="1"/>
  <c r="H330" i="13"/>
  <c r="O361" i="13"/>
  <c r="P361" i="13" s="1"/>
  <c r="N53" i="13"/>
  <c r="L73" i="13"/>
  <c r="R114" i="13"/>
  <c r="T114" i="13" s="1"/>
  <c r="O134" i="13"/>
  <c r="P134" i="13" s="1"/>
  <c r="Q149" i="13"/>
  <c r="Q136" i="13" s="1"/>
  <c r="R169" i="13"/>
  <c r="T169" i="13" s="1"/>
  <c r="I169" i="13"/>
  <c r="D185" i="13"/>
  <c r="K185" i="13" s="1"/>
  <c r="E184" i="13"/>
  <c r="D184" i="13" s="1"/>
  <c r="O228" i="13"/>
  <c r="P228" i="13" s="1"/>
  <c r="D241" i="13"/>
  <c r="R241" i="13" s="1"/>
  <c r="T241" i="13" s="1"/>
  <c r="O265" i="13"/>
  <c r="R334" i="13"/>
  <c r="H334" i="13"/>
  <c r="R343" i="13"/>
  <c r="I343" i="13"/>
  <c r="G385" i="13"/>
  <c r="G384" i="13" s="1"/>
  <c r="G383" i="13" s="1"/>
  <c r="D387" i="13"/>
  <c r="O399" i="13"/>
  <c r="P399" i="13" s="1"/>
  <c r="D423" i="13"/>
  <c r="F23" i="13"/>
  <c r="O153" i="13"/>
  <c r="P153" i="13" s="1"/>
  <c r="P169" i="13"/>
  <c r="D178" i="13"/>
  <c r="D203" i="13"/>
  <c r="D420" i="13"/>
  <c r="G415" i="13"/>
  <c r="D415" i="13" s="1"/>
  <c r="G306" i="13"/>
  <c r="D306" i="13" s="1"/>
  <c r="N160" i="13"/>
  <c r="R182" i="13"/>
  <c r="T182" i="13" s="1"/>
  <c r="H182" i="13"/>
  <c r="N359" i="13"/>
  <c r="L358" i="13"/>
  <c r="N480" i="13"/>
  <c r="L27" i="13"/>
  <c r="N29" i="13"/>
  <c r="R29" i="13" s="1"/>
  <c r="D58" i="13"/>
  <c r="D100" i="13"/>
  <c r="R112" i="13"/>
  <c r="R140" i="13"/>
  <c r="T140" i="13" s="1"/>
  <c r="H140" i="13"/>
  <c r="R153" i="13"/>
  <c r="T153" i="13" s="1"/>
  <c r="N164" i="13"/>
  <c r="P164" i="13" s="1"/>
  <c r="O164" i="13" s="1"/>
  <c r="N171" i="13"/>
  <c r="N168" i="13" s="1"/>
  <c r="O190" i="13"/>
  <c r="P190" i="13" s="1"/>
  <c r="O192" i="13"/>
  <c r="P192" i="13" s="1"/>
  <c r="O229" i="13"/>
  <c r="P229" i="13" s="1"/>
  <c r="O266" i="13"/>
  <c r="P266" i="13" s="1"/>
  <c r="O331" i="13"/>
  <c r="N331" i="13"/>
  <c r="P331" i="13" s="1"/>
  <c r="R372" i="13"/>
  <c r="H372" i="13"/>
  <c r="R418" i="13"/>
  <c r="T418" i="13" s="1"/>
  <c r="O420" i="13"/>
  <c r="P420" i="13" s="1"/>
  <c r="H52" i="13"/>
  <c r="R52" i="13"/>
  <c r="P114" i="13"/>
  <c r="O114" i="13"/>
  <c r="I131" i="13"/>
  <c r="R131" i="13"/>
  <c r="T131" i="13" s="1"/>
  <c r="R139" i="13"/>
  <c r="T139" i="13" s="1"/>
  <c r="T138" i="13" s="1"/>
  <c r="H139" i="13"/>
  <c r="N214" i="13"/>
  <c r="P25" i="13"/>
  <c r="L33" i="13"/>
  <c r="L31" i="13" s="1"/>
  <c r="E32" i="13" s="1"/>
  <c r="K31" i="13"/>
  <c r="K23" i="13" s="1"/>
  <c r="H54" i="13"/>
  <c r="O54" i="13" s="1"/>
  <c r="G78" i="13"/>
  <c r="D78" i="13" s="1"/>
  <c r="F99" i="13"/>
  <c r="F98" i="13" s="1"/>
  <c r="D170" i="13"/>
  <c r="E168" i="13"/>
  <c r="P188" i="13"/>
  <c r="O188" i="13"/>
  <c r="D200" i="13"/>
  <c r="E198" i="13"/>
  <c r="D198" i="13" s="1"/>
  <c r="H198" i="13" s="1"/>
  <c r="R215" i="13"/>
  <c r="T215" i="13" s="1"/>
  <c r="H215" i="13"/>
  <c r="I227" i="13"/>
  <c r="P247" i="13"/>
  <c r="R247" i="13"/>
  <c r="T247" i="13" s="1"/>
  <c r="H258" i="13"/>
  <c r="R286" i="13"/>
  <c r="T286" i="13" s="1"/>
  <c r="O286" i="13"/>
  <c r="P286" i="13" s="1"/>
  <c r="G292" i="13"/>
  <c r="D292" i="13" s="1"/>
  <c r="O305" i="13"/>
  <c r="P305" i="13" s="1"/>
  <c r="R324" i="13"/>
  <c r="T324" i="13" s="1"/>
  <c r="I324" i="13"/>
  <c r="P347" i="13"/>
  <c r="O347" i="13" s="1"/>
  <c r="R400" i="13"/>
  <c r="T400" i="13" s="1"/>
  <c r="O400" i="13"/>
  <c r="P400" i="13" s="1"/>
  <c r="I418" i="13"/>
  <c r="N658" i="13"/>
  <c r="P658" i="13" s="1"/>
  <c r="O658" i="13" s="1"/>
  <c r="O133" i="13"/>
  <c r="P133" i="13" s="1"/>
  <c r="R235" i="13"/>
  <c r="T235" i="13" s="1"/>
  <c r="H235" i="13"/>
  <c r="R238" i="13"/>
  <c r="H238" i="13"/>
  <c r="N264" i="13"/>
  <c r="L263" i="13"/>
  <c r="O418" i="13"/>
  <c r="P418" i="13" s="1"/>
  <c r="G431" i="13"/>
  <c r="G422" i="13" s="1"/>
  <c r="G421" i="13" s="1"/>
  <c r="D433" i="13"/>
  <c r="K433" i="13" s="1"/>
  <c r="N43" i="13"/>
  <c r="N42" i="13" s="1"/>
  <c r="Q80" i="13"/>
  <c r="Q79" i="13" s="1"/>
  <c r="D96" i="13"/>
  <c r="R103" i="13"/>
  <c r="G130" i="13"/>
  <c r="D130" i="13" s="1"/>
  <c r="H158" i="13"/>
  <c r="R158" i="13"/>
  <c r="R188" i="13"/>
  <c r="T188" i="13" s="1"/>
  <c r="R230" i="13"/>
  <c r="T230" i="13" s="1"/>
  <c r="I230" i="13"/>
  <c r="G232" i="13"/>
  <c r="G231" i="13" s="1"/>
  <c r="R239" i="13"/>
  <c r="T239" i="13" s="1"/>
  <c r="H239" i="13"/>
  <c r="L244" i="13"/>
  <c r="O303" i="13"/>
  <c r="P303" i="13" s="1"/>
  <c r="N321" i="13"/>
  <c r="O344" i="13"/>
  <c r="I398" i="13"/>
  <c r="R398" i="13"/>
  <c r="T398" i="13" s="1"/>
  <c r="R401" i="13"/>
  <c r="T401" i="13" s="1"/>
  <c r="I401" i="13"/>
  <c r="O43" i="13"/>
  <c r="O42" i="13" s="1"/>
  <c r="P52" i="13"/>
  <c r="N65" i="13"/>
  <c r="P65" i="13" s="1"/>
  <c r="O65" i="13" s="1"/>
  <c r="G81" i="13"/>
  <c r="F77" i="13"/>
  <c r="F92" i="13"/>
  <c r="R105" i="13"/>
  <c r="T105" i="13" s="1"/>
  <c r="H105" i="13"/>
  <c r="G117" i="13"/>
  <c r="D138" i="13"/>
  <c r="H157" i="13"/>
  <c r="O179" i="13"/>
  <c r="N179" i="13"/>
  <c r="P179" i="13" s="1"/>
  <c r="D189" i="13"/>
  <c r="E187" i="13"/>
  <c r="D187" i="13" s="1"/>
  <c r="I191" i="13"/>
  <c r="E236" i="13"/>
  <c r="D236" i="13" s="1"/>
  <c r="H236" i="13" s="1"/>
  <c r="Q244" i="13"/>
  <c r="Q231" i="13" s="1"/>
  <c r="R248" i="13"/>
  <c r="T248" i="13" s="1"/>
  <c r="I248" i="13"/>
  <c r="I267" i="13"/>
  <c r="I342" i="13"/>
  <c r="R342" i="13"/>
  <c r="P344" i="13"/>
  <c r="N369" i="13"/>
  <c r="P369" i="13" s="1"/>
  <c r="O369" i="13" s="1"/>
  <c r="E404" i="13"/>
  <c r="D405" i="13"/>
  <c r="L415" i="13"/>
  <c r="N416" i="13"/>
  <c r="D464" i="13"/>
  <c r="H464" i="13" s="1"/>
  <c r="R38" i="13"/>
  <c r="O40" i="13"/>
  <c r="N40" i="13"/>
  <c r="R40" i="13" s="1"/>
  <c r="O94" i="13"/>
  <c r="P94" i="13" s="1"/>
  <c r="D109" i="13"/>
  <c r="K109" i="13" s="1"/>
  <c r="L109" i="13" s="1"/>
  <c r="L108" i="13" s="1"/>
  <c r="N108" i="13" s="1"/>
  <c r="E90" i="13"/>
  <c r="O119" i="13"/>
  <c r="L148" i="13"/>
  <c r="L146" i="13" s="1"/>
  <c r="K146" i="13"/>
  <c r="K137" i="13" s="1"/>
  <c r="K136" i="13" s="1"/>
  <c r="N149" i="13"/>
  <c r="R150" i="13"/>
  <c r="T150" i="13" s="1"/>
  <c r="L187" i="13"/>
  <c r="D205" i="13"/>
  <c r="K205" i="13" s="1"/>
  <c r="G203" i="13"/>
  <c r="G194" i="13" s="1"/>
  <c r="G193" i="13" s="1"/>
  <c r="I265" i="13"/>
  <c r="I263" i="13" s="1"/>
  <c r="I250" i="13" s="1"/>
  <c r="R265" i="13"/>
  <c r="T265" i="13" s="1"/>
  <c r="H275" i="13"/>
  <c r="N293" i="13"/>
  <c r="P293" i="13" s="1"/>
  <c r="O293" i="13" s="1"/>
  <c r="E301" i="13"/>
  <c r="E358" i="13"/>
  <c r="D358" i="13" s="1"/>
  <c r="D361" i="13"/>
  <c r="E304" i="13"/>
  <c r="O385" i="13"/>
  <c r="R531" i="13"/>
  <c r="T531" i="13" s="1"/>
  <c r="O531" i="13"/>
  <c r="P531" i="13" s="1"/>
  <c r="N227" i="13"/>
  <c r="L225" i="13"/>
  <c r="D37" i="13"/>
  <c r="K37" i="13"/>
  <c r="K36" i="13" s="1"/>
  <c r="R115" i="13"/>
  <c r="T115" i="13" s="1"/>
  <c r="P141" i="13"/>
  <c r="O141" i="13" s="1"/>
  <c r="O150" i="13"/>
  <c r="O152" i="13"/>
  <c r="P152" i="13" s="1"/>
  <c r="O189" i="13"/>
  <c r="P189" i="13" s="1"/>
  <c r="P191" i="13"/>
  <c r="O217" i="13"/>
  <c r="E263" i="13"/>
  <c r="D263" i="13" s="1"/>
  <c r="N290" i="13"/>
  <c r="O306" i="13"/>
  <c r="P306" i="13" s="1"/>
  <c r="R325" i="13"/>
  <c r="T325" i="13" s="1"/>
  <c r="I325" i="13"/>
  <c r="R328" i="13"/>
  <c r="H333" i="13"/>
  <c r="R333" i="13"/>
  <c r="T333" i="13" s="1"/>
  <c r="H429" i="13"/>
  <c r="F479" i="13"/>
  <c r="F478" i="13" s="1"/>
  <c r="D483" i="13"/>
  <c r="H483" i="13" s="1"/>
  <c r="L491" i="13"/>
  <c r="N493" i="13"/>
  <c r="N491" i="13" s="1"/>
  <c r="K450" i="13"/>
  <c r="K441" i="13" s="1"/>
  <c r="K440" i="13" s="1"/>
  <c r="L451" i="13"/>
  <c r="L450" i="13" s="1"/>
  <c r="E521" i="13"/>
  <c r="D523" i="13"/>
  <c r="O627" i="13"/>
  <c r="P627" i="13" s="1"/>
  <c r="R627" i="13"/>
  <c r="T627" i="13" s="1"/>
  <c r="L738" i="13"/>
  <c r="N739" i="13"/>
  <c r="R428" i="13"/>
  <c r="H428" i="13"/>
  <c r="O456" i="13"/>
  <c r="P456" i="13" s="1"/>
  <c r="L546" i="13"/>
  <c r="O553" i="13"/>
  <c r="P553" i="13" s="1"/>
  <c r="I607" i="13"/>
  <c r="R607" i="13"/>
  <c r="T607" i="13" s="1"/>
  <c r="E94" i="13"/>
  <c r="D119" i="13"/>
  <c r="D123" i="13"/>
  <c r="R133" i="13"/>
  <c r="T133" i="13" s="1"/>
  <c r="O138" i="13"/>
  <c r="O208" i="13"/>
  <c r="P208" i="13" s="1"/>
  <c r="O297" i="13"/>
  <c r="G301" i="13"/>
  <c r="R322" i="13"/>
  <c r="T322" i="13" s="1"/>
  <c r="I322" i="13"/>
  <c r="L339" i="13"/>
  <c r="R359" i="13"/>
  <c r="T359" i="13" s="1"/>
  <c r="O445" i="13"/>
  <c r="L441" i="13"/>
  <c r="D499" i="13"/>
  <c r="N518" i="13"/>
  <c r="H598" i="13"/>
  <c r="R598" i="13"/>
  <c r="O126" i="13"/>
  <c r="P176" i="13"/>
  <c r="I246" i="13"/>
  <c r="R246" i="13"/>
  <c r="T246" i="13" s="1"/>
  <c r="P267" i="13"/>
  <c r="O322" i="13"/>
  <c r="P322" i="13" s="1"/>
  <c r="N340" i="13"/>
  <c r="D348" i="13"/>
  <c r="E347" i="13"/>
  <c r="D356" i="13"/>
  <c r="K356" i="13" s="1"/>
  <c r="E299" i="13"/>
  <c r="E355" i="13"/>
  <c r="D355" i="13" s="1"/>
  <c r="R380" i="13"/>
  <c r="T380" i="13" s="1"/>
  <c r="I380" i="13"/>
  <c r="I377" i="13" s="1"/>
  <c r="I364" i="13" s="1"/>
  <c r="H391" i="13"/>
  <c r="O401" i="13"/>
  <c r="P401" i="13" s="1"/>
  <c r="N449" i="13"/>
  <c r="P449" i="13" s="1"/>
  <c r="O449" i="13" s="1"/>
  <c r="P475" i="13"/>
  <c r="N521" i="13"/>
  <c r="P521" i="13" s="1"/>
  <c r="O521" i="13" s="1"/>
  <c r="P689" i="13"/>
  <c r="E708" i="13"/>
  <c r="D709" i="13"/>
  <c r="L34" i="13"/>
  <c r="O35" i="13"/>
  <c r="O34" i="13" s="1"/>
  <c r="G99" i="13"/>
  <c r="G98" i="13" s="1"/>
  <c r="E111" i="13"/>
  <c r="D111" i="13" s="1"/>
  <c r="R135" i="13"/>
  <c r="T135" i="13" s="1"/>
  <c r="F156" i="13"/>
  <c r="F155" i="13" s="1"/>
  <c r="O172" i="13"/>
  <c r="P172" i="13" s="1"/>
  <c r="R209" i="13"/>
  <c r="T209" i="13" s="1"/>
  <c r="N221" i="13"/>
  <c r="P221" i="13" s="1"/>
  <c r="O221" i="13" s="1"/>
  <c r="G270" i="13"/>
  <c r="G269" i="13" s="1"/>
  <c r="N282" i="13"/>
  <c r="D375" i="13"/>
  <c r="K375" i="13" s="1"/>
  <c r="E374" i="13"/>
  <c r="D374" i="13" s="1"/>
  <c r="O423" i="13"/>
  <c r="H442" i="13"/>
  <c r="O494" i="13"/>
  <c r="P494" i="13" s="1"/>
  <c r="Q611" i="13"/>
  <c r="N35" i="13"/>
  <c r="N34" i="13" s="1"/>
  <c r="Q73" i="13"/>
  <c r="E64" i="13"/>
  <c r="E85" i="13"/>
  <c r="E66" i="13" s="1"/>
  <c r="G92" i="13"/>
  <c r="D97" i="13"/>
  <c r="G83" i="13"/>
  <c r="R124" i="13"/>
  <c r="T124" i="13" s="1"/>
  <c r="H124" i="13"/>
  <c r="I135" i="13"/>
  <c r="L206" i="13"/>
  <c r="N207" i="13"/>
  <c r="I209" i="13"/>
  <c r="D216" i="13"/>
  <c r="G214" i="13"/>
  <c r="G213" i="13" s="1"/>
  <c r="G212" i="13" s="1"/>
  <c r="D224" i="13"/>
  <c r="K224" i="13" s="1"/>
  <c r="O248" i="13"/>
  <c r="P248" i="13" s="1"/>
  <c r="R254" i="13"/>
  <c r="H254" i="13"/>
  <c r="O283" i="13"/>
  <c r="R285" i="13"/>
  <c r="T285" i="13" s="1"/>
  <c r="E291" i="13"/>
  <c r="D313" i="13"/>
  <c r="E312" i="13"/>
  <c r="D312" i="13" s="1"/>
  <c r="H312" i="13" s="1"/>
  <c r="G347" i="13"/>
  <c r="D349" i="13"/>
  <c r="O362" i="13"/>
  <c r="P362" i="13" s="1"/>
  <c r="R366" i="13"/>
  <c r="E445" i="13"/>
  <c r="D445" i="13" s="1"/>
  <c r="H445" i="13" s="1"/>
  <c r="D446" i="13"/>
  <c r="R456" i="13"/>
  <c r="T456" i="13" s="1"/>
  <c r="R458" i="13"/>
  <c r="T458" i="13" s="1"/>
  <c r="I458" i="13"/>
  <c r="O571" i="13"/>
  <c r="P571" i="13" s="1"/>
  <c r="O703" i="13"/>
  <c r="P703" i="13" s="1"/>
  <c r="F64" i="13"/>
  <c r="F62" i="13" s="1"/>
  <c r="F61" i="13" s="1"/>
  <c r="J98" i="13"/>
  <c r="O135" i="13"/>
  <c r="P135" i="13" s="1"/>
  <c r="R201" i="13"/>
  <c r="T201" i="13" s="1"/>
  <c r="H201" i="13"/>
  <c r="R211" i="13"/>
  <c r="T211" i="13" s="1"/>
  <c r="D233" i="13"/>
  <c r="E232" i="13"/>
  <c r="E231" i="13" s="1"/>
  <c r="D252" i="13"/>
  <c r="P271" i="13"/>
  <c r="Q327" i="13"/>
  <c r="Q326" i="13" s="1"/>
  <c r="G300" i="13"/>
  <c r="D300" i="13" s="1"/>
  <c r="K300" i="13" s="1"/>
  <c r="L300" i="13" s="1"/>
  <c r="G355" i="13"/>
  <c r="R378" i="13"/>
  <c r="T378" i="13" s="1"/>
  <c r="O378" i="13"/>
  <c r="P378" i="13"/>
  <c r="N396" i="13"/>
  <c r="R397" i="13"/>
  <c r="D432" i="13"/>
  <c r="K432" i="13" s="1"/>
  <c r="E431" i="13"/>
  <c r="D431" i="13" s="1"/>
  <c r="I453" i="13"/>
  <c r="I440" i="13" s="1"/>
  <c r="O458" i="13"/>
  <c r="P458" i="13" s="1"/>
  <c r="R465" i="13"/>
  <c r="T465" i="13" s="1"/>
  <c r="H465" i="13"/>
  <c r="R486" i="13"/>
  <c r="H486" i="13"/>
  <c r="R494" i="13"/>
  <c r="T494" i="13" s="1"/>
  <c r="O513" i="13"/>
  <c r="P513" i="13" s="1"/>
  <c r="E557" i="13"/>
  <c r="E63" i="13" s="1"/>
  <c r="R562" i="13"/>
  <c r="T562" i="13" s="1"/>
  <c r="H562" i="13"/>
  <c r="D569" i="13"/>
  <c r="R613" i="13"/>
  <c r="H638" i="13"/>
  <c r="F71" i="13"/>
  <c r="F70" i="13" s="1"/>
  <c r="F89" i="13"/>
  <c r="F80" i="13" s="1"/>
  <c r="F79" i="13" s="1"/>
  <c r="O107" i="13"/>
  <c r="K127" i="13"/>
  <c r="K118" i="13" s="1"/>
  <c r="K117" i="13" s="1"/>
  <c r="R173" i="13"/>
  <c r="T173" i="13" s="1"/>
  <c r="Q175" i="13"/>
  <c r="Q174" i="13" s="1"/>
  <c r="O198" i="13"/>
  <c r="R234" i="13"/>
  <c r="O246" i="13"/>
  <c r="P246" i="13" s="1"/>
  <c r="D255" i="13"/>
  <c r="H255" i="13" s="1"/>
  <c r="Q282" i="13"/>
  <c r="Q269" i="13" s="1"/>
  <c r="O397" i="13"/>
  <c r="R443" i="13"/>
  <c r="H443" i="13"/>
  <c r="G304" i="13"/>
  <c r="G453" i="13"/>
  <c r="R461" i="13"/>
  <c r="R466" i="13"/>
  <c r="T466" i="13" s="1"/>
  <c r="H466" i="13"/>
  <c r="N473" i="13"/>
  <c r="L472" i="13"/>
  <c r="D482" i="13"/>
  <c r="G480" i="13"/>
  <c r="L527" i="13"/>
  <c r="K526" i="13"/>
  <c r="K517" i="13" s="1"/>
  <c r="K516" i="13" s="1"/>
  <c r="N454" i="13"/>
  <c r="L453" i="13"/>
  <c r="I553" i="13"/>
  <c r="R553" i="13"/>
  <c r="O569" i="13"/>
  <c r="O567" i="13" s="1"/>
  <c r="P607" i="13"/>
  <c r="G529" i="13"/>
  <c r="D529" i="13" s="1"/>
  <c r="D532" i="13"/>
  <c r="O534" i="13"/>
  <c r="P534" i="13" s="1"/>
  <c r="D572" i="13"/>
  <c r="R590" i="13"/>
  <c r="T590" i="13" s="1"/>
  <c r="O590" i="13"/>
  <c r="P590" i="13" s="1"/>
  <c r="O721" i="13"/>
  <c r="P721" i="13" s="1"/>
  <c r="R721" i="13"/>
  <c r="T721" i="13" s="1"/>
  <c r="N719" i="13"/>
  <c r="D737" i="13"/>
  <c r="K737" i="13" s="1"/>
  <c r="G735" i="13"/>
  <c r="D735" i="13" s="1"/>
  <c r="G566" i="13"/>
  <c r="G564" i="13" s="1"/>
  <c r="D320" i="13"/>
  <c r="R351" i="13"/>
  <c r="H351" i="13"/>
  <c r="F365" i="13"/>
  <c r="F364" i="13" s="1"/>
  <c r="M421" i="13"/>
  <c r="R437" i="13"/>
  <c r="I437" i="13"/>
  <c r="I434" i="13" s="1"/>
  <c r="I421" i="13" s="1"/>
  <c r="L470" i="13"/>
  <c r="L469" i="13" s="1"/>
  <c r="L460" i="13" s="1"/>
  <c r="K469" i="13"/>
  <c r="K460" i="13" s="1"/>
  <c r="K459" i="13" s="1"/>
  <c r="O511" i="13"/>
  <c r="P511" i="13" s="1"/>
  <c r="N510" i="13"/>
  <c r="E586" i="13"/>
  <c r="E570" i="13"/>
  <c r="E76" i="13" s="1"/>
  <c r="D589" i="13"/>
  <c r="P625" i="13"/>
  <c r="E662" i="13"/>
  <c r="D662" i="13" s="1"/>
  <c r="D663" i="13"/>
  <c r="E568" i="13"/>
  <c r="L698" i="13"/>
  <c r="L697" i="13" s="1"/>
  <c r="K697" i="13"/>
  <c r="K688" i="13" s="1"/>
  <c r="K687" i="13" s="1"/>
  <c r="R733" i="13"/>
  <c r="T733" i="13" s="1"/>
  <c r="H733" i="13"/>
  <c r="R192" i="13"/>
  <c r="T192" i="13" s="1"/>
  <c r="H277" i="13"/>
  <c r="R277" i="13"/>
  <c r="T277" i="13" s="1"/>
  <c r="R315" i="13"/>
  <c r="H315" i="13"/>
  <c r="O343" i="13"/>
  <c r="P343" i="13" s="1"/>
  <c r="P360" i="13"/>
  <c r="N366" i="13"/>
  <c r="O426" i="13"/>
  <c r="O474" i="13"/>
  <c r="P474" i="13" s="1"/>
  <c r="Q478" i="13"/>
  <c r="R511" i="13"/>
  <c r="Q529" i="13"/>
  <c r="Q516" i="13" s="1"/>
  <c r="R542" i="13"/>
  <c r="T542" i="13" s="1"/>
  <c r="H542" i="13"/>
  <c r="O663" i="13"/>
  <c r="N662" i="13"/>
  <c r="D171" i="13"/>
  <c r="M212" i="13"/>
  <c r="N245" i="13"/>
  <c r="P341" i="13"/>
  <c r="H352" i="13"/>
  <c r="J383" i="13"/>
  <c r="D385" i="13"/>
  <c r="R399" i="13"/>
  <c r="T399" i="13" s="1"/>
  <c r="E407" i="13"/>
  <c r="D407" i="13" s="1"/>
  <c r="H407" i="13" s="1"/>
  <c r="D409" i="13"/>
  <c r="O417" i="13"/>
  <c r="P417" i="13" s="1"/>
  <c r="O437" i="13"/>
  <c r="O434" i="13" s="1"/>
  <c r="N461" i="13"/>
  <c r="O468" i="13"/>
  <c r="Q472" i="13"/>
  <c r="N502" i="13"/>
  <c r="R512" i="13"/>
  <c r="T512" i="13" s="1"/>
  <c r="I512" i="13"/>
  <c r="I510" i="13" s="1"/>
  <c r="I497" i="13" s="1"/>
  <c r="H580" i="13"/>
  <c r="N586" i="13"/>
  <c r="O587" i="13"/>
  <c r="P587" i="13" s="1"/>
  <c r="P586" i="13" s="1"/>
  <c r="O589" i="13"/>
  <c r="P589" i="13" s="1"/>
  <c r="O685" i="13"/>
  <c r="P685" i="13" s="1"/>
  <c r="E93" i="13"/>
  <c r="E74" i="13" s="1"/>
  <c r="H159" i="13"/>
  <c r="I192" i="13"/>
  <c r="R197" i="13"/>
  <c r="H219" i="13"/>
  <c r="D222" i="13"/>
  <c r="R228" i="13"/>
  <c r="T228" i="13" s="1"/>
  <c r="O240" i="13"/>
  <c r="O259" i="13"/>
  <c r="H296" i="13"/>
  <c r="P302" i="13"/>
  <c r="D318" i="13"/>
  <c r="K318" i="13" s="1"/>
  <c r="O341" i="13"/>
  <c r="R353" i="13"/>
  <c r="H353" i="13"/>
  <c r="O380" i="13"/>
  <c r="P380" i="13" s="1"/>
  <c r="O382" i="13"/>
  <c r="P382" i="13" s="1"/>
  <c r="D389" i="13"/>
  <c r="N392" i="13"/>
  <c r="P392" i="13" s="1"/>
  <c r="I399" i="13"/>
  <c r="H424" i="13"/>
  <c r="Q460" i="13"/>
  <c r="D475" i="13"/>
  <c r="H484" i="13"/>
  <c r="O512" i="13"/>
  <c r="P512" i="13" s="1"/>
  <c r="F517" i="13"/>
  <c r="F516" i="13" s="1"/>
  <c r="E271" i="13"/>
  <c r="D272" i="13"/>
  <c r="Q289" i="13"/>
  <c r="Q301" i="13"/>
  <c r="P363" i="13"/>
  <c r="R370" i="13"/>
  <c r="H370" i="13"/>
  <c r="G403" i="13"/>
  <c r="G402" i="13" s="1"/>
  <c r="K412" i="13"/>
  <c r="K403" i="13" s="1"/>
  <c r="K402" i="13" s="1"/>
  <c r="R485" i="13"/>
  <c r="H485" i="13"/>
  <c r="K488" i="13"/>
  <c r="K479" i="13" s="1"/>
  <c r="K478" i="13" s="1"/>
  <c r="R538" i="13"/>
  <c r="T538" i="13" s="1"/>
  <c r="H538" i="13"/>
  <c r="D558" i="13"/>
  <c r="D577" i="13"/>
  <c r="G575" i="13"/>
  <c r="G574" i="13" s="1"/>
  <c r="G558" i="13"/>
  <c r="G556" i="13" s="1"/>
  <c r="R587" i="13"/>
  <c r="T587" i="13" s="1"/>
  <c r="E571" i="13"/>
  <c r="D571" i="13" s="1"/>
  <c r="D609" i="13"/>
  <c r="N635" i="13"/>
  <c r="P635" i="13" s="1"/>
  <c r="O635" i="13" s="1"/>
  <c r="H596" i="13"/>
  <c r="R596" i="13"/>
  <c r="L643" i="13"/>
  <c r="N648" i="13"/>
  <c r="N643" i="13" s="1"/>
  <c r="P667" i="13"/>
  <c r="O667" i="13"/>
  <c r="G681" i="13"/>
  <c r="D686" i="13"/>
  <c r="D710" i="13"/>
  <c r="G708" i="13"/>
  <c r="G707" i="13" s="1"/>
  <c r="G706" i="13" s="1"/>
  <c r="P727" i="13"/>
  <c r="H732" i="13"/>
  <c r="R732" i="13"/>
  <c r="T732" i="13" s="1"/>
  <c r="H576" i="13"/>
  <c r="E561" i="13"/>
  <c r="D561" i="13" s="1"/>
  <c r="E578" i="13"/>
  <c r="D578" i="13" s="1"/>
  <c r="H578" i="13" s="1"/>
  <c r="R644" i="13"/>
  <c r="T644" i="13" s="1"/>
  <c r="I644" i="13"/>
  <c r="I643" i="13" s="1"/>
  <c r="I630" i="13" s="1"/>
  <c r="D331" i="13"/>
  <c r="H331" i="13" s="1"/>
  <c r="Q415" i="13"/>
  <c r="Q402" i="13" s="1"/>
  <c r="P568" i="13"/>
  <c r="N567" i="13"/>
  <c r="F574" i="13"/>
  <c r="F573" i="13" s="1"/>
  <c r="K602" i="13"/>
  <c r="K593" i="13" s="1"/>
  <c r="K592" i="13" s="1"/>
  <c r="L603" i="13"/>
  <c r="L602" i="13" s="1"/>
  <c r="L593" i="13" s="1"/>
  <c r="L592" i="13" s="1"/>
  <c r="R615" i="13"/>
  <c r="T615" i="13" s="1"/>
  <c r="H615" i="13"/>
  <c r="R633" i="13"/>
  <c r="T633" i="13" s="1"/>
  <c r="H633" i="13"/>
  <c r="O644" i="13"/>
  <c r="P644" i="13" s="1"/>
  <c r="P670" i="13"/>
  <c r="R674" i="13"/>
  <c r="H674" i="13"/>
  <c r="P304" i="13"/>
  <c r="O304" i="13"/>
  <c r="O324" i="13"/>
  <c r="P324" i="13" s="1"/>
  <c r="Q346" i="13"/>
  <c r="Q377" i="13"/>
  <c r="Q364" i="13" s="1"/>
  <c r="D461" i="13"/>
  <c r="I495" i="13"/>
  <c r="R495" i="13"/>
  <c r="T495" i="13" s="1"/>
  <c r="R505" i="13"/>
  <c r="H505" i="13"/>
  <c r="G517" i="13"/>
  <c r="G516" i="13" s="1"/>
  <c r="G570" i="13"/>
  <c r="G586" i="13"/>
  <c r="G593" i="13"/>
  <c r="G592" i="13" s="1"/>
  <c r="L660" i="13"/>
  <c r="L659" i="13" s="1"/>
  <c r="L650" i="13" s="1"/>
  <c r="E295" i="13"/>
  <c r="D295" i="13" s="1"/>
  <c r="Q358" i="13"/>
  <c r="O398" i="13"/>
  <c r="P398" i="13" s="1"/>
  <c r="Q434" i="13"/>
  <c r="I439" i="13"/>
  <c r="G472" i="13"/>
  <c r="R474" i="13"/>
  <c r="T474" i="13" s="1"/>
  <c r="I474" i="13"/>
  <c r="L510" i="13"/>
  <c r="R543" i="13"/>
  <c r="O551" i="13"/>
  <c r="P551" i="13" s="1"/>
  <c r="N556" i="13"/>
  <c r="N578" i="13"/>
  <c r="P578" i="13" s="1"/>
  <c r="O578" i="13" s="1"/>
  <c r="N594" i="13"/>
  <c r="L529" i="13"/>
  <c r="N530" i="13"/>
  <c r="R530" i="13" s="1"/>
  <c r="T530" i="13" s="1"/>
  <c r="D539" i="13"/>
  <c r="G537" i="13"/>
  <c r="E575" i="13"/>
  <c r="P723" i="13"/>
  <c r="R693" i="13"/>
  <c r="T693" i="13" s="1"/>
  <c r="H693" i="13"/>
  <c r="I492" i="13"/>
  <c r="R492" i="13"/>
  <c r="T492" i="13" s="1"/>
  <c r="N651" i="13"/>
  <c r="D692" i="13"/>
  <c r="H692" i="13" s="1"/>
  <c r="D280" i="13"/>
  <c r="K280" i="13" s="1"/>
  <c r="N442" i="13"/>
  <c r="R477" i="13"/>
  <c r="T477" i="13" s="1"/>
  <c r="H503" i="13"/>
  <c r="P514" i="13"/>
  <c r="O514" i="13"/>
  <c r="N544" i="13"/>
  <c r="P544" i="13" s="1"/>
  <c r="O544" i="13" s="1"/>
  <c r="O550" i="13"/>
  <c r="I552" i="13"/>
  <c r="F567" i="13"/>
  <c r="P572" i="13"/>
  <c r="P575" i="13"/>
  <c r="N613" i="13"/>
  <c r="Q624" i="13"/>
  <c r="R629" i="13"/>
  <c r="T629" i="13" s="1"/>
  <c r="J668" i="13"/>
  <c r="H675" i="13"/>
  <c r="R675" i="13"/>
  <c r="T675" i="13" s="1"/>
  <c r="N682" i="13"/>
  <c r="L681" i="13"/>
  <c r="M687" i="13"/>
  <c r="H694" i="13"/>
  <c r="R694" i="13"/>
  <c r="T694" i="13" s="1"/>
  <c r="I705" i="13"/>
  <c r="D717" i="13"/>
  <c r="K717" i="13" s="1"/>
  <c r="E716" i="13"/>
  <c r="D716" i="13" s="1"/>
  <c r="L301" i="13"/>
  <c r="G317" i="13"/>
  <c r="D317" i="13" s="1"/>
  <c r="D386" i="13"/>
  <c r="H406" i="13"/>
  <c r="H425" i="13"/>
  <c r="G469" i="13"/>
  <c r="D469" i="13" s="1"/>
  <c r="I477" i="13"/>
  <c r="D509" i="13"/>
  <c r="K509" i="13" s="1"/>
  <c r="G507" i="13"/>
  <c r="G498" i="13" s="1"/>
  <c r="G497" i="13" s="1"/>
  <c r="N540" i="13"/>
  <c r="P550" i="13"/>
  <c r="P552" i="13"/>
  <c r="H581" i="13"/>
  <c r="P608" i="13"/>
  <c r="G631" i="13"/>
  <c r="G630" i="13" s="1"/>
  <c r="P686" i="13"/>
  <c r="G700" i="13"/>
  <c r="D703" i="13"/>
  <c r="P705" i="13"/>
  <c r="M497" i="13"/>
  <c r="R514" i="13"/>
  <c r="T514" i="13" s="1"/>
  <c r="E559" i="13"/>
  <c r="D559" i="13" s="1"/>
  <c r="H559" i="13" s="1"/>
  <c r="D560" i="13"/>
  <c r="E583" i="13"/>
  <c r="D583" i="13" s="1"/>
  <c r="D584" i="13"/>
  <c r="K584" i="13" s="1"/>
  <c r="E565" i="13"/>
  <c r="J592" i="13"/>
  <c r="P629" i="13"/>
  <c r="D640" i="13"/>
  <c r="G678" i="13"/>
  <c r="D678" i="13" s="1"/>
  <c r="D680" i="13"/>
  <c r="K680" i="13" s="1"/>
  <c r="L680" i="13" s="1"/>
  <c r="H695" i="13"/>
  <c r="R695" i="13"/>
  <c r="T695" i="13" s="1"/>
  <c r="N701" i="13"/>
  <c r="L700" i="13"/>
  <c r="O705" i="13"/>
  <c r="E711" i="13"/>
  <c r="D711" i="13" s="1"/>
  <c r="H711" i="13" s="1"/>
  <c r="D712" i="13"/>
  <c r="N301" i="13"/>
  <c r="N404" i="13"/>
  <c r="N430" i="13"/>
  <c r="H462" i="13"/>
  <c r="P496" i="13"/>
  <c r="E502" i="13"/>
  <c r="R515" i="13"/>
  <c r="T515" i="13" s="1"/>
  <c r="D528" i="13"/>
  <c r="K528" i="13" s="1"/>
  <c r="G526" i="13"/>
  <c r="D526" i="13" s="1"/>
  <c r="I530" i="13"/>
  <c r="O533" i="13"/>
  <c r="P533" i="13" s="1"/>
  <c r="R645" i="13"/>
  <c r="T645" i="13" s="1"/>
  <c r="O645" i="13"/>
  <c r="P645" i="13" s="1"/>
  <c r="R713" i="13"/>
  <c r="T713" i="13" s="1"/>
  <c r="H713" i="13"/>
  <c r="H731" i="13"/>
  <c r="R731" i="13"/>
  <c r="T731" i="13" s="1"/>
  <c r="G670" i="13"/>
  <c r="D672" i="13"/>
  <c r="I685" i="13"/>
  <c r="R685" i="13"/>
  <c r="T685" i="13" s="1"/>
  <c r="O720" i="13"/>
  <c r="P720" i="13" s="1"/>
  <c r="P724" i="13"/>
  <c r="R729" i="13"/>
  <c r="T729" i="13" s="1"/>
  <c r="O628" i="13"/>
  <c r="P628" i="13" s="1"/>
  <c r="R634" i="13"/>
  <c r="T634" i="13" s="1"/>
  <c r="H634" i="13"/>
  <c r="H655" i="13"/>
  <c r="R655" i="13"/>
  <c r="R455" i="13"/>
  <c r="T455" i="13" s="1"/>
  <c r="O464" i="13"/>
  <c r="G488" i="13"/>
  <c r="D488" i="13" s="1"/>
  <c r="L548" i="13"/>
  <c r="D594" i="13"/>
  <c r="D606" i="13"/>
  <c r="E605" i="13"/>
  <c r="D613" i="13"/>
  <c r="D624" i="13"/>
  <c r="D643" i="13"/>
  <c r="J649" i="13"/>
  <c r="R652" i="13"/>
  <c r="T652" i="13" s="1"/>
  <c r="H652" i="13"/>
  <c r="F669" i="13"/>
  <c r="F668" i="13" s="1"/>
  <c r="R676" i="13"/>
  <c r="T676" i="13" s="1"/>
  <c r="D679" i="13"/>
  <c r="K679" i="13" s="1"/>
  <c r="N708" i="13"/>
  <c r="O741" i="13"/>
  <c r="P741" i="13" s="1"/>
  <c r="D480" i="13"/>
  <c r="R534" i="13"/>
  <c r="T534" i="13" s="1"/>
  <c r="P549" i="13"/>
  <c r="N548" i="13"/>
  <c r="Q555" i="13"/>
  <c r="Q554" i="13" s="1"/>
  <c r="O588" i="13"/>
  <c r="P588" i="13"/>
  <c r="G651" i="13"/>
  <c r="G650" i="13" s="1"/>
  <c r="G649" i="13" s="1"/>
  <c r="D653" i="13"/>
  <c r="G659" i="13"/>
  <c r="D659" i="13" s="1"/>
  <c r="P666" i="13"/>
  <c r="I704" i="13"/>
  <c r="L719" i="13"/>
  <c r="G727" i="13"/>
  <c r="I739" i="13"/>
  <c r="D547" i="13"/>
  <c r="K547" i="13" s="1"/>
  <c r="L547" i="13" s="1"/>
  <c r="G545" i="13"/>
  <c r="D545" i="13" s="1"/>
  <c r="P609" i="13"/>
  <c r="R636" i="13"/>
  <c r="H636" i="13"/>
  <c r="O677" i="13"/>
  <c r="Q593" i="13"/>
  <c r="G605" i="13"/>
  <c r="N616" i="13"/>
  <c r="P616" i="13" s="1"/>
  <c r="O616" i="13" s="1"/>
  <c r="D681" i="13"/>
  <c r="D723" i="13"/>
  <c r="E719" i="13"/>
  <c r="D719" i="13" s="1"/>
  <c r="R728" i="13"/>
  <c r="R743" i="13"/>
  <c r="T743" i="13" s="1"/>
  <c r="I743" i="13"/>
  <c r="R610" i="13"/>
  <c r="T610" i="13" s="1"/>
  <c r="D635" i="13"/>
  <c r="H635" i="13" s="1"/>
  <c r="L662" i="13"/>
  <c r="I665" i="13"/>
  <c r="R684" i="13"/>
  <c r="T684" i="13" s="1"/>
  <c r="D701" i="13"/>
  <c r="E700" i="13"/>
  <c r="D700" i="13" s="1"/>
  <c r="P704" i="13"/>
  <c r="R714" i="13"/>
  <c r="T714" i="13" s="1"/>
  <c r="H714" i="13"/>
  <c r="O743" i="13"/>
  <c r="P743" i="13" s="1"/>
  <c r="P665" i="13"/>
  <c r="R720" i="13"/>
  <c r="T720" i="13" s="1"/>
  <c r="F650" i="13"/>
  <c r="F649" i="13" s="1"/>
  <c r="Q662" i="13"/>
  <c r="Q649" i="13" s="1"/>
  <c r="D689" i="13"/>
  <c r="I720" i="13"/>
  <c r="R724" i="13"/>
  <c r="T724" i="13" s="1"/>
  <c r="N632" i="13"/>
  <c r="I724" i="13"/>
  <c r="R108" i="13" l="1"/>
  <c r="T108" i="13" s="1"/>
  <c r="K108" i="13"/>
  <c r="G460" i="13"/>
  <c r="G459" i="13" s="1"/>
  <c r="R396" i="13"/>
  <c r="T397" i="13"/>
  <c r="T396" i="13" s="1"/>
  <c r="T358" i="13"/>
  <c r="L205" i="13"/>
  <c r="T205" i="13"/>
  <c r="T203" i="13" s="1"/>
  <c r="O37" i="13"/>
  <c r="R303" i="13"/>
  <c r="I303" i="13"/>
  <c r="I284" i="13"/>
  <c r="I282" i="13" s="1"/>
  <c r="I269" i="13" s="1"/>
  <c r="R284" i="13"/>
  <c r="R121" i="13"/>
  <c r="T121" i="13" s="1"/>
  <c r="H121" i="13"/>
  <c r="T331" i="13"/>
  <c r="I491" i="13"/>
  <c r="I478" i="13" s="1"/>
  <c r="G290" i="13"/>
  <c r="R483" i="13"/>
  <c r="T485" i="13"/>
  <c r="T483" i="13" s="1"/>
  <c r="D586" i="13"/>
  <c r="R442" i="13"/>
  <c r="T443" i="13"/>
  <c r="T442" i="13" s="1"/>
  <c r="T96" i="13"/>
  <c r="D168" i="13"/>
  <c r="G611" i="13"/>
  <c r="R99" i="13"/>
  <c r="K260" i="13"/>
  <c r="K251" i="13" s="1"/>
  <c r="K250" i="13" s="1"/>
  <c r="L261" i="13"/>
  <c r="L260" i="13" s="1"/>
  <c r="T141" i="13"/>
  <c r="T91" i="13"/>
  <c r="D605" i="13"/>
  <c r="R654" i="13"/>
  <c r="T655" i="13"/>
  <c r="T654" i="13" s="1"/>
  <c r="G669" i="13"/>
  <c r="G668" i="13" s="1"/>
  <c r="L622" i="13"/>
  <c r="L621" i="13" s="1"/>
  <c r="L612" i="13" s="1"/>
  <c r="L611" i="13" s="1"/>
  <c r="I476" i="13"/>
  <c r="G567" i="13"/>
  <c r="G573" i="13"/>
  <c r="T537" i="13"/>
  <c r="Q288" i="13"/>
  <c r="R533" i="13"/>
  <c r="T533" i="13" s="1"/>
  <c r="I396" i="13"/>
  <c r="I383" i="13" s="1"/>
  <c r="R434" i="13"/>
  <c r="T437" i="13"/>
  <c r="R350" i="13"/>
  <c r="T351" i="13"/>
  <c r="T350" i="13" s="1"/>
  <c r="L526" i="13"/>
  <c r="E525" i="13" s="1"/>
  <c r="G440" i="13"/>
  <c r="R233" i="13"/>
  <c r="T234" i="13"/>
  <c r="T233" i="13" s="1"/>
  <c r="T464" i="13"/>
  <c r="R252" i="13"/>
  <c r="T254" i="13"/>
  <c r="T252" i="13" s="1"/>
  <c r="G64" i="13"/>
  <c r="D64" i="13" s="1"/>
  <c r="R64" i="13" s="1"/>
  <c r="P437" i="13"/>
  <c r="P434" i="13" s="1"/>
  <c r="R597" i="13"/>
  <c r="T598" i="13"/>
  <c r="T597" i="13" s="1"/>
  <c r="L440" i="13"/>
  <c r="I320" i="13"/>
  <c r="I307" i="13" s="1"/>
  <c r="E118" i="13"/>
  <c r="E117" i="13" s="1"/>
  <c r="D301" i="13"/>
  <c r="T149" i="13"/>
  <c r="I339" i="13"/>
  <c r="I326" i="13" s="1"/>
  <c r="E77" i="13"/>
  <c r="E48" i="13" s="1"/>
  <c r="N127" i="13"/>
  <c r="N118" i="13" s="1"/>
  <c r="N117" i="13" s="1"/>
  <c r="T603" i="13"/>
  <c r="T602" i="13" s="1"/>
  <c r="T488" i="13"/>
  <c r="R520" i="13"/>
  <c r="H520" i="13"/>
  <c r="R177" i="13"/>
  <c r="T177" i="13" s="1"/>
  <c r="H177" i="13"/>
  <c r="R616" i="13"/>
  <c r="T527" i="13"/>
  <c r="T393" i="13"/>
  <c r="L642" i="13"/>
  <c r="L640" i="13" s="1"/>
  <c r="K640" i="13"/>
  <c r="K631" i="13" s="1"/>
  <c r="K630" i="13" s="1"/>
  <c r="R541" i="13"/>
  <c r="H541" i="13"/>
  <c r="T100" i="13"/>
  <c r="H671" i="13"/>
  <c r="R671" i="13"/>
  <c r="T671" i="13" s="1"/>
  <c r="I551" i="13"/>
  <c r="R551" i="13"/>
  <c r="T551" i="13" s="1"/>
  <c r="T434" i="13"/>
  <c r="L413" i="13"/>
  <c r="L412" i="13" s="1"/>
  <c r="L403" i="13" s="1"/>
  <c r="L402" i="13" s="1"/>
  <c r="R255" i="13"/>
  <c r="R141" i="13"/>
  <c r="I548" i="13"/>
  <c r="I535" i="13" s="1"/>
  <c r="T120" i="13"/>
  <c r="T119" i="13" s="1"/>
  <c r="R119" i="13"/>
  <c r="I741" i="13"/>
  <c r="I738" i="13" s="1"/>
  <c r="I725" i="13" s="1"/>
  <c r="R741" i="13"/>
  <c r="T741" i="13" s="1"/>
  <c r="T309" i="13"/>
  <c r="Q193" i="13"/>
  <c r="K336" i="13"/>
  <c r="K327" i="13" s="1"/>
  <c r="K326" i="13" s="1"/>
  <c r="L337" i="13"/>
  <c r="L336" i="13" s="1"/>
  <c r="R727" i="13"/>
  <c r="T728" i="13"/>
  <c r="T727" i="13" s="1"/>
  <c r="N624" i="13"/>
  <c r="T632" i="13"/>
  <c r="R548" i="13"/>
  <c r="T553" i="13"/>
  <c r="T548" i="13" s="1"/>
  <c r="R157" i="13"/>
  <c r="T158" i="13"/>
  <c r="T157" i="13" s="1"/>
  <c r="L433" i="13"/>
  <c r="T433" i="13" s="1"/>
  <c r="R22" i="13"/>
  <c r="R21" i="13" s="1"/>
  <c r="R20" i="13" s="1"/>
  <c r="R217" i="13"/>
  <c r="T218" i="13"/>
  <c r="T217" i="13" s="1"/>
  <c r="E487" i="13"/>
  <c r="N488" i="13"/>
  <c r="O606" i="13"/>
  <c r="O605" i="13" s="1"/>
  <c r="P606" i="13"/>
  <c r="P605" i="13" s="1"/>
  <c r="T97" i="13"/>
  <c r="R635" i="13"/>
  <c r="T636" i="13"/>
  <c r="T635" i="13" s="1"/>
  <c r="Q592" i="13"/>
  <c r="G726" i="13"/>
  <c r="G725" i="13" s="1"/>
  <c r="R626" i="13"/>
  <c r="R488" i="13"/>
  <c r="T730" i="13"/>
  <c r="L528" i="13"/>
  <c r="T528" i="13"/>
  <c r="G687" i="13"/>
  <c r="D566" i="13"/>
  <c r="K566" i="13" s="1"/>
  <c r="L566" i="13" s="1"/>
  <c r="T692" i="13"/>
  <c r="Q421" i="13"/>
  <c r="L649" i="13"/>
  <c r="Q345" i="13"/>
  <c r="O301" i="13"/>
  <c r="R673" i="13"/>
  <c r="T674" i="13"/>
  <c r="T673" i="13" s="1"/>
  <c r="R331" i="13"/>
  <c r="R594" i="13"/>
  <c r="T596" i="13"/>
  <c r="T594" i="13" s="1"/>
  <c r="R369" i="13"/>
  <c r="T370" i="13"/>
  <c r="T369" i="13" s="1"/>
  <c r="R195" i="13"/>
  <c r="T197" i="13"/>
  <c r="T195" i="13" s="1"/>
  <c r="O662" i="13"/>
  <c r="R510" i="13"/>
  <c r="T511" i="13"/>
  <c r="T510" i="13" s="1"/>
  <c r="L459" i="13"/>
  <c r="T356" i="13"/>
  <c r="T355" i="13" s="1"/>
  <c r="I244" i="13"/>
  <c r="I231" i="13" s="1"/>
  <c r="R426" i="13"/>
  <c r="T428" i="13"/>
  <c r="T426" i="13" s="1"/>
  <c r="E71" i="13"/>
  <c r="F73" i="13"/>
  <c r="F60" i="13" s="1"/>
  <c r="F13" i="13" s="1"/>
  <c r="R236" i="13"/>
  <c r="T238" i="13"/>
  <c r="T236" i="13" s="1"/>
  <c r="R111" i="13"/>
  <c r="T112" i="13"/>
  <c r="D214" i="13"/>
  <c r="E81" i="13"/>
  <c r="Q668" i="13"/>
  <c r="T561" i="13"/>
  <c r="T613" i="13"/>
  <c r="G77" i="13"/>
  <c r="Q725" i="13"/>
  <c r="R579" i="13"/>
  <c r="H579" i="13"/>
  <c r="T103" i="13"/>
  <c r="L393" i="13"/>
  <c r="R274" i="13"/>
  <c r="D305" i="13"/>
  <c r="S65" i="13"/>
  <c r="S555" i="13"/>
  <c r="S554" i="13" s="1"/>
  <c r="S62" i="13"/>
  <c r="S289" i="13"/>
  <c r="S288" i="13" s="1"/>
  <c r="S73" i="13"/>
  <c r="Q13" i="13"/>
  <c r="O45" i="13"/>
  <c r="O36" i="13" s="1"/>
  <c r="P719" i="13"/>
  <c r="O232" i="13"/>
  <c r="N146" i="13"/>
  <c r="E145" i="13"/>
  <c r="L137" i="13"/>
  <c r="L136" i="13" s="1"/>
  <c r="P290" i="13"/>
  <c r="P548" i="13"/>
  <c r="D502" i="13"/>
  <c r="H502" i="13" s="1"/>
  <c r="O701" i="13"/>
  <c r="O700" i="13" s="1"/>
  <c r="N700" i="13"/>
  <c r="H560" i="13"/>
  <c r="R560" i="13"/>
  <c r="H386" i="13"/>
  <c r="R386" i="13"/>
  <c r="D575" i="13"/>
  <c r="H295" i="13"/>
  <c r="R295" i="13"/>
  <c r="H561" i="13"/>
  <c r="R561" i="13"/>
  <c r="R648" i="13"/>
  <c r="T648" i="13" s="1"/>
  <c r="T572" i="13" s="1"/>
  <c r="O648" i="13"/>
  <c r="P648" i="13" s="1"/>
  <c r="P643" i="13" s="1"/>
  <c r="K317" i="13"/>
  <c r="K308" i="13" s="1"/>
  <c r="K307" i="13" s="1"/>
  <c r="L318" i="13"/>
  <c r="L317" i="13" s="1"/>
  <c r="D93" i="13"/>
  <c r="E92" i="13"/>
  <c r="D92" i="13" s="1"/>
  <c r="H385" i="13"/>
  <c r="P663" i="13"/>
  <c r="P662" i="13" s="1"/>
  <c r="R663" i="13"/>
  <c r="I663" i="13"/>
  <c r="I662" i="13" s="1"/>
  <c r="I649" i="13" s="1"/>
  <c r="N453" i="13"/>
  <c r="O454" i="13"/>
  <c r="O453" i="13" s="1"/>
  <c r="E556" i="13"/>
  <c r="D557" i="13"/>
  <c r="R348" i="13"/>
  <c r="T348" i="13" s="1"/>
  <c r="H348" i="13"/>
  <c r="D651" i="13"/>
  <c r="R35" i="13"/>
  <c r="R34" i="13" s="1"/>
  <c r="D81" i="13"/>
  <c r="R294" i="13"/>
  <c r="H294" i="13"/>
  <c r="R179" i="13"/>
  <c r="N231" i="13"/>
  <c r="G72" i="13"/>
  <c r="R39" i="13"/>
  <c r="R37" i="13" s="1"/>
  <c r="N37" i="13"/>
  <c r="N36" i="13" s="1"/>
  <c r="R672" i="13"/>
  <c r="H672" i="13"/>
  <c r="N472" i="13"/>
  <c r="O473" i="13"/>
  <c r="O472" i="13" s="1"/>
  <c r="H100" i="13"/>
  <c r="P73" i="13"/>
  <c r="H233" i="13"/>
  <c r="H232" i="13" s="1"/>
  <c r="H231" i="13" s="1"/>
  <c r="D232" i="13"/>
  <c r="D231" i="13" s="1"/>
  <c r="K99" i="13"/>
  <c r="K98" i="13" s="1"/>
  <c r="O548" i="13"/>
  <c r="N659" i="13"/>
  <c r="E658" i="13"/>
  <c r="R577" i="13"/>
  <c r="H577" i="13"/>
  <c r="P502" i="13"/>
  <c r="N469" i="13"/>
  <c r="R469" i="13" s="1"/>
  <c r="T469" i="13" s="1"/>
  <c r="E468" i="13"/>
  <c r="R216" i="13"/>
  <c r="T216" i="13" s="1"/>
  <c r="T214" i="13" s="1"/>
  <c r="H216" i="13"/>
  <c r="I97" i="13"/>
  <c r="R97" i="13"/>
  <c r="N339" i="13"/>
  <c r="O340" i="13"/>
  <c r="O339" i="13" s="1"/>
  <c r="R123" i="13"/>
  <c r="H123" i="13"/>
  <c r="N450" i="13"/>
  <c r="E449" i="13"/>
  <c r="R187" i="13"/>
  <c r="R214" i="13"/>
  <c r="L478" i="13"/>
  <c r="R420" i="13"/>
  <c r="T420" i="13" s="1"/>
  <c r="T306" i="13" s="1"/>
  <c r="T78" i="13" s="1"/>
  <c r="I420" i="13"/>
  <c r="I415" i="13" s="1"/>
  <c r="I402" i="13" s="1"/>
  <c r="H423" i="13"/>
  <c r="E293" i="13"/>
  <c r="D293" i="13" s="1"/>
  <c r="H293" i="13" s="1"/>
  <c r="L231" i="13"/>
  <c r="K165" i="13"/>
  <c r="K156" i="13" s="1"/>
  <c r="K155" i="13" s="1"/>
  <c r="L166" i="13"/>
  <c r="L165" i="13" s="1"/>
  <c r="P132" i="13"/>
  <c r="P130" i="13" s="1"/>
  <c r="R653" i="13"/>
  <c r="H653" i="13"/>
  <c r="L280" i="13"/>
  <c r="L279" i="13" s="1"/>
  <c r="K279" i="13"/>
  <c r="K270" i="13" s="1"/>
  <c r="K269" i="13" s="1"/>
  <c r="E601" i="13"/>
  <c r="N602" i="13"/>
  <c r="D404" i="13"/>
  <c r="R558" i="13"/>
  <c r="H558" i="13"/>
  <c r="P301" i="13"/>
  <c r="P624" i="13"/>
  <c r="N526" i="13"/>
  <c r="H313" i="13"/>
  <c r="R313" i="13"/>
  <c r="K374" i="13"/>
  <c r="K365" i="13" s="1"/>
  <c r="K364" i="13" s="1"/>
  <c r="L375" i="13"/>
  <c r="L374" i="13" s="1"/>
  <c r="O227" i="13"/>
  <c r="O225" i="13" s="1"/>
  <c r="N225" i="13"/>
  <c r="P227" i="13"/>
  <c r="P225" i="13" s="1"/>
  <c r="G80" i="13"/>
  <c r="G79" i="13" s="1"/>
  <c r="H214" i="13"/>
  <c r="P53" i="13"/>
  <c r="O53" i="13" s="1"/>
  <c r="R53" i="13"/>
  <c r="O575" i="13"/>
  <c r="D670" i="13"/>
  <c r="D727" i="13"/>
  <c r="P430" i="13"/>
  <c r="P540" i="13"/>
  <c r="R539" i="13"/>
  <c r="T539" i="13" s="1"/>
  <c r="H539" i="13"/>
  <c r="R632" i="13"/>
  <c r="O392" i="13"/>
  <c r="G308" i="13"/>
  <c r="G307" i="13" s="1"/>
  <c r="O624" i="13"/>
  <c r="G479" i="13"/>
  <c r="G478" i="13" s="1"/>
  <c r="K431" i="13"/>
  <c r="K422" i="13" s="1"/>
  <c r="K421" i="13" s="1"/>
  <c r="L432" i="13"/>
  <c r="R454" i="13"/>
  <c r="E290" i="13"/>
  <c r="D291" i="13"/>
  <c r="O207" i="13"/>
  <c r="O206" i="13" s="1"/>
  <c r="P207" i="13"/>
  <c r="P206" i="13" s="1"/>
  <c r="N206" i="13"/>
  <c r="R207" i="13"/>
  <c r="D85" i="13"/>
  <c r="E84" i="13"/>
  <c r="D84" i="13" s="1"/>
  <c r="H84" i="13" s="1"/>
  <c r="D118" i="13"/>
  <c r="D117" i="13" s="1"/>
  <c r="H119" i="13"/>
  <c r="H118" i="13" s="1"/>
  <c r="H117" i="13" s="1"/>
  <c r="P493" i="13"/>
  <c r="P491" i="13" s="1"/>
  <c r="R493" i="13"/>
  <c r="T493" i="13" s="1"/>
  <c r="T491" i="13" s="1"/>
  <c r="O493" i="13"/>
  <c r="O491" i="13" s="1"/>
  <c r="N415" i="13"/>
  <c r="R416" i="13"/>
  <c r="O416" i="13"/>
  <c r="O415" i="13" s="1"/>
  <c r="N33" i="13"/>
  <c r="R33" i="13" s="1"/>
  <c r="R31" i="13" s="1"/>
  <c r="O33" i="13"/>
  <c r="N358" i="13"/>
  <c r="P359" i="13"/>
  <c r="P358" i="13" s="1"/>
  <c r="O359" i="13"/>
  <c r="O358" i="13" s="1"/>
  <c r="R178" i="13"/>
  <c r="H178" i="13"/>
  <c r="R132" i="13"/>
  <c r="I132" i="13"/>
  <c r="I130" i="13" s="1"/>
  <c r="I117" i="13" s="1"/>
  <c r="E68" i="13"/>
  <c r="D68" i="13" s="1"/>
  <c r="D87" i="13"/>
  <c r="I206" i="13"/>
  <c r="I193" i="13" s="1"/>
  <c r="O92" i="13"/>
  <c r="O689" i="13"/>
  <c r="R703" i="13"/>
  <c r="T703" i="13" s="1"/>
  <c r="I703" i="13"/>
  <c r="H480" i="13"/>
  <c r="O719" i="13"/>
  <c r="L737" i="13"/>
  <c r="L735" i="13" s="1"/>
  <c r="K735" i="13"/>
  <c r="K726" i="13" s="1"/>
  <c r="K725" i="13" s="1"/>
  <c r="O396" i="13"/>
  <c r="P397" i="13"/>
  <c r="P396" i="13" s="1"/>
  <c r="H518" i="13"/>
  <c r="K716" i="13"/>
  <c r="K707" i="13" s="1"/>
  <c r="K706" i="13" s="1"/>
  <c r="L717" i="13"/>
  <c r="L716" i="13" s="1"/>
  <c r="N529" i="13"/>
  <c r="O530" i="13"/>
  <c r="O529" i="13" s="1"/>
  <c r="R389" i="13"/>
  <c r="H389" i="13"/>
  <c r="N460" i="13"/>
  <c r="N459" i="13" s="1"/>
  <c r="P461" i="13"/>
  <c r="R589" i="13"/>
  <c r="T589" i="13" s="1"/>
  <c r="T586" i="13" s="1"/>
  <c r="I589" i="13"/>
  <c r="I586" i="13" s="1"/>
  <c r="I573" i="13" s="1"/>
  <c r="R482" i="13"/>
  <c r="H482" i="13"/>
  <c r="O271" i="13"/>
  <c r="H252" i="13"/>
  <c r="R446" i="13"/>
  <c r="H446" i="13"/>
  <c r="H709" i="13"/>
  <c r="R709" i="13"/>
  <c r="T709" i="13" s="1"/>
  <c r="T708" i="13" s="1"/>
  <c r="E75" i="13"/>
  <c r="D94" i="13"/>
  <c r="D90" i="13"/>
  <c r="K90" i="13" s="1"/>
  <c r="E89" i="13"/>
  <c r="D89" i="13" s="1"/>
  <c r="N320" i="13"/>
  <c r="O321" i="13"/>
  <c r="O320" i="13" s="1"/>
  <c r="R200" i="13"/>
  <c r="H200" i="13"/>
  <c r="P24" i="13"/>
  <c r="O25" i="13"/>
  <c r="R387" i="13"/>
  <c r="T387" i="13" s="1"/>
  <c r="H387" i="13"/>
  <c r="K184" i="13"/>
  <c r="K175" i="13" s="1"/>
  <c r="K174" i="13" s="1"/>
  <c r="L185" i="13"/>
  <c r="L184" i="13" s="1"/>
  <c r="R163" i="13"/>
  <c r="T163" i="13" s="1"/>
  <c r="T87" i="13" s="1"/>
  <c r="T68" i="13" s="1"/>
  <c r="H163" i="13"/>
  <c r="P92" i="13"/>
  <c r="P32" i="13"/>
  <c r="G536" i="13"/>
  <c r="G535" i="13" s="1"/>
  <c r="D537" i="13"/>
  <c r="I532" i="13"/>
  <c r="I529" i="13" s="1"/>
  <c r="I516" i="13" s="1"/>
  <c r="R532" i="13"/>
  <c r="N412" i="13"/>
  <c r="R659" i="13"/>
  <c r="T659" i="13" s="1"/>
  <c r="H613" i="13"/>
  <c r="P404" i="13"/>
  <c r="P613" i="13"/>
  <c r="P442" i="13"/>
  <c r="N441" i="13"/>
  <c r="N440" i="13" s="1"/>
  <c r="P556" i="13"/>
  <c r="O586" i="13"/>
  <c r="D570" i="13"/>
  <c r="O282" i="13"/>
  <c r="P283" i="13"/>
  <c r="P282" i="13" s="1"/>
  <c r="D708" i="13"/>
  <c r="P518" i="13"/>
  <c r="N738" i="13"/>
  <c r="O739" i="13"/>
  <c r="O738" i="13" s="1"/>
  <c r="G298" i="13"/>
  <c r="E107" i="13"/>
  <c r="L99" i="13"/>
  <c r="L98" i="13" s="1"/>
  <c r="H405" i="13"/>
  <c r="R405" i="13"/>
  <c r="O52" i="13"/>
  <c r="O187" i="13"/>
  <c r="O73" i="13"/>
  <c r="R381" i="13"/>
  <c r="O381" i="13"/>
  <c r="P381" i="13" s="1"/>
  <c r="P377" i="13" s="1"/>
  <c r="I95" i="13"/>
  <c r="R95" i="13"/>
  <c r="P111" i="13"/>
  <c r="R730" i="13"/>
  <c r="R643" i="13"/>
  <c r="R609" i="13"/>
  <c r="T609" i="13" s="1"/>
  <c r="I609" i="13"/>
  <c r="R409" i="13"/>
  <c r="H409" i="13"/>
  <c r="I569" i="13"/>
  <c r="R569" i="13"/>
  <c r="D77" i="13"/>
  <c r="P62" i="13"/>
  <c r="R170" i="13"/>
  <c r="T170" i="13" s="1"/>
  <c r="I170" i="13"/>
  <c r="I168" i="13" s="1"/>
  <c r="I155" i="13" s="1"/>
  <c r="R58" i="13"/>
  <c r="R57" i="13" s="1"/>
  <c r="I58" i="13"/>
  <c r="I57" i="13" s="1"/>
  <c r="I50" i="13" s="1"/>
  <c r="E67" i="13"/>
  <c r="D67" i="13" s="1"/>
  <c r="D86" i="13"/>
  <c r="E31" i="13"/>
  <c r="D32" i="13"/>
  <c r="D31" i="13" s="1"/>
  <c r="P58" i="13"/>
  <c r="P57" i="13" s="1"/>
  <c r="P632" i="13"/>
  <c r="P708" i="13"/>
  <c r="L509" i="13"/>
  <c r="L507" i="13" s="1"/>
  <c r="K507" i="13"/>
  <c r="K498" i="13" s="1"/>
  <c r="K497" i="13" s="1"/>
  <c r="D63" i="13"/>
  <c r="R63" i="13" s="1"/>
  <c r="E62" i="13"/>
  <c r="K678" i="13"/>
  <c r="K669" i="13" s="1"/>
  <c r="K668" i="13" s="1"/>
  <c r="L679" i="13"/>
  <c r="L678" i="13" s="1"/>
  <c r="D271" i="13"/>
  <c r="P569" i="13"/>
  <c r="P567" i="13" s="1"/>
  <c r="P214" i="13"/>
  <c r="R712" i="13"/>
  <c r="H712" i="13"/>
  <c r="I686" i="13"/>
  <c r="I681" i="13" s="1"/>
  <c r="I668" i="13" s="1"/>
  <c r="R686" i="13"/>
  <c r="T686" i="13" s="1"/>
  <c r="H689" i="13"/>
  <c r="I701" i="13"/>
  <c r="R701" i="13"/>
  <c r="T701" i="13" s="1"/>
  <c r="T700" i="13" s="1"/>
  <c r="H594" i="13"/>
  <c r="D565" i="13"/>
  <c r="K565" i="13" s="1"/>
  <c r="E564" i="13"/>
  <c r="D564" i="13" s="1"/>
  <c r="I571" i="13"/>
  <c r="R571" i="13"/>
  <c r="R464" i="13"/>
  <c r="R460" i="13" s="1"/>
  <c r="D299" i="13"/>
  <c r="K299" i="13" s="1"/>
  <c r="L299" i="13" s="1"/>
  <c r="L298" i="13" s="1"/>
  <c r="E298" i="13"/>
  <c r="O264" i="13"/>
  <c r="O263" i="13" s="1"/>
  <c r="R264" i="13"/>
  <c r="N263" i="13"/>
  <c r="R43" i="13"/>
  <c r="R42" i="13" s="1"/>
  <c r="H328" i="13"/>
  <c r="L117" i="13"/>
  <c r="H272" i="13"/>
  <c r="R272" i="13"/>
  <c r="H138" i="13"/>
  <c r="P187" i="13"/>
  <c r="I606" i="13"/>
  <c r="R606" i="13"/>
  <c r="T606" i="13" s="1"/>
  <c r="T605" i="13" s="1"/>
  <c r="I96" i="13"/>
  <c r="R96" i="13"/>
  <c r="R292" i="13"/>
  <c r="H292" i="13"/>
  <c r="E620" i="13"/>
  <c r="N621" i="13"/>
  <c r="O245" i="13"/>
  <c r="O244" i="13" s="1"/>
  <c r="N244" i="13"/>
  <c r="R245" i="13"/>
  <c r="R739" i="13"/>
  <c r="O727" i="13"/>
  <c r="L584" i="13"/>
  <c r="L583" i="13" s="1"/>
  <c r="K583" i="13"/>
  <c r="K574" i="13" s="1"/>
  <c r="K573" i="13" s="1"/>
  <c r="N681" i="13"/>
  <c r="O682" i="13"/>
  <c r="O681" i="13" s="1"/>
  <c r="R682" i="13"/>
  <c r="P682" i="13"/>
  <c r="P681" i="13" s="1"/>
  <c r="P651" i="13"/>
  <c r="N650" i="13"/>
  <c r="N649" i="13" s="1"/>
  <c r="R692" i="13"/>
  <c r="R340" i="13"/>
  <c r="R339" i="13" s="1"/>
  <c r="O670" i="13"/>
  <c r="R586" i="13"/>
  <c r="R171" i="13"/>
  <c r="T171" i="13" s="1"/>
  <c r="T95" i="13" s="1"/>
  <c r="I171" i="13"/>
  <c r="E696" i="13"/>
  <c r="N697" i="13"/>
  <c r="L688" i="13"/>
  <c r="L687" i="13" s="1"/>
  <c r="O510" i="13"/>
  <c r="I572" i="13"/>
  <c r="R572" i="13"/>
  <c r="R349" i="13"/>
  <c r="T349" i="13" s="1"/>
  <c r="H349" i="13"/>
  <c r="K355" i="13"/>
  <c r="K346" i="13" s="1"/>
  <c r="K345" i="13" s="1"/>
  <c r="L356" i="13"/>
  <c r="L355" i="13" s="1"/>
  <c r="O176" i="13"/>
  <c r="L545" i="13"/>
  <c r="R523" i="13"/>
  <c r="H523" i="13"/>
  <c r="D304" i="13"/>
  <c r="R78" i="13"/>
  <c r="I78" i="13"/>
  <c r="R138" i="13"/>
  <c r="L24" i="13"/>
  <c r="O27" i="13"/>
  <c r="N27" i="13"/>
  <c r="P160" i="13"/>
  <c r="D453" i="13"/>
  <c r="O127" i="13"/>
  <c r="O118" i="13" s="1"/>
  <c r="O117" i="13" s="1"/>
  <c r="K51" i="13"/>
  <c r="K50" i="13" s="1"/>
  <c r="L56" i="13"/>
  <c r="K203" i="13"/>
  <c r="K194" i="13" s="1"/>
  <c r="K193" i="13" s="1"/>
  <c r="O149" i="13"/>
  <c r="P150" i="13"/>
  <c r="P149" i="13" s="1"/>
  <c r="R710" i="13"/>
  <c r="T710" i="13" s="1"/>
  <c r="H710" i="13"/>
  <c r="I475" i="13"/>
  <c r="I472" i="13" s="1"/>
  <c r="I459" i="13" s="1"/>
  <c r="R475" i="13"/>
  <c r="T475" i="13" s="1"/>
  <c r="R232" i="13"/>
  <c r="H499" i="13"/>
  <c r="H176" i="13"/>
  <c r="I723" i="13"/>
  <c r="I719" i="13" s="1"/>
  <c r="I706" i="13" s="1"/>
  <c r="R723" i="13"/>
  <c r="Q459" i="13"/>
  <c r="P366" i="13"/>
  <c r="N593" i="13"/>
  <c r="N592" i="13" s="1"/>
  <c r="P594" i="13"/>
  <c r="D507" i="13"/>
  <c r="R321" i="13"/>
  <c r="H461" i="13"/>
  <c r="O643" i="13"/>
  <c r="G555" i="13"/>
  <c r="G554" i="13" s="1"/>
  <c r="D568" i="13"/>
  <c r="E567" i="13"/>
  <c r="D567" i="13" s="1"/>
  <c r="P510" i="13"/>
  <c r="F554" i="13"/>
  <c r="G76" i="13"/>
  <c r="D76" i="13" s="1"/>
  <c r="R473" i="13"/>
  <c r="G346" i="13"/>
  <c r="G345" i="13" s="1"/>
  <c r="L224" i="13"/>
  <c r="L222" i="13" s="1"/>
  <c r="K222" i="13"/>
  <c r="K213" i="13" s="1"/>
  <c r="K212" i="13" s="1"/>
  <c r="G62" i="13"/>
  <c r="D347" i="13"/>
  <c r="K545" i="13"/>
  <c r="K536" i="13" s="1"/>
  <c r="K535" i="13" s="1"/>
  <c r="D521" i="13"/>
  <c r="H521" i="13" s="1"/>
  <c r="I361" i="13"/>
  <c r="I358" i="13" s="1"/>
  <c r="I345" i="13" s="1"/>
  <c r="R361" i="13"/>
  <c r="T361" i="13" s="1"/>
  <c r="R149" i="13"/>
  <c r="I189" i="13"/>
  <c r="I187" i="13" s="1"/>
  <c r="I174" i="13" s="1"/>
  <c r="R189" i="13"/>
  <c r="T189" i="13" s="1"/>
  <c r="T187" i="13" s="1"/>
  <c r="R227" i="13"/>
  <c r="D91" i="13"/>
  <c r="K91" i="13" s="1"/>
  <c r="L91" i="13" s="1"/>
  <c r="O171" i="13"/>
  <c r="O168" i="13" s="1"/>
  <c r="P480" i="13"/>
  <c r="R306" i="13"/>
  <c r="I306" i="13"/>
  <c r="D83" i="13"/>
  <c r="O241" i="13"/>
  <c r="P241" i="13" s="1"/>
  <c r="P232" i="13" s="1"/>
  <c r="I225" i="13"/>
  <c r="I212" i="13" s="1"/>
  <c r="L203" i="13"/>
  <c r="G21" i="11"/>
  <c r="G19" i="11"/>
  <c r="G14" i="11"/>
  <c r="G13" i="11"/>
  <c r="J34" i="12"/>
  <c r="K34" i="12"/>
  <c r="J20" i="12"/>
  <c r="K20" i="12"/>
  <c r="J9" i="12"/>
  <c r="K9" i="12"/>
  <c r="G12" i="11"/>
  <c r="N9" i="12"/>
  <c r="D34" i="12"/>
  <c r="G34" i="12"/>
  <c r="H34" i="12"/>
  <c r="M34" i="12"/>
  <c r="N34" i="12"/>
  <c r="C34" i="12"/>
  <c r="D20" i="12"/>
  <c r="G20" i="12"/>
  <c r="H20" i="12"/>
  <c r="M20" i="12"/>
  <c r="N20" i="12"/>
  <c r="C20" i="12"/>
  <c r="D9" i="12"/>
  <c r="G9" i="12"/>
  <c r="H9" i="12"/>
  <c r="M9" i="12"/>
  <c r="C9" i="12"/>
  <c r="M44" i="12" l="1"/>
  <c r="N640" i="13"/>
  <c r="L631" i="13"/>
  <c r="L630" i="13" s="1"/>
  <c r="E639" i="13"/>
  <c r="T571" i="13"/>
  <c r="D525" i="13"/>
  <c r="H525" i="13" s="1"/>
  <c r="E517" i="13"/>
  <c r="E516" i="13" s="1"/>
  <c r="R472" i="13"/>
  <c r="T473" i="13"/>
  <c r="T472" i="13" s="1"/>
  <c r="R719" i="13"/>
  <c r="T723" i="13"/>
  <c r="T719" i="13" s="1"/>
  <c r="R738" i="13"/>
  <c r="T739" i="13"/>
  <c r="T738" i="13" s="1"/>
  <c r="R198" i="13"/>
  <c r="T200" i="13"/>
  <c r="R122" i="13"/>
  <c r="R118" i="13" s="1"/>
  <c r="R117" i="13" s="1"/>
  <c r="T123" i="13"/>
  <c r="R575" i="13"/>
  <c r="T577" i="13"/>
  <c r="R670" i="13"/>
  <c r="T672" i="13"/>
  <c r="T460" i="13"/>
  <c r="N260" i="13"/>
  <c r="E259" i="13"/>
  <c r="L251" i="13"/>
  <c r="L250" i="13" s="1"/>
  <c r="R244" i="13"/>
  <c r="T245" i="13"/>
  <c r="T244" i="13" s="1"/>
  <c r="R407" i="13"/>
  <c r="T409" i="13"/>
  <c r="R529" i="13"/>
  <c r="T532" i="13"/>
  <c r="T529" i="13" s="1"/>
  <c r="R415" i="13"/>
  <c r="T416" i="13"/>
  <c r="T415" i="13" s="1"/>
  <c r="L431" i="13"/>
  <c r="R312" i="13"/>
  <c r="T313" i="13"/>
  <c r="R358" i="13"/>
  <c r="T347" i="13"/>
  <c r="T346" i="13" s="1"/>
  <c r="T345" i="13" s="1"/>
  <c r="R559" i="13"/>
  <c r="P701" i="13"/>
  <c r="P700" i="13" s="1"/>
  <c r="L384" i="13"/>
  <c r="L383" i="13" s="1"/>
  <c r="E392" i="13"/>
  <c r="N393" i="13"/>
  <c r="T579" i="13"/>
  <c r="R578" i="13"/>
  <c r="T432" i="13"/>
  <c r="T431" i="13" s="1"/>
  <c r="T422" i="13" s="1"/>
  <c r="T421" i="13" s="1"/>
  <c r="T593" i="13"/>
  <c r="T592" i="13" s="1"/>
  <c r="R624" i="13"/>
  <c r="T626" i="13"/>
  <c r="D487" i="13"/>
  <c r="E479" i="13"/>
  <c r="E478" i="13" s="1"/>
  <c r="T166" i="13"/>
  <c r="T337" i="13"/>
  <c r="T336" i="13" s="1"/>
  <c r="T327" i="13" s="1"/>
  <c r="T326" i="13" s="1"/>
  <c r="T413" i="13"/>
  <c r="T412" i="13" s="1"/>
  <c r="T670" i="13"/>
  <c r="T642" i="13"/>
  <c r="T640" i="13" s="1"/>
  <c r="T631" i="13" s="1"/>
  <c r="T232" i="13"/>
  <c r="R127" i="13"/>
  <c r="T127" i="13" s="1"/>
  <c r="R480" i="13"/>
  <c r="R479" i="13" s="1"/>
  <c r="T482" i="13"/>
  <c r="T480" i="13" s="1"/>
  <c r="T479" i="13" s="1"/>
  <c r="T478" i="13" s="1"/>
  <c r="T168" i="13"/>
  <c r="O488" i="13"/>
  <c r="P488" i="13" s="1"/>
  <c r="P479" i="13" s="1"/>
  <c r="P478" i="13" s="1"/>
  <c r="N336" i="13"/>
  <c r="L327" i="13"/>
  <c r="L326" i="13" s="1"/>
  <c r="E335" i="13"/>
  <c r="N479" i="13"/>
  <c r="N478" i="13" s="1"/>
  <c r="R320" i="13"/>
  <c r="T321" i="13"/>
  <c r="R231" i="13"/>
  <c r="R521" i="13"/>
  <c r="T523" i="13"/>
  <c r="T521" i="13" s="1"/>
  <c r="R681" i="13"/>
  <c r="T682" i="13"/>
  <c r="T681" i="13" s="1"/>
  <c r="R271" i="13"/>
  <c r="T272" i="13"/>
  <c r="R377" i="13"/>
  <c r="T381" i="13"/>
  <c r="R404" i="13"/>
  <c r="T405" i="13"/>
  <c r="T404" i="13" s="1"/>
  <c r="G289" i="13"/>
  <c r="G288" i="13" s="1"/>
  <c r="R388" i="13"/>
  <c r="T389" i="13"/>
  <c r="T388" i="13" s="1"/>
  <c r="R176" i="13"/>
  <c r="T178" i="13"/>
  <c r="T176" i="13" s="1"/>
  <c r="R206" i="13"/>
  <c r="T207" i="13"/>
  <c r="T206" i="13" s="1"/>
  <c r="R305" i="13"/>
  <c r="I305" i="13"/>
  <c r="T557" i="13"/>
  <c r="T111" i="13"/>
  <c r="T93" i="13"/>
  <c r="T303" i="13"/>
  <c r="T318" i="13"/>
  <c r="T570" i="13"/>
  <c r="T541" i="13"/>
  <c r="T540" i="13" s="1"/>
  <c r="R540" i="13"/>
  <c r="T520" i="13"/>
  <c r="T518" i="13" s="1"/>
  <c r="R518" i="13"/>
  <c r="T375" i="13"/>
  <c r="T374" i="13" s="1"/>
  <c r="T365" i="13" s="1"/>
  <c r="T643" i="13"/>
  <c r="R98" i="13"/>
  <c r="T284" i="13"/>
  <c r="T282" i="13" s="1"/>
  <c r="R282" i="13"/>
  <c r="R711" i="13"/>
  <c r="T712" i="13"/>
  <c r="T711" i="13" s="1"/>
  <c r="R130" i="13"/>
  <c r="T132" i="13"/>
  <c r="R453" i="13"/>
  <c r="T454" i="13"/>
  <c r="T453" i="13" s="1"/>
  <c r="R651" i="13"/>
  <c r="R650" i="13" s="1"/>
  <c r="T653" i="13"/>
  <c r="T651" i="13" s="1"/>
  <c r="T650" i="13" s="1"/>
  <c r="R225" i="13"/>
  <c r="T227" i="13"/>
  <c r="T225" i="13" s="1"/>
  <c r="K44" i="12"/>
  <c r="P171" i="13"/>
  <c r="P168" i="13" s="1"/>
  <c r="R168" i="13"/>
  <c r="R491" i="13"/>
  <c r="R263" i="13"/>
  <c r="T264" i="13"/>
  <c r="T263" i="13" s="1"/>
  <c r="I700" i="13"/>
  <c r="I687" i="13" s="1"/>
  <c r="R62" i="13"/>
  <c r="P739" i="13"/>
  <c r="P738" i="13" s="1"/>
  <c r="E411" i="13"/>
  <c r="D411" i="13" s="1"/>
  <c r="H411" i="13" s="1"/>
  <c r="L517" i="13"/>
  <c r="L516" i="13" s="1"/>
  <c r="R445" i="13"/>
  <c r="T446" i="13"/>
  <c r="T445" i="13" s="1"/>
  <c r="R537" i="13"/>
  <c r="R662" i="13"/>
  <c r="T663" i="13"/>
  <c r="T662" i="13" s="1"/>
  <c r="R385" i="13"/>
  <c r="T386" i="13"/>
  <c r="T509" i="13"/>
  <c r="T507" i="13" s="1"/>
  <c r="T498" i="13" s="1"/>
  <c r="T497" i="13" s="1"/>
  <c r="T99" i="13"/>
  <c r="T526" i="13"/>
  <c r="S61" i="13"/>
  <c r="S60" i="13" s="1"/>
  <c r="S13" i="13" s="1"/>
  <c r="P231" i="13"/>
  <c r="I76" i="13"/>
  <c r="R76" i="13"/>
  <c r="R459" i="13"/>
  <c r="O540" i="13"/>
  <c r="O526" i="13"/>
  <c r="P526" i="13" s="1"/>
  <c r="P517" i="13" s="1"/>
  <c r="P516" i="13" s="1"/>
  <c r="O231" i="13"/>
  <c r="O430" i="13"/>
  <c r="E55" i="13"/>
  <c r="N56" i="13"/>
  <c r="L51" i="13"/>
  <c r="L50" i="13" s="1"/>
  <c r="L23" i="13"/>
  <c r="E25" i="13"/>
  <c r="O412" i="13"/>
  <c r="P412" i="13" s="1"/>
  <c r="P403" i="13" s="1"/>
  <c r="R412" i="13"/>
  <c r="D449" i="13"/>
  <c r="E441" i="13"/>
  <c r="E440" i="13" s="1"/>
  <c r="R347" i="13"/>
  <c r="R137" i="13"/>
  <c r="R136" i="13" s="1"/>
  <c r="N678" i="13"/>
  <c r="L669" i="13"/>
  <c r="L668" i="13" s="1"/>
  <c r="E677" i="13"/>
  <c r="D48" i="13"/>
  <c r="R48" i="13" s="1"/>
  <c r="I48" i="13"/>
  <c r="O518" i="13"/>
  <c r="N184" i="13"/>
  <c r="E183" i="13"/>
  <c r="L175" i="13"/>
  <c r="L174" i="13" s="1"/>
  <c r="H68" i="13"/>
  <c r="R68" i="13"/>
  <c r="E65" i="13"/>
  <c r="D65" i="13" s="1"/>
  <c r="H65" i="13" s="1"/>
  <c r="D66" i="13"/>
  <c r="R66" i="13" s="1"/>
  <c r="H670" i="13"/>
  <c r="O450" i="13"/>
  <c r="P450" i="13" s="1"/>
  <c r="P441" i="13" s="1"/>
  <c r="P440" i="13" s="1"/>
  <c r="R450" i="13"/>
  <c r="P473" i="13"/>
  <c r="P472" i="13" s="1"/>
  <c r="R557" i="13"/>
  <c r="R556" i="13" s="1"/>
  <c r="H557" i="13"/>
  <c r="I93" i="13"/>
  <c r="R93" i="13"/>
  <c r="O632" i="13"/>
  <c r="D696" i="13"/>
  <c r="E688" i="13"/>
  <c r="E687" i="13" s="1"/>
  <c r="E430" i="13"/>
  <c r="N431" i="13"/>
  <c r="L422" i="13"/>
  <c r="L421" i="13" s="1"/>
  <c r="N355" i="13"/>
  <c r="L346" i="13"/>
  <c r="L345" i="13" s="1"/>
  <c r="E354" i="13"/>
  <c r="O621" i="13"/>
  <c r="P621" i="13" s="1"/>
  <c r="P612" i="13" s="1"/>
  <c r="P611" i="13" s="1"/>
  <c r="R621" i="13"/>
  <c r="O556" i="13"/>
  <c r="N735" i="13"/>
  <c r="E734" i="13"/>
  <c r="L726" i="13"/>
  <c r="L725" i="13" s="1"/>
  <c r="D620" i="13"/>
  <c r="E612" i="13"/>
  <c r="E611" i="13" s="1"/>
  <c r="O62" i="13"/>
  <c r="G73" i="13"/>
  <c r="P321" i="13"/>
  <c r="P320" i="13" s="1"/>
  <c r="R87" i="13"/>
  <c r="H87" i="13"/>
  <c r="H727" i="13"/>
  <c r="N165" i="13"/>
  <c r="E164" i="13"/>
  <c r="L156" i="13"/>
  <c r="L155" i="13" s="1"/>
  <c r="H347" i="13"/>
  <c r="R568" i="13"/>
  <c r="R567" i="13" s="1"/>
  <c r="I568" i="13"/>
  <c r="P264" i="13"/>
  <c r="P263" i="13" s="1"/>
  <c r="R77" i="13"/>
  <c r="I77" i="13"/>
  <c r="N517" i="13"/>
  <c r="N516" i="13" s="1"/>
  <c r="O442" i="13"/>
  <c r="P530" i="13"/>
  <c r="P529" i="13" s="1"/>
  <c r="P416" i="13"/>
  <c r="P415" i="13" s="1"/>
  <c r="R85" i="13"/>
  <c r="H85" i="13"/>
  <c r="R293" i="13"/>
  <c r="D556" i="13"/>
  <c r="E316" i="13"/>
  <c r="N317" i="13"/>
  <c r="L308" i="13"/>
  <c r="L307" i="13" s="1"/>
  <c r="H575" i="13"/>
  <c r="O290" i="13"/>
  <c r="O480" i="13"/>
  <c r="O479" i="13" s="1"/>
  <c r="O478" i="13" s="1"/>
  <c r="O697" i="13"/>
  <c r="P697" i="13" s="1"/>
  <c r="P688" i="13" s="1"/>
  <c r="P687" i="13" s="1"/>
  <c r="N688" i="13"/>
  <c r="N687" i="13" s="1"/>
  <c r="R697" i="13"/>
  <c r="T697" i="13" s="1"/>
  <c r="T688" i="13" s="1"/>
  <c r="T687" i="13" s="1"/>
  <c r="P245" i="13"/>
  <c r="P244" i="13" s="1"/>
  <c r="H64" i="13"/>
  <c r="O659" i="13"/>
  <c r="P659" i="13" s="1"/>
  <c r="P650" i="13" s="1"/>
  <c r="P649" i="13" s="1"/>
  <c r="H651" i="13"/>
  <c r="H271" i="13"/>
  <c r="H81" i="13"/>
  <c r="E582" i="13"/>
  <c r="N583" i="13"/>
  <c r="L574" i="13"/>
  <c r="L573" i="13" s="1"/>
  <c r="L565" i="13"/>
  <c r="L564" i="13" s="1"/>
  <c r="K564" i="13"/>
  <c r="K555" i="13" s="1"/>
  <c r="K554" i="13" s="1"/>
  <c r="H63" i="13"/>
  <c r="R403" i="13"/>
  <c r="R402" i="13" s="1"/>
  <c r="H708" i="13"/>
  <c r="N612" i="13"/>
  <c r="N611" i="13" s="1"/>
  <c r="H537" i="13"/>
  <c r="E70" i="13"/>
  <c r="D71" i="13"/>
  <c r="K71" i="13" s="1"/>
  <c r="N716" i="13"/>
  <c r="L707" i="13"/>
  <c r="L706" i="13" s="1"/>
  <c r="E715" i="13"/>
  <c r="E403" i="13"/>
  <c r="E402" i="13" s="1"/>
  <c r="O469" i="13"/>
  <c r="P469" i="13" s="1"/>
  <c r="P460" i="13" s="1"/>
  <c r="P459" i="13" s="1"/>
  <c r="P454" i="13"/>
  <c r="P453" i="13" s="1"/>
  <c r="O613" i="13"/>
  <c r="O612" i="13" s="1"/>
  <c r="O611" i="13" s="1"/>
  <c r="R83" i="13"/>
  <c r="R81" i="13" s="1"/>
  <c r="H83" i="13"/>
  <c r="P127" i="13"/>
  <c r="P118" i="13" s="1"/>
  <c r="P117" i="13" s="1"/>
  <c r="I304" i="13"/>
  <c r="I301" i="13" s="1"/>
  <c r="I288" i="13" s="1"/>
  <c r="R304" i="13"/>
  <c r="R301" i="13" s="1"/>
  <c r="D298" i="13"/>
  <c r="H86" i="13"/>
  <c r="R86" i="13"/>
  <c r="O404" i="13"/>
  <c r="O403" i="13" s="1"/>
  <c r="O402" i="13" s="1"/>
  <c r="I94" i="13"/>
  <c r="R94" i="13"/>
  <c r="R478" i="13"/>
  <c r="O602" i="13"/>
  <c r="P602" i="13" s="1"/>
  <c r="P593" i="13" s="1"/>
  <c r="P592" i="13" s="1"/>
  <c r="R602" i="13"/>
  <c r="R593" i="13" s="1"/>
  <c r="R27" i="13"/>
  <c r="R24" i="13" s="1"/>
  <c r="R23" i="13" s="1"/>
  <c r="N24" i="13"/>
  <c r="N203" i="13"/>
  <c r="E202" i="13"/>
  <c r="L194" i="13"/>
  <c r="L193" i="13" s="1"/>
  <c r="L90" i="13"/>
  <c r="L89" i="13" s="1"/>
  <c r="K89" i="13"/>
  <c r="K80" i="13" s="1"/>
  <c r="K79" i="13" s="1"/>
  <c r="G61" i="13"/>
  <c r="G60" i="13" s="1"/>
  <c r="K298" i="13"/>
  <c r="K289" i="13" s="1"/>
  <c r="K288" i="13" s="1"/>
  <c r="O214" i="13"/>
  <c r="E506" i="13"/>
  <c r="N507" i="13"/>
  <c r="R507" i="13" s="1"/>
  <c r="R498" i="13" s="1"/>
  <c r="R497" i="13" s="1"/>
  <c r="L498" i="13"/>
  <c r="L497" i="13" s="1"/>
  <c r="R67" i="13"/>
  <c r="H67" i="13"/>
  <c r="N403" i="13"/>
  <c r="N402" i="13" s="1"/>
  <c r="D75" i="13"/>
  <c r="E46" i="13"/>
  <c r="H517" i="13"/>
  <c r="H516" i="13" s="1"/>
  <c r="O688" i="13"/>
  <c r="O687" i="13" s="1"/>
  <c r="D601" i="13"/>
  <c r="E593" i="13"/>
  <c r="E592" i="13" s="1"/>
  <c r="P340" i="13"/>
  <c r="P339" i="13" s="1"/>
  <c r="O502" i="13"/>
  <c r="D145" i="13"/>
  <c r="E137" i="13"/>
  <c r="E136" i="13" s="1"/>
  <c r="O594" i="13"/>
  <c r="O651" i="13"/>
  <c r="D72" i="13"/>
  <c r="K72" i="13" s="1"/>
  <c r="L72" i="13" s="1"/>
  <c r="G70" i="13"/>
  <c r="E73" i="13"/>
  <c r="D73" i="13" s="1"/>
  <c r="D74" i="13"/>
  <c r="R74" i="13" s="1"/>
  <c r="D62" i="13"/>
  <c r="H62" i="13" s="1"/>
  <c r="N374" i="13"/>
  <c r="E373" i="13"/>
  <c r="L365" i="13"/>
  <c r="L364" i="13" s="1"/>
  <c r="H404" i="13"/>
  <c r="H403" i="13" s="1"/>
  <c r="H402" i="13" s="1"/>
  <c r="D403" i="13"/>
  <c r="D402" i="13" s="1"/>
  <c r="D468" i="13"/>
  <c r="E460" i="13"/>
  <c r="E459" i="13" s="1"/>
  <c r="E221" i="13"/>
  <c r="N222" i="13"/>
  <c r="L213" i="13"/>
  <c r="L212" i="13" s="1"/>
  <c r="R605" i="13"/>
  <c r="O377" i="13"/>
  <c r="O108" i="13"/>
  <c r="O99" i="13" s="1"/>
  <c r="O98" i="13" s="1"/>
  <c r="N99" i="13"/>
  <c r="N98" i="13" s="1"/>
  <c r="R570" i="13"/>
  <c r="I570" i="13"/>
  <c r="N31" i="13"/>
  <c r="O24" i="13"/>
  <c r="D517" i="13"/>
  <c r="D516" i="13" s="1"/>
  <c r="H291" i="13"/>
  <c r="R291" i="13"/>
  <c r="R290" i="13" s="1"/>
  <c r="O146" i="13"/>
  <c r="O137" i="13" s="1"/>
  <c r="O136" i="13" s="1"/>
  <c r="N137" i="13"/>
  <c r="N136" i="13" s="1"/>
  <c r="R146" i="13"/>
  <c r="T146" i="13" s="1"/>
  <c r="T137" i="13" s="1"/>
  <c r="T136" i="13" s="1"/>
  <c r="D658" i="13"/>
  <c r="H658" i="13" s="1"/>
  <c r="E650" i="13"/>
  <c r="E649" i="13" s="1"/>
  <c r="O366" i="13"/>
  <c r="O160" i="13"/>
  <c r="N545" i="13"/>
  <c r="E544" i="13"/>
  <c r="L536" i="13"/>
  <c r="L535" i="13" s="1"/>
  <c r="R688" i="13"/>
  <c r="I605" i="13"/>
  <c r="I592" i="13" s="1"/>
  <c r="R700" i="13"/>
  <c r="O708" i="13"/>
  <c r="D107" i="13"/>
  <c r="E99" i="13"/>
  <c r="E98" i="13" s="1"/>
  <c r="P31" i="13"/>
  <c r="O32" i="13"/>
  <c r="O31" i="13" s="1"/>
  <c r="P23" i="13"/>
  <c r="R708" i="13"/>
  <c r="O461" i="13"/>
  <c r="O460" i="13" s="1"/>
  <c r="O459" i="13" s="1"/>
  <c r="D290" i="13"/>
  <c r="E278" i="13"/>
  <c r="N279" i="13"/>
  <c r="L270" i="13"/>
  <c r="L269" i="13" s="1"/>
  <c r="R526" i="13"/>
  <c r="G44" i="12"/>
  <c r="N44" i="12"/>
  <c r="I34" i="12"/>
  <c r="C44" i="12"/>
  <c r="H44" i="12"/>
  <c r="D44" i="12"/>
  <c r="I20" i="12"/>
  <c r="I9" i="12"/>
  <c r="L9" i="12"/>
  <c r="J44" i="12"/>
  <c r="L34" i="12"/>
  <c r="L20" i="12"/>
  <c r="E34" i="12"/>
  <c r="F34" i="12" s="1"/>
  <c r="E20" i="12"/>
  <c r="F20" i="12" s="1"/>
  <c r="E9" i="12"/>
  <c r="F9" i="12" s="1"/>
  <c r="O20" i="12"/>
  <c r="P20" i="12" s="1"/>
  <c r="E9" i="10"/>
  <c r="H9" i="10"/>
  <c r="D31" i="10"/>
  <c r="F31" i="10"/>
  <c r="G31" i="10"/>
  <c r="C31" i="10"/>
  <c r="D33" i="11"/>
  <c r="I33" i="11"/>
  <c r="H33" i="11"/>
  <c r="G33" i="11"/>
  <c r="F33" i="11"/>
  <c r="E33" i="11"/>
  <c r="C33" i="11"/>
  <c r="J11" i="11"/>
  <c r="M11" i="11" s="1"/>
  <c r="O23" i="13" l="1"/>
  <c r="T92" i="13"/>
  <c r="T83" i="13"/>
  <c r="H487" i="13"/>
  <c r="H479" i="13" s="1"/>
  <c r="H478" i="13" s="1"/>
  <c r="D479" i="13"/>
  <c r="D478" i="13" s="1"/>
  <c r="D392" i="13"/>
  <c r="E384" i="13"/>
  <c r="E383" i="13" s="1"/>
  <c r="K11" i="11"/>
  <c r="T11" i="11"/>
  <c r="R517" i="13"/>
  <c r="R516" i="13" s="1"/>
  <c r="O441" i="13"/>
  <c r="O440" i="13" s="1"/>
  <c r="T649" i="13"/>
  <c r="T94" i="13"/>
  <c r="T130" i="13"/>
  <c r="T517" i="13"/>
  <c r="T516" i="13" s="1"/>
  <c r="T568" i="13"/>
  <c r="T98" i="13"/>
  <c r="D335" i="13"/>
  <c r="E327" i="13"/>
  <c r="E326" i="13" s="1"/>
  <c r="T231" i="13"/>
  <c r="T624" i="13"/>
  <c r="T569" i="13"/>
  <c r="T558" i="13"/>
  <c r="T556" i="13" s="1"/>
  <c r="T575" i="13"/>
  <c r="T385" i="13"/>
  <c r="T384" i="13" s="1"/>
  <c r="T383" i="13" s="1"/>
  <c r="T291" i="13"/>
  <c r="N251" i="13"/>
  <c r="N250" i="13" s="1"/>
  <c r="R260" i="13"/>
  <c r="O260" i="13"/>
  <c r="O251" i="13" s="1"/>
  <c r="O250" i="13" s="1"/>
  <c r="D639" i="13"/>
  <c r="E631" i="13"/>
  <c r="E630" i="13" s="1"/>
  <c r="L11" i="11"/>
  <c r="U11" i="11"/>
  <c r="R84" i="13"/>
  <c r="R612" i="13"/>
  <c r="R611" i="13" s="1"/>
  <c r="T621" i="13"/>
  <c r="T612" i="13" s="1"/>
  <c r="T611" i="13" s="1"/>
  <c r="O517" i="13"/>
  <c r="O516" i="13" s="1"/>
  <c r="P402" i="13"/>
  <c r="R649" i="13"/>
  <c r="T299" i="13"/>
  <c r="T317" i="13"/>
  <c r="T302" i="13"/>
  <c r="T320" i="13"/>
  <c r="T165" i="13"/>
  <c r="T156" i="13" s="1"/>
  <c r="T155" i="13" s="1"/>
  <c r="T90" i="13"/>
  <c r="T89" i="13" s="1"/>
  <c r="T578" i="13"/>
  <c r="T560" i="13"/>
  <c r="T559" i="13" s="1"/>
  <c r="T407" i="13"/>
  <c r="T403" i="13" s="1"/>
  <c r="T402" i="13" s="1"/>
  <c r="T295" i="13"/>
  <c r="T459" i="13"/>
  <c r="T198" i="13"/>
  <c r="T194" i="13" s="1"/>
  <c r="T193" i="13" s="1"/>
  <c r="T86" i="13"/>
  <c r="T300" i="13"/>
  <c r="R640" i="13"/>
  <c r="R631" i="13" s="1"/>
  <c r="R630" i="13" s="1"/>
  <c r="O640" i="13"/>
  <c r="P640" i="13" s="1"/>
  <c r="P631" i="13" s="1"/>
  <c r="P630" i="13" s="1"/>
  <c r="N631" i="13"/>
  <c r="N630" i="13" s="1"/>
  <c r="S11" i="11"/>
  <c r="D650" i="13"/>
  <c r="D649" i="13" s="1"/>
  <c r="T377" i="13"/>
  <c r="T364" i="13" s="1"/>
  <c r="T305" i="13"/>
  <c r="T77" i="13" s="1"/>
  <c r="H650" i="13"/>
  <c r="H649" i="13" s="1"/>
  <c r="I567" i="13"/>
  <c r="I554" i="13" s="1"/>
  <c r="R441" i="13"/>
  <c r="R440" i="13" s="1"/>
  <c r="T450" i="13"/>
  <c r="T441" i="13" s="1"/>
  <c r="T440" i="13" s="1"/>
  <c r="R65" i="13"/>
  <c r="T630" i="13"/>
  <c r="T271" i="13"/>
  <c r="T82" i="13"/>
  <c r="R336" i="13"/>
  <c r="R327" i="13" s="1"/>
  <c r="R326" i="13" s="1"/>
  <c r="N327" i="13"/>
  <c r="N326" i="13" s="1"/>
  <c r="O336" i="13"/>
  <c r="R393" i="13"/>
  <c r="R384" i="13" s="1"/>
  <c r="R383" i="13" s="1"/>
  <c r="O393" i="13"/>
  <c r="N384" i="13"/>
  <c r="N383" i="13" s="1"/>
  <c r="T312" i="13"/>
  <c r="T308" i="13" s="1"/>
  <c r="T294" i="13"/>
  <c r="D259" i="13"/>
  <c r="E251" i="13"/>
  <c r="E250" i="13" s="1"/>
  <c r="T122" i="13"/>
  <c r="T118" i="13" s="1"/>
  <c r="T117" i="13" s="1"/>
  <c r="T85" i="13"/>
  <c r="T304" i="13"/>
  <c r="T76" i="13" s="1"/>
  <c r="T567" i="13"/>
  <c r="T292" i="13"/>
  <c r="O68" i="13"/>
  <c r="N23" i="13"/>
  <c r="D278" i="13"/>
  <c r="E270" i="13"/>
  <c r="E269" i="13" s="1"/>
  <c r="H145" i="13"/>
  <c r="H137" i="13" s="1"/>
  <c r="H136" i="13" s="1"/>
  <c r="D137" i="13"/>
  <c r="D136" i="13" s="1"/>
  <c r="H66" i="13"/>
  <c r="H290" i="13"/>
  <c r="R92" i="13"/>
  <c r="O716" i="13"/>
  <c r="O707" i="13" s="1"/>
  <c r="O706" i="13" s="1"/>
  <c r="R716" i="13"/>
  <c r="N707" i="13"/>
  <c r="N706" i="13" s="1"/>
  <c r="R687" i="13"/>
  <c r="H468" i="13"/>
  <c r="H460" i="13" s="1"/>
  <c r="H459" i="13" s="1"/>
  <c r="D460" i="13"/>
  <c r="D459" i="13" s="1"/>
  <c r="O507" i="13"/>
  <c r="P507" i="13" s="1"/>
  <c r="P498" i="13" s="1"/>
  <c r="P497" i="13" s="1"/>
  <c r="N498" i="13"/>
  <c r="N497" i="13" s="1"/>
  <c r="D202" i="13"/>
  <c r="E194" i="13"/>
  <c r="E193" i="13" s="1"/>
  <c r="K70" i="13"/>
  <c r="K61" i="13" s="1"/>
  <c r="K60" i="13" s="1"/>
  <c r="K13" i="13" s="1"/>
  <c r="L71" i="13"/>
  <c r="L70" i="13" s="1"/>
  <c r="D354" i="13"/>
  <c r="E346" i="13"/>
  <c r="E345" i="13" s="1"/>
  <c r="D55" i="13"/>
  <c r="E51" i="13"/>
  <c r="E50" i="13" s="1"/>
  <c r="O498" i="13"/>
  <c r="O497" i="13" s="1"/>
  <c r="E563" i="13"/>
  <c r="N564" i="13"/>
  <c r="L555" i="13"/>
  <c r="L554" i="13" s="1"/>
  <c r="I92" i="13"/>
  <c r="I79" i="13" s="1"/>
  <c r="O56" i="13"/>
  <c r="O51" i="13" s="1"/>
  <c r="O50" i="13" s="1"/>
  <c r="R56" i="13"/>
  <c r="R51" i="13" s="1"/>
  <c r="R50" i="13" s="1"/>
  <c r="N51" i="13"/>
  <c r="N50" i="13" s="1"/>
  <c r="H601" i="13"/>
  <c r="H593" i="13" s="1"/>
  <c r="H592" i="13" s="1"/>
  <c r="D593" i="13"/>
  <c r="D592" i="13" s="1"/>
  <c r="D506" i="13"/>
  <c r="E498" i="13"/>
  <c r="E497" i="13" s="1"/>
  <c r="O203" i="13"/>
  <c r="O194" i="13" s="1"/>
  <c r="O193" i="13" s="1"/>
  <c r="N194" i="13"/>
  <c r="N193" i="13" s="1"/>
  <c r="R203" i="13"/>
  <c r="R194" i="13" s="1"/>
  <c r="R193" i="13" s="1"/>
  <c r="D70" i="13"/>
  <c r="D183" i="13"/>
  <c r="E175" i="13"/>
  <c r="E174" i="13" s="1"/>
  <c r="D221" i="13"/>
  <c r="E213" i="13"/>
  <c r="E212" i="13" s="1"/>
  <c r="O536" i="13"/>
  <c r="O535" i="13" s="1"/>
  <c r="I74" i="13"/>
  <c r="O545" i="13"/>
  <c r="P545" i="13" s="1"/>
  <c r="P536" i="13" s="1"/>
  <c r="P535" i="13" s="1"/>
  <c r="N536" i="13"/>
  <c r="N535" i="13" s="1"/>
  <c r="R545" i="13"/>
  <c r="D582" i="13"/>
  <c r="E574" i="13"/>
  <c r="E573" i="13" s="1"/>
  <c r="P108" i="13"/>
  <c r="P99" i="13" s="1"/>
  <c r="P98" i="13" s="1"/>
  <c r="D373" i="13"/>
  <c r="E365" i="13"/>
  <c r="E364" i="13" s="1"/>
  <c r="O593" i="13"/>
  <c r="O592" i="13" s="1"/>
  <c r="R592" i="13"/>
  <c r="D316" i="13"/>
  <c r="E308" i="13"/>
  <c r="E307" i="13" s="1"/>
  <c r="O165" i="13"/>
  <c r="P165" i="13" s="1"/>
  <c r="P156" i="13" s="1"/>
  <c r="P155" i="13" s="1"/>
  <c r="N156" i="13"/>
  <c r="N155" i="13" s="1"/>
  <c r="R165" i="13"/>
  <c r="R156" i="13" s="1"/>
  <c r="R155" i="13" s="1"/>
  <c r="O431" i="13"/>
  <c r="O422" i="13" s="1"/>
  <c r="O421" i="13" s="1"/>
  <c r="N422" i="13"/>
  <c r="N421" i="13" s="1"/>
  <c r="R431" i="13"/>
  <c r="R422" i="13" s="1"/>
  <c r="R421" i="13" s="1"/>
  <c r="G15" i="13"/>
  <c r="G13" i="13"/>
  <c r="O222" i="13"/>
  <c r="O213" i="13" s="1"/>
  <c r="O212" i="13" s="1"/>
  <c r="N213" i="13"/>
  <c r="N212" i="13" s="1"/>
  <c r="R222" i="13"/>
  <c r="E88" i="13"/>
  <c r="N89" i="13"/>
  <c r="L80" i="13"/>
  <c r="L79" i="13" s="1"/>
  <c r="D544" i="13"/>
  <c r="E536" i="13"/>
  <c r="E535" i="13" s="1"/>
  <c r="O650" i="13"/>
  <c r="O649" i="13" s="1"/>
  <c r="O583" i="13"/>
  <c r="O574" i="13" s="1"/>
  <c r="O573" i="13" s="1"/>
  <c r="R583" i="13"/>
  <c r="N574" i="13"/>
  <c r="N573" i="13" s="1"/>
  <c r="O355" i="13"/>
  <c r="O346" i="13" s="1"/>
  <c r="O345" i="13" s="1"/>
  <c r="N346" i="13"/>
  <c r="N345" i="13" s="1"/>
  <c r="R355" i="13"/>
  <c r="R346" i="13" s="1"/>
  <c r="R345" i="13" s="1"/>
  <c r="O184" i="13"/>
  <c r="O175" i="13" s="1"/>
  <c r="O174" i="13" s="1"/>
  <c r="N175" i="13"/>
  <c r="N174" i="13" s="1"/>
  <c r="R184" i="13"/>
  <c r="O374" i="13"/>
  <c r="O365" i="13" s="1"/>
  <c r="O364" i="13" s="1"/>
  <c r="R374" i="13"/>
  <c r="R365" i="13" s="1"/>
  <c r="R364" i="13" s="1"/>
  <c r="N365" i="13"/>
  <c r="N364" i="13" s="1"/>
  <c r="N298" i="13"/>
  <c r="R298" i="13" s="1"/>
  <c r="R289" i="13" s="1"/>
  <c r="R288" i="13" s="1"/>
  <c r="E297" i="13"/>
  <c r="L289" i="13"/>
  <c r="L288" i="13" s="1"/>
  <c r="D734" i="13"/>
  <c r="E726" i="13"/>
  <c r="E725" i="13" s="1"/>
  <c r="D430" i="13"/>
  <c r="E422" i="13"/>
  <c r="E421" i="13" s="1"/>
  <c r="D25" i="13"/>
  <c r="D24" i="13" s="1"/>
  <c r="D23" i="13" s="1"/>
  <c r="E24" i="13"/>
  <c r="E23" i="13" s="1"/>
  <c r="O678" i="13"/>
  <c r="O669" i="13" s="1"/>
  <c r="O668" i="13" s="1"/>
  <c r="N669" i="13"/>
  <c r="N668" i="13" s="1"/>
  <c r="R678" i="13"/>
  <c r="N308" i="13"/>
  <c r="N307" i="13" s="1"/>
  <c r="O317" i="13"/>
  <c r="O308" i="13" s="1"/>
  <c r="O307" i="13" s="1"/>
  <c r="P317" i="13"/>
  <c r="P308" i="13" s="1"/>
  <c r="P307" i="13" s="1"/>
  <c r="R317" i="13"/>
  <c r="R308" i="13" s="1"/>
  <c r="R307" i="13" s="1"/>
  <c r="D164" i="13"/>
  <c r="E156" i="13"/>
  <c r="E155" i="13" s="1"/>
  <c r="H620" i="13"/>
  <c r="H612" i="13" s="1"/>
  <c r="H611" i="13" s="1"/>
  <c r="D612" i="13"/>
  <c r="D611" i="13" s="1"/>
  <c r="H449" i="13"/>
  <c r="H441" i="13" s="1"/>
  <c r="H440" i="13" s="1"/>
  <c r="D441" i="13"/>
  <c r="D440" i="13" s="1"/>
  <c r="P146" i="13"/>
  <c r="P137" i="13" s="1"/>
  <c r="P136" i="13" s="1"/>
  <c r="I46" i="13"/>
  <c r="I45" i="13" s="1"/>
  <c r="D46" i="13"/>
  <c r="E45" i="13"/>
  <c r="E36" i="13" s="1"/>
  <c r="H556" i="13"/>
  <c r="O735" i="13"/>
  <c r="O726" i="13" s="1"/>
  <c r="O725" i="13" s="1"/>
  <c r="N726" i="13"/>
  <c r="N725" i="13" s="1"/>
  <c r="R735" i="13"/>
  <c r="D715" i="13"/>
  <c r="E707" i="13"/>
  <c r="E706" i="13" s="1"/>
  <c r="O279" i="13"/>
  <c r="O270" i="13" s="1"/>
  <c r="O269" i="13" s="1"/>
  <c r="R279" i="13"/>
  <c r="N270" i="13"/>
  <c r="N269" i="13" s="1"/>
  <c r="H107" i="13"/>
  <c r="H99" i="13" s="1"/>
  <c r="H98" i="13" s="1"/>
  <c r="D99" i="13"/>
  <c r="D98" i="13" s="1"/>
  <c r="R75" i="13"/>
  <c r="R73" i="13" s="1"/>
  <c r="I75" i="13"/>
  <c r="H696" i="13"/>
  <c r="H688" i="13" s="1"/>
  <c r="H687" i="13" s="1"/>
  <c r="D688" i="13"/>
  <c r="D687" i="13" s="1"/>
  <c r="D677" i="13"/>
  <c r="E669" i="13"/>
  <c r="E668" i="13" s="1"/>
  <c r="O44" i="12"/>
  <c r="E44" i="12"/>
  <c r="I44" i="12"/>
  <c r="L44" i="12"/>
  <c r="F44" i="12" l="1"/>
  <c r="D47" i="12" s="1"/>
  <c r="P44" i="12"/>
  <c r="D48" i="12" s="1"/>
  <c r="T290" i="13"/>
  <c r="T307" i="13"/>
  <c r="T67" i="13"/>
  <c r="N11" i="11"/>
  <c r="P11" i="11" s="1"/>
  <c r="R726" i="13"/>
  <c r="R725" i="13" s="1"/>
  <c r="T735" i="13"/>
  <c r="T726" i="13" s="1"/>
  <c r="T725" i="13" s="1"/>
  <c r="R574" i="13"/>
  <c r="R573" i="13" s="1"/>
  <c r="T583" i="13"/>
  <c r="H259" i="13"/>
  <c r="H251" i="13" s="1"/>
  <c r="H250" i="13" s="1"/>
  <c r="D251" i="13"/>
  <c r="D250" i="13" s="1"/>
  <c r="P393" i="13"/>
  <c r="P384" i="13" s="1"/>
  <c r="P383" i="13" s="1"/>
  <c r="O384" i="13"/>
  <c r="O383" i="13" s="1"/>
  <c r="T260" i="13"/>
  <c r="T251" i="13" s="1"/>
  <c r="T250" i="13" s="1"/>
  <c r="R251" i="13"/>
  <c r="R250" i="13" s="1"/>
  <c r="R270" i="13"/>
  <c r="R269" i="13" s="1"/>
  <c r="T279" i="13"/>
  <c r="T270" i="13" s="1"/>
  <c r="T269" i="13" s="1"/>
  <c r="P279" i="13"/>
  <c r="P270" i="13" s="1"/>
  <c r="P269" i="13" s="1"/>
  <c r="R175" i="13"/>
  <c r="R174" i="13" s="1"/>
  <c r="T184" i="13"/>
  <c r="T175" i="13" s="1"/>
  <c r="T174" i="13" s="1"/>
  <c r="P583" i="13"/>
  <c r="P574" i="13" s="1"/>
  <c r="P573" i="13" s="1"/>
  <c r="R213" i="13"/>
  <c r="R212" i="13" s="1"/>
  <c r="T222" i="13"/>
  <c r="T213" i="13" s="1"/>
  <c r="T212" i="13" s="1"/>
  <c r="T84" i="13"/>
  <c r="T66" i="13"/>
  <c r="T293" i="13"/>
  <c r="T63" i="13"/>
  <c r="T81" i="13"/>
  <c r="T80" i="13" s="1"/>
  <c r="T79" i="13" s="1"/>
  <c r="T301" i="13"/>
  <c r="T298" i="13"/>
  <c r="H639" i="13"/>
  <c r="H631" i="13" s="1"/>
  <c r="H630" i="13" s="1"/>
  <c r="D631" i="13"/>
  <c r="D630" i="13" s="1"/>
  <c r="O631" i="13"/>
  <c r="O630" i="13" s="1"/>
  <c r="H335" i="13"/>
  <c r="H327" i="13" s="1"/>
  <c r="H326" i="13" s="1"/>
  <c r="D327" i="13"/>
  <c r="D326" i="13" s="1"/>
  <c r="T64" i="13"/>
  <c r="O156" i="13"/>
  <c r="O155" i="13" s="1"/>
  <c r="T574" i="13"/>
  <c r="T573" i="13" s="1"/>
  <c r="R669" i="13"/>
  <c r="R668" i="13" s="1"/>
  <c r="T678" i="13"/>
  <c r="T669" i="13" s="1"/>
  <c r="T668" i="13" s="1"/>
  <c r="R536" i="13"/>
  <c r="R535" i="13" s="1"/>
  <c r="T545" i="13"/>
  <c r="T536" i="13" s="1"/>
  <c r="T535" i="13" s="1"/>
  <c r="R707" i="13"/>
  <c r="R706" i="13" s="1"/>
  <c r="T716" i="13"/>
  <c r="T707" i="13" s="1"/>
  <c r="T706" i="13" s="1"/>
  <c r="P336" i="13"/>
  <c r="P327" i="13" s="1"/>
  <c r="P326" i="13" s="1"/>
  <c r="O327" i="13"/>
  <c r="O326" i="13" s="1"/>
  <c r="V11" i="11"/>
  <c r="X11" i="11" s="1"/>
  <c r="P260" i="13"/>
  <c r="P251" i="13" s="1"/>
  <c r="P250" i="13" s="1"/>
  <c r="T75" i="13"/>
  <c r="H392" i="13"/>
  <c r="H384" i="13" s="1"/>
  <c r="H383" i="13" s="1"/>
  <c r="D384" i="13"/>
  <c r="D383" i="13" s="1"/>
  <c r="T74" i="13"/>
  <c r="P431" i="13"/>
  <c r="P422" i="13" s="1"/>
  <c r="P421" i="13" s="1"/>
  <c r="P203" i="13"/>
  <c r="P194" i="13" s="1"/>
  <c r="P193" i="13" s="1"/>
  <c r="O564" i="13"/>
  <c r="O555" i="13" s="1"/>
  <c r="O554" i="13" s="1"/>
  <c r="N555" i="13"/>
  <c r="N554" i="13" s="1"/>
  <c r="R564" i="13"/>
  <c r="E69" i="13"/>
  <c r="N70" i="13"/>
  <c r="N61" i="13" s="1"/>
  <c r="N60" i="13" s="1"/>
  <c r="L61" i="13"/>
  <c r="L60" i="13" s="1"/>
  <c r="L13" i="13" s="1"/>
  <c r="P716" i="13"/>
  <c r="P707" i="13" s="1"/>
  <c r="P706" i="13" s="1"/>
  <c r="D297" i="13"/>
  <c r="E289" i="13"/>
  <c r="E288" i="13" s="1"/>
  <c r="D88" i="13"/>
  <c r="E80" i="13"/>
  <c r="E79" i="13" s="1"/>
  <c r="H221" i="13"/>
  <c r="H213" i="13" s="1"/>
  <c r="H212" i="13" s="1"/>
  <c r="D213" i="13"/>
  <c r="D212" i="13" s="1"/>
  <c r="H506" i="13"/>
  <c r="H498" i="13" s="1"/>
  <c r="H497" i="13" s="1"/>
  <c r="D498" i="13"/>
  <c r="D497" i="13" s="1"/>
  <c r="H677" i="13"/>
  <c r="H669" i="13" s="1"/>
  <c r="H668" i="13" s="1"/>
  <c r="D669" i="13"/>
  <c r="D668" i="13" s="1"/>
  <c r="P735" i="13"/>
  <c r="P726" i="13" s="1"/>
  <c r="P725" i="13" s="1"/>
  <c r="P678" i="13"/>
  <c r="P669" i="13" s="1"/>
  <c r="P668" i="13" s="1"/>
  <c r="O298" i="13"/>
  <c r="O289" i="13" s="1"/>
  <c r="O288" i="13" s="1"/>
  <c r="N289" i="13"/>
  <c r="N288" i="13" s="1"/>
  <c r="P355" i="13"/>
  <c r="P346" i="13" s="1"/>
  <c r="P345" i="13" s="1"/>
  <c r="H582" i="13"/>
  <c r="H574" i="13" s="1"/>
  <c r="H573" i="13" s="1"/>
  <c r="D574" i="13"/>
  <c r="D573" i="13" s="1"/>
  <c r="H202" i="13"/>
  <c r="H194" i="13" s="1"/>
  <c r="H193" i="13" s="1"/>
  <c r="D194" i="13"/>
  <c r="D193" i="13" s="1"/>
  <c r="H734" i="13"/>
  <c r="H726" i="13" s="1"/>
  <c r="H725" i="13" s="1"/>
  <c r="D726" i="13"/>
  <c r="D725" i="13" s="1"/>
  <c r="H183" i="13"/>
  <c r="H175" i="13" s="1"/>
  <c r="H174" i="13" s="1"/>
  <c r="D175" i="13"/>
  <c r="D174" i="13" s="1"/>
  <c r="H373" i="13"/>
  <c r="H365" i="13" s="1"/>
  <c r="H364" i="13" s="1"/>
  <c r="D365" i="13"/>
  <c r="D364" i="13" s="1"/>
  <c r="P222" i="13"/>
  <c r="P213" i="13" s="1"/>
  <c r="P212" i="13" s="1"/>
  <c r="H316" i="13"/>
  <c r="H308" i="13" s="1"/>
  <c r="H307" i="13" s="1"/>
  <c r="D308" i="13"/>
  <c r="D307" i="13" s="1"/>
  <c r="H55" i="13"/>
  <c r="H51" i="13" s="1"/>
  <c r="H50" i="13" s="1"/>
  <c r="D51" i="13"/>
  <c r="D50" i="13" s="1"/>
  <c r="H164" i="13"/>
  <c r="H156" i="13" s="1"/>
  <c r="H155" i="13" s="1"/>
  <c r="D156" i="13"/>
  <c r="D155" i="13" s="1"/>
  <c r="P374" i="13"/>
  <c r="P365" i="13" s="1"/>
  <c r="P364" i="13" s="1"/>
  <c r="O89" i="13"/>
  <c r="O80" i="13" s="1"/>
  <c r="O79" i="13" s="1"/>
  <c r="N80" i="13"/>
  <c r="N79" i="13" s="1"/>
  <c r="R89" i="13"/>
  <c r="H715" i="13"/>
  <c r="H707" i="13" s="1"/>
  <c r="H706" i="13" s="1"/>
  <c r="D707" i="13"/>
  <c r="D706" i="13" s="1"/>
  <c r="D563" i="13"/>
  <c r="E555" i="13"/>
  <c r="E554" i="13" s="1"/>
  <c r="D45" i="13"/>
  <c r="D36" i="13" s="1"/>
  <c r="I36" i="13" s="1"/>
  <c r="I13" i="13" s="1"/>
  <c r="R46" i="13"/>
  <c r="R45" i="13" s="1"/>
  <c r="H430" i="13"/>
  <c r="H422" i="13" s="1"/>
  <c r="H421" i="13" s="1"/>
  <c r="D422" i="13"/>
  <c r="D421" i="13" s="1"/>
  <c r="P56" i="13"/>
  <c r="P51" i="13" s="1"/>
  <c r="P50" i="13" s="1"/>
  <c r="H354" i="13"/>
  <c r="H346" i="13" s="1"/>
  <c r="H345" i="13" s="1"/>
  <c r="D346" i="13"/>
  <c r="D345" i="13" s="1"/>
  <c r="P184" i="13"/>
  <c r="P175" i="13" s="1"/>
  <c r="P174" i="13" s="1"/>
  <c r="H544" i="13"/>
  <c r="H536" i="13" s="1"/>
  <c r="H535" i="13" s="1"/>
  <c r="D536" i="13"/>
  <c r="D535" i="13" s="1"/>
  <c r="I73" i="13"/>
  <c r="I60" i="13" s="1"/>
  <c r="H278" i="13"/>
  <c r="H270" i="13" s="1"/>
  <c r="H269" i="13" s="1"/>
  <c r="D270" i="13"/>
  <c r="D269" i="13" s="1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1" i="10"/>
  <c r="E21" i="10"/>
  <c r="H19" i="10"/>
  <c r="E19" i="10"/>
  <c r="H18" i="10"/>
  <c r="E18" i="10"/>
  <c r="H17" i="10"/>
  <c r="E17" i="10"/>
  <c r="H16" i="10"/>
  <c r="E16" i="10"/>
  <c r="H15" i="10"/>
  <c r="E15" i="10"/>
  <c r="H14" i="10"/>
  <c r="E14" i="10"/>
  <c r="H13" i="10"/>
  <c r="E13" i="10"/>
  <c r="H12" i="10"/>
  <c r="E12" i="10"/>
  <c r="H11" i="10"/>
  <c r="E11" i="10"/>
  <c r="H10" i="10"/>
  <c r="E10" i="10"/>
  <c r="J27" i="11"/>
  <c r="J28" i="11"/>
  <c r="J29" i="11"/>
  <c r="J19" i="11"/>
  <c r="J14" i="11"/>
  <c r="T73" i="13" l="1"/>
  <c r="T62" i="13"/>
  <c r="T289" i="13"/>
  <c r="T288" i="13" s="1"/>
  <c r="R61" i="13"/>
  <c r="R60" i="13" s="1"/>
  <c r="R13" i="13" s="1"/>
  <c r="R11" i="11"/>
  <c r="Q11" i="11"/>
  <c r="Y11" i="11"/>
  <c r="Z11" i="11"/>
  <c r="T61" i="13"/>
  <c r="R79" i="13"/>
  <c r="R555" i="13"/>
  <c r="R554" i="13" s="1"/>
  <c r="T564" i="13"/>
  <c r="T555" i="13" s="1"/>
  <c r="T554" i="13" s="1"/>
  <c r="R80" i="13"/>
  <c r="P298" i="13"/>
  <c r="P289" i="13" s="1"/>
  <c r="P288" i="13" s="1"/>
  <c r="O70" i="13"/>
  <c r="O61" i="13" s="1"/>
  <c r="O60" i="13" s="1"/>
  <c r="O13" i="13" s="1"/>
  <c r="N13" i="13"/>
  <c r="H563" i="13"/>
  <c r="H555" i="13" s="1"/>
  <c r="H554" i="13" s="1"/>
  <c r="D555" i="13"/>
  <c r="D554" i="13" s="1"/>
  <c r="D69" i="13"/>
  <c r="E61" i="13"/>
  <c r="E60" i="13" s="1"/>
  <c r="E16" i="13"/>
  <c r="D16" i="13" s="1"/>
  <c r="P564" i="13"/>
  <c r="P555" i="13" s="1"/>
  <c r="P554" i="13" s="1"/>
  <c r="H297" i="13"/>
  <c r="H289" i="13" s="1"/>
  <c r="H288" i="13" s="1"/>
  <c r="D289" i="13"/>
  <c r="D288" i="13" s="1"/>
  <c r="P89" i="13"/>
  <c r="P80" i="13" s="1"/>
  <c r="P79" i="13" s="1"/>
  <c r="H88" i="13"/>
  <c r="H80" i="13" s="1"/>
  <c r="H79" i="13" s="1"/>
  <c r="D80" i="13"/>
  <c r="D79" i="13" s="1"/>
  <c r="H31" i="10"/>
  <c r="E31" i="10"/>
  <c r="E34" i="10" s="1"/>
  <c r="F34" i="10" s="1"/>
  <c r="T60" i="13" l="1"/>
  <c r="T13" i="13" s="1"/>
  <c r="V13" i="13" s="1"/>
  <c r="E15" i="13"/>
  <c r="D15" i="13" s="1"/>
  <c r="E13" i="13"/>
  <c r="H69" i="13"/>
  <c r="D61" i="13"/>
  <c r="D60" i="13" s="1"/>
  <c r="D13" i="13" s="1"/>
  <c r="P70" i="13"/>
  <c r="P61" i="13" s="1"/>
  <c r="P60" i="13" s="1"/>
  <c r="P13" i="13" s="1"/>
  <c r="S12" i="11"/>
  <c r="U32" i="11"/>
  <c r="T32" i="11"/>
  <c r="J32" i="11"/>
  <c r="M32" i="11" s="1"/>
  <c r="J31" i="11"/>
  <c r="M31" i="11" s="1"/>
  <c r="J30" i="11"/>
  <c r="S30" i="11" s="1"/>
  <c r="U29" i="11"/>
  <c r="T29" i="11"/>
  <c r="S29" i="11"/>
  <c r="V29" i="11" s="1"/>
  <c r="X29" i="11" s="1"/>
  <c r="M29" i="11"/>
  <c r="L29" i="11"/>
  <c r="K29" i="11"/>
  <c r="U28" i="11"/>
  <c r="T28" i="11"/>
  <c r="S28" i="11"/>
  <c r="M28" i="11"/>
  <c r="L28" i="11"/>
  <c r="K28" i="11"/>
  <c r="U27" i="11"/>
  <c r="T27" i="11"/>
  <c r="S27" i="11"/>
  <c r="V27" i="11" s="1"/>
  <c r="X27" i="11" s="1"/>
  <c r="M27" i="11"/>
  <c r="L27" i="11"/>
  <c r="K27" i="11"/>
  <c r="J26" i="11"/>
  <c r="M26" i="11" s="1"/>
  <c r="J25" i="11"/>
  <c r="M25" i="11" s="1"/>
  <c r="J23" i="11"/>
  <c r="M23" i="11" s="1"/>
  <c r="J21" i="11"/>
  <c r="M21" i="11" s="1"/>
  <c r="J20" i="11"/>
  <c r="K20" i="11" s="1"/>
  <c r="U19" i="11"/>
  <c r="J18" i="11"/>
  <c r="S18" i="11" s="1"/>
  <c r="J17" i="11"/>
  <c r="L17" i="11" s="1"/>
  <c r="J16" i="11"/>
  <c r="K16" i="11" s="1"/>
  <c r="J15" i="11"/>
  <c r="K15" i="11" s="1"/>
  <c r="S14" i="11"/>
  <c r="J13" i="11"/>
  <c r="U12" i="11"/>
  <c r="T12" i="11"/>
  <c r="M12" i="11"/>
  <c r="L12" i="11"/>
  <c r="K12" i="11"/>
  <c r="A5" i="11"/>
  <c r="A4" i="11"/>
  <c r="H61" i="13" l="1"/>
  <c r="H60" i="13" s="1"/>
  <c r="H13" i="13" s="1"/>
  <c r="T33" i="11"/>
  <c r="U33" i="11"/>
  <c r="L33" i="11"/>
  <c r="L13" i="11"/>
  <c r="J33" i="11"/>
  <c r="N29" i="11"/>
  <c r="P29" i="11" s="1"/>
  <c r="Q29" i="11" s="1"/>
  <c r="S32" i="11"/>
  <c r="V32" i="11" s="1"/>
  <c r="X32" i="11" s="1"/>
  <c r="Z29" i="11"/>
  <c r="Y29" i="11"/>
  <c r="R29" i="11"/>
  <c r="Y27" i="11"/>
  <c r="Z27" i="11"/>
  <c r="T16" i="11"/>
  <c r="M16" i="11"/>
  <c r="U16" i="11"/>
  <c r="L16" i="11"/>
  <c r="V28" i="11"/>
  <c r="W28" i="11" s="1"/>
  <c r="X28" i="11" s="1"/>
  <c r="K32" i="11"/>
  <c r="T31" i="11"/>
  <c r="L20" i="11"/>
  <c r="N20" i="11" s="1"/>
  <c r="K13" i="11"/>
  <c r="M18" i="11"/>
  <c r="K21" i="11"/>
  <c r="N21" i="11" s="1"/>
  <c r="O21" i="11" s="1"/>
  <c r="P21" i="11" s="1"/>
  <c r="U31" i="11"/>
  <c r="U25" i="11"/>
  <c r="K17" i="11"/>
  <c r="U30" i="11"/>
  <c r="M13" i="11"/>
  <c r="T26" i="11"/>
  <c r="U26" i="11"/>
  <c r="U14" i="11"/>
  <c r="N12" i="11"/>
  <c r="T18" i="11"/>
  <c r="L21" i="11"/>
  <c r="M20" i="11"/>
  <c r="T30" i="11"/>
  <c r="V30" i="11" s="1"/>
  <c r="W30" i="11" s="1"/>
  <c r="X30" i="11" s="1"/>
  <c r="S26" i="11"/>
  <c r="U20" i="11"/>
  <c r="S31" i="11"/>
  <c r="U18" i="11"/>
  <c r="S20" i="11"/>
  <c r="T20" i="11"/>
  <c r="M17" i="11"/>
  <c r="L32" i="11"/>
  <c r="S16" i="11"/>
  <c r="V16" i="11" s="1"/>
  <c r="W16" i="11" s="1"/>
  <c r="X16" i="11" s="1"/>
  <c r="N28" i="11"/>
  <c r="O28" i="11" s="1"/>
  <c r="P28" i="11" s="1"/>
  <c r="V12" i="11"/>
  <c r="N16" i="11"/>
  <c r="N27" i="11"/>
  <c r="P27" i="11" s="1"/>
  <c r="M15" i="11"/>
  <c r="L15" i="11"/>
  <c r="M19" i="11"/>
  <c r="L19" i="11"/>
  <c r="K19" i="11"/>
  <c r="K14" i="11"/>
  <c r="S15" i="11"/>
  <c r="K25" i="11"/>
  <c r="L14" i="11"/>
  <c r="T15" i="11"/>
  <c r="U23" i="11"/>
  <c r="T23" i="11"/>
  <c r="S23" i="11"/>
  <c r="L25" i="11"/>
  <c r="M14" i="11"/>
  <c r="M33" i="11" s="1"/>
  <c r="U15" i="11"/>
  <c r="K18" i="11"/>
  <c r="S19" i="11"/>
  <c r="K23" i="11"/>
  <c r="S25" i="11"/>
  <c r="M30" i="11"/>
  <c r="L30" i="11"/>
  <c r="U13" i="11"/>
  <c r="T13" i="11"/>
  <c r="S13" i="11"/>
  <c r="T14" i="11"/>
  <c r="U17" i="11"/>
  <c r="T17" i="11"/>
  <c r="S17" i="11"/>
  <c r="L18" i="11"/>
  <c r="T19" i="11"/>
  <c r="L23" i="11"/>
  <c r="T25" i="11"/>
  <c r="K30" i="11"/>
  <c r="U21" i="11"/>
  <c r="T21" i="11"/>
  <c r="S21" i="11"/>
  <c r="K26" i="11"/>
  <c r="K31" i="11"/>
  <c r="L26" i="11"/>
  <c r="L31" i="11"/>
  <c r="Z16" i="11" l="1"/>
  <c r="Y16" i="11"/>
  <c r="Z30" i="11"/>
  <c r="Y30" i="11"/>
  <c r="V21" i="11"/>
  <c r="W21" i="11" s="1"/>
  <c r="X21" i="11" s="1"/>
  <c r="N32" i="11"/>
  <c r="Z32" i="11"/>
  <c r="Y32" i="11"/>
  <c r="S33" i="11"/>
  <c r="K33" i="11"/>
  <c r="X12" i="11"/>
  <c r="Y12" i="11" s="1"/>
  <c r="O32" i="11"/>
  <c r="P32" i="11" s="1"/>
  <c r="O16" i="11"/>
  <c r="P16" i="11"/>
  <c r="O20" i="11"/>
  <c r="P20" i="11" s="1"/>
  <c r="N17" i="11"/>
  <c r="P17" i="11" s="1"/>
  <c r="Y28" i="11"/>
  <c r="Z28" i="11"/>
  <c r="R28" i="11"/>
  <c r="Q28" i="11"/>
  <c r="R27" i="11"/>
  <c r="Q27" i="11"/>
  <c r="R21" i="11"/>
  <c r="Q21" i="11"/>
  <c r="Z21" i="11"/>
  <c r="Y21" i="11"/>
  <c r="Z12" i="11"/>
  <c r="P12" i="11"/>
  <c r="V14" i="11"/>
  <c r="X14" i="11" s="1"/>
  <c r="V18" i="11"/>
  <c r="X18" i="11" s="1"/>
  <c r="N13" i="11"/>
  <c r="O13" i="11" s="1"/>
  <c r="V31" i="11"/>
  <c r="W31" i="11" s="1"/>
  <c r="X31" i="11" s="1"/>
  <c r="N19" i="11"/>
  <c r="V26" i="11"/>
  <c r="W26" i="11" s="1"/>
  <c r="X26" i="11" s="1"/>
  <c r="V20" i="11"/>
  <c r="W20" i="11" s="1"/>
  <c r="X20" i="11" s="1"/>
  <c r="V17" i="11"/>
  <c r="X17" i="11" s="1"/>
  <c r="N23" i="11"/>
  <c r="O23" i="11" s="1"/>
  <c r="P23" i="11" s="1"/>
  <c r="N15" i="11"/>
  <c r="P15" i="11" s="1"/>
  <c r="V25" i="11"/>
  <c r="W25" i="11" s="1"/>
  <c r="X25" i="11" s="1"/>
  <c r="N31" i="11"/>
  <c r="N26" i="11"/>
  <c r="O26" i="11" s="1"/>
  <c r="P26" i="11" s="1"/>
  <c r="V15" i="11"/>
  <c r="X15" i="11" s="1"/>
  <c r="N14" i="11"/>
  <c r="P14" i="11" s="1"/>
  <c r="V23" i="11"/>
  <c r="W23" i="11" s="1"/>
  <c r="X23" i="11" s="1"/>
  <c r="V19" i="11"/>
  <c r="W19" i="11" s="1"/>
  <c r="X19" i="11" s="1"/>
  <c r="V13" i="11"/>
  <c r="W13" i="11" s="1"/>
  <c r="W33" i="11" s="1"/>
  <c r="N18" i="11"/>
  <c r="P18" i="11" s="1"/>
  <c r="N30" i="11"/>
  <c r="N25" i="11"/>
  <c r="O25" i="11" s="1"/>
  <c r="P25" i="11" s="1"/>
  <c r="Z15" i="11" l="1"/>
  <c r="Y15" i="11"/>
  <c r="Y18" i="11"/>
  <c r="Z18" i="11"/>
  <c r="Q25" i="11"/>
  <c r="R25" i="11"/>
  <c r="Y26" i="11"/>
  <c r="Z26" i="11"/>
  <c r="Z23" i="11"/>
  <c r="Y23" i="11"/>
  <c r="Y17" i="11"/>
  <c r="Z17" i="11"/>
  <c r="Z31" i="11"/>
  <c r="Y31" i="11"/>
  <c r="R15" i="11"/>
  <c r="Q15" i="11"/>
  <c r="Y25" i="11"/>
  <c r="Z25" i="11"/>
  <c r="Z20" i="11"/>
  <c r="Y20" i="11"/>
  <c r="V33" i="11"/>
  <c r="P13" i="11"/>
  <c r="N33" i="11"/>
  <c r="R20" i="11"/>
  <c r="Q20" i="11"/>
  <c r="O31" i="11"/>
  <c r="P31" i="11"/>
  <c r="O30" i="11"/>
  <c r="P30" i="11" s="1"/>
  <c r="R23" i="11"/>
  <c r="Q23" i="11"/>
  <c r="R26" i="11"/>
  <c r="Q26" i="11"/>
  <c r="Q17" i="11"/>
  <c r="R17" i="11"/>
  <c r="R16" i="11"/>
  <c r="Q16" i="11"/>
  <c r="Q32" i="11"/>
  <c r="R32" i="11"/>
  <c r="R18" i="11"/>
  <c r="Q18" i="11"/>
  <c r="O19" i="11"/>
  <c r="P19" i="11" s="1"/>
  <c r="Y19" i="11"/>
  <c r="Z19" i="11"/>
  <c r="R14" i="11"/>
  <c r="Q14" i="11"/>
  <c r="Y14" i="11"/>
  <c r="Z14" i="11"/>
  <c r="R13" i="11"/>
  <c r="Q13" i="11"/>
  <c r="X13" i="11"/>
  <c r="X33" i="11" s="1"/>
  <c r="R12" i="11"/>
  <c r="Q12" i="11"/>
  <c r="O33" i="11" l="1"/>
  <c r="P33" i="11"/>
  <c r="P36" i="11" s="1"/>
  <c r="R30" i="11"/>
  <c r="Q30" i="11"/>
  <c r="R31" i="11"/>
  <c r="Q31" i="11"/>
  <c r="R19" i="11"/>
  <c r="R33" i="11" s="1"/>
  <c r="Q19" i="11"/>
  <c r="Q33" i="11" s="1"/>
  <c r="Z13" i="11"/>
  <c r="Z33" i="11" s="1"/>
  <c r="Y13" i="11"/>
  <c r="Y33" i="11" s="1"/>
  <c r="D154" i="9" l="1"/>
  <c r="D58" i="9"/>
  <c r="D47" i="9"/>
  <c r="C20" i="9"/>
  <c r="C21" i="9"/>
  <c r="D20" i="9" l="1"/>
  <c r="F23" i="9"/>
  <c r="E23" i="9"/>
  <c r="C22" i="9"/>
  <c r="C26" i="9" s="1"/>
  <c r="B26" i="9"/>
  <c r="B25" i="9"/>
  <c r="C24" i="9"/>
  <c r="B24" i="9"/>
  <c r="F19" i="9"/>
  <c r="E19" i="9"/>
  <c r="D18" i="9"/>
  <c r="D16" i="9"/>
  <c r="F15" i="9"/>
  <c r="F14" i="9" s="1"/>
  <c r="E15" i="9"/>
  <c r="E14" i="9" s="1"/>
  <c r="C15" i="9"/>
  <c r="C14" i="9" s="1"/>
  <c r="B15" i="9"/>
  <c r="B14" i="9" s="1"/>
  <c r="F54" i="9"/>
  <c r="E54" i="9"/>
  <c r="C53" i="9"/>
  <c r="C57" i="9" s="1"/>
  <c r="C52" i="9"/>
  <c r="C56" i="9" s="1"/>
  <c r="B56" i="9"/>
  <c r="C51" i="9"/>
  <c r="B55" i="9"/>
  <c r="F50" i="9"/>
  <c r="E50" i="9"/>
  <c r="D49" i="9"/>
  <c r="D46" i="9" s="1"/>
  <c r="D45" i="9" s="1"/>
  <c r="F46" i="9"/>
  <c r="F45" i="9" s="1"/>
  <c r="E46" i="9"/>
  <c r="E45" i="9" s="1"/>
  <c r="C46" i="9"/>
  <c r="C45" i="9" s="1"/>
  <c r="B46" i="9"/>
  <c r="B45" i="9" s="1"/>
  <c r="F85" i="9"/>
  <c r="E85" i="9"/>
  <c r="C84" i="9"/>
  <c r="C88" i="9" s="1"/>
  <c r="C83" i="9"/>
  <c r="B87" i="9"/>
  <c r="C82" i="9"/>
  <c r="F81" i="9"/>
  <c r="E81" i="9"/>
  <c r="D80" i="9"/>
  <c r="D79" i="9"/>
  <c r="D78" i="9"/>
  <c r="F77" i="9"/>
  <c r="F76" i="9" s="1"/>
  <c r="E77" i="9"/>
  <c r="E76" i="9" s="1"/>
  <c r="C77" i="9"/>
  <c r="C76" i="9" s="1"/>
  <c r="B77" i="9"/>
  <c r="B76" i="9" s="1"/>
  <c r="F116" i="9"/>
  <c r="E116" i="9"/>
  <c r="C115" i="9"/>
  <c r="C119" i="9" s="1"/>
  <c r="B119" i="9"/>
  <c r="D119" i="9" s="1"/>
  <c r="C114" i="9"/>
  <c r="C118" i="9" s="1"/>
  <c r="C113" i="9"/>
  <c r="C117" i="9" s="1"/>
  <c r="F112" i="9"/>
  <c r="E112" i="9"/>
  <c r="D111" i="9"/>
  <c r="D110" i="9"/>
  <c r="D109" i="9"/>
  <c r="F108" i="9"/>
  <c r="F107" i="9" s="1"/>
  <c r="E108" i="9"/>
  <c r="E107" i="9" s="1"/>
  <c r="C108" i="9"/>
  <c r="C107" i="9" s="1"/>
  <c r="B108" i="9"/>
  <c r="B107" i="9" s="1"/>
  <c r="F150" i="9"/>
  <c r="E150" i="9"/>
  <c r="C149" i="9"/>
  <c r="C153" i="9" s="1"/>
  <c r="B153" i="9"/>
  <c r="C148" i="9"/>
  <c r="C152" i="9" s="1"/>
  <c r="B152" i="9"/>
  <c r="C147" i="9"/>
  <c r="C151" i="9" s="1"/>
  <c r="F146" i="9"/>
  <c r="E146" i="9"/>
  <c r="D145" i="9"/>
  <c r="D144" i="9"/>
  <c r="D143" i="9"/>
  <c r="F142" i="9"/>
  <c r="F141" i="9" s="1"/>
  <c r="E142" i="9"/>
  <c r="E141" i="9" s="1"/>
  <c r="C142" i="9"/>
  <c r="C141" i="9" s="1"/>
  <c r="B142" i="9"/>
  <c r="B141" i="9" s="1"/>
  <c r="F184" i="9"/>
  <c r="E184" i="9"/>
  <c r="C183" i="9"/>
  <c r="C187" i="9" s="1"/>
  <c r="B187" i="9"/>
  <c r="C182" i="9"/>
  <c r="C186" i="9" s="1"/>
  <c r="C181" i="9"/>
  <c r="F180" i="9"/>
  <c r="E180" i="9"/>
  <c r="D179" i="9"/>
  <c r="D178" i="9"/>
  <c r="D177" i="9"/>
  <c r="F176" i="9"/>
  <c r="F175" i="9" s="1"/>
  <c r="E176" i="9"/>
  <c r="E175" i="9" s="1"/>
  <c r="C176" i="9"/>
  <c r="C175" i="9" s="1"/>
  <c r="B176" i="9"/>
  <c r="B175" i="9" s="1"/>
  <c r="F216" i="9"/>
  <c r="E216" i="9"/>
  <c r="C215" i="9"/>
  <c r="C219" i="9" s="1"/>
  <c r="B219" i="9"/>
  <c r="C214" i="9"/>
  <c r="C218" i="9" s="1"/>
  <c r="C213" i="9"/>
  <c r="B217" i="9"/>
  <c r="F212" i="9"/>
  <c r="E212" i="9"/>
  <c r="D211" i="9"/>
  <c r="D210" i="9"/>
  <c r="D209" i="9"/>
  <c r="F208" i="9"/>
  <c r="F207" i="9" s="1"/>
  <c r="E208" i="9"/>
  <c r="E207" i="9" s="1"/>
  <c r="C208" i="9"/>
  <c r="C207" i="9" s="1"/>
  <c r="B208" i="9"/>
  <c r="B207" i="9" s="1"/>
  <c r="F248" i="9"/>
  <c r="E248" i="9"/>
  <c r="C247" i="9"/>
  <c r="C251" i="9" s="1"/>
  <c r="B251" i="9"/>
  <c r="C246" i="9"/>
  <c r="C250" i="9" s="1"/>
  <c r="B250" i="9"/>
  <c r="C245" i="9"/>
  <c r="B249" i="9"/>
  <c r="F244" i="9"/>
  <c r="E244" i="9"/>
  <c r="D243" i="9"/>
  <c r="D242" i="9"/>
  <c r="D241" i="9"/>
  <c r="F240" i="9"/>
  <c r="F239" i="9" s="1"/>
  <c r="E240" i="9"/>
  <c r="E239" i="9" s="1"/>
  <c r="C240" i="9"/>
  <c r="C239" i="9" s="1"/>
  <c r="B240" i="9"/>
  <c r="B239" i="9" s="1"/>
  <c r="F279" i="9"/>
  <c r="E279" i="9"/>
  <c r="C278" i="9"/>
  <c r="C282" i="9" s="1"/>
  <c r="B282" i="9"/>
  <c r="C277" i="9"/>
  <c r="C281" i="9" s="1"/>
  <c r="C276" i="9"/>
  <c r="C280" i="9" s="1"/>
  <c r="B280" i="9"/>
  <c r="F275" i="9"/>
  <c r="E275" i="9"/>
  <c r="D274" i="9"/>
  <c r="D273" i="9"/>
  <c r="D272" i="9"/>
  <c r="F271" i="9"/>
  <c r="F270" i="9" s="1"/>
  <c r="E271" i="9"/>
  <c r="E270" i="9" s="1"/>
  <c r="C271" i="9"/>
  <c r="C270" i="9" s="1"/>
  <c r="B271" i="9"/>
  <c r="B270" i="9" s="1"/>
  <c r="F311" i="9"/>
  <c r="E311" i="9"/>
  <c r="C310" i="9"/>
  <c r="C314" i="9" s="1"/>
  <c r="B310" i="9"/>
  <c r="B314" i="9" s="1"/>
  <c r="C309" i="9"/>
  <c r="C313" i="9" s="1"/>
  <c r="B309" i="9"/>
  <c r="C308" i="9"/>
  <c r="C312" i="9" s="1"/>
  <c r="B308" i="9"/>
  <c r="B312" i="9" s="1"/>
  <c r="F307" i="9"/>
  <c r="E307" i="9"/>
  <c r="D306" i="9"/>
  <c r="D305" i="9"/>
  <c r="D304" i="9"/>
  <c r="F303" i="9"/>
  <c r="F302" i="9" s="1"/>
  <c r="E303" i="9"/>
  <c r="E302" i="9" s="1"/>
  <c r="C303" i="9"/>
  <c r="C302" i="9" s="1"/>
  <c r="B303" i="9"/>
  <c r="B302" i="9" s="1"/>
  <c r="F341" i="9"/>
  <c r="E341" i="9"/>
  <c r="C340" i="9"/>
  <c r="C344" i="9" s="1"/>
  <c r="B340" i="9"/>
  <c r="B344" i="9" s="1"/>
  <c r="C339" i="9"/>
  <c r="C343" i="9" s="1"/>
  <c r="B339" i="9"/>
  <c r="B343" i="9" s="1"/>
  <c r="C338" i="9"/>
  <c r="C342" i="9" s="1"/>
  <c r="B338" i="9"/>
  <c r="B342" i="9" s="1"/>
  <c r="F337" i="9"/>
  <c r="E337" i="9"/>
  <c r="D336" i="9"/>
  <c r="D335" i="9"/>
  <c r="D334" i="9"/>
  <c r="F333" i="9"/>
  <c r="F332" i="9" s="1"/>
  <c r="E333" i="9"/>
  <c r="E332" i="9" s="1"/>
  <c r="C333" i="9"/>
  <c r="C332" i="9" s="1"/>
  <c r="B333" i="9"/>
  <c r="B332" i="9" s="1"/>
  <c r="F370" i="9"/>
  <c r="E370" i="9"/>
  <c r="C369" i="9"/>
  <c r="C373" i="9" s="1"/>
  <c r="B369" i="9"/>
  <c r="B373" i="9" s="1"/>
  <c r="C368" i="9"/>
  <c r="C372" i="9" s="1"/>
  <c r="B368" i="9"/>
  <c r="C367" i="9"/>
  <c r="C371" i="9" s="1"/>
  <c r="B367" i="9"/>
  <c r="B371" i="9" s="1"/>
  <c r="F366" i="9"/>
  <c r="E366" i="9"/>
  <c r="D365" i="9"/>
  <c r="D364" i="9"/>
  <c r="D363" i="9"/>
  <c r="F362" i="9"/>
  <c r="F361" i="9" s="1"/>
  <c r="E362" i="9"/>
  <c r="E361" i="9" s="1"/>
  <c r="C362" i="9"/>
  <c r="C361" i="9" s="1"/>
  <c r="B362" i="9"/>
  <c r="B361" i="9" s="1"/>
  <c r="F398" i="9"/>
  <c r="E398" i="9"/>
  <c r="C397" i="9"/>
  <c r="C401" i="9" s="1"/>
  <c r="B397" i="9"/>
  <c r="B401" i="9" s="1"/>
  <c r="C396" i="9"/>
  <c r="C400" i="9" s="1"/>
  <c r="B396" i="9"/>
  <c r="B400" i="9" s="1"/>
  <c r="C395" i="9"/>
  <c r="B395" i="9"/>
  <c r="F394" i="9"/>
  <c r="E394" i="9"/>
  <c r="D393" i="9"/>
  <c r="D392" i="9"/>
  <c r="D391" i="9"/>
  <c r="F390" i="9"/>
  <c r="F389" i="9" s="1"/>
  <c r="E390" i="9"/>
  <c r="E389" i="9" s="1"/>
  <c r="C390" i="9"/>
  <c r="C389" i="9" s="1"/>
  <c r="B390" i="9"/>
  <c r="B389" i="9" s="1"/>
  <c r="B383" i="9" s="1"/>
  <c r="B376" i="9" s="1"/>
  <c r="B375" i="9" s="1"/>
  <c r="F427" i="9"/>
  <c r="E427" i="9"/>
  <c r="C426" i="9"/>
  <c r="C430" i="9" s="1"/>
  <c r="B426" i="9"/>
  <c r="C425" i="9"/>
  <c r="C429" i="9" s="1"/>
  <c r="B425" i="9"/>
  <c r="B429" i="9" s="1"/>
  <c r="C424" i="9"/>
  <c r="B424" i="9"/>
  <c r="F423" i="9"/>
  <c r="E423" i="9"/>
  <c r="D422" i="9"/>
  <c r="D421" i="9"/>
  <c r="D420" i="9"/>
  <c r="F419" i="9"/>
  <c r="F418" i="9" s="1"/>
  <c r="E419" i="9"/>
  <c r="E418" i="9" s="1"/>
  <c r="C419" i="9"/>
  <c r="C418" i="9" s="1"/>
  <c r="B419" i="9"/>
  <c r="B418" i="9" s="1"/>
  <c r="F455" i="9"/>
  <c r="E455" i="9"/>
  <c r="C454" i="9"/>
  <c r="C458" i="9" s="1"/>
  <c r="B454" i="9"/>
  <c r="B458" i="9" s="1"/>
  <c r="C453" i="9"/>
  <c r="C457" i="9" s="1"/>
  <c r="B453" i="9"/>
  <c r="B457" i="9" s="1"/>
  <c r="C452" i="9"/>
  <c r="B452" i="9"/>
  <c r="F451" i="9"/>
  <c r="E451" i="9"/>
  <c r="D450" i="9"/>
  <c r="D449" i="9"/>
  <c r="D448" i="9"/>
  <c r="F447" i="9"/>
  <c r="F446" i="9" s="1"/>
  <c r="E447" i="9"/>
  <c r="E446" i="9" s="1"/>
  <c r="C447" i="9"/>
  <c r="C446" i="9" s="1"/>
  <c r="B447" i="9"/>
  <c r="B446" i="9" s="1"/>
  <c r="F483" i="9"/>
  <c r="E483" i="9"/>
  <c r="C482" i="9"/>
  <c r="C486" i="9" s="1"/>
  <c r="B482" i="9"/>
  <c r="B486" i="9" s="1"/>
  <c r="C485" i="9"/>
  <c r="B481" i="9"/>
  <c r="B485" i="9" s="1"/>
  <c r="C480" i="9"/>
  <c r="B480" i="9"/>
  <c r="F479" i="9"/>
  <c r="E479" i="9"/>
  <c r="D478" i="9"/>
  <c r="D477" i="9"/>
  <c r="D476" i="9"/>
  <c r="F475" i="9"/>
  <c r="F474" i="9" s="1"/>
  <c r="E475" i="9"/>
  <c r="E474" i="9" s="1"/>
  <c r="C475" i="9"/>
  <c r="C474" i="9" s="1"/>
  <c r="B475" i="9"/>
  <c r="B474" i="9" s="1"/>
  <c r="B468" i="9" s="1"/>
  <c r="B461" i="9" s="1"/>
  <c r="B460" i="9" s="1"/>
  <c r="F511" i="9"/>
  <c r="E511" i="9"/>
  <c r="C510" i="9"/>
  <c r="C514" i="9" s="1"/>
  <c r="B510" i="9"/>
  <c r="B514" i="9" s="1"/>
  <c r="C509" i="9"/>
  <c r="C513" i="9" s="1"/>
  <c r="B509" i="9"/>
  <c r="B513" i="9" s="1"/>
  <c r="C508" i="9"/>
  <c r="B508" i="9"/>
  <c r="F507" i="9"/>
  <c r="E507" i="9"/>
  <c r="D506" i="9"/>
  <c r="D505" i="9"/>
  <c r="D504" i="9"/>
  <c r="F503" i="9"/>
  <c r="F502" i="9" s="1"/>
  <c r="E503" i="9"/>
  <c r="E502" i="9" s="1"/>
  <c r="C503" i="9"/>
  <c r="C502" i="9" s="1"/>
  <c r="B503" i="9"/>
  <c r="B502" i="9" s="1"/>
  <c r="D559" i="9"/>
  <c r="D558" i="9"/>
  <c r="D557" i="9"/>
  <c r="D556" i="9"/>
  <c r="D555" i="9"/>
  <c r="D554" i="9"/>
  <c r="D564" i="9"/>
  <c r="D565" i="9"/>
  <c r="D566" i="9"/>
  <c r="D563" i="9"/>
  <c r="C562" i="9"/>
  <c r="C560" i="9" s="1"/>
  <c r="E562" i="9"/>
  <c r="E560" i="9" s="1"/>
  <c r="F562" i="9"/>
  <c r="F560" i="9" s="1"/>
  <c r="C551" i="9"/>
  <c r="E551" i="9"/>
  <c r="F551" i="9"/>
  <c r="B562" i="9"/>
  <c r="B560" i="9" s="1"/>
  <c r="B551" i="9"/>
  <c r="C19" i="9" l="1"/>
  <c r="D457" i="9"/>
  <c r="D447" i="9"/>
  <c r="D446" i="9" s="1"/>
  <c r="D553" i="9"/>
  <c r="D362" i="9"/>
  <c r="D361" i="9" s="1"/>
  <c r="C507" i="9"/>
  <c r="D333" i="9"/>
  <c r="D332" i="9" s="1"/>
  <c r="D426" i="9"/>
  <c r="B507" i="9"/>
  <c r="D452" i="9"/>
  <c r="D344" i="9"/>
  <c r="D282" i="9"/>
  <c r="D343" i="9"/>
  <c r="D53" i="9"/>
  <c r="D562" i="9"/>
  <c r="D560" i="9" s="1"/>
  <c r="D475" i="9"/>
  <c r="D474" i="9" s="1"/>
  <c r="D303" i="9"/>
  <c r="D302" i="9" s="1"/>
  <c r="D219" i="9"/>
  <c r="D419" i="9"/>
  <c r="D418" i="9" s="1"/>
  <c r="D400" i="9"/>
  <c r="B23" i="9"/>
  <c r="D142" i="9"/>
  <c r="D141" i="9" s="1"/>
  <c r="D401" i="9"/>
  <c r="C341" i="9"/>
  <c r="D153" i="9"/>
  <c r="D390" i="9"/>
  <c r="D389" i="9" s="1"/>
  <c r="C451" i="9"/>
  <c r="D373" i="9"/>
  <c r="D84" i="9"/>
  <c r="D26" i="9"/>
  <c r="C279" i="9"/>
  <c r="C212" i="9"/>
  <c r="D486" i="9"/>
  <c r="B394" i="9"/>
  <c r="B146" i="9"/>
  <c r="C394" i="9"/>
  <c r="D314" i="9"/>
  <c r="D277" i="9"/>
  <c r="D271" i="9"/>
  <c r="D270" i="9" s="1"/>
  <c r="D214" i="9"/>
  <c r="D108" i="9"/>
  <c r="D107" i="9" s="1"/>
  <c r="D114" i="9"/>
  <c r="D458" i="9"/>
  <c r="D240" i="9"/>
  <c r="D239" i="9" s="1"/>
  <c r="D514" i="9"/>
  <c r="D503" i="9"/>
  <c r="D502" i="9" s="1"/>
  <c r="C244" i="9"/>
  <c r="C180" i="9"/>
  <c r="B479" i="9"/>
  <c r="D424" i="9"/>
  <c r="D208" i="9"/>
  <c r="D207" i="9" s="1"/>
  <c r="D551" i="9"/>
  <c r="C479" i="9"/>
  <c r="C423" i="9"/>
  <c r="C370" i="9"/>
  <c r="C311" i="9"/>
  <c r="D485" i="9"/>
  <c r="D429" i="9"/>
  <c r="D368" i="9"/>
  <c r="D309" i="9"/>
  <c r="D251" i="9"/>
  <c r="C81" i="9"/>
  <c r="D77" i="9"/>
  <c r="D76" i="9" s="1"/>
  <c r="C50" i="9"/>
  <c r="D51" i="9"/>
  <c r="D250" i="9"/>
  <c r="C87" i="9"/>
  <c r="D87" i="9" s="1"/>
  <c r="D83" i="9"/>
  <c r="D186" i="9"/>
  <c r="C185" i="9"/>
  <c r="C184" i="9" s="1"/>
  <c r="D176" i="9"/>
  <c r="D175" i="9" s="1"/>
  <c r="B180" i="9"/>
  <c r="C150" i="9"/>
  <c r="D152" i="9"/>
  <c r="C116" i="9"/>
  <c r="B112" i="9"/>
  <c r="D82" i="9"/>
  <c r="B88" i="9"/>
  <c r="D88" i="9" s="1"/>
  <c r="D15" i="9"/>
  <c r="D14" i="9" s="1"/>
  <c r="D24" i="9"/>
  <c r="D21" i="9"/>
  <c r="C25" i="9"/>
  <c r="C23" i="9" s="1"/>
  <c r="D22" i="9"/>
  <c r="D56" i="9"/>
  <c r="D52" i="9"/>
  <c r="B50" i="9"/>
  <c r="B57" i="9"/>
  <c r="D57" i="9" s="1"/>
  <c r="C55" i="9"/>
  <c r="C54" i="9" s="1"/>
  <c r="B86" i="9"/>
  <c r="C86" i="9"/>
  <c r="B81" i="9"/>
  <c r="D113" i="9"/>
  <c r="B118" i="9"/>
  <c r="D118" i="9" s="1"/>
  <c r="C112" i="9"/>
  <c r="D115" i="9"/>
  <c r="B117" i="9"/>
  <c r="D148" i="9"/>
  <c r="C146" i="9"/>
  <c r="D149" i="9"/>
  <c r="D147" i="9"/>
  <c r="B151" i="9"/>
  <c r="D187" i="9"/>
  <c r="D181" i="9"/>
  <c r="B185" i="9"/>
  <c r="D182" i="9"/>
  <c r="D183" i="9"/>
  <c r="D213" i="9"/>
  <c r="C217" i="9"/>
  <c r="C216" i="9" s="1"/>
  <c r="B218" i="9"/>
  <c r="D218" i="9" s="1"/>
  <c r="B212" i="9"/>
  <c r="D215" i="9"/>
  <c r="B248" i="9"/>
  <c r="B257" i="9" s="1"/>
  <c r="B255" i="9" s="1"/>
  <c r="B254" i="9" s="1"/>
  <c r="B253" i="9" s="1"/>
  <c r="D245" i="9"/>
  <c r="C249" i="9"/>
  <c r="C248" i="9" s="1"/>
  <c r="D246" i="9"/>
  <c r="B244" i="9"/>
  <c r="D247" i="9"/>
  <c r="D280" i="9"/>
  <c r="D276" i="9"/>
  <c r="B281" i="9"/>
  <c r="D281" i="9" s="1"/>
  <c r="B275" i="9"/>
  <c r="C275" i="9"/>
  <c r="D278" i="9"/>
  <c r="D312" i="9"/>
  <c r="D308" i="9"/>
  <c r="B313" i="9"/>
  <c r="D313" i="9" s="1"/>
  <c r="B307" i="9"/>
  <c r="C307" i="9"/>
  <c r="D310" i="9"/>
  <c r="D342" i="9"/>
  <c r="D341" i="9" s="1"/>
  <c r="B341" i="9"/>
  <c r="D338" i="9"/>
  <c r="D339" i="9"/>
  <c r="C337" i="9"/>
  <c r="D340" i="9"/>
  <c r="B337" i="9"/>
  <c r="D371" i="9"/>
  <c r="D367" i="9"/>
  <c r="B372" i="9"/>
  <c r="D372" i="9" s="1"/>
  <c r="B366" i="9"/>
  <c r="C366" i="9"/>
  <c r="D369" i="9"/>
  <c r="B399" i="9"/>
  <c r="C399" i="9"/>
  <c r="C398" i="9" s="1"/>
  <c r="D396" i="9"/>
  <c r="D397" i="9"/>
  <c r="D395" i="9"/>
  <c r="B428" i="9"/>
  <c r="C428" i="9"/>
  <c r="C427" i="9" s="1"/>
  <c r="D425" i="9"/>
  <c r="B423" i="9"/>
  <c r="B430" i="9"/>
  <c r="D430" i="9" s="1"/>
  <c r="B456" i="9"/>
  <c r="C456" i="9"/>
  <c r="C455" i="9" s="1"/>
  <c r="D453" i="9"/>
  <c r="B451" i="9"/>
  <c r="D454" i="9"/>
  <c r="D480" i="9"/>
  <c r="B484" i="9"/>
  <c r="C484" i="9"/>
  <c r="C483" i="9" s="1"/>
  <c r="D481" i="9"/>
  <c r="D482" i="9"/>
  <c r="D513" i="9"/>
  <c r="D508" i="9"/>
  <c r="B512" i="9"/>
  <c r="C512" i="9"/>
  <c r="C511" i="9" s="1"/>
  <c r="D509" i="9"/>
  <c r="D510" i="9"/>
  <c r="E550" i="9"/>
  <c r="E549" i="9" s="1"/>
  <c r="C550" i="9"/>
  <c r="C549" i="9" s="1"/>
  <c r="F550" i="9"/>
  <c r="F549" i="9" s="1"/>
  <c r="B550" i="9"/>
  <c r="B549" i="9" s="1"/>
  <c r="D596" i="9"/>
  <c r="D595" i="9"/>
  <c r="D594" i="9"/>
  <c r="F593" i="9"/>
  <c r="F591" i="9" s="1"/>
  <c r="E593" i="9"/>
  <c r="E591" i="9" s="1"/>
  <c r="B593" i="9"/>
  <c r="B591" i="9" s="1"/>
  <c r="D589" i="9"/>
  <c r="D588" i="9"/>
  <c r="D587" i="9"/>
  <c r="F586" i="9"/>
  <c r="F584" i="9" s="1"/>
  <c r="E586" i="9"/>
  <c r="E584" i="9" s="1"/>
  <c r="C586" i="9"/>
  <c r="C584" i="9" s="1"/>
  <c r="B586" i="9"/>
  <c r="B584" i="9" s="1"/>
  <c r="D585" i="9"/>
  <c r="F577" i="9"/>
  <c r="E577" i="9"/>
  <c r="C576" i="9"/>
  <c r="C580" i="9" s="1"/>
  <c r="B576" i="9"/>
  <c r="B580" i="9" s="1"/>
  <c r="C575" i="9"/>
  <c r="C579" i="9" s="1"/>
  <c r="B575" i="9"/>
  <c r="B579" i="9" s="1"/>
  <c r="C574" i="9"/>
  <c r="B574" i="9"/>
  <c r="F573" i="9"/>
  <c r="E573" i="9"/>
  <c r="D572" i="9"/>
  <c r="D571" i="9"/>
  <c r="D570" i="9"/>
  <c r="F569" i="9"/>
  <c r="F568" i="9" s="1"/>
  <c r="E569" i="9"/>
  <c r="E568" i="9" s="1"/>
  <c r="C569" i="9"/>
  <c r="C568" i="9" s="1"/>
  <c r="B569" i="9"/>
  <c r="B568" i="9" s="1"/>
  <c r="D593" i="9" l="1"/>
  <c r="D591" i="9" s="1"/>
  <c r="D586" i="9"/>
  <c r="D584" i="9" s="1"/>
  <c r="D583" i="9" s="1"/>
  <c r="D423" i="9"/>
  <c r="C573" i="9"/>
  <c r="D550" i="9"/>
  <c r="D549" i="9" s="1"/>
  <c r="D451" i="9"/>
  <c r="D394" i="9"/>
  <c r="D580" i="9"/>
  <c r="B573" i="9"/>
  <c r="D569" i="9"/>
  <c r="D568" i="9" s="1"/>
  <c r="F583" i="9"/>
  <c r="F582" i="9" s="1"/>
  <c r="E583" i="9"/>
  <c r="E582" i="9" s="1"/>
  <c r="D579" i="9"/>
  <c r="B370" i="9"/>
  <c r="D249" i="9"/>
  <c r="D248" i="9" s="1"/>
  <c r="B311" i="9"/>
  <c r="C583" i="9"/>
  <c r="C582" i="9" s="1"/>
  <c r="B583" i="9"/>
  <c r="B582" i="9" s="1"/>
  <c r="D311" i="9"/>
  <c r="D370" i="9"/>
  <c r="D81" i="9"/>
  <c r="C85" i="9"/>
  <c r="D146" i="9"/>
  <c r="D25" i="9"/>
  <c r="D23" i="9" s="1"/>
  <c r="D19" i="9"/>
  <c r="B54" i="9"/>
  <c r="B64" i="9" s="1"/>
  <c r="D50" i="9"/>
  <c r="D55" i="9"/>
  <c r="D54" i="9" s="1"/>
  <c r="B85" i="9"/>
  <c r="D86" i="9"/>
  <c r="D85" i="9" s="1"/>
  <c r="B116" i="9"/>
  <c r="D117" i="9"/>
  <c r="D116" i="9" s="1"/>
  <c r="D112" i="9"/>
  <c r="B150" i="9"/>
  <c r="D151" i="9"/>
  <c r="D150" i="9" s="1"/>
  <c r="B184" i="9"/>
  <c r="D185" i="9"/>
  <c r="D184" i="9" s="1"/>
  <c r="D180" i="9"/>
  <c r="D212" i="9"/>
  <c r="D217" i="9"/>
  <c r="D216" i="9" s="1"/>
  <c r="B216" i="9"/>
  <c r="D244" i="9"/>
  <c r="B279" i="9"/>
  <c r="B288" i="9" s="1"/>
  <c r="B286" i="9" s="1"/>
  <c r="B285" i="9" s="1"/>
  <c r="B284" i="9" s="1"/>
  <c r="D275" i="9"/>
  <c r="D279" i="9"/>
  <c r="D307" i="9"/>
  <c r="D337" i="9"/>
  <c r="D366" i="9"/>
  <c r="B398" i="9"/>
  <c r="D399" i="9"/>
  <c r="D398" i="9" s="1"/>
  <c r="B427" i="9"/>
  <c r="D428" i="9"/>
  <c r="D427" i="9" s="1"/>
  <c r="B455" i="9"/>
  <c r="D456" i="9"/>
  <c r="D455" i="9" s="1"/>
  <c r="B483" i="9"/>
  <c r="D484" i="9"/>
  <c r="D483" i="9" s="1"/>
  <c r="D479" i="9"/>
  <c r="B511" i="9"/>
  <c r="D512" i="9"/>
  <c r="D511" i="9" s="1"/>
  <c r="D507" i="9"/>
  <c r="D574" i="9"/>
  <c r="B578" i="9"/>
  <c r="C578" i="9"/>
  <c r="C577" i="9" s="1"/>
  <c r="D575" i="9"/>
  <c r="D576" i="9"/>
  <c r="D615" i="9"/>
  <c r="D620" i="9"/>
  <c r="D619" i="9"/>
  <c r="D618" i="9"/>
  <c r="D625" i="9"/>
  <c r="D624" i="9"/>
  <c r="C616" i="9"/>
  <c r="C614" i="9" s="1"/>
  <c r="E616" i="9"/>
  <c r="E614" i="9" s="1"/>
  <c r="F616" i="9"/>
  <c r="F614" i="9" s="1"/>
  <c r="C623" i="9"/>
  <c r="C621" i="9" s="1"/>
  <c r="E623" i="9"/>
  <c r="E621" i="9" s="1"/>
  <c r="F623" i="9"/>
  <c r="F621" i="9" s="1"/>
  <c r="B623" i="9"/>
  <c r="B621" i="9" s="1"/>
  <c r="D644" i="9"/>
  <c r="D648" i="9"/>
  <c r="D647" i="9"/>
  <c r="D653" i="9"/>
  <c r="D654" i="9"/>
  <c r="C633" i="9"/>
  <c r="C634" i="9"/>
  <c r="C638" i="9" s="1"/>
  <c r="C645" i="9"/>
  <c r="C643" i="9" s="1"/>
  <c r="E645" i="9"/>
  <c r="E643" i="9" s="1"/>
  <c r="F645" i="9"/>
  <c r="F643" i="9" s="1"/>
  <c r="F642" i="9" s="1"/>
  <c r="F641" i="9" s="1"/>
  <c r="C652" i="9"/>
  <c r="C650" i="9" s="1"/>
  <c r="E652" i="9"/>
  <c r="E650" i="9" s="1"/>
  <c r="F652" i="9"/>
  <c r="F650" i="9" s="1"/>
  <c r="B652" i="9"/>
  <c r="B650" i="9" s="1"/>
  <c r="D673" i="9"/>
  <c r="D678" i="9"/>
  <c r="D677" i="9"/>
  <c r="D676" i="9"/>
  <c r="D683" i="9"/>
  <c r="D684" i="9"/>
  <c r="D682" i="9"/>
  <c r="C681" i="9"/>
  <c r="C679" i="9" s="1"/>
  <c r="E681" i="9"/>
  <c r="E679" i="9" s="1"/>
  <c r="F681" i="9"/>
  <c r="F679" i="9" s="1"/>
  <c r="C674" i="9"/>
  <c r="C672" i="9" s="1"/>
  <c r="E674" i="9"/>
  <c r="E672" i="9" s="1"/>
  <c r="F674" i="9"/>
  <c r="F672" i="9" s="1"/>
  <c r="B681" i="9"/>
  <c r="B679" i="9" s="1"/>
  <c r="C706" i="9"/>
  <c r="C704" i="9" s="1"/>
  <c r="C702" i="9" s="1"/>
  <c r="C714" i="9"/>
  <c r="D714" i="9" s="1"/>
  <c r="E704" i="9"/>
  <c r="E702" i="9" s="1"/>
  <c r="F704" i="9"/>
  <c r="F702" i="9"/>
  <c r="D710" i="9"/>
  <c r="D709" i="9"/>
  <c r="D708" i="9"/>
  <c r="D707" i="9"/>
  <c r="D706" i="9"/>
  <c r="D703" i="9"/>
  <c r="D715" i="9"/>
  <c r="D716" i="9"/>
  <c r="D717" i="9"/>
  <c r="E713" i="9"/>
  <c r="E711" i="9" s="1"/>
  <c r="F713" i="9"/>
  <c r="F711" i="9" s="1"/>
  <c r="B713" i="9"/>
  <c r="B711" i="9" s="1"/>
  <c r="D689" i="9"/>
  <c r="D688" i="9"/>
  <c r="D699" i="9"/>
  <c r="C737" i="9"/>
  <c r="C735" i="9" s="1"/>
  <c r="D748" i="9"/>
  <c r="D747" i="9"/>
  <c r="D746" i="9"/>
  <c r="D739" i="9"/>
  <c r="D740" i="9"/>
  <c r="D741" i="9"/>
  <c r="D742" i="9"/>
  <c r="D736" i="9"/>
  <c r="C745" i="9"/>
  <c r="C743" i="9" s="1"/>
  <c r="B745" i="9"/>
  <c r="B743" i="9" s="1"/>
  <c r="F544" i="9"/>
  <c r="E544" i="9"/>
  <c r="C543" i="9"/>
  <c r="C547" i="9" s="1"/>
  <c r="B543" i="9"/>
  <c r="B547" i="9" s="1"/>
  <c r="C542" i="9"/>
  <c r="C546" i="9" s="1"/>
  <c r="B542" i="9"/>
  <c r="B546" i="9" s="1"/>
  <c r="C541" i="9"/>
  <c r="B541" i="9"/>
  <c r="F540" i="9"/>
  <c r="E540" i="9"/>
  <c r="D539" i="9"/>
  <c r="D538" i="9"/>
  <c r="D537" i="9"/>
  <c r="F536" i="9"/>
  <c r="F535" i="9" s="1"/>
  <c r="E536" i="9"/>
  <c r="E535" i="9" s="1"/>
  <c r="C536" i="9"/>
  <c r="C535" i="9" s="1"/>
  <c r="B536" i="9"/>
  <c r="B535" i="9" s="1"/>
  <c r="F607" i="9"/>
  <c r="E607" i="9"/>
  <c r="C606" i="9"/>
  <c r="C610" i="9" s="1"/>
  <c r="B606" i="9"/>
  <c r="B610" i="9" s="1"/>
  <c r="C605" i="9"/>
  <c r="C609" i="9" s="1"/>
  <c r="B605" i="9"/>
  <c r="B609" i="9" s="1"/>
  <c r="C604" i="9"/>
  <c r="B604" i="9"/>
  <c r="F603" i="9"/>
  <c r="E603" i="9"/>
  <c r="D602" i="9"/>
  <c r="D601" i="9"/>
  <c r="D600" i="9"/>
  <c r="F599" i="9"/>
  <c r="F598" i="9" s="1"/>
  <c r="E599" i="9"/>
  <c r="E598" i="9" s="1"/>
  <c r="C599" i="9"/>
  <c r="C598" i="9" s="1"/>
  <c r="B599" i="9"/>
  <c r="B598" i="9" s="1"/>
  <c r="F636" i="9"/>
  <c r="E636" i="9"/>
  <c r="C635" i="9"/>
  <c r="C639" i="9" s="1"/>
  <c r="B635" i="9"/>
  <c r="D635" i="9" s="1"/>
  <c r="B634" i="9"/>
  <c r="B638" i="9" s="1"/>
  <c r="B633" i="9"/>
  <c r="F632" i="9"/>
  <c r="E632" i="9"/>
  <c r="D631" i="9"/>
  <c r="F628" i="9"/>
  <c r="F627" i="9" s="1"/>
  <c r="E628" i="9"/>
  <c r="E627" i="9" s="1"/>
  <c r="C628" i="9"/>
  <c r="C627" i="9" s="1"/>
  <c r="B628" i="9"/>
  <c r="B627" i="9" s="1"/>
  <c r="F665" i="9"/>
  <c r="E665" i="9"/>
  <c r="C664" i="9"/>
  <c r="C668" i="9" s="1"/>
  <c r="B664" i="9"/>
  <c r="B668" i="9" s="1"/>
  <c r="C663" i="9"/>
  <c r="C667" i="9" s="1"/>
  <c r="B663" i="9"/>
  <c r="B667" i="9" s="1"/>
  <c r="C662" i="9"/>
  <c r="B662" i="9"/>
  <c r="F661" i="9"/>
  <c r="E661" i="9"/>
  <c r="D660" i="9"/>
  <c r="D659" i="9"/>
  <c r="D658" i="9"/>
  <c r="F657" i="9"/>
  <c r="F656" i="9" s="1"/>
  <c r="E657" i="9"/>
  <c r="E656" i="9" s="1"/>
  <c r="C657" i="9"/>
  <c r="C656" i="9" s="1"/>
  <c r="B657" i="9"/>
  <c r="B656" i="9" s="1"/>
  <c r="F695" i="9"/>
  <c r="E695" i="9"/>
  <c r="C694" i="9"/>
  <c r="C698" i="9" s="1"/>
  <c r="B694" i="9"/>
  <c r="B698" i="9" s="1"/>
  <c r="C693" i="9"/>
  <c r="C697" i="9" s="1"/>
  <c r="B693" i="9"/>
  <c r="B697" i="9" s="1"/>
  <c r="C692" i="9"/>
  <c r="B692" i="9"/>
  <c r="F691" i="9"/>
  <c r="E691" i="9"/>
  <c r="D690" i="9"/>
  <c r="F687" i="9"/>
  <c r="F686" i="9" s="1"/>
  <c r="E687" i="9"/>
  <c r="E686" i="9" s="1"/>
  <c r="C687" i="9"/>
  <c r="C686" i="9" s="1"/>
  <c r="B687" i="9"/>
  <c r="B686" i="9" s="1"/>
  <c r="D732" i="9"/>
  <c r="D723" i="9"/>
  <c r="D721" i="9"/>
  <c r="C725" i="9"/>
  <c r="C726" i="9"/>
  <c r="C730" i="9" s="1"/>
  <c r="C727" i="9"/>
  <c r="C731" i="9" s="1"/>
  <c r="E728" i="9"/>
  <c r="F728" i="9"/>
  <c r="E724" i="9"/>
  <c r="F724" i="9"/>
  <c r="B726" i="9"/>
  <c r="B730" i="9" s="1"/>
  <c r="D730" i="9" s="1"/>
  <c r="B727" i="9"/>
  <c r="B731" i="9" s="1"/>
  <c r="B725" i="9"/>
  <c r="B729" i="9" s="1"/>
  <c r="C720" i="9"/>
  <c r="C719" i="9" s="1"/>
  <c r="E720" i="9"/>
  <c r="E719" i="9" s="1"/>
  <c r="F720" i="9"/>
  <c r="F719" i="9" s="1"/>
  <c r="B720" i="9"/>
  <c r="B719" i="9" s="1"/>
  <c r="B603" i="9" l="1"/>
  <c r="D547" i="9"/>
  <c r="C713" i="9"/>
  <c r="C711" i="9" s="1"/>
  <c r="F701" i="9"/>
  <c r="F700" i="9" s="1"/>
  <c r="D582" i="9"/>
  <c r="D652" i="9"/>
  <c r="D650" i="9" s="1"/>
  <c r="D731" i="9"/>
  <c r="C701" i="9"/>
  <c r="C700" i="9" s="1"/>
  <c r="C691" i="9"/>
  <c r="D668" i="9"/>
  <c r="B691" i="9"/>
  <c r="D628" i="9"/>
  <c r="D627" i="9" s="1"/>
  <c r="D599" i="9"/>
  <c r="D598" i="9" s="1"/>
  <c r="D609" i="9"/>
  <c r="B63" i="9"/>
  <c r="B61" i="9" s="1"/>
  <c r="B60" i="9" s="1"/>
  <c r="B59" i="9" s="1"/>
  <c r="D64" i="9"/>
  <c r="D63" i="9" s="1"/>
  <c r="D61" i="9" s="1"/>
  <c r="D60" i="9" s="1"/>
  <c r="D59" i="9" s="1"/>
  <c r="D536" i="9"/>
  <c r="D535" i="9" s="1"/>
  <c r="D727" i="9"/>
  <c r="D713" i="9"/>
  <c r="D711" i="9" s="1"/>
  <c r="D623" i="9"/>
  <c r="D621" i="9" s="1"/>
  <c r="D681" i="9"/>
  <c r="D679" i="9" s="1"/>
  <c r="B540" i="9"/>
  <c r="D745" i="9"/>
  <c r="D743" i="9" s="1"/>
  <c r="E701" i="9"/>
  <c r="E700" i="9" s="1"/>
  <c r="E642" i="9"/>
  <c r="E641" i="9" s="1"/>
  <c r="F613" i="9"/>
  <c r="F612" i="9" s="1"/>
  <c r="D720" i="9"/>
  <c r="D719" i="9" s="1"/>
  <c r="E613" i="9"/>
  <c r="E612" i="9" s="1"/>
  <c r="D725" i="9"/>
  <c r="C613" i="9"/>
  <c r="C612" i="9" s="1"/>
  <c r="D638" i="9"/>
  <c r="D633" i="9"/>
  <c r="D667" i="9"/>
  <c r="B728" i="9"/>
  <c r="C540" i="9"/>
  <c r="D726" i="9"/>
  <c r="D546" i="9"/>
  <c r="D657" i="9"/>
  <c r="D656" i="9" s="1"/>
  <c r="C724" i="9"/>
  <c r="B724" i="9"/>
  <c r="C603" i="9"/>
  <c r="D698" i="9"/>
  <c r="C729" i="9"/>
  <c r="C728" i="9" s="1"/>
  <c r="B661" i="9"/>
  <c r="C661" i="9"/>
  <c r="D610" i="9"/>
  <c r="B577" i="9"/>
  <c r="D578" i="9"/>
  <c r="D577" i="9" s="1"/>
  <c r="D573" i="9"/>
  <c r="C642" i="9"/>
  <c r="C641" i="9" s="1"/>
  <c r="C632" i="9"/>
  <c r="B632" i="9"/>
  <c r="C671" i="9"/>
  <c r="C670" i="9" s="1"/>
  <c r="F671" i="9"/>
  <c r="F670" i="9" s="1"/>
  <c r="E671" i="9"/>
  <c r="E670" i="9" s="1"/>
  <c r="D697" i="9"/>
  <c r="D687" i="9"/>
  <c r="D686" i="9" s="1"/>
  <c r="C734" i="9"/>
  <c r="C733" i="9" s="1"/>
  <c r="C545" i="9"/>
  <c r="C544" i="9" s="1"/>
  <c r="D542" i="9"/>
  <c r="D543" i="9"/>
  <c r="D541" i="9"/>
  <c r="B545" i="9"/>
  <c r="D604" i="9"/>
  <c r="B608" i="9"/>
  <c r="C608" i="9"/>
  <c r="C607" i="9" s="1"/>
  <c r="D605" i="9"/>
  <c r="D606" i="9"/>
  <c r="C637" i="9"/>
  <c r="C636" i="9" s="1"/>
  <c r="D634" i="9"/>
  <c r="B639" i="9"/>
  <c r="D639" i="9" s="1"/>
  <c r="B637" i="9"/>
  <c r="D662" i="9"/>
  <c r="B666" i="9"/>
  <c r="C666" i="9"/>
  <c r="C665" i="9" s="1"/>
  <c r="D663" i="9"/>
  <c r="D664" i="9"/>
  <c r="D692" i="9"/>
  <c r="B696" i="9"/>
  <c r="C696" i="9"/>
  <c r="C695" i="9" s="1"/>
  <c r="D693" i="9"/>
  <c r="D694" i="9"/>
  <c r="D724" i="9" l="1"/>
  <c r="D540" i="9"/>
  <c r="D729" i="9"/>
  <c r="D728" i="9" s="1"/>
  <c r="D738" i="9"/>
  <c r="D737" i="9" s="1"/>
  <c r="B737" i="9"/>
  <c r="B735" i="9" s="1"/>
  <c r="B734" i="9" s="1"/>
  <c r="B733" i="9" s="1"/>
  <c r="B544" i="9"/>
  <c r="D545" i="9"/>
  <c r="D544" i="9" s="1"/>
  <c r="B607" i="9"/>
  <c r="B617" i="9" s="1"/>
  <c r="D608" i="9"/>
  <c r="D607" i="9" s="1"/>
  <c r="D603" i="9"/>
  <c r="D637" i="9"/>
  <c r="D636" i="9" s="1"/>
  <c r="B636" i="9"/>
  <c r="D632" i="9"/>
  <c r="B665" i="9"/>
  <c r="B675" i="9" s="1"/>
  <c r="D666" i="9"/>
  <c r="D665" i="9" s="1"/>
  <c r="D661" i="9"/>
  <c r="B695" i="9"/>
  <c r="B705" i="9" s="1"/>
  <c r="D696" i="9"/>
  <c r="D695" i="9" s="1"/>
  <c r="D691" i="9"/>
  <c r="D735" i="9" l="1"/>
  <c r="D734" i="9" s="1"/>
  <c r="D733" i="9" s="1"/>
  <c r="D617" i="9"/>
  <c r="D616" i="9" s="1"/>
  <c r="D614" i="9" s="1"/>
  <c r="D613" i="9" s="1"/>
  <c r="D612" i="9" s="1"/>
  <c r="B616" i="9"/>
  <c r="B614" i="9" s="1"/>
  <c r="B613" i="9" s="1"/>
  <c r="B612" i="9" s="1"/>
  <c r="B674" i="9"/>
  <c r="B672" i="9" s="1"/>
  <c r="B671" i="9" s="1"/>
  <c r="B670" i="9" s="1"/>
  <c r="D675" i="9"/>
  <c r="D674" i="9" s="1"/>
  <c r="D672" i="9" s="1"/>
  <c r="D671" i="9" s="1"/>
  <c r="D670" i="9" s="1"/>
  <c r="B704" i="9"/>
  <c r="B702" i="9" s="1"/>
  <c r="B701" i="9" s="1"/>
  <c r="B700" i="9" s="1"/>
  <c r="D705" i="9"/>
  <c r="D704" i="9" s="1"/>
  <c r="D702" i="9" s="1"/>
  <c r="D701" i="9" s="1"/>
  <c r="D700" i="9" s="1"/>
  <c r="D646" i="9"/>
  <c r="D645" i="9" s="1"/>
  <c r="B645" i="9"/>
  <c r="B643" i="9" s="1"/>
  <c r="B642" i="9" s="1"/>
  <c r="B641" i="9" s="1"/>
  <c r="D643" i="9" l="1"/>
  <c r="D642" i="9" s="1"/>
  <c r="D641" i="9" s="1"/>
  <c r="A5" i="9"/>
  <c r="A4" i="9"/>
  <c r="A3" i="9"/>
  <c r="D32" i="7" l="1"/>
  <c r="H32" i="7"/>
  <c r="D18" i="7"/>
  <c r="H18" i="7"/>
  <c r="D7" i="7"/>
  <c r="D42" i="7" s="1"/>
  <c r="H7" i="7"/>
  <c r="H42" i="7" s="1"/>
  <c r="D40" i="8" l="1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C31" i="8" s="1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D17" i="8" s="1"/>
  <c r="C19" i="8"/>
  <c r="D18" i="8"/>
  <c r="C18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D7" i="8"/>
  <c r="C7" i="8"/>
  <c r="B31" i="8"/>
  <c r="B41" i="8" s="1"/>
  <c r="B17" i="8"/>
  <c r="B6" i="8"/>
  <c r="C6" i="8" l="1"/>
  <c r="D6" i="8"/>
  <c r="D41" i="8" s="1"/>
  <c r="C17" i="8"/>
  <c r="D31" i="8"/>
  <c r="C41" i="8" l="1"/>
  <c r="G41" i="8"/>
  <c r="H41" i="8"/>
  <c r="E41" i="8"/>
  <c r="I40" i="8"/>
  <c r="I39" i="8"/>
  <c r="G31" i="8"/>
  <c r="H31" i="8"/>
  <c r="J31" i="8"/>
  <c r="K31" i="8"/>
  <c r="F31" i="8"/>
  <c r="G17" i="8"/>
  <c r="H17" i="8"/>
  <c r="I30" i="8"/>
  <c r="F17" i="8"/>
  <c r="I29" i="8"/>
  <c r="I16" i="8"/>
  <c r="G6" i="8"/>
  <c r="H6" i="8"/>
  <c r="K6" i="8"/>
  <c r="F6" i="8"/>
  <c r="F41" i="8" s="1"/>
  <c r="I38" i="8"/>
  <c r="I37" i="8"/>
  <c r="I36" i="8"/>
  <c r="I35" i="8"/>
  <c r="I34" i="8"/>
  <c r="I33" i="8"/>
  <c r="I32" i="8"/>
  <c r="I28" i="8"/>
  <c r="I27" i="8"/>
  <c r="I26" i="8"/>
  <c r="I25" i="8"/>
  <c r="I24" i="8"/>
  <c r="I23" i="8"/>
  <c r="I22" i="8"/>
  <c r="I21" i="8"/>
  <c r="I20" i="8"/>
  <c r="I17" i="8" s="1"/>
  <c r="I19" i="8"/>
  <c r="I18" i="8"/>
  <c r="K17" i="8"/>
  <c r="I15" i="8"/>
  <c r="I14" i="8"/>
  <c r="I13" i="8"/>
  <c r="I12" i="8"/>
  <c r="I11" i="8"/>
  <c r="I10" i="8"/>
  <c r="I9" i="8"/>
  <c r="I8" i="8"/>
  <c r="I7" i="8"/>
  <c r="I31" i="8" l="1"/>
  <c r="I6" i="8"/>
  <c r="I41" i="8" s="1"/>
  <c r="S121" i="3" l="1"/>
  <c r="S122" i="3"/>
  <c r="S123" i="3"/>
  <c r="F41" i="7" l="1"/>
  <c r="E41" i="7"/>
  <c r="F33" i="7"/>
  <c r="E33" i="7"/>
  <c r="F30" i="7"/>
  <c r="E30" i="7"/>
  <c r="C30" i="7" s="1"/>
  <c r="F28" i="7"/>
  <c r="E28" i="7"/>
  <c r="C28" i="7" s="1"/>
  <c r="F23" i="7"/>
  <c r="E23" i="7"/>
  <c r="L41" i="7"/>
  <c r="L40" i="7"/>
  <c r="L39" i="7"/>
  <c r="L38" i="7"/>
  <c r="L37" i="7"/>
  <c r="L36" i="7"/>
  <c r="L35" i="7"/>
  <c r="L34" i="7"/>
  <c r="L33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 s="1"/>
  <c r="C41" i="7"/>
  <c r="C23" i="7"/>
  <c r="L9" i="7"/>
  <c r="L10" i="7"/>
  <c r="L11" i="7"/>
  <c r="L12" i="7"/>
  <c r="L13" i="7"/>
  <c r="L14" i="7"/>
  <c r="L15" i="7"/>
  <c r="L16" i="7"/>
  <c r="L17" i="7"/>
  <c r="F15" i="7"/>
  <c r="E15" i="7"/>
  <c r="C15" i="7" s="1"/>
  <c r="F13" i="7"/>
  <c r="E13" i="7"/>
  <c r="F10" i="7"/>
  <c r="E10" i="7"/>
  <c r="C10" i="7" s="1"/>
  <c r="L8" i="7"/>
  <c r="L32" i="7" l="1"/>
  <c r="C33" i="7"/>
  <c r="C13" i="7"/>
  <c r="L7" i="7"/>
  <c r="L42" i="7" s="1"/>
  <c r="S82" i="4"/>
  <c r="S80" i="4" s="1"/>
  <c r="L82" i="4"/>
  <c r="S81" i="4"/>
  <c r="M81" i="4"/>
  <c r="L81" i="4"/>
  <c r="H81" i="4"/>
  <c r="F81" i="4" s="1"/>
  <c r="T81" i="4" s="1"/>
  <c r="R80" i="4"/>
  <c r="Q80" i="4"/>
  <c r="P80" i="4"/>
  <c r="O80" i="4"/>
  <c r="N80" i="4"/>
  <c r="K80" i="4"/>
  <c r="J80" i="4"/>
  <c r="I80" i="4"/>
  <c r="G80" i="4"/>
  <c r="S79" i="4"/>
  <c r="S78" i="4" s="1"/>
  <c r="H79" i="4"/>
  <c r="F79" i="4" s="1"/>
  <c r="R78" i="4"/>
  <c r="Q78" i="4"/>
  <c r="P78" i="4"/>
  <c r="O78" i="4"/>
  <c r="N78" i="4"/>
  <c r="M78" i="4"/>
  <c r="L78" i="4"/>
  <c r="K78" i="4"/>
  <c r="J78" i="4"/>
  <c r="I78" i="4"/>
  <c r="H78" i="4"/>
  <c r="G78" i="4"/>
  <c r="I77" i="4"/>
  <c r="I75" i="4" s="1"/>
  <c r="G77" i="4"/>
  <c r="L77" i="4" s="1"/>
  <c r="S76" i="4"/>
  <c r="L76" i="4"/>
  <c r="H76" i="4"/>
  <c r="F76" i="4" s="1"/>
  <c r="R75" i="4"/>
  <c r="Q75" i="4"/>
  <c r="P75" i="4"/>
  <c r="O75" i="4"/>
  <c r="N75" i="4"/>
  <c r="M75" i="4"/>
  <c r="K75" i="4"/>
  <c r="J75" i="4"/>
  <c r="I74" i="4"/>
  <c r="I73" i="4" s="1"/>
  <c r="G74" i="4"/>
  <c r="L74" i="4" s="1"/>
  <c r="L73" i="4" s="1"/>
  <c r="R73" i="4"/>
  <c r="Q73" i="4"/>
  <c r="P73" i="4"/>
  <c r="O73" i="4"/>
  <c r="N73" i="4"/>
  <c r="M73" i="4"/>
  <c r="K73" i="4"/>
  <c r="J73" i="4"/>
  <c r="I72" i="4"/>
  <c r="G72" i="4"/>
  <c r="S72" i="4" s="1"/>
  <c r="S71" i="4" s="1"/>
  <c r="R71" i="4"/>
  <c r="Q71" i="4"/>
  <c r="P71" i="4"/>
  <c r="O71" i="4"/>
  <c r="N71" i="4"/>
  <c r="M71" i="4"/>
  <c r="K71" i="4"/>
  <c r="J71" i="4"/>
  <c r="Q70" i="4"/>
  <c r="S70" i="4" s="1"/>
  <c r="L70" i="4"/>
  <c r="H70" i="4"/>
  <c r="Q69" i="4"/>
  <c r="L69" i="4"/>
  <c r="R68" i="4"/>
  <c r="Q68" i="4"/>
  <c r="P68" i="4"/>
  <c r="O68" i="4"/>
  <c r="N68" i="4"/>
  <c r="M68" i="4"/>
  <c r="K68" i="4"/>
  <c r="J68" i="4"/>
  <c r="I68" i="4"/>
  <c r="G68" i="4"/>
  <c r="I67" i="4"/>
  <c r="I66" i="4" s="1"/>
  <c r="G67" i="4"/>
  <c r="R66" i="4"/>
  <c r="Q66" i="4"/>
  <c r="P66" i="4"/>
  <c r="O66" i="4"/>
  <c r="N66" i="4"/>
  <c r="K66" i="4"/>
  <c r="J66" i="4"/>
  <c r="E64" i="4"/>
  <c r="D64" i="4"/>
  <c r="S63" i="4"/>
  <c r="S62" i="4" s="1"/>
  <c r="L63" i="4"/>
  <c r="M63" i="4" s="1"/>
  <c r="H63" i="4" s="1"/>
  <c r="R62" i="4"/>
  <c r="Q62" i="4"/>
  <c r="P62" i="4"/>
  <c r="O62" i="4"/>
  <c r="N62" i="4"/>
  <c r="K62" i="4"/>
  <c r="J62" i="4"/>
  <c r="I62" i="4"/>
  <c r="G62" i="4"/>
  <c r="S60" i="4"/>
  <c r="L60" i="4"/>
  <c r="H60" i="4" s="1"/>
  <c r="Q59" i="4"/>
  <c r="Q58" i="4" s="1"/>
  <c r="L59" i="4"/>
  <c r="H59" i="4" s="1"/>
  <c r="R58" i="4"/>
  <c r="P58" i="4"/>
  <c r="O58" i="4"/>
  <c r="N58" i="4"/>
  <c r="M58" i="4"/>
  <c r="K58" i="4"/>
  <c r="J58" i="4"/>
  <c r="I58" i="4"/>
  <c r="G58" i="4"/>
  <c r="I56" i="4"/>
  <c r="I55" i="4" s="1"/>
  <c r="G56" i="4"/>
  <c r="R55" i="4"/>
  <c r="Q55" i="4"/>
  <c r="P55" i="4"/>
  <c r="O55" i="4"/>
  <c r="N55" i="4"/>
  <c r="K55" i="4"/>
  <c r="J55" i="4"/>
  <c r="I54" i="4"/>
  <c r="G54" i="4"/>
  <c r="S54" i="4" s="1"/>
  <c r="S53" i="4"/>
  <c r="L53" i="4"/>
  <c r="H53" i="4" s="1"/>
  <c r="S52" i="4"/>
  <c r="L52" i="4"/>
  <c r="H52" i="4"/>
  <c r="F52" i="4" s="1"/>
  <c r="R51" i="4"/>
  <c r="Q51" i="4"/>
  <c r="P51" i="4"/>
  <c r="O51" i="4"/>
  <c r="N51" i="4"/>
  <c r="M51" i="4"/>
  <c r="K51" i="4"/>
  <c r="J51" i="4"/>
  <c r="G51" i="4"/>
  <c r="S50" i="4"/>
  <c r="S49" i="4" s="1"/>
  <c r="I50" i="4"/>
  <c r="I49" i="4" s="1"/>
  <c r="G50" i="4"/>
  <c r="L50" i="4" s="1"/>
  <c r="R49" i="4"/>
  <c r="Q49" i="4"/>
  <c r="P49" i="4"/>
  <c r="O49" i="4"/>
  <c r="N49" i="4"/>
  <c r="K49" i="4"/>
  <c r="J49" i="4"/>
  <c r="I48" i="4"/>
  <c r="G48" i="4"/>
  <c r="S48" i="4" s="1"/>
  <c r="S47" i="4" s="1"/>
  <c r="R47" i="4"/>
  <c r="Q47" i="4"/>
  <c r="P47" i="4"/>
  <c r="O47" i="4"/>
  <c r="N47" i="4"/>
  <c r="M47" i="4"/>
  <c r="K47" i="4"/>
  <c r="J47" i="4"/>
  <c r="Q45" i="4"/>
  <c r="S45" i="4" s="1"/>
  <c r="L45" i="4"/>
  <c r="Q44" i="4"/>
  <c r="S44" i="4" s="1"/>
  <c r="L44" i="4"/>
  <c r="Q43" i="4"/>
  <c r="L43" i="4"/>
  <c r="L42" i="4" s="1"/>
  <c r="R42" i="4"/>
  <c r="P42" i="4"/>
  <c r="O42" i="4"/>
  <c r="N42" i="4"/>
  <c r="M42" i="4"/>
  <c r="K42" i="4"/>
  <c r="J42" i="4"/>
  <c r="I42" i="4"/>
  <c r="G42" i="4"/>
  <c r="I41" i="4"/>
  <c r="I40" i="4" s="1"/>
  <c r="G41" i="4"/>
  <c r="L41" i="4" s="1"/>
  <c r="L40" i="4" s="1"/>
  <c r="R40" i="4"/>
  <c r="Q40" i="4"/>
  <c r="P40" i="4"/>
  <c r="O40" i="4"/>
  <c r="N40" i="4"/>
  <c r="K40" i="4"/>
  <c r="J40" i="4"/>
  <c r="I39" i="4"/>
  <c r="I38" i="4" s="1"/>
  <c r="G39" i="4"/>
  <c r="R38" i="4"/>
  <c r="Q38" i="4"/>
  <c r="P38" i="4"/>
  <c r="O38" i="4"/>
  <c r="N38" i="4"/>
  <c r="M38" i="4"/>
  <c r="K38" i="4"/>
  <c r="J38" i="4"/>
  <c r="I37" i="4"/>
  <c r="I36" i="4" s="1"/>
  <c r="G37" i="4"/>
  <c r="G36" i="4" s="1"/>
  <c r="R36" i="4"/>
  <c r="Q36" i="4"/>
  <c r="P36" i="4"/>
  <c r="O36" i="4"/>
  <c r="N36" i="4"/>
  <c r="K36" i="4"/>
  <c r="J36" i="4"/>
  <c r="E35" i="4"/>
  <c r="D35" i="4"/>
  <c r="S34" i="4"/>
  <c r="I34" i="4"/>
  <c r="G34" i="4"/>
  <c r="G28" i="4" s="1"/>
  <c r="S33" i="4"/>
  <c r="H33" i="4"/>
  <c r="Q32" i="4"/>
  <c r="S32" i="4" s="1"/>
  <c r="L32" i="4"/>
  <c r="H32" i="4"/>
  <c r="F32" i="4" s="1"/>
  <c r="Q31" i="4"/>
  <c r="S31" i="4" s="1"/>
  <c r="L31" i="4"/>
  <c r="H31" i="4" s="1"/>
  <c r="Q30" i="4"/>
  <c r="S30" i="4" s="1"/>
  <c r="L30" i="4"/>
  <c r="Q29" i="4"/>
  <c r="L29" i="4"/>
  <c r="H29" i="4"/>
  <c r="R28" i="4"/>
  <c r="P28" i="4"/>
  <c r="O28" i="4"/>
  <c r="N28" i="4"/>
  <c r="M28" i="4"/>
  <c r="K28" i="4"/>
  <c r="J28" i="4"/>
  <c r="I27" i="4"/>
  <c r="G27" i="4"/>
  <c r="S27" i="4" s="1"/>
  <c r="S26" i="4" s="1"/>
  <c r="R26" i="4"/>
  <c r="Q26" i="4"/>
  <c r="P26" i="4"/>
  <c r="O26" i="4"/>
  <c r="N26" i="4"/>
  <c r="K26" i="4"/>
  <c r="J26" i="4"/>
  <c r="S24" i="4"/>
  <c r="M24" i="4"/>
  <c r="M23" i="4" s="1"/>
  <c r="L24" i="4"/>
  <c r="L23" i="4" s="1"/>
  <c r="H24" i="4"/>
  <c r="F24" i="4" s="1"/>
  <c r="S23" i="4"/>
  <c r="R23" i="4"/>
  <c r="Q23" i="4"/>
  <c r="P23" i="4"/>
  <c r="O23" i="4"/>
  <c r="N23" i="4"/>
  <c r="K23" i="4"/>
  <c r="J23" i="4"/>
  <c r="I23" i="4"/>
  <c r="G23" i="4"/>
  <c r="I21" i="4"/>
  <c r="I19" i="4" s="1"/>
  <c r="G21" i="4"/>
  <c r="S20" i="4"/>
  <c r="M20" i="4"/>
  <c r="H20" i="4"/>
  <c r="F20" i="4" s="1"/>
  <c r="R19" i="4"/>
  <c r="Q19" i="4"/>
  <c r="P19" i="4"/>
  <c r="O19" i="4"/>
  <c r="N19" i="4"/>
  <c r="K19" i="4"/>
  <c r="J19" i="4"/>
  <c r="S18" i="4"/>
  <c r="M18" i="4"/>
  <c r="L18" i="4"/>
  <c r="S17" i="4"/>
  <c r="M17" i="4"/>
  <c r="L17" i="4"/>
  <c r="L16" i="4" s="1"/>
  <c r="R16" i="4"/>
  <c r="Q16" i="4"/>
  <c r="P16" i="4"/>
  <c r="O16" i="4"/>
  <c r="N16" i="4"/>
  <c r="K16" i="4"/>
  <c r="J16" i="4"/>
  <c r="I16" i="4"/>
  <c r="G16" i="4"/>
  <c r="I14" i="4"/>
  <c r="I11" i="4" s="1"/>
  <c r="G14" i="4"/>
  <c r="S14" i="4" s="1"/>
  <c r="S13" i="4"/>
  <c r="L13" i="4"/>
  <c r="H13" i="4" s="1"/>
  <c r="F13" i="4" s="1"/>
  <c r="Q12" i="4"/>
  <c r="S12" i="4" s="1"/>
  <c r="L12" i="4"/>
  <c r="H12" i="4" s="1"/>
  <c r="R11" i="4"/>
  <c r="Q11" i="4"/>
  <c r="P11" i="4"/>
  <c r="O11" i="4"/>
  <c r="N11" i="4"/>
  <c r="M11" i="4"/>
  <c r="K11" i="4"/>
  <c r="J11" i="4"/>
  <c r="U10" i="4"/>
  <c r="F8" i="7" s="1"/>
  <c r="T10" i="4"/>
  <c r="E8" i="7" s="1"/>
  <c r="Q10" i="4"/>
  <c r="Q9" i="4" s="1"/>
  <c r="S9" i="4"/>
  <c r="R9" i="4"/>
  <c r="P9" i="4"/>
  <c r="O9" i="4"/>
  <c r="O8" i="4" s="1"/>
  <c r="N9" i="4"/>
  <c r="N8" i="4" s="1"/>
  <c r="M9" i="4"/>
  <c r="L9" i="4"/>
  <c r="K9" i="4"/>
  <c r="J9" i="4"/>
  <c r="I9" i="4"/>
  <c r="H9" i="4"/>
  <c r="G9" i="4"/>
  <c r="F9" i="4"/>
  <c r="E8" i="4"/>
  <c r="D8" i="4"/>
  <c r="R124" i="3"/>
  <c r="G124" i="3"/>
  <c r="R123" i="3"/>
  <c r="G123" i="3"/>
  <c r="R122" i="3"/>
  <c r="G122" i="3"/>
  <c r="R121" i="3"/>
  <c r="G121" i="3"/>
  <c r="R120" i="3"/>
  <c r="K120" i="3"/>
  <c r="G120" i="3" s="1"/>
  <c r="R119" i="3"/>
  <c r="K119" i="3"/>
  <c r="G119" i="3"/>
  <c r="Q118" i="3"/>
  <c r="P118" i="3"/>
  <c r="O118" i="3"/>
  <c r="N118" i="3"/>
  <c r="M118" i="3"/>
  <c r="L118" i="3"/>
  <c r="J118" i="3"/>
  <c r="I118" i="3"/>
  <c r="H118" i="3"/>
  <c r="F118" i="3"/>
  <c r="R117" i="3"/>
  <c r="K117" i="3"/>
  <c r="G117" i="3" s="1"/>
  <c r="R116" i="3"/>
  <c r="K116" i="3"/>
  <c r="G116" i="3"/>
  <c r="Q115" i="3"/>
  <c r="P115" i="3"/>
  <c r="O115" i="3"/>
  <c r="N115" i="3"/>
  <c r="M115" i="3"/>
  <c r="L115" i="3"/>
  <c r="J115" i="3"/>
  <c r="J108" i="3" s="1"/>
  <c r="I115" i="3"/>
  <c r="I108" i="3" s="1"/>
  <c r="H115" i="3"/>
  <c r="F115" i="3"/>
  <c r="R114" i="3"/>
  <c r="K114" i="3"/>
  <c r="G114" i="3" s="1"/>
  <c r="E114" i="3" s="1"/>
  <c r="R113" i="3"/>
  <c r="K113" i="3"/>
  <c r="G113" i="3"/>
  <c r="Q112" i="3"/>
  <c r="P112" i="3"/>
  <c r="O112" i="3"/>
  <c r="N112" i="3"/>
  <c r="M112" i="3"/>
  <c r="L112" i="3"/>
  <c r="J112" i="3"/>
  <c r="I112" i="3"/>
  <c r="H112" i="3"/>
  <c r="F112" i="3"/>
  <c r="R111" i="3"/>
  <c r="U111" i="3" s="1"/>
  <c r="J35" i="7" s="1"/>
  <c r="G111" i="3"/>
  <c r="R110" i="3"/>
  <c r="U110" i="3" s="1"/>
  <c r="J34" i="7" s="1"/>
  <c r="G110" i="3"/>
  <c r="S110" i="3" s="1"/>
  <c r="R109" i="3"/>
  <c r="G109" i="3"/>
  <c r="S109" i="3" s="1"/>
  <c r="N108" i="3"/>
  <c r="D108" i="3"/>
  <c r="C108" i="3"/>
  <c r="R107" i="3"/>
  <c r="R106" i="3" s="1"/>
  <c r="L107" i="3"/>
  <c r="L106" i="3" s="1"/>
  <c r="K107" i="3"/>
  <c r="K106" i="3" s="1"/>
  <c r="Q106" i="3"/>
  <c r="P106" i="3"/>
  <c r="O106" i="3"/>
  <c r="N106" i="3"/>
  <c r="M106" i="3"/>
  <c r="J106" i="3"/>
  <c r="I106" i="3"/>
  <c r="H106" i="3"/>
  <c r="F106" i="3"/>
  <c r="R105" i="3"/>
  <c r="L105" i="3"/>
  <c r="L103" i="3" s="1"/>
  <c r="K105" i="3"/>
  <c r="P104" i="3"/>
  <c r="P103" i="3" s="1"/>
  <c r="K104" i="3"/>
  <c r="Q103" i="3"/>
  <c r="O103" i="3"/>
  <c r="N103" i="3"/>
  <c r="M103" i="3"/>
  <c r="J103" i="3"/>
  <c r="I103" i="3"/>
  <c r="H103" i="3"/>
  <c r="F103" i="3"/>
  <c r="R102" i="3"/>
  <c r="K102" i="3"/>
  <c r="G102" i="3"/>
  <c r="R101" i="3"/>
  <c r="K101" i="3"/>
  <c r="K100" i="3" s="1"/>
  <c r="Q100" i="3"/>
  <c r="P100" i="3"/>
  <c r="O100" i="3"/>
  <c r="N100" i="3"/>
  <c r="M100" i="3"/>
  <c r="L100" i="3"/>
  <c r="J100" i="3"/>
  <c r="I100" i="3"/>
  <c r="H100" i="3"/>
  <c r="F100" i="3"/>
  <c r="R99" i="3"/>
  <c r="R98" i="3" s="1"/>
  <c r="K99" i="3"/>
  <c r="K98" i="3" s="1"/>
  <c r="Q98" i="3"/>
  <c r="P98" i="3"/>
  <c r="O98" i="3"/>
  <c r="N98" i="3"/>
  <c r="M98" i="3"/>
  <c r="L98" i="3"/>
  <c r="J98" i="3"/>
  <c r="I98" i="3"/>
  <c r="H98" i="3"/>
  <c r="F98" i="3"/>
  <c r="R97" i="3"/>
  <c r="L97" i="3"/>
  <c r="K97" i="3"/>
  <c r="G97" i="3" s="1"/>
  <c r="R96" i="3"/>
  <c r="L96" i="3"/>
  <c r="L95" i="3" s="1"/>
  <c r="K96" i="3"/>
  <c r="Q95" i="3"/>
  <c r="P95" i="3"/>
  <c r="O95" i="3"/>
  <c r="N95" i="3"/>
  <c r="M95" i="3"/>
  <c r="J95" i="3"/>
  <c r="I95" i="3"/>
  <c r="H95" i="3"/>
  <c r="F95" i="3"/>
  <c r="R94" i="3"/>
  <c r="K94" i="3"/>
  <c r="G94" i="3" s="1"/>
  <c r="R93" i="3"/>
  <c r="K93" i="3"/>
  <c r="G93" i="3"/>
  <c r="R92" i="3"/>
  <c r="K92" i="3"/>
  <c r="G92" i="3" s="1"/>
  <c r="R91" i="3"/>
  <c r="K91" i="3"/>
  <c r="G91" i="3"/>
  <c r="Q90" i="3"/>
  <c r="P90" i="3"/>
  <c r="O90" i="3"/>
  <c r="N90" i="3"/>
  <c r="M90" i="3"/>
  <c r="L90" i="3"/>
  <c r="J90" i="3"/>
  <c r="I90" i="3"/>
  <c r="H90" i="3"/>
  <c r="F90" i="3"/>
  <c r="R89" i="3"/>
  <c r="L89" i="3"/>
  <c r="L87" i="3" s="1"/>
  <c r="K89" i="3"/>
  <c r="G89" i="3" s="1"/>
  <c r="E89" i="3" s="1"/>
  <c r="R88" i="3"/>
  <c r="K88" i="3"/>
  <c r="K87" i="3" s="1"/>
  <c r="Q87" i="3"/>
  <c r="P87" i="3"/>
  <c r="O87" i="3"/>
  <c r="N87" i="3"/>
  <c r="M87" i="3"/>
  <c r="J87" i="3"/>
  <c r="I87" i="3"/>
  <c r="H87" i="3"/>
  <c r="F87" i="3"/>
  <c r="R86" i="3"/>
  <c r="K86" i="3"/>
  <c r="G86" i="3" s="1"/>
  <c r="R85" i="3"/>
  <c r="K85" i="3"/>
  <c r="G85" i="3"/>
  <c r="E85" i="3" s="1"/>
  <c r="R84" i="3"/>
  <c r="K84" i="3"/>
  <c r="G84" i="3" s="1"/>
  <c r="Q83" i="3"/>
  <c r="P83" i="3"/>
  <c r="O83" i="3"/>
  <c r="N83" i="3"/>
  <c r="M83" i="3"/>
  <c r="L83" i="3"/>
  <c r="J83" i="3"/>
  <c r="I83" i="3"/>
  <c r="H83" i="3"/>
  <c r="F83" i="3"/>
  <c r="R82" i="3"/>
  <c r="K82" i="3"/>
  <c r="G82" i="3"/>
  <c r="R81" i="3"/>
  <c r="K81" i="3"/>
  <c r="G81" i="3" s="1"/>
  <c r="E81" i="3" s="1"/>
  <c r="T81" i="3" s="1"/>
  <c r="R80" i="3"/>
  <c r="K80" i="3"/>
  <c r="K79" i="3" s="1"/>
  <c r="Q79" i="3"/>
  <c r="P79" i="3"/>
  <c r="O79" i="3"/>
  <c r="N79" i="3"/>
  <c r="M79" i="3"/>
  <c r="L79" i="3"/>
  <c r="J79" i="3"/>
  <c r="I79" i="3"/>
  <c r="H79" i="3"/>
  <c r="F79" i="3"/>
  <c r="R78" i="3"/>
  <c r="T78" i="3" s="1"/>
  <c r="I22" i="7" s="1"/>
  <c r="G78" i="3"/>
  <c r="S78" i="3" s="1"/>
  <c r="U78" i="3" s="1"/>
  <c r="J22" i="7" s="1"/>
  <c r="P77" i="3"/>
  <c r="L77" i="3"/>
  <c r="K77" i="3"/>
  <c r="R76" i="3"/>
  <c r="L76" i="3"/>
  <c r="K76" i="3"/>
  <c r="G76" i="3" s="1"/>
  <c r="R75" i="3"/>
  <c r="L75" i="3"/>
  <c r="K75" i="3"/>
  <c r="R74" i="3"/>
  <c r="L74" i="3"/>
  <c r="K74" i="3"/>
  <c r="R73" i="3"/>
  <c r="L73" i="3"/>
  <c r="K73" i="3"/>
  <c r="K72" i="3" s="1"/>
  <c r="G73" i="3"/>
  <c r="E73" i="3" s="1"/>
  <c r="Q72" i="3"/>
  <c r="O72" i="3"/>
  <c r="N72" i="3"/>
  <c r="M72" i="3"/>
  <c r="J72" i="3"/>
  <c r="I72" i="3"/>
  <c r="H72" i="3"/>
  <c r="F72" i="3"/>
  <c r="R71" i="3"/>
  <c r="K71" i="3"/>
  <c r="G71" i="3" s="1"/>
  <c r="E71" i="3" s="1"/>
  <c r="R70" i="3"/>
  <c r="K70" i="3"/>
  <c r="Q69" i="3"/>
  <c r="P69" i="3"/>
  <c r="O69" i="3"/>
  <c r="N69" i="3"/>
  <c r="M69" i="3"/>
  <c r="L69" i="3"/>
  <c r="J69" i="3"/>
  <c r="I69" i="3"/>
  <c r="H69" i="3"/>
  <c r="F69" i="3"/>
  <c r="R68" i="3"/>
  <c r="L68" i="3"/>
  <c r="K68" i="3"/>
  <c r="G68" i="3" s="1"/>
  <c r="R67" i="3"/>
  <c r="L67" i="3"/>
  <c r="L66" i="3" s="1"/>
  <c r="K67" i="3"/>
  <c r="Q66" i="3"/>
  <c r="P66" i="3"/>
  <c r="O66" i="3"/>
  <c r="N66" i="3"/>
  <c r="M66" i="3"/>
  <c r="J66" i="3"/>
  <c r="I66" i="3"/>
  <c r="H66" i="3"/>
  <c r="F66" i="3"/>
  <c r="D65" i="3"/>
  <c r="C65" i="3"/>
  <c r="R64" i="3"/>
  <c r="K64" i="3"/>
  <c r="G64" i="3"/>
  <c r="R63" i="3"/>
  <c r="K63" i="3"/>
  <c r="G63" i="3" s="1"/>
  <c r="E63" i="3" s="1"/>
  <c r="R62" i="3"/>
  <c r="K62" i="3"/>
  <c r="G62" i="3" s="1"/>
  <c r="E62" i="3" s="1"/>
  <c r="R61" i="3"/>
  <c r="K61" i="3"/>
  <c r="G61" i="3" s="1"/>
  <c r="E61" i="3" s="1"/>
  <c r="R60" i="3"/>
  <c r="K60" i="3"/>
  <c r="G60" i="3"/>
  <c r="E60" i="3" s="1"/>
  <c r="R59" i="3"/>
  <c r="K59" i="3"/>
  <c r="G59" i="3" s="1"/>
  <c r="R58" i="3"/>
  <c r="K58" i="3"/>
  <c r="G58" i="3" s="1"/>
  <c r="R57" i="3"/>
  <c r="K57" i="3"/>
  <c r="G57" i="3"/>
  <c r="E57" i="3" s="1"/>
  <c r="U57" i="3" s="1"/>
  <c r="R56" i="3"/>
  <c r="K56" i="3"/>
  <c r="G56" i="3" s="1"/>
  <c r="E56" i="3" s="1"/>
  <c r="T56" i="3" s="1"/>
  <c r="R55" i="3"/>
  <c r="E55" i="3" s="1"/>
  <c r="K55" i="3"/>
  <c r="G55" i="3"/>
  <c r="R54" i="3"/>
  <c r="K54" i="3"/>
  <c r="G54" i="3" s="1"/>
  <c r="R53" i="3"/>
  <c r="K53" i="3"/>
  <c r="G53" i="3"/>
  <c r="E53" i="3" s="1"/>
  <c r="R52" i="3"/>
  <c r="K52" i="3"/>
  <c r="G52" i="3"/>
  <c r="E52" i="3" s="1"/>
  <c r="T52" i="3" s="1"/>
  <c r="P51" i="3"/>
  <c r="R51" i="3" s="1"/>
  <c r="K51" i="3"/>
  <c r="P50" i="3"/>
  <c r="R50" i="3" s="1"/>
  <c r="K50" i="3"/>
  <c r="G50" i="3"/>
  <c r="P49" i="3"/>
  <c r="K49" i="3"/>
  <c r="G49" i="3" s="1"/>
  <c r="Q48" i="3"/>
  <c r="O48" i="3"/>
  <c r="N48" i="3"/>
  <c r="M48" i="3"/>
  <c r="L48" i="3"/>
  <c r="J48" i="3"/>
  <c r="I48" i="3"/>
  <c r="H48" i="3"/>
  <c r="F48" i="3"/>
  <c r="R47" i="3"/>
  <c r="L47" i="3"/>
  <c r="K47" i="3"/>
  <c r="R46" i="3"/>
  <c r="L46" i="3"/>
  <c r="G46" i="3" s="1"/>
  <c r="E46" i="3" s="1"/>
  <c r="K46" i="3"/>
  <c r="P45" i="3"/>
  <c r="K45" i="3"/>
  <c r="Q44" i="3"/>
  <c r="O44" i="3"/>
  <c r="N44" i="3"/>
  <c r="M44" i="3"/>
  <c r="J44" i="3"/>
  <c r="I44" i="3"/>
  <c r="H44" i="3"/>
  <c r="F44" i="3"/>
  <c r="R43" i="3"/>
  <c r="T43" i="3" s="1"/>
  <c r="I15" i="7" s="1"/>
  <c r="M15" i="7" s="1"/>
  <c r="G43" i="3"/>
  <c r="R42" i="3"/>
  <c r="L42" i="3"/>
  <c r="K42" i="3"/>
  <c r="R41" i="3"/>
  <c r="L41" i="3"/>
  <c r="K41" i="3"/>
  <c r="Q40" i="3"/>
  <c r="P40" i="3"/>
  <c r="O40" i="3"/>
  <c r="N40" i="3"/>
  <c r="M40" i="3"/>
  <c r="J40" i="3"/>
  <c r="I40" i="3"/>
  <c r="H40" i="3"/>
  <c r="F40" i="3"/>
  <c r="P39" i="3"/>
  <c r="P37" i="3" s="1"/>
  <c r="K39" i="3"/>
  <c r="R38" i="3"/>
  <c r="L38" i="3"/>
  <c r="L37" i="3" s="1"/>
  <c r="K38" i="3"/>
  <c r="G38" i="3"/>
  <c r="Q37" i="3"/>
  <c r="O37" i="3"/>
  <c r="N37" i="3"/>
  <c r="M37" i="3"/>
  <c r="J37" i="3"/>
  <c r="I37" i="3"/>
  <c r="H37" i="3"/>
  <c r="F37" i="3"/>
  <c r="R36" i="3"/>
  <c r="L36" i="3"/>
  <c r="K36" i="3"/>
  <c r="G36" i="3"/>
  <c r="E36" i="3" s="1"/>
  <c r="U36" i="3" s="1"/>
  <c r="R35" i="3"/>
  <c r="L35" i="3"/>
  <c r="K35" i="3"/>
  <c r="R34" i="3"/>
  <c r="L34" i="3"/>
  <c r="K34" i="3"/>
  <c r="G34" i="3"/>
  <c r="E34" i="3" s="1"/>
  <c r="Q33" i="3"/>
  <c r="P33" i="3"/>
  <c r="O33" i="3"/>
  <c r="N33" i="3"/>
  <c r="M33" i="3"/>
  <c r="J33" i="3"/>
  <c r="I33" i="3"/>
  <c r="H33" i="3"/>
  <c r="F33" i="3"/>
  <c r="P32" i="3"/>
  <c r="K32" i="3"/>
  <c r="R31" i="3"/>
  <c r="K31" i="3"/>
  <c r="L31" i="3" s="1"/>
  <c r="P30" i="3"/>
  <c r="R30" i="3" s="1"/>
  <c r="K30" i="3"/>
  <c r="G30" i="3" s="1"/>
  <c r="Q29" i="3"/>
  <c r="O29" i="3"/>
  <c r="N29" i="3"/>
  <c r="M29" i="3"/>
  <c r="J29" i="3"/>
  <c r="I29" i="3"/>
  <c r="H29" i="3"/>
  <c r="F29" i="3"/>
  <c r="P28" i="3"/>
  <c r="R28" i="3" s="1"/>
  <c r="K28" i="3"/>
  <c r="G28" i="3" s="1"/>
  <c r="R27" i="3"/>
  <c r="K27" i="3"/>
  <c r="G27" i="3" s="1"/>
  <c r="P26" i="3"/>
  <c r="K26" i="3"/>
  <c r="G26" i="3"/>
  <c r="Q25" i="3"/>
  <c r="O25" i="3"/>
  <c r="N25" i="3"/>
  <c r="M25" i="3"/>
  <c r="L25" i="3"/>
  <c r="J25" i="3"/>
  <c r="I25" i="3"/>
  <c r="H25" i="3"/>
  <c r="F25" i="3"/>
  <c r="R24" i="3"/>
  <c r="K24" i="3"/>
  <c r="G24" i="3"/>
  <c r="E24" i="3" s="1"/>
  <c r="R23" i="3"/>
  <c r="K23" i="3"/>
  <c r="G23" i="3" s="1"/>
  <c r="R22" i="3"/>
  <c r="K22" i="3"/>
  <c r="G22" i="3" s="1"/>
  <c r="E22" i="3" s="1"/>
  <c r="R21" i="3"/>
  <c r="K21" i="3"/>
  <c r="G21" i="3" s="1"/>
  <c r="R20" i="3"/>
  <c r="K20" i="3"/>
  <c r="G20" i="3"/>
  <c r="E20" i="3" s="1"/>
  <c r="R19" i="3"/>
  <c r="K19" i="3"/>
  <c r="G19" i="3" s="1"/>
  <c r="R18" i="3"/>
  <c r="K18" i="3"/>
  <c r="G18" i="3"/>
  <c r="E18" i="3" s="1"/>
  <c r="R17" i="3"/>
  <c r="K17" i="3"/>
  <c r="G17" i="3" s="1"/>
  <c r="E17" i="3" s="1"/>
  <c r="R16" i="3"/>
  <c r="K16" i="3"/>
  <c r="G16" i="3" s="1"/>
  <c r="E16" i="3" s="1"/>
  <c r="U16" i="3" s="1"/>
  <c r="R15" i="3"/>
  <c r="K15" i="3"/>
  <c r="G15" i="3"/>
  <c r="R14" i="3"/>
  <c r="K14" i="3"/>
  <c r="G14" i="3" s="1"/>
  <c r="E14" i="3" s="1"/>
  <c r="U14" i="3" s="1"/>
  <c r="R13" i="3"/>
  <c r="K13" i="3"/>
  <c r="P12" i="3"/>
  <c r="P11" i="3" s="1"/>
  <c r="K12" i="3"/>
  <c r="Q11" i="3"/>
  <c r="O11" i="3"/>
  <c r="N11" i="3"/>
  <c r="M11" i="3"/>
  <c r="L11" i="3"/>
  <c r="J11" i="3"/>
  <c r="I11" i="3"/>
  <c r="H11" i="3"/>
  <c r="F11" i="3"/>
  <c r="R10" i="3"/>
  <c r="R9" i="3" s="1"/>
  <c r="K10" i="3"/>
  <c r="K9" i="3" s="1"/>
  <c r="G10" i="3"/>
  <c r="Q9" i="3"/>
  <c r="P9" i="3"/>
  <c r="O9" i="3"/>
  <c r="N9" i="3"/>
  <c r="M9" i="3"/>
  <c r="L9" i="3"/>
  <c r="J9" i="3"/>
  <c r="I9" i="3"/>
  <c r="H9" i="3"/>
  <c r="F9" i="3"/>
  <c r="D8" i="3"/>
  <c r="C8" i="3"/>
  <c r="C7" i="3" s="1"/>
  <c r="D7" i="3"/>
  <c r="T24" i="4" l="1"/>
  <c r="T23" i="4" s="1"/>
  <c r="E14" i="7" s="1"/>
  <c r="F23" i="4"/>
  <c r="F12" i="4"/>
  <c r="U12" i="4" s="1"/>
  <c r="E21" i="3"/>
  <c r="L33" i="3"/>
  <c r="R40" i="3"/>
  <c r="E59" i="3"/>
  <c r="T59" i="3" s="1"/>
  <c r="S59" i="3" s="1"/>
  <c r="G80" i="3"/>
  <c r="E80" i="3" s="1"/>
  <c r="R87" i="3"/>
  <c r="R95" i="3"/>
  <c r="G101" i="3"/>
  <c r="K115" i="3"/>
  <c r="K118" i="3"/>
  <c r="T9" i="4"/>
  <c r="H23" i="4"/>
  <c r="L58" i="4"/>
  <c r="R64" i="4"/>
  <c r="N64" i="4"/>
  <c r="G115" i="3"/>
  <c r="F44" i="4"/>
  <c r="U44" i="4" s="1"/>
  <c r="G12" i="3"/>
  <c r="E15" i="3"/>
  <c r="E64" i="3"/>
  <c r="R69" i="3"/>
  <c r="E76" i="3"/>
  <c r="G107" i="3"/>
  <c r="K112" i="3"/>
  <c r="R115" i="3"/>
  <c r="E123" i="3"/>
  <c r="U9" i="4"/>
  <c r="H44" i="4"/>
  <c r="L48" i="4"/>
  <c r="L47" i="4" s="1"/>
  <c r="N35" i="4"/>
  <c r="N7" i="4" s="1"/>
  <c r="C8" i="7"/>
  <c r="F60" i="4"/>
  <c r="T60" i="4" s="1"/>
  <c r="E19" i="3"/>
  <c r="E28" i="3"/>
  <c r="G41" i="3"/>
  <c r="E41" i="3" s="1"/>
  <c r="T41" i="3" s="1"/>
  <c r="P48" i="3"/>
  <c r="G51" i="3"/>
  <c r="E51" i="3" s="1"/>
  <c r="E54" i="3"/>
  <c r="T54" i="3" s="1"/>
  <c r="E58" i="3"/>
  <c r="G75" i="3"/>
  <c r="E75" i="3" s="1"/>
  <c r="U75" i="3" s="1"/>
  <c r="G88" i="3"/>
  <c r="E88" i="3" s="1"/>
  <c r="T88" i="3" s="1"/>
  <c r="G99" i="3"/>
  <c r="G98" i="3" s="1"/>
  <c r="G104" i="3"/>
  <c r="H108" i="3"/>
  <c r="S11" i="4"/>
  <c r="H17" i="4"/>
  <c r="F17" i="4" s="1"/>
  <c r="F31" i="4"/>
  <c r="F33" i="4"/>
  <c r="T33" i="4" s="1"/>
  <c r="L34" i="4"/>
  <c r="G47" i="4"/>
  <c r="F63" i="4"/>
  <c r="H77" i="4"/>
  <c r="H75" i="4" s="1"/>
  <c r="S51" i="4"/>
  <c r="T44" i="4"/>
  <c r="O64" i="4"/>
  <c r="P64" i="4"/>
  <c r="C14" i="7"/>
  <c r="G11" i="4"/>
  <c r="D7" i="4"/>
  <c r="M62" i="4"/>
  <c r="G40" i="4"/>
  <c r="S37" i="4"/>
  <c r="S36" i="4" s="1"/>
  <c r="E7" i="4"/>
  <c r="J8" i="4"/>
  <c r="G26" i="4"/>
  <c r="L27" i="4"/>
  <c r="L26" i="4" s="1"/>
  <c r="L28" i="4"/>
  <c r="K35" i="4"/>
  <c r="L68" i="4"/>
  <c r="I47" i="4"/>
  <c r="L37" i="4"/>
  <c r="K8" i="4"/>
  <c r="I26" i="4"/>
  <c r="M27" i="4"/>
  <c r="M26" i="4" s="1"/>
  <c r="Q28" i="4"/>
  <c r="Q8" i="4" s="1"/>
  <c r="L54" i="4"/>
  <c r="L51" i="4" s="1"/>
  <c r="F70" i="4"/>
  <c r="T70" i="4" s="1"/>
  <c r="U81" i="4"/>
  <c r="L14" i="4"/>
  <c r="H14" i="4" s="1"/>
  <c r="L62" i="4"/>
  <c r="H69" i="4"/>
  <c r="H68" i="4" s="1"/>
  <c r="M16" i="4"/>
  <c r="H30" i="4"/>
  <c r="O35" i="4"/>
  <c r="H45" i="4"/>
  <c r="H58" i="4"/>
  <c r="G71" i="4"/>
  <c r="L72" i="4"/>
  <c r="L71" i="4" s="1"/>
  <c r="F45" i="4"/>
  <c r="T45" i="4" s="1"/>
  <c r="H62" i="4"/>
  <c r="Q64" i="4"/>
  <c r="S41" i="4"/>
  <c r="S40" i="4" s="1"/>
  <c r="S16" i="4"/>
  <c r="T21" i="3"/>
  <c r="U21" i="3"/>
  <c r="L29" i="3"/>
  <c r="G31" i="3"/>
  <c r="E31" i="3" s="1"/>
  <c r="T31" i="3" s="1"/>
  <c r="U62" i="3"/>
  <c r="T62" i="3"/>
  <c r="R104" i="3"/>
  <c r="R103" i="3" s="1"/>
  <c r="S54" i="3"/>
  <c r="E50" i="3"/>
  <c r="U50" i="3" s="1"/>
  <c r="G45" i="3"/>
  <c r="U54" i="3"/>
  <c r="E117" i="3"/>
  <c r="T111" i="3"/>
  <c r="I35" i="7" s="1"/>
  <c r="S111" i="3"/>
  <c r="T36" i="3"/>
  <c r="S36" i="3" s="1"/>
  <c r="T57" i="3"/>
  <c r="S57" i="3" s="1"/>
  <c r="K33" i="3"/>
  <c r="G47" i="3"/>
  <c r="E47" i="3" s="1"/>
  <c r="U47" i="3" s="1"/>
  <c r="K66" i="3"/>
  <c r="G74" i="3"/>
  <c r="E74" i="3" s="1"/>
  <c r="T74" i="3" s="1"/>
  <c r="S74" i="3" s="1"/>
  <c r="E78" i="3"/>
  <c r="R79" i="3"/>
  <c r="U88" i="3"/>
  <c r="S88" i="3" s="1"/>
  <c r="K95" i="3"/>
  <c r="L40" i="3"/>
  <c r="R66" i="3"/>
  <c r="T110" i="3"/>
  <c r="I34" i="7" s="1"/>
  <c r="G34" i="7" s="1"/>
  <c r="E38" i="3"/>
  <c r="T38" i="3" s="1"/>
  <c r="U81" i="3"/>
  <c r="S81" i="3" s="1"/>
  <c r="R100" i="3"/>
  <c r="R112" i="3"/>
  <c r="M65" i="3"/>
  <c r="E43" i="3"/>
  <c r="S43" i="3"/>
  <c r="U43" i="3" s="1"/>
  <c r="J15" i="7" s="1"/>
  <c r="J8" i="3"/>
  <c r="G32" i="3"/>
  <c r="P25" i="3"/>
  <c r="G39" i="3"/>
  <c r="Q65" i="3"/>
  <c r="E82" i="3"/>
  <c r="E79" i="3" s="1"/>
  <c r="G22" i="7"/>
  <c r="E122" i="3"/>
  <c r="T122" i="3" s="1"/>
  <c r="I40" i="7" s="1"/>
  <c r="K40" i="3"/>
  <c r="R90" i="3"/>
  <c r="I8" i="3"/>
  <c r="T16" i="3"/>
  <c r="S16" i="3" s="1"/>
  <c r="K108" i="3"/>
  <c r="E27" i="3"/>
  <c r="T27" i="3" s="1"/>
  <c r="K37" i="3"/>
  <c r="U52" i="3"/>
  <c r="S52" i="3" s="1"/>
  <c r="G67" i="3"/>
  <c r="E120" i="3"/>
  <c r="U120" i="3" s="1"/>
  <c r="E124" i="3"/>
  <c r="J65" i="3"/>
  <c r="F65" i="3"/>
  <c r="E86" i="3"/>
  <c r="E93" i="3"/>
  <c r="E97" i="3"/>
  <c r="E102" i="3"/>
  <c r="L108" i="3"/>
  <c r="E121" i="3"/>
  <c r="U121" i="3" s="1"/>
  <c r="J39" i="7" s="1"/>
  <c r="M8" i="3"/>
  <c r="Q8" i="3"/>
  <c r="N8" i="3"/>
  <c r="F108" i="3"/>
  <c r="R118" i="3"/>
  <c r="M108" i="3"/>
  <c r="R83" i="3"/>
  <c r="E91" i="3"/>
  <c r="E94" i="3"/>
  <c r="T94" i="3" s="1"/>
  <c r="E99" i="3"/>
  <c r="E111" i="3"/>
  <c r="E116" i="3"/>
  <c r="U122" i="3"/>
  <c r="J40" i="7" s="1"/>
  <c r="F53" i="4"/>
  <c r="U33" i="4"/>
  <c r="U76" i="4"/>
  <c r="T76" i="4"/>
  <c r="L75" i="4"/>
  <c r="O7" i="4"/>
  <c r="J35" i="4"/>
  <c r="Q42" i="4"/>
  <c r="Q35" i="4" s="1"/>
  <c r="S43" i="4"/>
  <c r="S42" i="4" s="1"/>
  <c r="U32" i="4"/>
  <c r="T32" i="4"/>
  <c r="M50" i="4"/>
  <c r="M49" i="4" s="1"/>
  <c r="L49" i="4"/>
  <c r="U63" i="4"/>
  <c r="U62" i="4" s="1"/>
  <c r="F62" i="4"/>
  <c r="T63" i="4"/>
  <c r="T62" i="4" s="1"/>
  <c r="U20" i="4"/>
  <c r="T20" i="4"/>
  <c r="S56" i="4"/>
  <c r="S55" i="4" s="1"/>
  <c r="G55" i="4"/>
  <c r="P35" i="4"/>
  <c r="U13" i="4"/>
  <c r="T13" i="4"/>
  <c r="H18" i="4"/>
  <c r="M41" i="4"/>
  <c r="M40" i="4" s="1"/>
  <c r="I51" i="4"/>
  <c r="S74" i="4"/>
  <c r="S73" i="4" s="1"/>
  <c r="G73" i="4"/>
  <c r="F78" i="4"/>
  <c r="U79" i="4"/>
  <c r="U78" i="4" s="1"/>
  <c r="F39" i="7" s="1"/>
  <c r="T79" i="4"/>
  <c r="T78" i="4" s="1"/>
  <c r="E39" i="7" s="1"/>
  <c r="P8" i="4"/>
  <c r="S29" i="4"/>
  <c r="R35" i="4"/>
  <c r="L56" i="4"/>
  <c r="H74" i="4"/>
  <c r="L11" i="4"/>
  <c r="T31" i="4"/>
  <c r="S21" i="4"/>
  <c r="S19" i="4" s="1"/>
  <c r="U31" i="4"/>
  <c r="G75" i="4"/>
  <c r="J64" i="4"/>
  <c r="I71" i="4"/>
  <c r="I64" i="4" s="1"/>
  <c r="L80" i="4"/>
  <c r="M82" i="4"/>
  <c r="S39" i="4"/>
  <c r="S38" i="4" s="1"/>
  <c r="G38" i="4"/>
  <c r="U52" i="4"/>
  <c r="T52" i="4"/>
  <c r="U60" i="4"/>
  <c r="S77" i="4"/>
  <c r="S75" i="4" s="1"/>
  <c r="U17" i="4"/>
  <c r="T17" i="4"/>
  <c r="G19" i="4"/>
  <c r="G8" i="4" s="1"/>
  <c r="L39" i="4"/>
  <c r="S69" i="4"/>
  <c r="S68" i="4" s="1"/>
  <c r="L21" i="4"/>
  <c r="H43" i="4"/>
  <c r="K64" i="4"/>
  <c r="R8" i="4"/>
  <c r="F30" i="4"/>
  <c r="G49" i="4"/>
  <c r="M21" i="4"/>
  <c r="M19" i="4" s="1"/>
  <c r="U24" i="4"/>
  <c r="U23" i="4" s="1"/>
  <c r="F14" i="7" s="1"/>
  <c r="H34" i="4"/>
  <c r="F34" i="4" s="1"/>
  <c r="I28" i="4"/>
  <c r="G66" i="4"/>
  <c r="L67" i="4"/>
  <c r="S67" i="4"/>
  <c r="S66" i="4" s="1"/>
  <c r="S59" i="4"/>
  <c r="T63" i="3"/>
  <c r="U63" i="3"/>
  <c r="G83" i="3"/>
  <c r="E84" i="3"/>
  <c r="U61" i="3"/>
  <c r="T61" i="3"/>
  <c r="S61" i="3" s="1"/>
  <c r="U76" i="3"/>
  <c r="T76" i="3"/>
  <c r="E92" i="3"/>
  <c r="G90" i="3"/>
  <c r="Q108" i="3"/>
  <c r="Q7" i="3" s="1"/>
  <c r="U34" i="3"/>
  <c r="T34" i="3"/>
  <c r="T50" i="3"/>
  <c r="S50" i="3" s="1"/>
  <c r="U59" i="3"/>
  <c r="U64" i="3"/>
  <c r="T64" i="3"/>
  <c r="T24" i="3"/>
  <c r="U24" i="3"/>
  <c r="T47" i="3"/>
  <c r="R77" i="3"/>
  <c r="R72" i="3" s="1"/>
  <c r="P72" i="3"/>
  <c r="P65" i="3" s="1"/>
  <c r="K83" i="3"/>
  <c r="G112" i="3"/>
  <c r="E113" i="3"/>
  <c r="U116" i="3"/>
  <c r="T116" i="3"/>
  <c r="U15" i="3"/>
  <c r="G37" i="3"/>
  <c r="T51" i="3"/>
  <c r="U51" i="3"/>
  <c r="G105" i="3"/>
  <c r="K103" i="3"/>
  <c r="E10" i="3"/>
  <c r="G9" i="3"/>
  <c r="G13" i="3"/>
  <c r="K11" i="3"/>
  <c r="U17" i="3"/>
  <c r="T17" i="3"/>
  <c r="G25" i="3"/>
  <c r="P29" i="3"/>
  <c r="G48" i="3"/>
  <c r="U73" i="3"/>
  <c r="T73" i="3"/>
  <c r="U20" i="3"/>
  <c r="T20" i="3"/>
  <c r="S20" i="3" s="1"/>
  <c r="U22" i="3"/>
  <c r="T22" i="3"/>
  <c r="T28" i="3"/>
  <c r="T46" i="3"/>
  <c r="U46" i="3"/>
  <c r="K48" i="3"/>
  <c r="U28" i="3"/>
  <c r="G35" i="3"/>
  <c r="E68" i="3"/>
  <c r="N65" i="3"/>
  <c r="T80" i="3"/>
  <c r="U80" i="3"/>
  <c r="U82" i="3"/>
  <c r="T15" i="3"/>
  <c r="S15" i="3" s="1"/>
  <c r="G42" i="3"/>
  <c r="L72" i="3"/>
  <c r="L65" i="3" s="1"/>
  <c r="G79" i="3"/>
  <c r="E119" i="3"/>
  <c r="G118" i="3"/>
  <c r="G108" i="3" s="1"/>
  <c r="E98" i="3"/>
  <c r="U99" i="3"/>
  <c r="U98" i="3" s="1"/>
  <c r="J28" i="7" s="1"/>
  <c r="N28" i="7" s="1"/>
  <c r="T99" i="3"/>
  <c r="K25" i="3"/>
  <c r="U74" i="3"/>
  <c r="U18" i="3"/>
  <c r="T18" i="3"/>
  <c r="R32" i="3"/>
  <c r="R29" i="3" s="1"/>
  <c r="G96" i="3"/>
  <c r="F8" i="3"/>
  <c r="E30" i="3"/>
  <c r="K44" i="3"/>
  <c r="U56" i="3"/>
  <c r="S56" i="3" s="1"/>
  <c r="U60" i="3"/>
  <c r="T60" i="3"/>
  <c r="T109" i="3"/>
  <c r="I33" i="7" s="1"/>
  <c r="E109" i="3"/>
  <c r="T123" i="3"/>
  <c r="I41" i="7" s="1"/>
  <c r="M41" i="7" s="1"/>
  <c r="U123" i="3"/>
  <c r="J41" i="7" s="1"/>
  <c r="L44" i="3"/>
  <c r="L8" i="3" s="1"/>
  <c r="R49" i="3"/>
  <c r="H65" i="3"/>
  <c r="U109" i="3"/>
  <c r="J33" i="7" s="1"/>
  <c r="H8" i="3"/>
  <c r="R33" i="3"/>
  <c r="U58" i="3"/>
  <c r="T58" i="3"/>
  <c r="I65" i="3"/>
  <c r="I7" i="3" s="1"/>
  <c r="U71" i="3"/>
  <c r="T71" i="3"/>
  <c r="E23" i="3"/>
  <c r="O8" i="3"/>
  <c r="G77" i="3"/>
  <c r="U89" i="3"/>
  <c r="U87" i="3" s="1"/>
  <c r="J25" i="7" s="1"/>
  <c r="E87" i="3"/>
  <c r="T89" i="3"/>
  <c r="O65" i="3"/>
  <c r="U85" i="3"/>
  <c r="T85" i="3"/>
  <c r="R26" i="3"/>
  <c r="R25" i="3" s="1"/>
  <c r="O108" i="3"/>
  <c r="U114" i="3"/>
  <c r="T114" i="3"/>
  <c r="R45" i="3"/>
  <c r="T75" i="3"/>
  <c r="G87" i="3"/>
  <c r="P108" i="3"/>
  <c r="R12" i="3"/>
  <c r="U19" i="3"/>
  <c r="K29" i="3"/>
  <c r="T53" i="3"/>
  <c r="T93" i="3"/>
  <c r="T97" i="3"/>
  <c r="U55" i="3"/>
  <c r="T55" i="3"/>
  <c r="S55" i="3" s="1"/>
  <c r="R39" i="3"/>
  <c r="R37" i="3" s="1"/>
  <c r="T19" i="3"/>
  <c r="T14" i="3"/>
  <c r="S14" i="3" s="1"/>
  <c r="U41" i="3"/>
  <c r="S41" i="3" s="1"/>
  <c r="P44" i="3"/>
  <c r="U53" i="3"/>
  <c r="G70" i="3"/>
  <c r="K69" i="3"/>
  <c r="K90" i="3"/>
  <c r="E110" i="3"/>
  <c r="G100" i="3" l="1"/>
  <c r="E101" i="3"/>
  <c r="R7" i="4"/>
  <c r="F51" i="4"/>
  <c r="E100" i="3"/>
  <c r="H27" i="4"/>
  <c r="F27" i="4" s="1"/>
  <c r="F26" i="4" s="1"/>
  <c r="T12" i="4"/>
  <c r="S27" i="3"/>
  <c r="S19" i="3"/>
  <c r="T120" i="3"/>
  <c r="S114" i="3"/>
  <c r="N33" i="7"/>
  <c r="G29" i="3"/>
  <c r="U31" i="3"/>
  <c r="S31" i="3" s="1"/>
  <c r="G72" i="3"/>
  <c r="S28" i="3"/>
  <c r="U27" i="3"/>
  <c r="K7" i="4"/>
  <c r="R108" i="3"/>
  <c r="I8" i="4"/>
  <c r="G106" i="3"/>
  <c r="E107" i="3"/>
  <c r="H48" i="4"/>
  <c r="S71" i="3"/>
  <c r="T82" i="3"/>
  <c r="S82" i="3" s="1"/>
  <c r="N7" i="3"/>
  <c r="S73" i="3"/>
  <c r="S76" i="3"/>
  <c r="H50" i="4"/>
  <c r="H28" i="4"/>
  <c r="H54" i="4"/>
  <c r="F54" i="4" s="1"/>
  <c r="U54" i="4" s="1"/>
  <c r="F14" i="4"/>
  <c r="H11" i="4"/>
  <c r="Q7" i="4"/>
  <c r="T54" i="4"/>
  <c r="H72" i="4"/>
  <c r="F72" i="4" s="1"/>
  <c r="U27" i="4"/>
  <c r="U26" i="4" s="1"/>
  <c r="F16" i="7" s="1"/>
  <c r="U45" i="4"/>
  <c r="T27" i="4"/>
  <c r="T26" i="4" s="1"/>
  <c r="E16" i="7" s="1"/>
  <c r="J31" i="7"/>
  <c r="F31" i="7"/>
  <c r="H26" i="4"/>
  <c r="U70" i="4"/>
  <c r="I35" i="4"/>
  <c r="I7" i="4" s="1"/>
  <c r="L36" i="4"/>
  <c r="M37" i="4"/>
  <c r="M8" i="4"/>
  <c r="G35" i="4"/>
  <c r="H41" i="4"/>
  <c r="I31" i="7"/>
  <c r="E31" i="7"/>
  <c r="C31" i="7" s="1"/>
  <c r="H51" i="4"/>
  <c r="S51" i="3"/>
  <c r="U94" i="3"/>
  <c r="S94" i="3" s="1"/>
  <c r="S63" i="3"/>
  <c r="E104" i="3"/>
  <c r="S53" i="3"/>
  <c r="S85" i="3"/>
  <c r="F7" i="3"/>
  <c r="T98" i="3"/>
  <c r="I28" i="7" s="1"/>
  <c r="M28" i="7" s="1"/>
  <c r="S99" i="3"/>
  <c r="S98" i="3" s="1"/>
  <c r="S46" i="3"/>
  <c r="S17" i="3"/>
  <c r="S64" i="3"/>
  <c r="G40" i="7"/>
  <c r="S58" i="3"/>
  <c r="S22" i="3"/>
  <c r="S116" i="3"/>
  <c r="S62" i="3"/>
  <c r="S120" i="3"/>
  <c r="E67" i="3"/>
  <c r="G66" i="3"/>
  <c r="E26" i="3"/>
  <c r="U26" i="3" s="1"/>
  <c r="U25" i="3" s="1"/>
  <c r="J10" i="7" s="1"/>
  <c r="N10" i="7" s="1"/>
  <c r="T117" i="3"/>
  <c r="T115" i="3" s="1"/>
  <c r="I37" i="7" s="1"/>
  <c r="G37" i="7" s="1"/>
  <c r="U117" i="3"/>
  <c r="U115" i="3" s="1"/>
  <c r="J37" i="7" s="1"/>
  <c r="G15" i="7"/>
  <c r="K15" i="7" s="1"/>
  <c r="N15" i="7"/>
  <c r="S47" i="3"/>
  <c r="S24" i="3"/>
  <c r="T87" i="3"/>
  <c r="I25" i="7" s="1"/>
  <c r="G25" i="7" s="1"/>
  <c r="S89" i="3"/>
  <c r="S87" i="3" s="1"/>
  <c r="S18" i="3"/>
  <c r="U38" i="3"/>
  <c r="S38" i="3" s="1"/>
  <c r="E115" i="3"/>
  <c r="S97" i="3"/>
  <c r="U79" i="3"/>
  <c r="J23" i="7" s="1"/>
  <c r="N23" i="7" s="1"/>
  <c r="G44" i="3"/>
  <c r="T79" i="3"/>
  <c r="I23" i="7" s="1"/>
  <c r="G23" i="7" s="1"/>
  <c r="K23" i="7" s="1"/>
  <c r="S80" i="3"/>
  <c r="S79" i="3" s="1"/>
  <c r="J7" i="3"/>
  <c r="S75" i="3"/>
  <c r="S60" i="3"/>
  <c r="S34" i="3"/>
  <c r="G35" i="7"/>
  <c r="S21" i="3"/>
  <c r="M7" i="3"/>
  <c r="U97" i="3"/>
  <c r="T102" i="3"/>
  <c r="U102" i="3"/>
  <c r="T121" i="3"/>
  <c r="I39" i="7" s="1"/>
  <c r="U93" i="3"/>
  <c r="S93" i="3" s="1"/>
  <c r="U86" i="3"/>
  <c r="T86" i="3"/>
  <c r="R65" i="3"/>
  <c r="L7" i="3"/>
  <c r="G28" i="7"/>
  <c r="K28" i="7" s="1"/>
  <c r="U91" i="3"/>
  <c r="G41" i="7"/>
  <c r="K41" i="7" s="1"/>
  <c r="N41" i="7"/>
  <c r="T91" i="3"/>
  <c r="S91" i="3" s="1"/>
  <c r="G33" i="7"/>
  <c r="M33" i="7"/>
  <c r="P8" i="3"/>
  <c r="P7" i="3" s="1"/>
  <c r="M80" i="4"/>
  <c r="H82" i="4"/>
  <c r="H73" i="4"/>
  <c r="F74" i="4"/>
  <c r="H21" i="4"/>
  <c r="L19" i="4"/>
  <c r="L8" i="4"/>
  <c r="F59" i="4"/>
  <c r="S58" i="4"/>
  <c r="S35" i="4" s="1"/>
  <c r="U30" i="4"/>
  <c r="T30" i="4"/>
  <c r="L38" i="4"/>
  <c r="H39" i="4"/>
  <c r="M56" i="4"/>
  <c r="M55" i="4" s="1"/>
  <c r="L55" i="4"/>
  <c r="G64" i="4"/>
  <c r="G7" i="4" s="1"/>
  <c r="W7" i="4" s="1"/>
  <c r="J7" i="4"/>
  <c r="F77" i="4"/>
  <c r="H49" i="4"/>
  <c r="F50" i="4"/>
  <c r="S28" i="4"/>
  <c r="S8" i="4" s="1"/>
  <c r="F29" i="4"/>
  <c r="S64" i="4"/>
  <c r="U53" i="4"/>
  <c r="U51" i="4" s="1"/>
  <c r="F26" i="7" s="1"/>
  <c r="T53" i="4"/>
  <c r="T51" i="4" s="1"/>
  <c r="E26" i="7" s="1"/>
  <c r="M67" i="4"/>
  <c r="M66" i="4" s="1"/>
  <c r="H67" i="4"/>
  <c r="L66" i="4"/>
  <c r="L64" i="4" s="1"/>
  <c r="F69" i="4"/>
  <c r="H40" i="4"/>
  <c r="F41" i="4"/>
  <c r="U34" i="4"/>
  <c r="T34" i="4"/>
  <c r="F43" i="4"/>
  <c r="H42" i="4"/>
  <c r="P7" i="4"/>
  <c r="H16" i="4"/>
  <c r="F18" i="4"/>
  <c r="K65" i="3"/>
  <c r="K8" i="3"/>
  <c r="R48" i="3"/>
  <c r="E49" i="3"/>
  <c r="E77" i="3"/>
  <c r="E35" i="3"/>
  <c r="G33" i="3"/>
  <c r="E105" i="3"/>
  <c r="G103" i="3"/>
  <c r="E12" i="3"/>
  <c r="R11" i="3"/>
  <c r="E13" i="3"/>
  <c r="G11" i="3"/>
  <c r="U68" i="3"/>
  <c r="T68" i="3"/>
  <c r="G40" i="3"/>
  <c r="E42" i="3"/>
  <c r="U10" i="3"/>
  <c r="U9" i="3" s="1"/>
  <c r="J8" i="7" s="1"/>
  <c r="T10" i="3"/>
  <c r="E9" i="3"/>
  <c r="U23" i="3"/>
  <c r="T23" i="3"/>
  <c r="S23" i="3" s="1"/>
  <c r="E112" i="3"/>
  <c r="T113" i="3"/>
  <c r="U113" i="3"/>
  <c r="U112" i="3" s="1"/>
  <c r="E32" i="3"/>
  <c r="E29" i="3" s="1"/>
  <c r="E70" i="3"/>
  <c r="G69" i="3"/>
  <c r="T30" i="3"/>
  <c r="U30" i="3"/>
  <c r="E39" i="3"/>
  <c r="E118" i="3"/>
  <c r="U119" i="3"/>
  <c r="U118" i="3" s="1"/>
  <c r="J38" i="7" s="1"/>
  <c r="T119" i="3"/>
  <c r="U84" i="3"/>
  <c r="T84" i="3"/>
  <c r="E83" i="3"/>
  <c r="E45" i="3"/>
  <c r="R44" i="3"/>
  <c r="T92" i="3"/>
  <c r="U92" i="3"/>
  <c r="U90" i="3" s="1"/>
  <c r="J26" i="7" s="1"/>
  <c r="E90" i="3"/>
  <c r="E66" i="3"/>
  <c r="O7" i="3"/>
  <c r="H7" i="3"/>
  <c r="E96" i="3"/>
  <c r="G95" i="3"/>
  <c r="S30" i="3" l="1"/>
  <c r="N8" i="7"/>
  <c r="H71" i="4"/>
  <c r="F48" i="4"/>
  <c r="H47" i="4"/>
  <c r="T101" i="3"/>
  <c r="U101" i="3"/>
  <c r="U100" i="3" s="1"/>
  <c r="J29" i="7" s="1"/>
  <c r="S68" i="3"/>
  <c r="C26" i="7"/>
  <c r="K33" i="7"/>
  <c r="T107" i="3"/>
  <c r="U107" i="3"/>
  <c r="U106" i="3" s="1"/>
  <c r="E106" i="3"/>
  <c r="L35" i="4"/>
  <c r="M36" i="4"/>
  <c r="M35" i="4" s="1"/>
  <c r="H37" i="4"/>
  <c r="N26" i="7"/>
  <c r="M31" i="7"/>
  <c r="G31" i="7"/>
  <c r="K31" i="7" s="1"/>
  <c r="N31" i="7"/>
  <c r="M23" i="7"/>
  <c r="C16" i="7"/>
  <c r="F11" i="4"/>
  <c r="U14" i="4"/>
  <c r="U11" i="4" s="1"/>
  <c r="F9" i="7" s="1"/>
  <c r="T14" i="4"/>
  <c r="T11" i="4" s="1"/>
  <c r="E9" i="7" s="1"/>
  <c r="H56" i="4"/>
  <c r="F56" i="4" s="1"/>
  <c r="S92" i="3"/>
  <c r="S86" i="3"/>
  <c r="G65" i="3"/>
  <c r="T9" i="3"/>
  <c r="I8" i="7" s="1"/>
  <c r="S10" i="3"/>
  <c r="S9" i="3" s="1"/>
  <c r="S90" i="3"/>
  <c r="S117" i="3"/>
  <c r="S115" i="3" s="1"/>
  <c r="E108" i="3"/>
  <c r="T83" i="3"/>
  <c r="I24" i="7" s="1"/>
  <c r="S84" i="3"/>
  <c r="U83" i="3"/>
  <c r="J24" i="7" s="1"/>
  <c r="E25" i="3"/>
  <c r="T100" i="3"/>
  <c r="I29" i="7" s="1"/>
  <c r="S102" i="3"/>
  <c r="U67" i="3"/>
  <c r="U66" i="3" s="1"/>
  <c r="J19" i="7" s="1"/>
  <c r="T67" i="3"/>
  <c r="T112" i="3"/>
  <c r="S113" i="3"/>
  <c r="S112" i="3" s="1"/>
  <c r="T104" i="3"/>
  <c r="U104" i="3"/>
  <c r="T26" i="3"/>
  <c r="T118" i="3"/>
  <c r="I38" i="7" s="1"/>
  <c r="M38" i="7" s="1"/>
  <c r="S119" i="3"/>
  <c r="S118" i="3" s="1"/>
  <c r="K7" i="3"/>
  <c r="R8" i="3"/>
  <c r="R7" i="3" s="1"/>
  <c r="T90" i="3"/>
  <c r="I26" i="7" s="1"/>
  <c r="U108" i="3"/>
  <c r="J36" i="7"/>
  <c r="G8" i="3"/>
  <c r="G7" i="3" s="1"/>
  <c r="G8" i="7"/>
  <c r="G39" i="7"/>
  <c r="U29" i="4"/>
  <c r="U28" i="4" s="1"/>
  <c r="F17" i="7" s="1"/>
  <c r="F28" i="4"/>
  <c r="T29" i="4"/>
  <c r="T28" i="4" s="1"/>
  <c r="E17" i="7" s="1"/>
  <c r="F71" i="4"/>
  <c r="U72" i="4"/>
  <c r="U71" i="4" s="1"/>
  <c r="F36" i="7" s="1"/>
  <c r="T72" i="4"/>
  <c r="T71" i="4" s="1"/>
  <c r="E36" i="7" s="1"/>
  <c r="C36" i="7" s="1"/>
  <c r="U74" i="4"/>
  <c r="U73" i="4" s="1"/>
  <c r="F37" i="7" s="1"/>
  <c r="N37" i="7" s="1"/>
  <c r="T74" i="4"/>
  <c r="T73" i="4" s="1"/>
  <c r="E37" i="7" s="1"/>
  <c r="F73" i="4"/>
  <c r="U69" i="4"/>
  <c r="U68" i="4" s="1"/>
  <c r="F35" i="7" s="1"/>
  <c r="N35" i="7" s="1"/>
  <c r="T69" i="4"/>
  <c r="T68" i="4" s="1"/>
  <c r="E35" i="7" s="1"/>
  <c r="F68" i="4"/>
  <c r="F82" i="4"/>
  <c r="H80" i="4"/>
  <c r="S7" i="4"/>
  <c r="T59" i="4"/>
  <c r="T58" i="4" s="1"/>
  <c r="E29" i="7" s="1"/>
  <c r="M29" i="7" s="1"/>
  <c r="F58" i="4"/>
  <c r="U59" i="4"/>
  <c r="U58" i="4" s="1"/>
  <c r="F29" i="7" s="1"/>
  <c r="T18" i="4"/>
  <c r="T16" i="4" s="1"/>
  <c r="E11" i="7" s="1"/>
  <c r="U18" i="4"/>
  <c r="U16" i="4" s="1"/>
  <c r="F11" i="7" s="1"/>
  <c r="F16" i="4"/>
  <c r="T50" i="4"/>
  <c r="U50" i="4"/>
  <c r="U49" i="4" s="1"/>
  <c r="F25" i="7" s="1"/>
  <c r="N25" i="7" s="1"/>
  <c r="F49" i="4"/>
  <c r="M64" i="4"/>
  <c r="M7" i="4" s="1"/>
  <c r="F42" i="4"/>
  <c r="U43" i="4"/>
  <c r="U42" i="4" s="1"/>
  <c r="F22" i="7" s="1"/>
  <c r="N22" i="7" s="1"/>
  <c r="T43" i="4"/>
  <c r="T42" i="4" s="1"/>
  <c r="E22" i="7" s="1"/>
  <c r="U41" i="4"/>
  <c r="U40" i="4" s="1"/>
  <c r="F21" i="7" s="1"/>
  <c r="F40" i="4"/>
  <c r="T41" i="4"/>
  <c r="T40" i="4" s="1"/>
  <c r="E21" i="7" s="1"/>
  <c r="L7" i="4"/>
  <c r="F21" i="4"/>
  <c r="H19" i="4"/>
  <c r="H8" i="4" s="1"/>
  <c r="H66" i="4"/>
  <c r="H64" i="4" s="1"/>
  <c r="F67" i="4"/>
  <c r="U77" i="4"/>
  <c r="U75" i="4" s="1"/>
  <c r="F38" i="7" s="1"/>
  <c r="N38" i="7" s="1"/>
  <c r="T77" i="4"/>
  <c r="T75" i="4" s="1"/>
  <c r="E38" i="7" s="1"/>
  <c r="F75" i="4"/>
  <c r="H38" i="4"/>
  <c r="F39" i="4"/>
  <c r="T77" i="3"/>
  <c r="U77" i="3"/>
  <c r="U72" i="3" s="1"/>
  <c r="J21" i="7" s="1"/>
  <c r="E72" i="3"/>
  <c r="T70" i="3"/>
  <c r="E69" i="3"/>
  <c r="U70" i="3"/>
  <c r="U69" i="3" s="1"/>
  <c r="T12" i="3"/>
  <c r="U12" i="3"/>
  <c r="E11" i="3"/>
  <c r="U39" i="3"/>
  <c r="U37" i="3" s="1"/>
  <c r="J13" i="7" s="1"/>
  <c r="N13" i="7" s="1"/>
  <c r="T39" i="3"/>
  <c r="E37" i="3"/>
  <c r="U42" i="3"/>
  <c r="U40" i="3" s="1"/>
  <c r="J14" i="7" s="1"/>
  <c r="N14" i="7" s="1"/>
  <c r="T42" i="3"/>
  <c r="E40" i="3"/>
  <c r="T49" i="3"/>
  <c r="E48" i="3"/>
  <c r="U49" i="3"/>
  <c r="U48" i="3" s="1"/>
  <c r="J17" i="7" s="1"/>
  <c r="T32" i="3"/>
  <c r="T29" i="3" s="1"/>
  <c r="I11" i="7" s="1"/>
  <c r="U32" i="3"/>
  <c r="U29" i="3" s="1"/>
  <c r="J11" i="7" s="1"/>
  <c r="U105" i="3"/>
  <c r="U103" i="3" s="1"/>
  <c r="J30" i="7" s="1"/>
  <c r="N30" i="7" s="1"/>
  <c r="E103" i="3"/>
  <c r="T105" i="3"/>
  <c r="U45" i="3"/>
  <c r="U44" i="3" s="1"/>
  <c r="J16" i="7" s="1"/>
  <c r="N16" i="7" s="1"/>
  <c r="T45" i="3"/>
  <c r="E44" i="3"/>
  <c r="U13" i="3"/>
  <c r="T13" i="3"/>
  <c r="S13" i="3" s="1"/>
  <c r="T96" i="3"/>
  <c r="E95" i="3"/>
  <c r="E65" i="3" s="1"/>
  <c r="U96" i="3"/>
  <c r="U95" i="3" s="1"/>
  <c r="J27" i="7" s="1"/>
  <c r="T35" i="3"/>
  <c r="U35" i="3"/>
  <c r="U33" i="3" s="1"/>
  <c r="J12" i="7" s="1"/>
  <c r="E33" i="3"/>
  <c r="S107" i="3" l="1"/>
  <c r="S106" i="3" s="1"/>
  <c r="T106" i="3"/>
  <c r="F47" i="4"/>
  <c r="U48" i="4"/>
  <c r="U47" i="4" s="1"/>
  <c r="F24" i="7" s="1"/>
  <c r="N24" i="7" s="1"/>
  <c r="T48" i="4"/>
  <c r="T47" i="4" s="1"/>
  <c r="E24" i="7" s="1"/>
  <c r="H55" i="4"/>
  <c r="N36" i="7"/>
  <c r="J32" i="7"/>
  <c r="T108" i="3"/>
  <c r="C9" i="7"/>
  <c r="N21" i="7"/>
  <c r="C21" i="7"/>
  <c r="C37" i="7"/>
  <c r="K37" i="7" s="1"/>
  <c r="G29" i="7"/>
  <c r="G24" i="7"/>
  <c r="S101" i="3"/>
  <c r="S100" i="3" s="1"/>
  <c r="C38" i="7"/>
  <c r="T49" i="4"/>
  <c r="E25" i="7" s="1"/>
  <c r="M25" i="7" s="1"/>
  <c r="V50" i="4"/>
  <c r="N29" i="7"/>
  <c r="K8" i="7"/>
  <c r="S104" i="3"/>
  <c r="M8" i="7"/>
  <c r="H36" i="4"/>
  <c r="H35" i="4" s="1"/>
  <c r="H7" i="4" s="1"/>
  <c r="F37" i="4"/>
  <c r="C29" i="7"/>
  <c r="K29" i="7" s="1"/>
  <c r="M37" i="7"/>
  <c r="N17" i="7"/>
  <c r="M24" i="7"/>
  <c r="N11" i="7"/>
  <c r="C17" i="7"/>
  <c r="C11" i="7"/>
  <c r="C35" i="7"/>
  <c r="K35" i="7" s="1"/>
  <c r="M35" i="7"/>
  <c r="C22" i="7"/>
  <c r="K22" i="7" s="1"/>
  <c r="M22" i="7"/>
  <c r="C25" i="7"/>
  <c r="K25" i="7" s="1"/>
  <c r="T33" i="3"/>
  <c r="I12" i="7" s="1"/>
  <c r="S35" i="3"/>
  <c r="S33" i="3" s="1"/>
  <c r="T95" i="3"/>
  <c r="I27" i="7" s="1"/>
  <c r="G27" i="7" s="1"/>
  <c r="S96" i="3"/>
  <c r="S95" i="3" s="1"/>
  <c r="T69" i="3"/>
  <c r="I20" i="7" s="1"/>
  <c r="S70" i="3"/>
  <c r="S69" i="3" s="1"/>
  <c r="S67" i="3"/>
  <c r="S66" i="3" s="1"/>
  <c r="T66" i="3"/>
  <c r="I19" i="7" s="1"/>
  <c r="S12" i="3"/>
  <c r="S11" i="3" s="1"/>
  <c r="T11" i="3"/>
  <c r="I9" i="7" s="1"/>
  <c r="M9" i="7" s="1"/>
  <c r="T48" i="3"/>
  <c r="I17" i="7" s="1"/>
  <c r="M17" i="7" s="1"/>
  <c r="S49" i="3"/>
  <c r="S48" i="3" s="1"/>
  <c r="T40" i="3"/>
  <c r="I14" i="7" s="1"/>
  <c r="M14" i="7" s="1"/>
  <c r="S42" i="3"/>
  <c r="S40" i="3" s="1"/>
  <c r="T44" i="3"/>
  <c r="I16" i="7" s="1"/>
  <c r="M16" i="7" s="1"/>
  <c r="S45" i="3"/>
  <c r="S44" i="3" s="1"/>
  <c r="T72" i="3"/>
  <c r="I21" i="7" s="1"/>
  <c r="S77" i="3"/>
  <c r="S72" i="3" s="1"/>
  <c r="I36" i="7"/>
  <c r="I32" i="7" s="1"/>
  <c r="G38" i="7"/>
  <c r="K38" i="7" s="1"/>
  <c r="S83" i="3"/>
  <c r="S32" i="3"/>
  <c r="S29" i="3" s="1"/>
  <c r="T25" i="3"/>
  <c r="I10" i="7" s="1"/>
  <c r="S26" i="3"/>
  <c r="S25" i="3" s="1"/>
  <c r="E8" i="3"/>
  <c r="E7" i="3" s="1"/>
  <c r="T103" i="3"/>
  <c r="I30" i="7" s="1"/>
  <c r="M30" i="7" s="1"/>
  <c r="S105" i="3"/>
  <c r="S103" i="3" s="1"/>
  <c r="T37" i="3"/>
  <c r="I13" i="7" s="1"/>
  <c r="G13" i="7" s="1"/>
  <c r="K13" i="7" s="1"/>
  <c r="S39" i="3"/>
  <c r="S37" i="3" s="1"/>
  <c r="S108" i="3"/>
  <c r="M26" i="7"/>
  <c r="G26" i="7"/>
  <c r="K26" i="7" s="1"/>
  <c r="G14" i="7"/>
  <c r="K14" i="7" s="1"/>
  <c r="U65" i="3"/>
  <c r="J20" i="7"/>
  <c r="J18" i="7" s="1"/>
  <c r="M21" i="7"/>
  <c r="G21" i="7"/>
  <c r="K21" i="7" s="1"/>
  <c r="G12" i="7"/>
  <c r="G11" i="7"/>
  <c r="M11" i="7"/>
  <c r="T67" i="4"/>
  <c r="T66" i="4" s="1"/>
  <c r="E34" i="7" s="1"/>
  <c r="F66" i="4"/>
  <c r="U67" i="4"/>
  <c r="U66" i="4" s="1"/>
  <c r="F55" i="4"/>
  <c r="U56" i="4"/>
  <c r="U55" i="4" s="1"/>
  <c r="T56" i="4"/>
  <c r="T55" i="4" s="1"/>
  <c r="E27" i="7" s="1"/>
  <c r="U82" i="4"/>
  <c r="U80" i="4" s="1"/>
  <c r="T82" i="4"/>
  <c r="T80" i="4" s="1"/>
  <c r="F80" i="4"/>
  <c r="U21" i="4"/>
  <c r="U19" i="4" s="1"/>
  <c r="T21" i="4"/>
  <c r="T19" i="4" s="1"/>
  <c r="F19" i="4"/>
  <c r="F8" i="4" s="1"/>
  <c r="T39" i="4"/>
  <c r="T38" i="4" s="1"/>
  <c r="E20" i="7" s="1"/>
  <c r="M20" i="7" s="1"/>
  <c r="U39" i="4"/>
  <c r="U38" i="4" s="1"/>
  <c r="F20" i="7" s="1"/>
  <c r="F38" i="4"/>
  <c r="U11" i="3"/>
  <c r="G36" i="7" l="1"/>
  <c r="I7" i="7"/>
  <c r="E32" i="7"/>
  <c r="K11" i="7"/>
  <c r="G16" i="7"/>
  <c r="K16" i="7" s="1"/>
  <c r="M36" i="7"/>
  <c r="S8" i="3"/>
  <c r="C24" i="7"/>
  <c r="K24" i="7" s="1"/>
  <c r="T65" i="3"/>
  <c r="I18" i="7"/>
  <c r="U37" i="4"/>
  <c r="U36" i="4" s="1"/>
  <c r="F19" i="7" s="1"/>
  <c r="T37" i="4"/>
  <c r="T36" i="4" s="1"/>
  <c r="F36" i="4"/>
  <c r="G30" i="7"/>
  <c r="K30" i="7" s="1"/>
  <c r="M27" i="7"/>
  <c r="F35" i="4"/>
  <c r="F7" i="4" s="1"/>
  <c r="U64" i="4"/>
  <c r="F34" i="7"/>
  <c r="C34" i="7"/>
  <c r="M34" i="7"/>
  <c r="E40" i="7"/>
  <c r="N39" i="7"/>
  <c r="F40" i="7"/>
  <c r="N40" i="7" s="1"/>
  <c r="C20" i="7"/>
  <c r="N20" i="7"/>
  <c r="F27" i="7"/>
  <c r="N27" i="7" s="1"/>
  <c r="T8" i="4"/>
  <c r="E12" i="7"/>
  <c r="E7" i="7" s="1"/>
  <c r="U8" i="4"/>
  <c r="F12" i="7"/>
  <c r="S65" i="3"/>
  <c r="S7" i="3" s="1"/>
  <c r="G10" i="7"/>
  <c r="K10" i="7" s="1"/>
  <c r="M10" i="7"/>
  <c r="G19" i="7"/>
  <c r="G20" i="7"/>
  <c r="K20" i="7" s="1"/>
  <c r="G17" i="7"/>
  <c r="K17" i="7" s="1"/>
  <c r="T8" i="3"/>
  <c r="T7" i="3" s="1"/>
  <c r="M13" i="7"/>
  <c r="U8" i="3"/>
  <c r="U7" i="3" s="1"/>
  <c r="J9" i="7"/>
  <c r="J7" i="7" s="1"/>
  <c r="J42" i="7" s="1"/>
  <c r="T64" i="4"/>
  <c r="F64" i="4"/>
  <c r="G18" i="7" l="1"/>
  <c r="N12" i="7"/>
  <c r="F7" i="7"/>
  <c r="K34" i="7"/>
  <c r="N19" i="7"/>
  <c r="N18" i="7" s="1"/>
  <c r="F18" i="7"/>
  <c r="U35" i="4"/>
  <c r="U7" i="4" s="1"/>
  <c r="N34" i="7"/>
  <c r="N32" i="7" s="1"/>
  <c r="F32" i="7"/>
  <c r="I42" i="7"/>
  <c r="E42" i="7"/>
  <c r="K36" i="7"/>
  <c r="G32" i="7"/>
  <c r="C12" i="7"/>
  <c r="M12" i="7"/>
  <c r="M7" i="7" s="1"/>
  <c r="C40" i="7"/>
  <c r="K40" i="7" s="1"/>
  <c r="M40" i="7"/>
  <c r="C27" i="7"/>
  <c r="K27" i="7" s="1"/>
  <c r="C39" i="7"/>
  <c r="K39" i="7" s="1"/>
  <c r="M39" i="7"/>
  <c r="M32" i="7" s="1"/>
  <c r="E19" i="7"/>
  <c r="E18" i="7" s="1"/>
  <c r="T35" i="4"/>
  <c r="T7" i="4" s="1"/>
  <c r="G9" i="7"/>
  <c r="N9" i="7"/>
  <c r="N7" i="7" s="1"/>
  <c r="N42" i="7" s="1"/>
  <c r="V7" i="4"/>
  <c r="F42" i="7" l="1"/>
  <c r="K9" i="7"/>
  <c r="K7" i="7" s="1"/>
  <c r="G7" i="7"/>
  <c r="G42" i="7" s="1"/>
  <c r="K12" i="7"/>
  <c r="C7" i="7"/>
  <c r="C32" i="7"/>
  <c r="K32" i="7"/>
  <c r="C19" i="7"/>
  <c r="M19" i="7"/>
  <c r="M18" i="7" s="1"/>
  <c r="M42" i="7" s="1"/>
  <c r="K19" i="7" l="1"/>
  <c r="K18" i="7" s="1"/>
  <c r="K42" i="7" s="1"/>
  <c r="C18" i="7"/>
  <c r="C42" i="7" s="1"/>
  <c r="T4" i="12"/>
  <c r="S4" i="12"/>
  <c r="R4" i="12"/>
</calcChain>
</file>

<file path=xl/comments1.xml><?xml version="1.0" encoding="utf-8"?>
<comments xmlns="http://schemas.openxmlformats.org/spreadsheetml/2006/main">
  <authors>
    <author>VNN.R9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công them trừ tiết kiệm do biểu nhập trừ tiết kiệm nhập nhầm số của phòng TNMT vào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công them trừ tiết kiệm do biểu nhập trừ tiết kiệm nhập nhầm số của phòng TNMT vào</t>
        </r>
      </text>
    </comment>
    <comment ref="B556" authorId="0" shapeId="0">
      <text>
        <r>
          <rPr>
            <b/>
            <sz val="9"/>
            <color indexed="81"/>
            <rFont val="Tahoma"/>
            <family val="2"/>
          </rPr>
          <t>VNN.R9:</t>
        </r>
        <r>
          <rPr>
            <sz val="9"/>
            <color indexed="81"/>
            <rFont val="Tahoma"/>
            <family val="2"/>
          </rPr>
          <t xml:space="preserve">
công them trừ tiết kiệm do biểu nhập trừ tiết kiệm nhập nhầm số của phòng TNMT vào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HANHTC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nguyên nhân do năm 2022 là năm đầu gđ ổn định NS ko chi CCTL nên trừ TK tại trường để tập trung tại huyện ko cân đối chi CCTL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Windows User:
điều chuyển qua NĐ 81 130,63 trđ, khuyết tật 8,96 trđ</t>
        </r>
      </text>
    </comment>
    <comment ref="E57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73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92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111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130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149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168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187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206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225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244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263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282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01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20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39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58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77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396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415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434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453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472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491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510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529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548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567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586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605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624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643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662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681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700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719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E738" authorId="1" shapeId="0">
      <text>
        <r>
          <rPr>
            <b/>
            <sz val="9"/>
            <color indexed="81"/>
            <rFont val="Tahoma"/>
            <family val="2"/>
          </rPr>
          <t>HANHTC:</t>
        </r>
        <r>
          <rPr>
            <sz val="9"/>
            <color indexed="81"/>
            <rFont val="Tahoma"/>
            <family val="2"/>
          </rPr>
          <t xml:space="preserve">
Tạm thời tính theo ổn định chờ định mức mới của HĐND tỉnh</t>
        </r>
      </text>
    </comment>
    <comment ref="B74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Điều 4 tạm tình theo số học sinh bán trú + ăn trưa; nếu chỉ có ăn trưa tính theo số học sinh ăn trưa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5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Phụ trách công tác đội 0,2+ phụ cấp công tác giảng dạy ngoài trời 1%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<sst xmlns="http://schemas.openxmlformats.org/spreadsheetml/2006/main" count="3514" uniqueCount="578">
  <si>
    <t>STT</t>
  </si>
  <si>
    <t>Nội dung</t>
  </si>
  <si>
    <t>BIỂU CHI TIẾT THU HỒI, BỔ SUNG KINH PHÍ TIỀN LƯƠNG BIÊN CHẾ TĂNG THÊM THEO QUYẾT ĐỊNH 72-QĐ/TW NĂM 2024</t>
  </si>
  <si>
    <t>Tên đơn vị</t>
  </si>
  <si>
    <t>I</t>
  </si>
  <si>
    <t>Mầm non</t>
  </si>
  <si>
    <t>Mầm non xã Diên Bình</t>
  </si>
  <si>
    <t>Mầm non Bình Minh</t>
  </si>
  <si>
    <t>Mầm non Hoa Phượng</t>
  </si>
  <si>
    <t>Mầm non xã Ngọc Tụ</t>
  </si>
  <si>
    <t>Mầm non xã Đăk Rơ Nga</t>
  </si>
  <si>
    <t>Mầm non xã Đăk Trăm</t>
  </si>
  <si>
    <t>Mầm non xã Văn Lem</t>
  </si>
  <si>
    <t>Mầm non Vành Khuyên</t>
  </si>
  <si>
    <t>Mầm non xã Pô Kô</t>
  </si>
  <si>
    <t>Mầm non Sao Mai</t>
  </si>
  <si>
    <t>Tiểu học</t>
  </si>
  <si>
    <t>Tiểu học xã Ngọc Tụ</t>
  </si>
  <si>
    <t>Tiểu học Kim Đồng</t>
  </si>
  <si>
    <t>Tiểu học xã Đăk Rơ Nga</t>
  </si>
  <si>
    <t>Tiểu học Lê Quý Đôn</t>
  </si>
  <si>
    <t>Tiểu học Nguyễn Bỉnh Khiêm</t>
  </si>
  <si>
    <t>Tiểu học Lê Hồng Phong</t>
  </si>
  <si>
    <t>Tiểu học Nơ Trang Long</t>
  </si>
  <si>
    <t>Tiểu học Lê Văn Tám</t>
  </si>
  <si>
    <t>Tiểu học xã Đăk Trăm</t>
  </si>
  <si>
    <t>Tiểu học Nguyễn Khuyến</t>
  </si>
  <si>
    <t>Tiểu học Nguyễn Bá Ngọc</t>
  </si>
  <si>
    <t>TH-THCS xã Pô Kô</t>
  </si>
  <si>
    <t>TH-THCS xã Văn Lem</t>
  </si>
  <si>
    <t>Trung học cơ sở</t>
  </si>
  <si>
    <t>THCS Lương Thế Vinh</t>
  </si>
  <si>
    <t>THCS Nguyễn Du</t>
  </si>
  <si>
    <t>THCS 24 tháng 4</t>
  </si>
  <si>
    <t>THCS Nguyễn Trãi</t>
  </si>
  <si>
    <t>THCS xã Ngọc Tụ</t>
  </si>
  <si>
    <t xml:space="preserve"> PTDTBT THCS xã Đăk Rơ Nga</t>
  </si>
  <si>
    <t>THCS xã Đăk Trăm</t>
  </si>
  <si>
    <t>Chênh lệch</t>
  </si>
  <si>
    <t>Nhu cầu nguồn tiền lương cân đối ổn định ngân sách (lương + các chế độ tiền lương theo định mức 1,490 trđ)</t>
  </si>
  <si>
    <t>Nhu cầu kinh phí thực hiện CCTL (Lương và các chế độ chính sách tiền lương giữa định mức lương 1,490 trđ và định mức lương 1,8 trđ</t>
  </si>
  <si>
    <t>A</t>
  </si>
  <si>
    <t>B</t>
  </si>
  <si>
    <t>Tổng cộng</t>
  </si>
  <si>
    <t>Biên chế được giao</t>
  </si>
  <si>
    <t>Biên chế có mặt</t>
  </si>
  <si>
    <t>Lương theo ngạch, bậc, chức vụ</t>
  </si>
  <si>
    <t>Tổng các khoản phụ cấp</t>
  </si>
  <si>
    <t>Trong đó</t>
  </si>
  <si>
    <t>Phụ cấp khu vực</t>
  </si>
  <si>
    <t>Phụ cấp chức vụ</t>
  </si>
  <si>
    <t>Phụ cấp thâm niên vượt khung</t>
  </si>
  <si>
    <t>Phụ cấp ưu đãi ngành</t>
  </si>
  <si>
    <t>Phụ cấp thu hút</t>
  </si>
  <si>
    <t>Phụ cấp công tác lâu năm</t>
  </si>
  <si>
    <t>Phụ cấp công vụ</t>
  </si>
  <si>
    <t>Phụ cấp công tác đảng</t>
  </si>
  <si>
    <t>Phụ cấp thâm niên nghề</t>
  </si>
  <si>
    <t>Phụ cấp Khác</t>
  </si>
  <si>
    <t>Các khoản đóng góp BHXH, BHYT, BHTN, KPCĐ (2)</t>
  </si>
  <si>
    <t>3=4+5+16</t>
  </si>
  <si>
    <t>5=6+…+15</t>
  </si>
  <si>
    <t>17=3*1,49trđ*12 tháng</t>
  </si>
  <si>
    <t>18=3*0,31trđ*12 tháng</t>
  </si>
  <si>
    <t>Y H Bi Bi</t>
  </si>
  <si>
    <t xml:space="preserve">Mầm non Bình Minh </t>
  </si>
  <si>
    <t>Trương Thị Xuân Gần</t>
  </si>
  <si>
    <t xml:space="preserve">Phạm Thị Hồng Thúy </t>
  </si>
  <si>
    <t>Nguyễn Thị Minh Hồng</t>
  </si>
  <si>
    <t>Dương Thị Thủy</t>
  </si>
  <si>
    <t>Nguyễn Thị Hồng Nhung</t>
  </si>
  <si>
    <t>Bùi Gia Thư</t>
  </si>
  <si>
    <t>Y Xoang</t>
  </si>
  <si>
    <t>Đoàn Thị Thanh Huyền</t>
  </si>
  <si>
    <t>Y Ngọc Huyền</t>
  </si>
  <si>
    <t>Nguyễn Thị Bích Vân</t>
  </si>
  <si>
    <t>Y Sang</t>
  </si>
  <si>
    <t>Lường Thị Bích Ngọc</t>
  </si>
  <si>
    <t>Lê Thị Thuý Điệp</t>
  </si>
  <si>
    <t xml:space="preserve">Mầm non Hoa Phượng </t>
  </si>
  <si>
    <t>Nguyễn Thị Phương</t>
  </si>
  <si>
    <t>Ngô Thị Hương</t>
  </si>
  <si>
    <t>Trương Thị Tuyết Nhung</t>
  </si>
  <si>
    <t xml:space="preserve">Mầm non Ngọc Tụ </t>
  </si>
  <si>
    <t xml:space="preserve">Lương Thị Hồng Niên </t>
  </si>
  <si>
    <t>Tăng Thị Kim Ngân</t>
  </si>
  <si>
    <t>Y Thêr</t>
  </si>
  <si>
    <t xml:space="preserve">Mầm non Đăk Rơ Nga </t>
  </si>
  <si>
    <t>Bùi Thị Kim Chi</t>
  </si>
  <si>
    <t>Y Khang</t>
  </si>
  <si>
    <t>Y Diệt</t>
  </si>
  <si>
    <t xml:space="preserve">Mầm non Đăk Trăm </t>
  </si>
  <si>
    <t>Y Phượng</t>
  </si>
  <si>
    <t>Y Rô Xâm</t>
  </si>
  <si>
    <t>Mầm non Văn Lem</t>
  </si>
  <si>
    <t>Y Bùi Thị Phương</t>
  </si>
  <si>
    <t>Ngô Thị Tâm</t>
  </si>
  <si>
    <t>Mầm non Vành khuyên</t>
  </si>
  <si>
    <t xml:space="preserve">Mầm non xã Pô Kô </t>
  </si>
  <si>
    <t>Huỳnh Thị Lành</t>
  </si>
  <si>
    <t>Châu Thị Mỹ Hoa</t>
  </si>
  <si>
    <t>Đoàn Thị Ngọc Thuỷ</t>
  </si>
  <si>
    <t xml:space="preserve">Mầm non Sao Mai </t>
  </si>
  <si>
    <t>La Thị Lan</t>
  </si>
  <si>
    <t>Bùi Thị Duyên</t>
  </si>
  <si>
    <t>Ngô Thị Thể</t>
  </si>
  <si>
    <t>Dương Thị Châu Loan</t>
  </si>
  <si>
    <t>Trần Thị Kiều Diễm</t>
  </si>
  <si>
    <t>Y Mi</t>
  </si>
  <si>
    <t>Đinh Thị Thuý Ngân</t>
  </si>
  <si>
    <t>Trần Thị Lệ Duyên</t>
  </si>
  <si>
    <t xml:space="preserve">Lê Thị Thanh Thương </t>
  </si>
  <si>
    <t>Phạm Thị Thuý</t>
  </si>
  <si>
    <t>Trần Y Thư</t>
  </si>
  <si>
    <t>Y Hmeng</t>
  </si>
  <si>
    <t>Bùi Thị Thanh Thuỳ</t>
  </si>
  <si>
    <t>Lê Thị Yên</t>
  </si>
  <si>
    <t>Nguyễn Thị Kim Yến</t>
  </si>
  <si>
    <t>Phan Thị Lệ Trang</t>
  </si>
  <si>
    <t xml:space="preserve">Tiểu học xã Ngọc Tụ </t>
  </si>
  <si>
    <t>Lương Thị Hoa Như</t>
  </si>
  <si>
    <t>Nguyễn Thị Hoài Nhi</t>
  </si>
  <si>
    <t xml:space="preserve">Tiểu học Kim Đồng </t>
  </si>
  <si>
    <t>Biên chế chờ tuyển (giáo viên)</t>
  </si>
  <si>
    <t>Phan Thị Bích Phượng</t>
  </si>
  <si>
    <t xml:space="preserve">Tiểu học Đăk Rơ Nga </t>
  </si>
  <si>
    <t>Thới Thị Mỹ Liễu</t>
  </si>
  <si>
    <t>Y Hmoi</t>
  </si>
  <si>
    <t>Lê Thị Ngọc Anh</t>
  </si>
  <si>
    <t>Lê Thị Mỹ Hiền</t>
  </si>
  <si>
    <t xml:space="preserve">Tiểu học Nguyễn Bĩnh Khiêm </t>
  </si>
  <si>
    <t>Nguyễn Thị Huyền Ny</t>
  </si>
  <si>
    <t>Trần Lê Minh Anh</t>
  </si>
  <si>
    <t>Phạm Thị Nguyệt Hoa</t>
  </si>
  <si>
    <t xml:space="preserve">Tiểu học Lê Hồng Phong </t>
  </si>
  <si>
    <t>Nguyễn Thái Thanh Thùy</t>
  </si>
  <si>
    <t xml:space="preserve">Phan Thị Hằng </t>
  </si>
  <si>
    <t>Đỗ Thị Huyền Trâm</t>
  </si>
  <si>
    <t>Võ Thị Thảo Hiền</t>
  </si>
  <si>
    <t>Dương Thị Anh</t>
  </si>
  <si>
    <t>Y Hạnh</t>
  </si>
  <si>
    <t>Nguyễn Thị Bình</t>
  </si>
  <si>
    <t>Tiểu học Đăk Trăm</t>
  </si>
  <si>
    <t>Biên chế chờ tuyển (giáo viên TA)</t>
  </si>
  <si>
    <t>Nguyễn Thị Dương Huệ</t>
  </si>
  <si>
    <t>Tô Hà Trinh</t>
  </si>
  <si>
    <t xml:space="preserve">Tiểu học Nguyễn Bá Ngọc </t>
  </si>
  <si>
    <t>Võ Thanh Tâm</t>
  </si>
  <si>
    <t>Võ Thị Lài</t>
  </si>
  <si>
    <t>Tiểu học -THCS xã Pô Kô</t>
  </si>
  <si>
    <t>Hứa Thị Thúy Kiều</t>
  </si>
  <si>
    <t>Trần Thị Bảo Lanh</t>
  </si>
  <si>
    <t>Tiểu học - THCS Văn Lem</t>
  </si>
  <si>
    <t xml:space="preserve">Trường THCS Văn Lem </t>
  </si>
  <si>
    <t xml:space="preserve">Trường THCS Lương Thế Vinh </t>
  </si>
  <si>
    <t xml:space="preserve">Trường THCS Nguyễn Du </t>
  </si>
  <si>
    <t>Cao Thị Mỹ Nguyện</t>
  </si>
  <si>
    <t>Phan Mỹ Hạnh</t>
  </si>
  <si>
    <t>Trường THCS 24-4</t>
  </si>
  <si>
    <t>Nguyễn Thị Mỹ Phương</t>
  </si>
  <si>
    <t>Trần Nguyễn Nhật Uyên</t>
  </si>
  <si>
    <t>Trường THCS Nguyễn Trãi</t>
  </si>
  <si>
    <t>Nguyễn Bá Huy</t>
  </si>
  <si>
    <t>Nguyễn Ngô Huyền Diệu</t>
  </si>
  <si>
    <t xml:space="preserve">Trường THCS Ngọc Tụ </t>
  </si>
  <si>
    <t>Trường PTDTBT THCS Đăk Rơ Nga</t>
  </si>
  <si>
    <t xml:space="preserve">Trường THCS xã Đăk Trăm </t>
  </si>
  <si>
    <t>Trung học phổ thông</t>
  </si>
  <si>
    <t>(Kèm theo Báo cáo số:           /BC-UBND, ngày         /         /2017 của UBND huyện Đăk Tô)</t>
  </si>
  <si>
    <t xml:space="preserve">Tổng 
cộng </t>
  </si>
  <si>
    <t>Lương theo 
ngạch bậc chức vụ</t>
  </si>
  <si>
    <t xml:space="preserve">Tổng các
 khoản phụ cấp </t>
  </si>
  <si>
    <t>Các khoản đóng góp, BHXH 17,5% ,BHYT 3%,KPCĐ 2%,BHTN 1% (2)</t>
  </si>
  <si>
    <t xml:space="preserve">Phụ cấp 
khu vực </t>
  </si>
  <si>
    <t xml:space="preserve"> Phụ cấp 
chức vụ</t>
  </si>
  <si>
    <t>Phụ cấp thâm
 niên vượt khung</t>
  </si>
  <si>
    <t>Phụ cấp
 ưu đãi ngành</t>
  </si>
  <si>
    <t xml:space="preserve">Phụ cấp thu hút </t>
  </si>
  <si>
    <t xml:space="preserve">Phụ cấp công tác lâu năm </t>
  </si>
  <si>
    <t xml:space="preserve">Phụ cấp 
công vụ </t>
  </si>
  <si>
    <t xml:space="preserve">Phụ cấp công tác đảng </t>
  </si>
  <si>
    <t xml:space="preserve">Phụ cấp thâm niên nghề </t>
  </si>
  <si>
    <t>Phụ cấp
 khác</t>
  </si>
  <si>
    <t>C</t>
  </si>
  <si>
    <t>Sự nghiệp Giáo dục - Đào tạo</t>
  </si>
  <si>
    <t>SNGD</t>
  </si>
  <si>
    <t xml:space="preserve">Bậc Mầm non </t>
  </si>
  <si>
    <t>MN</t>
  </si>
  <si>
    <t xml:space="preserve">Mầm non xã Diên Bình </t>
  </si>
  <si>
    <t>MNDB</t>
  </si>
  <si>
    <t>MNBM</t>
  </si>
  <si>
    <t>MNNT</t>
  </si>
  <si>
    <t>Biên chế chờ tuyển</t>
  </si>
  <si>
    <t>MNĐRN</t>
  </si>
  <si>
    <t>Biên chế chờ tuyển (nhân viên)</t>
  </si>
  <si>
    <t>MNĐT</t>
  </si>
  <si>
    <t>MNVL</t>
  </si>
  <si>
    <t>MNVK</t>
  </si>
  <si>
    <t>MNPK</t>
  </si>
  <si>
    <t>MNSM</t>
  </si>
  <si>
    <t>II</t>
  </si>
  <si>
    <t>Bậc Tiểu học</t>
  </si>
  <si>
    <t>TH</t>
  </si>
  <si>
    <t>THNT</t>
  </si>
  <si>
    <t>THKĐ</t>
  </si>
  <si>
    <t>THĐRN</t>
  </si>
  <si>
    <t>THLQĐ</t>
  </si>
  <si>
    <t>THLHP</t>
  </si>
  <si>
    <t xml:space="preserve">Tiểu học Nơ Trang Long  </t>
  </si>
  <si>
    <t>THNTL</t>
  </si>
  <si>
    <t>THLVT</t>
  </si>
  <si>
    <t>THĐT</t>
  </si>
  <si>
    <t>THNBN</t>
  </si>
  <si>
    <t>TH-THCSVL</t>
  </si>
  <si>
    <t>III</t>
  </si>
  <si>
    <t>Bậc THCS</t>
  </si>
  <si>
    <t>THCS</t>
  </si>
  <si>
    <t>THCSVL</t>
  </si>
  <si>
    <t>THCS LTV</t>
  </si>
  <si>
    <t>THCSND</t>
  </si>
  <si>
    <t>Biên chề chờ tuyển</t>
  </si>
  <si>
    <t>THCS24-4</t>
  </si>
  <si>
    <t>THCSNTr</t>
  </si>
  <si>
    <t>THCSNT</t>
  </si>
  <si>
    <t>THCSĐRN</t>
  </si>
  <si>
    <t>+ Từ 20 biên chế trở xuống: 8 triệu đồng/ biên chế/năm</t>
  </si>
  <si>
    <t>+ Từ biên chế thứ 21 đến biên chế thứ 30: 7,5 triệu đồng/biên chế/năm</t>
  </si>
  <si>
    <t xml:space="preserve">+ Từ 31 biên chế trở lên: 7 triệu đồng/biên chế/năm </t>
  </si>
  <si>
    <t>Ghi chú</t>
  </si>
  <si>
    <t>Dự toán giao đầu năm</t>
  </si>
  <si>
    <t xml:space="preserve">Lương 1490 nguồn cân đối ngân sách huyện </t>
  </si>
  <si>
    <t>Lương 1490 nguồn bổ sung có mục tiêu ngân sách Trung ương</t>
  </si>
  <si>
    <t>CCTL nguồn cân đối ngân sách huyện</t>
  </si>
  <si>
    <t>Dự toán điều chỉnh</t>
  </si>
  <si>
    <t>BIỂU DỰ TOÁN ĐẦU NĂM TIỀN LƯƠNG BIÊN CHẾ TĂNG THÊM THEO QUYẾT ĐỊNH 72-QĐ/TW NĂM 2024</t>
  </si>
  <si>
    <t>BIỂU DỰ TOÁN ĐIỀU CHỈNH TIỀN LƯƠNG BIÊN CHẾ TĂNG THÊM THEO QUYẾT ĐỊNH 72-QĐ/TW NĂM 2024</t>
  </si>
  <si>
    <t>Tổng nhu cầu tiền lương</t>
  </si>
  <si>
    <t>BIỂU CHI TIẾT BIÊN CHẾ GIÁO VIÊN TĂNG THÊM</t>
  </si>
  <si>
    <t>Kèm theo Công văn số             /TCKH, ngày        /9/2024 của phòng Tài chính - Kế hoạch</t>
  </si>
  <si>
    <t>Quyết định 72-QĐ/TW, ngày 18/7/2022</t>
  </si>
  <si>
    <t xml:space="preserve">Chênh lệch </t>
  </si>
  <si>
    <t>Quyết định BTC TW năm 2024</t>
  </si>
  <si>
    <t xml:space="preserve">Tỉnh giao </t>
  </si>
  <si>
    <t xml:space="preserve">Huyện giao </t>
  </si>
  <si>
    <t xml:space="preserve">Thực tế </t>
  </si>
  <si>
    <t>So Tỉnh</t>
  </si>
  <si>
    <t>So với huyện</t>
  </si>
  <si>
    <t>Cấp Mầm non</t>
  </si>
  <si>
    <t xml:space="preserve">Cấp Tiểu học </t>
  </si>
  <si>
    <t>Cấp THCS</t>
  </si>
  <si>
    <t>Quyết định số 1658/QĐ-UBND</t>
  </si>
  <si>
    <t>Tổng biên chế</t>
  </si>
  <si>
    <t>Biên chế ổn định (đầu năm)</t>
  </si>
  <si>
    <t>Biên chế ổn định (điều chỉnh)</t>
  </si>
  <si>
    <t>BIỂU CHI TIẾT ĐIỀU CHỈNH DỰ TOÁN CÁC ĐƠN VỊ TRƯỜNG HỌC</t>
  </si>
  <si>
    <t>ĐVT: triệu đồng</t>
  </si>
  <si>
    <t xml:space="preserve">Dự toán đã giao tại Quyết định số 720/QĐ-UBND, ngày 18/12/2023 </t>
  </si>
  <si>
    <t xml:space="preserve">Trong đó </t>
  </si>
  <si>
    <t>Trừ tiết kiệm đã  cân đối chi CCTL đầu năm</t>
  </si>
  <si>
    <t>Trừ tiết kiệm để thực hiện CTTL khi có văn bản điều hành của cấp có thẩm quyền (1)</t>
  </si>
  <si>
    <t>3=1+2</t>
  </si>
  <si>
    <t>I. Tổng số thu, chi, nộp ngân sách từ hoạt động dịch vụ</t>
  </si>
  <si>
    <t xml:space="preserve">1. Thu dịch vụ </t>
  </si>
  <si>
    <t xml:space="preserve">- Thu học phí </t>
  </si>
  <si>
    <t>- Thu học phí (từ nguồn cấp bù học phí chuyển sang)</t>
  </si>
  <si>
    <t xml:space="preserve">- Thu bán trú </t>
  </si>
  <si>
    <t>2. Chi từ nguồn thu dịch vụ được để lại</t>
  </si>
  <si>
    <t>- 60% từ nguồn thu học phí cân đối chi thường xuyên cân đối bù chi khác theo biên chế được duyệt</t>
  </si>
  <si>
    <t>- 60% từ nguồn thu học phí (từ nguồn cấp bù học phí chuyển sang) cân đối chi thường xuyên cân đối bù chi khác theo biên chế được duyệt</t>
  </si>
  <si>
    <t xml:space="preserve">- Từ nguồn thu bán trú cân đối chi dịch vụ bán trú </t>
  </si>
  <si>
    <t>3. Chi thực hiện cải cách tiền lương (thực hiện khi có quyết định giao chi nguồn CCTL)</t>
  </si>
  <si>
    <t xml:space="preserve">- 40% thu học phí </t>
  </si>
  <si>
    <t>- 40% thu học phí (từ nguồn cấp bù học phí chuyển sang)</t>
  </si>
  <si>
    <t>4. Số thuế nộp NSNN</t>
  </si>
  <si>
    <t>II. Dự toán chi ngân sách nhà nước</t>
  </si>
  <si>
    <t>1. Sự nghiệp Giáo dục và Đào tạo</t>
  </si>
  <si>
    <t>1.1 Kinh phí thường xuyên</t>
  </si>
  <si>
    <t>Đảm bảo lương 1490</t>
  </si>
  <si>
    <t>Giao bổ sung tiền lương và các chế độ phát sinh thực hiện từ nguồn CTTL</t>
  </si>
  <si>
    <t>Chi khác (đã trừ 60% nguồn thu học phí, thu cấp bù học phí để lại cân đối chi thưởng xuyên)</t>
  </si>
  <si>
    <t>Hỗ trợ cấp bù miễn giảm học phí theo Nghị định 81/2021/NĐ-CP</t>
  </si>
  <si>
    <t>Hỗ trợ chi phí học tập theo Nghị định 81/2021/NĐ-CP</t>
  </si>
  <si>
    <t>1.2 Kinh phí không thường xuyên</t>
  </si>
  <si>
    <t>1.2.1 Nguồn bổ sung ngân sách tỉnh</t>
  </si>
  <si>
    <t>1.2.2 Nguồn bổ sung có mục tiêu ngân sách Trung ương</t>
  </si>
  <si>
    <t>A. CẤP MẦM NON</t>
  </si>
  <si>
    <t>A.1 Trường Mầm non xã Diên Bình</t>
  </si>
  <si>
    <t>Hỗ trợ chính sách phát triển giáo dục mầm non theo Nghị định 105/2020/NĐ-CP</t>
  </si>
  <si>
    <t>A.2 Trường Mầm non Bình Minh</t>
  </si>
  <si>
    <t xml:space="preserve">Chi khác </t>
  </si>
  <si>
    <t>A.3 Trường Mầm non Hoa Phượng</t>
  </si>
  <si>
    <t>A.4 Trường Mầm non xã Ngọc Tụ</t>
  </si>
  <si>
    <t>A.5 Trường Mầm non xã Đăk Rơ Nga</t>
  </si>
  <si>
    <t>A.6 Trường Mầm non xã Đăk Trăm</t>
  </si>
  <si>
    <t>A.7 Trường Mầm non xã Văn Lem</t>
  </si>
  <si>
    <t>A.9 Trường Mầm non xã Pô Kô</t>
  </si>
  <si>
    <t>A.10 Trường Mầm non Sao Mai</t>
  </si>
  <si>
    <t>Hỗ trợ học sinh và trường phổ thông ở xã, thôn ĐBKK theo Nghị định số 116/2016/NĐ-CP</t>
  </si>
  <si>
    <t>Thành tiền</t>
  </si>
  <si>
    <t>Nghĩa vụ nộp thuế cho NSNN</t>
  </si>
  <si>
    <t>40% CCTL</t>
  </si>
  <si>
    <t>Tổng</t>
  </si>
  <si>
    <t>Trung tâm GDNN-GDTX</t>
  </si>
  <si>
    <t>+ Kinh phí nguồn CCTL (đã tạm khấu trừ  40% thu học phí, cấp bù học phí)</t>
  </si>
  <si>
    <t>+ Kinh phí thực hiện CCTL biên chế tăng thêm theo theo Quyết định số 72-QĐ/TW</t>
  </si>
  <si>
    <t>Kinh phí tiền lương 1490 biên chế tăng thêm theo theo Quyết định số 72-QĐ/TW</t>
  </si>
  <si>
    <t>Chi khác biên chế tăng thêm theo theo Quyết định số 72-QĐ/TW</t>
  </si>
  <si>
    <t>I. Tổng số thu, chi, nộp ngân sách  từ hoạt động dịch vụ</t>
  </si>
  <si>
    <t>Hỗ trợ chính sách về giáo dục đối với người khuyết tật theo Thông tư liên tịch số 42/2013/TTLT-BGD&amp;ĐT-BTC ngày 31/12/2013</t>
  </si>
  <si>
    <t>Kinh phí chi trả giáo viên dạy trẻ khuyết tật</t>
  </si>
  <si>
    <t>B. CẤP TIỂU HỌC</t>
  </si>
  <si>
    <t>3. Chi thực hiện cải cách tiền lương</t>
  </si>
  <si>
    <t>B. 1 Trường tiểu học Đăk Rơ Nga</t>
  </si>
  <si>
    <t>B. 2 Trường tiểu học Lê Quý Đôn</t>
  </si>
  <si>
    <t>B. 3 Trường Tiểu học Nguyễn Bỉnh Khiêm</t>
  </si>
  <si>
    <t>B. 4 Trường Tiểu học Lê Hồng Phong</t>
  </si>
  <si>
    <t>B. 5 Trường Tiểu học Nơ Trang Long</t>
  </si>
  <si>
    <t>B. 6 Trường Tiểu học Nguyễn Khuyến</t>
  </si>
  <si>
    <t>B. 8 Trường Tiểu học-THCS Pô Kô</t>
  </si>
  <si>
    <t>C. CẤP THCS</t>
  </si>
  <si>
    <t>C.8 Trường THCS xã Đăk Rơ Nga</t>
  </si>
  <si>
    <t>C.7 Trường THCS xã Ngọc Tụ</t>
  </si>
  <si>
    <t>C.6 Trường THCS Nguyễn Trãi</t>
  </si>
  <si>
    <t>C.5 Trường THCS 24 tháng 4</t>
  </si>
  <si>
    <t>C.4 Trường THCS Nguyễn Du</t>
  </si>
  <si>
    <t>C.3 Trường THCS Lương Thế Vinh</t>
  </si>
  <si>
    <t>C.2 Trường TH-THCS xã Văn Lem</t>
  </si>
  <si>
    <t>ĐVT: Triệu đồng</t>
  </si>
  <si>
    <t xml:space="preserve">NỘI DUNG </t>
  </si>
  <si>
    <t>Tổng số 
 HS</t>
  </si>
  <si>
    <t xml:space="preserve">Thu học phí </t>
  </si>
  <si>
    <t xml:space="preserve">Thu cấp bù học phí </t>
  </si>
  <si>
    <t xml:space="preserve">ĐM thu </t>
  </si>
  <si>
    <t xml:space="preserve">Thành tiền </t>
  </si>
  <si>
    <t xml:space="preserve"> 60%  chi cân đối </t>
  </si>
  <si>
    <t xml:space="preserve">Số lượng HS được miễn </t>
  </si>
  <si>
    <t>Số lượng HS giảm 70% HP</t>
  </si>
  <si>
    <t>Số lượng HS giảm 50% HP</t>
  </si>
  <si>
    <t xml:space="preserve">Thu 100% </t>
  </si>
  <si>
    <t>Thu 30%</t>
  </si>
  <si>
    <t>Thu 50%</t>
  </si>
  <si>
    <t xml:space="preserve">HS được
 cấp bù 100% </t>
  </si>
  <si>
    <t xml:space="preserve">HS được
 cấp bù 70% </t>
  </si>
  <si>
    <t xml:space="preserve">HS được
 cấp bù 50% </t>
  </si>
  <si>
    <t xml:space="preserve">Trường Mầm non xã Diên Bình </t>
  </si>
  <si>
    <t xml:space="preserve">Trường Mầm non Bình Minh </t>
  </si>
  <si>
    <t>Trường Mầm non Hoa Phượng</t>
  </si>
  <si>
    <t xml:space="preserve">Trường Mầm non Ngọc Tụ </t>
  </si>
  <si>
    <t>Trường Mầm non Đăk Rơ Nga</t>
  </si>
  <si>
    <t>Trường Mầm non Đăk Trăm</t>
  </si>
  <si>
    <t>Trường Mầm non Văn Lem</t>
  </si>
  <si>
    <t>Trường Mầm non Vành Khuyên</t>
  </si>
  <si>
    <t>Trường Mầm non Pô Kô</t>
  </si>
  <si>
    <t>Trường Mầm non Sao Mai</t>
  </si>
  <si>
    <t>Trường Tiểu học - THCS xã Pô Kô</t>
  </si>
  <si>
    <t xml:space="preserve">Trường THCS Văn lem </t>
  </si>
  <si>
    <t>Trường THCS Lương Thế Vinh</t>
  </si>
  <si>
    <t xml:space="preserve">Trường THCS Nguyễn Trãi </t>
  </si>
  <si>
    <t>Trường THCS xã Đăk Trăm</t>
  </si>
  <si>
    <t>TỔNG CỘNG</t>
  </si>
  <si>
    <t>BIỂU XÁC ĐỊNH LẠI DỰ TOÁN THU CỦA CÁC ĐƠN VỊ TRƯỜNG HỌC THEO NGHỊ QUYẾT SỐ 04/2024/NQ-HĐND</t>
  </si>
  <si>
    <t>Học kỳ II 2023-2024</t>
  </si>
  <si>
    <t>Học kỳ I 2024-2025</t>
  </si>
  <si>
    <t>Kèm theo Tờ trình số:       /TTr-UBND, ngày       tháng      năm 2024 của UBND huyện Đăk Tô)</t>
  </si>
  <si>
    <t>Biểu số 02</t>
  </si>
  <si>
    <t>Thu học phí</t>
  </si>
  <si>
    <t>Thu cấp bù học phí</t>
  </si>
  <si>
    <t>Dự toán thu đầu năm</t>
  </si>
  <si>
    <t>Dự toán thu sau khi tính lại</t>
  </si>
  <si>
    <t>Chênh lệch sau khi tính lại</t>
  </si>
  <si>
    <t>3=1-2</t>
  </si>
  <si>
    <t>11=9-10</t>
  </si>
  <si>
    <t>BIỂU TÍNH CHÊNH LỆCH DỰ TOÁN THU ĐẦU NĂM VÀ DỰ TOÁN THU ĐƯỢC XÁC ĐỊNH LẠI THEO NGHỊ QUYẾT SỐ 04/2024/NQ-HĐND</t>
  </si>
  <si>
    <t>Đầu năm</t>
  </si>
  <si>
    <t>Điều chỉnh trong năm</t>
  </si>
  <si>
    <t>Trường Mầm non xã Diên Bình</t>
  </si>
  <si>
    <t>BIÊN CHẾ THEO QUYẾT ĐỊNH 72-QĐ/TW</t>
  </si>
  <si>
    <t>5=3-4</t>
  </si>
  <si>
    <t>8=6-7</t>
  </si>
  <si>
    <t>Nguồn cân đối ngân sách huyện (Lương 1490)</t>
  </si>
  <si>
    <t>Nguồn cân đối ngân sách huyện (CCTL) (QĐ 72 81bc)</t>
  </si>
  <si>
    <t>14=12-13</t>
  </si>
  <si>
    <t>Nguyễn Thị Minh Nguyệt</t>
  </si>
  <si>
    <t xml:space="preserve">Trương Thị Xuân Gần </t>
  </si>
  <si>
    <t>Phạm Thị Hồng Thúy</t>
  </si>
  <si>
    <t>Phạm Thị Thanh Hiền</t>
  </si>
  <si>
    <t>Trần Huỳnh Thu Thảo</t>
  </si>
  <si>
    <t xml:space="preserve">La Thị Lan </t>
  </si>
  <si>
    <t xml:space="preserve">Trần Thị Mỹ Hạnh </t>
  </si>
  <si>
    <t>Nguyễn Thị Kim Thảo</t>
  </si>
  <si>
    <t xml:space="preserve">Lê Thị Kim Phúc </t>
  </si>
  <si>
    <t xml:space="preserve">Dương Thị Anh </t>
  </si>
  <si>
    <t xml:space="preserve">Y Hạnh </t>
  </si>
  <si>
    <t xml:space="preserve">Bế Thị Kim </t>
  </si>
  <si>
    <t xml:space="preserve">Võ Thanh Tâm </t>
  </si>
  <si>
    <t xml:space="preserve">Lê Xuân Sỹ </t>
  </si>
  <si>
    <t xml:space="preserve">Nguyễn Thị Vân </t>
  </si>
  <si>
    <t xml:space="preserve">Phạm Thị Ngàn </t>
  </si>
  <si>
    <t xml:space="preserve">Đỗ Thị Thùy Dương </t>
  </si>
  <si>
    <t xml:space="preserve">Hứa Thị Hải </t>
  </si>
  <si>
    <t>tăng 03 bc so với đầu năm</t>
  </si>
  <si>
    <t>tăng 01 bc so với đầu năm</t>
  </si>
  <si>
    <t>tăng 02 bc so với đầu năm</t>
  </si>
  <si>
    <t>giảm 04 bc so với đầu năm</t>
  </si>
  <si>
    <t>chênh lệch hs lương, tnn</t>
  </si>
  <si>
    <t>chênh lệch hs tnn</t>
  </si>
  <si>
    <t>giảm 03 bc so với đầu năm</t>
  </si>
  <si>
    <t>chênh lệch thu hút, pc lâu năm</t>
  </si>
  <si>
    <t>Chênh lệch thâm niên nghề</t>
  </si>
  <si>
    <t>giảm 01 bc so với đầu năm</t>
  </si>
  <si>
    <t>giảm 02 bc so với đầu năm</t>
  </si>
  <si>
    <t>Nguồn bổ sung có mục tiêu NSTW (Lương 1490)</t>
  </si>
  <si>
    <t>Chi khác</t>
  </si>
  <si>
    <t>Nguồn CCTL năm 2024 (979bc)</t>
  </si>
  <si>
    <t xml:space="preserve"> THUYẾT MINH DỰ TOÁN CHI NGÂN SÁCH HUYỆN NĂM 2024</t>
  </si>
  <si>
    <t>(Kèm theo Nghị quyết số     /NQ-HĐND, ngày      /12/2023 của Hội đồng nhân dân huyện Đăk Tô)</t>
  </si>
  <si>
    <t>(Kèm theo Tờ trình số     /TTr-UBND, ngày      /12/2023 của UBND huyện Đăk Tô)</t>
  </si>
  <si>
    <t>TT</t>
  </si>
  <si>
    <t>Nguồn</t>
  </si>
  <si>
    <t>Dự toán huyện phân bổ 2024</t>
  </si>
  <si>
    <t>Bao gồm</t>
  </si>
  <si>
    <t>Trừ tiết kiệm Tiết kiệm 
10% ( lần 1)</t>
  </si>
  <si>
    <t>Trừ tiết kiệm Tiết kiệm 
10% ( lần 2)</t>
  </si>
  <si>
    <t xml:space="preserve">Tổng trừ tiết kiệm 
của cấp huyện </t>
  </si>
  <si>
    <t xml:space="preserve">Dự toán còn lại được sử dụng của cấp huyện
</t>
  </si>
  <si>
    <t>T.Số</t>
  </si>
  <si>
    <t>Nguồn Cân đối 
ngân sách huyện (chưa trừ TK tổng chi SNGD)</t>
  </si>
  <si>
    <t xml:space="preserve">Nguồn BSCMT
 ngân sách tỉnh </t>
  </si>
  <si>
    <t>Nguồn BSCMT 
Ngân sách Trung ương</t>
  </si>
  <si>
    <t>Cân đối thực hiện cải tiến tiền lương</t>
  </si>
  <si>
    <t>Để lại NS huyện của  trừ tiết kiệm lần 1</t>
  </si>
  <si>
    <t>NS xã</t>
  </si>
  <si>
    <t>Quỹ tiền lương, phụ cấp, các 
khoản theo lương (1)</t>
  </si>
  <si>
    <t>Nhóm chính sách, chế 
độ chi trả trực tiếp cho người thụ hưởng (2)</t>
  </si>
  <si>
    <t>Chi ĐTXDCB, chi đặt hàng cung cấp sản phẩm dịch vụ công ích (3)</t>
  </si>
  <si>
    <t>Các khoản 
khác (4)</t>
  </si>
  <si>
    <t>Để lại NS huyện của  trừ tiết kiệm lần 2</t>
  </si>
  <si>
    <t xml:space="preserve">TỔNG CỘNG </t>
  </si>
  <si>
    <t>-</t>
  </si>
  <si>
    <t>Dự toán theo lương 1490</t>
  </si>
  <si>
    <t>Nguồn thực hiện CCTL</t>
  </si>
  <si>
    <t>KINH PHÍ  SỰ NGHIỆP GIÁO DỤC PHÒNG LAO ĐỘNG THỰC HIỆN</t>
  </si>
  <si>
    <t>I.1</t>
  </si>
  <si>
    <t>Kinh phí thực hiện chính sách trung ương ban hành</t>
  </si>
  <si>
    <t>CĐ</t>
  </si>
  <si>
    <t>Kinh phí cấp bù chi phí học tập</t>
  </si>
  <si>
    <t>KINH PHÍ  SỰ NGHIỆP GIÁO DỤC CẤP XÃ THỰC HIỆN</t>
  </si>
  <si>
    <t>I.3</t>
  </si>
  <si>
    <t xml:space="preserve">Nguồn cân đối ngân sách huyện chi các nhiệm vụ huyện giao </t>
  </si>
  <si>
    <t>Kinh phí học tập cộng đồng</t>
  </si>
  <si>
    <t xml:space="preserve">KINH PHÍ  SỰ NGHIỆP GIÁO DỤC PHÒNG GIÁO DỤC THỰC HIỆN </t>
  </si>
  <si>
    <t>III.1</t>
  </si>
  <si>
    <t xml:space="preserve">Khấu trừ tiết kiệm 10% CTTL để lại thực hiện chi CTTL </t>
  </si>
  <si>
    <t xml:space="preserve">Kinh phí khen thưởng toàn ngành </t>
  </si>
  <si>
    <t xml:space="preserve">Kinh phí hoạt động chung toàn ngành </t>
  </si>
  <si>
    <t xml:space="preserve">Kinh phí mua sắm sửa chữa thường xuyên </t>
  </si>
  <si>
    <t>Chi sửa chữa trường lớp học</t>
  </si>
  <si>
    <t xml:space="preserve">Kinh phí chỉnh lý tài liệu ngành giáo dục </t>
  </si>
  <si>
    <t>III.2</t>
  </si>
  <si>
    <t xml:space="preserve">Kinh phí thực hiện đề án HĐND tỉnh </t>
  </si>
  <si>
    <t>Kinh phí hỗ trợ tăng cường cơ sở vật chất trang thiết bị dạy học và sự nghiệp giáo dục khác</t>
  </si>
  <si>
    <t>III.3</t>
  </si>
  <si>
    <t>Kinh phí cấp bù chi phí học tập ( Phòng giáo dục và đào tạo ủy quyền các trường chi)</t>
  </si>
  <si>
    <t>IV</t>
  </si>
  <si>
    <t xml:space="preserve">NGÂN SÁCH HUYỆN CHƯA PHÂN BỔ </t>
  </si>
  <si>
    <t>IV.1</t>
  </si>
  <si>
    <t>Các nhiệm vụ khác còn lại thuộc sự nghiệp giáo dục ( mở lớp dạy nghề, nhiệm vụ giáo dục khác; Trừ tiết  kiệm
 theo số thẩm định của STC…)</t>
  </si>
  <si>
    <t>Trợ cấp lần đâu, chuyển vùng (giao khi có QĐ của UBND huyện)</t>
  </si>
  <si>
    <t>Thăng hạng giáo viên  năm 2023 (giao khi có QĐ của UBND huyện)</t>
  </si>
  <si>
    <t>Nâng lương theo bậc lương (giao khi có QĐ của UBND huyện)</t>
  </si>
  <si>
    <t>IV.2</t>
  </si>
  <si>
    <t xml:space="preserve">-Đề án tiếp tục nâng cao chất lương giáo dục đối với HSDTTS </t>
  </si>
  <si>
    <t>IV.3</t>
  </si>
  <si>
    <t>Kinh phí thực hiện chính sách trung ương ban hành ( kinh phí chưa có đối tượng để giao dự toán đầu năm)</t>
  </si>
  <si>
    <t>Kinh phí thực hiện chính sách phát triển giáo viên mầm non NĐ 105/2020/NĐ-CP</t>
  </si>
  <si>
    <t>Kinh phí thực hiện Nghị định số 28/2012/NĐ-CP giáo dục trẻ khuyết tật</t>
  </si>
  <si>
    <t xml:space="preserve">Kinh phí thực hiện  hỗ trợ học sinh và trường phổ thông ở xã, thôn ĐBKK theo NĐ 116/2016/NĐ-CP </t>
  </si>
  <si>
    <t xml:space="preserve">Kinh phí 5% chi khác để điều hòa chi nhiệm vụ SNGD </t>
  </si>
  <si>
    <t>TW</t>
  </si>
  <si>
    <t>V</t>
  </si>
  <si>
    <t>KINH PHÍ TRUNG TÂM GDNN - GDTX</t>
  </si>
  <si>
    <t>*</t>
  </si>
  <si>
    <t xml:space="preserve">Kinh phí hoạt động bộ máy </t>
  </si>
  <si>
    <t>Khấu trừ 40% học phí và cấp bù học phí</t>
  </si>
  <si>
    <t>Chi khác 22 BC (đã trừ 60% nguồn thu học phí, thu cấp bù học phí để lại cân đối chi thưởng xuyên)</t>
  </si>
  <si>
    <t xml:space="preserve">Các chính sách giáo dục </t>
  </si>
  <si>
    <t>VI</t>
  </si>
  <si>
    <t xml:space="preserve">TỔNG CỘNG KINH PHÍ GIAO CÁC TRƯỜNG THỰC HIỆN </t>
  </si>
  <si>
    <t>CĐ; TW</t>
  </si>
  <si>
    <t>+</t>
  </si>
  <si>
    <t>Kinh phí tiền lương 1490</t>
  </si>
  <si>
    <t>Kinh phí thực hiện CCTL</t>
  </si>
  <si>
    <t>Kinh phí thực hiện CCTL biên chế tăng thêm theo theo Quyết định số 72-QĐ/TW</t>
  </si>
  <si>
    <t>Chi khác 307 BC (đã trừ 60% nguồn thu học phí, thu cấp bù học phí để lại cân đối chi thưởng xuyên)</t>
  </si>
  <si>
    <t>Chi khác 38 biên chế tăng thêm theo theo Quyết định số 72-QĐ/TW</t>
  </si>
  <si>
    <t>Chính sách hỗ trợ học sinh và trường phổ thông ở xã, thôn ĐBKK theo Nghị định số 116/2016/NĐ-CP ngày 18/7/2016</t>
  </si>
  <si>
    <t>CẤP BẬC MẦM NON</t>
  </si>
  <si>
    <t xml:space="preserve">Trường Mầm non Xã Diên Bình </t>
  </si>
  <si>
    <t>Chi khác 47 BC (đã trừ 60% nguồn thu học phí, thu cấp bù học phí để lại cân đối chi thưởng xuyên)</t>
  </si>
  <si>
    <t>Chi khác 01 biên chế tăng thêm theo theo Quyết định số 72-QĐ/TW</t>
  </si>
  <si>
    <t>Trường Mầm non Bình minh</t>
  </si>
  <si>
    <t>Chi khác 20 BC (đã trừ 60% nguồn thu học phí, thu cấp bù học phí để lại cân đối chi thưởng xuyên)</t>
  </si>
  <si>
    <t>Chi khác 10 biên chế tăng thêm theo theo Quyết định số 72-QĐ/TW</t>
  </si>
  <si>
    <t>Trường Mầm non Hoa phượng</t>
  </si>
  <si>
    <t>Chi khác 32 BC (đã trừ 60% nguồn thu học phí, thu cấp bù học phí để lại cân đối chi thưởng xuyên)</t>
  </si>
  <si>
    <t>Chi khác 00 biên chế tăng thêm theo theo Quyết định số 72-QĐ/TW</t>
  </si>
  <si>
    <t>Trường Mầm non xã Ngọc Tụ</t>
  </si>
  <si>
    <t>Chi khác 26 BC (đã trừ 60% nguồn thu học phí, thu cấp bù học phí để lại cân đối chi thưởng xuyên)</t>
  </si>
  <si>
    <t>Chi khác 02 biên chế tăng thêm theo theo Quyết định số 72-QĐ/TW</t>
  </si>
  <si>
    <t>Trường Mầm non xã Đăk Rơ Nga</t>
  </si>
  <si>
    <t>Trường Mầm non xã Đăk Trăm</t>
  </si>
  <si>
    <t>Chi khác 41 BC (đã trừ 60% nguồn thu học phí, thu cấp bù học phí để lại cân đối chi thưởng xuyên)</t>
  </si>
  <si>
    <t>Trường Mầm non xã Văn Lem</t>
  </si>
  <si>
    <t>Chi khác 25 BC (đã trừ 60% nguồn thu học phí, thu cấp bù học phí để lại cân đối chi thưởng xuyên)</t>
  </si>
  <si>
    <t>Trường Mầm non xã Vành Khuyên</t>
  </si>
  <si>
    <t>Chi khác 35 BC (đã trừ 60% nguồn thu học phí, thu cấp bù học phí để lại cân đối chi thưởng xuyên)</t>
  </si>
  <si>
    <t>Trường Mầm non xã Pô Kô</t>
  </si>
  <si>
    <t>Trường Mầm non xã Sao Mai</t>
  </si>
  <si>
    <t>Chi khác 23 BC (đã trừ 60% nguồn thu học phí, thu cấp bù học phí để lại cân đối chi thưởng xuyên)</t>
  </si>
  <si>
    <t>Chi khác 20 biên chế tăng thêm theo theo Quyết định số 72-QĐ/TW</t>
  </si>
  <si>
    <t>CẤP BẬC TIỂU HỌC</t>
  </si>
  <si>
    <t>Chi khác 390 BC</t>
  </si>
  <si>
    <t>Chi khác 25 biên chế tăng thêm theo theo Quyết định số 72-QĐ/TW</t>
  </si>
  <si>
    <t>Trường Tiểu học xã Ngọc Tụ</t>
  </si>
  <si>
    <t>Chi khác 26 BC</t>
  </si>
  <si>
    <t>Trường Tiểu học Kim Đồng</t>
  </si>
  <si>
    <t xml:space="preserve">Chi khác 24 BC </t>
  </si>
  <si>
    <t>Trường Tiểu học xã Đăk Rơ Nga</t>
  </si>
  <si>
    <t>Chi khác 36 BC</t>
  </si>
  <si>
    <t>Chi khác 05 biên chế tăng thêm theo theo Quyết định số 72-QĐ/TW</t>
  </si>
  <si>
    <t>Trường Tiểu học Lê Quý Đôn</t>
  </si>
  <si>
    <t>Chi khác 44 BC</t>
  </si>
  <si>
    <t>Chi khác 03 biên chế tăng thêm theo theo Quyết định số 72-QĐ/TW</t>
  </si>
  <si>
    <t>Trường Tiểu học Nguyễn Bĩnh Khiêm</t>
  </si>
  <si>
    <t xml:space="preserve">Chi khác 26 BC </t>
  </si>
  <si>
    <t>Trường Tiểu học Lê Hồng Phong</t>
  </si>
  <si>
    <t>Chi khác 23 BC</t>
  </si>
  <si>
    <t>Trường Tiểu học Nơ Trang Long</t>
  </si>
  <si>
    <t xml:space="preserve">Chi khác 17 BC </t>
  </si>
  <si>
    <t>Trường Tiểu học Lê Văn Tám</t>
  </si>
  <si>
    <t>Chi khác 46 BC</t>
  </si>
  <si>
    <t>Chi khác 04 biên chế tăng thêm theo theo Quyết định số 72-QĐ/TW</t>
  </si>
  <si>
    <t>Trường Tiểu học xã Đăk Trăm</t>
  </si>
  <si>
    <t>Chi khác 42 BC</t>
  </si>
  <si>
    <t>Trường Tiểu học Nguyễn Khuyến</t>
  </si>
  <si>
    <t xml:space="preserve">Chi khác 25 BC </t>
  </si>
  <si>
    <t>Trường Tiểu học Nguyễn Bá Ngọc</t>
  </si>
  <si>
    <t>Trường TH-THCS xã Pô Kô (Cấp tiểu học)</t>
  </si>
  <si>
    <t xml:space="preserve">Chi khác 31 BC </t>
  </si>
  <si>
    <t>Trường TH-THCS xã Văn Lem (Cấp tiểu học)</t>
  </si>
  <si>
    <t>CẤP BẬC THCS</t>
  </si>
  <si>
    <t>Chi khác 282 BC (đã trừ 60% nguồn thu học phí, thu cấp bù học phí để lại cân đối chi thưởng xuyên)</t>
  </si>
  <si>
    <t>Chi khác 18 biên chế tăng thêm theo theo Quyết định số 72-QĐ/TW</t>
  </si>
  <si>
    <t>Trường TH-THCS xã Pô Kô (Cấp THCS)</t>
  </si>
  <si>
    <t>Chi khác 24 BC (đã trừ 60% nguồn thu học phí, thu cấp bù học phí để lại cân đối chi thưởng xuyên)</t>
  </si>
  <si>
    <t>Trường TH-THCS xã Văn Lem (Cấp THCS)</t>
  </si>
  <si>
    <t>Chi khác 21 BC (đã trừ 60% nguồn thu học phí, thu cấp bù học phí để lại cân đối chi thưởng xuyên)</t>
  </si>
  <si>
    <t>Chi khác 63 BC (đã trừ 60% nguồn thu học phí, thu cấp bù học phí để lại cân đối chi thưởng xuyên)</t>
  </si>
  <si>
    <t>Trường THCS Nguyễn Du</t>
  </si>
  <si>
    <t>Chi khác 37 BC (đã trừ 60% nguồn thu học phí, thu cấp bù học phí để lại cân đối chi thưởng xuyên)</t>
  </si>
  <si>
    <t>Trường THCS 24 tháng 4</t>
  </si>
  <si>
    <t>Chi khác 30 BC (đã trừ 60% nguồn thu học phí, thu cấp bù học phí để lại cân đối chi thưởng xuyên)</t>
  </si>
  <si>
    <t>Trường THCS xã Ngọc Tụ</t>
  </si>
  <si>
    <t>Trường PTDTBT THCS xã Đăk Rơ Nga</t>
  </si>
  <si>
    <t>Chi khác 29 BC (đã trừ 60% nguồn thu học phí, thu cấp bù học phí để lại cân đối chi thưởng xuyên)</t>
  </si>
  <si>
    <t>Chi khác 31 BC (đã trừ 60% nguồn thu học phí, thu cấp bù học phí để lại cân đối chi thưởng xuyên)</t>
  </si>
  <si>
    <t>Dự toán điều chỉnh tại Quyết định này</t>
  </si>
  <si>
    <t>Dự toán còn lại được thực hiện tại Quyết định này</t>
  </si>
  <si>
    <t>B. 7 Trường Tiểu học Nguyễn Bá Ngọc</t>
  </si>
  <si>
    <t xml:space="preserve">Ghi chú: </t>
  </si>
  <si>
    <t xml:space="preserve">Thu hồi hoàn trả nguồn SN GD cân đối </t>
  </si>
  <si>
    <t xml:space="preserve">Giao bổ sung từ nguồn BSCMT ngân sách TW QĐ 72 đầu năm </t>
  </si>
  <si>
    <t xml:space="preserve">Dự toán điều chỉnh tại Quyết định này </t>
  </si>
  <si>
    <t>Phụ lục số 1</t>
  </si>
  <si>
    <t>Phụ lục số 2</t>
  </si>
  <si>
    <t>Phụ lục số 3</t>
  </si>
  <si>
    <t>(Kèm theo Nghị quyết số:         /NQ-HĐND, ngày          /       /2024 của HĐND huyện Đăk Tô)</t>
  </si>
  <si>
    <r>
      <t xml:space="preserve">Chênh lệch dự toán sau khi xác định lại số thu </t>
    </r>
    <r>
      <rPr>
        <b/>
        <i/>
        <sz val="12"/>
        <color theme="1"/>
        <rFont val="Times New Roman"/>
        <family val="1"/>
      </rPr>
      <t>(chi tiết tại biểu số 02)</t>
    </r>
    <r>
      <rPr>
        <b/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</si>
</sst>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0.000"/>
    <numFmt numFmtId="167" formatCode="#,##0.000"/>
    <numFmt numFmtId="168" formatCode="_-* #,##0.00\ _₫_-;\-* #,##0.00\ _₫_-;_-* &quot;-&quot;??\ _₫_-;_-@_-"/>
    <numFmt numFmtId="169" formatCode="#,##0.000000"/>
    <numFmt numFmtId="170" formatCode="#,##0.0000"/>
  </numFmts>
  <fonts count="4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2"/>
      <color rgb="FF0070C0"/>
      <name val="Times New Roman"/>
      <family val="1"/>
      <charset val="163"/>
    </font>
    <font>
      <sz val="12"/>
      <name val=".VnArial Narrow"/>
      <family val="2"/>
    </font>
    <font>
      <i/>
      <sz val="12"/>
      <color theme="1"/>
      <name val="Times New Roman"/>
      <family val="1"/>
      <charset val="163"/>
    </font>
    <font>
      <b/>
      <i/>
      <sz val="12"/>
      <color rgb="FF0070C0"/>
      <name val="Times New Roman"/>
      <family val="1"/>
      <charset val="163"/>
    </font>
    <font>
      <sz val="12"/>
      <color rgb="FF0070C0"/>
      <name val="Times New Roman"/>
      <family val="1"/>
      <charset val="163"/>
    </font>
    <font>
      <sz val="10"/>
      <name val="Arial"/>
      <family val="2"/>
      <charset val="163"/>
    </font>
    <font>
      <sz val="14"/>
      <color theme="1"/>
      <name val="Calibri"/>
      <family val="2"/>
      <charset val="163"/>
    </font>
    <font>
      <sz val="12"/>
      <name val="Arial Narrow"/>
      <family val="2"/>
    </font>
    <font>
      <i/>
      <sz val="12"/>
      <color indexed="8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1"/>
      <name val="UVnTime"/>
    </font>
    <font>
      <sz val="12"/>
      <color rgb="FF000000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3"/>
      <name val="Times New Roman"/>
      <family val="1"/>
    </font>
    <font>
      <i/>
      <sz val="14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7030A0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5" fontId="18" fillId="0" borderId="0" applyFont="0" applyFill="0" applyBorder="0" applyAlignment="0" applyProtection="0"/>
    <xf numFmtId="0" fontId="19" fillId="0" borderId="0"/>
    <xf numFmtId="0" fontId="20" fillId="0" borderId="0"/>
    <xf numFmtId="43" fontId="23" fillId="0" borderId="0" applyFont="0" applyFill="0" applyBorder="0" applyAlignment="0" applyProtection="0"/>
  </cellStyleXfs>
  <cellXfs count="4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0" xfId="0" applyFont="1"/>
    <xf numFmtId="0" fontId="2" fillId="0" borderId="2" xfId="0" applyFont="1" applyBorder="1"/>
    <xf numFmtId="4" fontId="2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0" fontId="5" fillId="0" borderId="0" xfId="0" applyFont="1"/>
    <xf numFmtId="43" fontId="5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4" fillId="0" borderId="3" xfId="0" applyFont="1" applyBorder="1"/>
    <xf numFmtId="4" fontId="7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vertical="center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vertical="center" wrapText="1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15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4" fontId="7" fillId="0" borderId="12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43" fontId="10" fillId="0" borderId="2" xfId="2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6" fontId="10" fillId="0" borderId="2" xfId="3" applyNumberFormat="1" applyFont="1" applyBorder="1" applyAlignment="1">
      <alignment vertical="center"/>
    </xf>
    <xf numFmtId="166" fontId="10" fillId="0" borderId="2" xfId="0" applyNumberFormat="1" applyFont="1" applyBorder="1" applyAlignment="1">
      <alignment horizontal="right" vertical="center"/>
    </xf>
    <xf numFmtId="4" fontId="10" fillId="0" borderId="2" xfId="4" quotePrefix="1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21" fillId="0" borderId="8" xfId="0" applyNumberFormat="1" applyFont="1" applyBorder="1" applyAlignment="1">
      <alignment vertical="center" wrapText="1"/>
    </xf>
    <xf numFmtId="4" fontId="21" fillId="0" borderId="8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167" fontId="10" fillId="0" borderId="12" xfId="0" applyNumberFormat="1" applyFont="1" applyBorder="1" applyAlignment="1">
      <alignment horizontal="right" vertical="center"/>
    </xf>
    <xf numFmtId="1" fontId="13" fillId="0" borderId="8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 wrapText="1"/>
    </xf>
    <xf numFmtId="4" fontId="11" fillId="0" borderId="0" xfId="0" applyNumberFormat="1" applyFont="1" applyAlignment="1">
      <alignment vertical="center"/>
    </xf>
    <xf numFmtId="4" fontId="10" fillId="0" borderId="2" xfId="0" applyNumberFormat="1" applyFont="1" applyBorder="1" applyAlignment="1">
      <alignment horizontal="right" vertical="center" wrapText="1"/>
    </xf>
    <xf numFmtId="168" fontId="10" fillId="0" borderId="2" xfId="1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/>
    </xf>
    <xf numFmtId="167" fontId="21" fillId="0" borderId="12" xfId="1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3" fontId="10" fillId="0" borderId="2" xfId="1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horizontal="right" vertical="center"/>
    </xf>
    <xf numFmtId="2" fontId="10" fillId="0" borderId="2" xfId="5" applyNumberFormat="1" applyFont="1" applyFill="1" applyBorder="1" applyAlignment="1">
      <alignment horizontal="right" vertical="center"/>
    </xf>
    <xf numFmtId="4" fontId="16" fillId="0" borderId="1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1" fontId="10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vertical="center" wrapText="1"/>
    </xf>
    <xf numFmtId="3" fontId="10" fillId="0" borderId="12" xfId="0" applyNumberFormat="1" applyFont="1" applyBorder="1" applyAlignment="1">
      <alignment horizontal="right" vertical="center"/>
    </xf>
    <xf numFmtId="1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0" fontId="24" fillId="0" borderId="0" xfId="0" applyFont="1" applyAlignment="1">
      <alignment horizontal="justify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0" xfId="0" applyFont="1"/>
    <xf numFmtId="0" fontId="28" fillId="0" borderId="1" xfId="0" applyFont="1" applyBorder="1"/>
    <xf numFmtId="0" fontId="27" fillId="0" borderId="1" xfId="0" applyFont="1" applyBorder="1"/>
    <xf numFmtId="4" fontId="27" fillId="0" borderId="1" xfId="0" applyNumberFormat="1" applyFont="1" applyBorder="1"/>
    <xf numFmtId="4" fontId="28" fillId="0" borderId="1" xfId="0" applyNumberFormat="1" applyFont="1" applyBorder="1"/>
    <xf numFmtId="4" fontId="29" fillId="0" borderId="1" xfId="0" applyNumberFormat="1" applyFont="1" applyBorder="1"/>
    <xf numFmtId="4" fontId="7" fillId="0" borderId="10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14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15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7" fillId="0" borderId="16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1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/>
    <xf numFmtId="0" fontId="28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 wrapText="1"/>
    </xf>
    <xf numFmtId="4" fontId="31" fillId="0" borderId="1" xfId="0" applyNumberFormat="1" applyFont="1" applyBorder="1"/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3" fontId="5" fillId="0" borderId="2" xfId="0" quotePrefix="1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2" fillId="4" borderId="8" xfId="0" applyNumberFormat="1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" fontId="5" fillId="0" borderId="12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36" fillId="0" borderId="0" xfId="0" applyFont="1"/>
    <xf numFmtId="4" fontId="27" fillId="0" borderId="0" xfId="0" applyNumberFormat="1" applyFont="1"/>
    <xf numFmtId="0" fontId="27" fillId="0" borderId="2" xfId="0" applyFont="1" applyBorder="1"/>
    <xf numFmtId="0" fontId="27" fillId="0" borderId="3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3" fontId="38" fillId="0" borderId="2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4" fontId="1" fillId="5" borderId="4" xfId="0" applyNumberFormat="1" applyFont="1" applyFill="1" applyBorder="1" applyAlignment="1">
      <alignment horizontal="right" vertical="center"/>
    </xf>
    <xf numFmtId="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4" fontId="1" fillId="5" borderId="2" xfId="0" applyNumberFormat="1" applyFont="1" applyFill="1" applyBorder="1" applyAlignment="1">
      <alignment horizontal="right" vertical="center"/>
    </xf>
    <xf numFmtId="167" fontId="1" fillId="5" borderId="2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4" fontId="5" fillId="5" borderId="2" xfId="0" applyNumberFormat="1" applyFont="1" applyFill="1" applyBorder="1" applyAlignment="1">
      <alignment horizontal="right" vertical="center"/>
    </xf>
    <xf numFmtId="167" fontId="5" fillId="5" borderId="2" xfId="0" applyNumberFormat="1" applyFont="1" applyFill="1" applyBorder="1" applyAlignment="1">
      <alignment horizontal="right" vertical="center"/>
    </xf>
    <xf numFmtId="4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4" fontId="1" fillId="5" borderId="12" xfId="0" applyNumberFormat="1" applyFont="1" applyFill="1" applyBorder="1" applyAlignment="1">
      <alignment horizontal="right" vertical="center"/>
    </xf>
    <xf numFmtId="167" fontId="1" fillId="5" borderId="12" xfId="0" applyNumberFormat="1" applyFont="1" applyFill="1" applyBorder="1" applyAlignment="1">
      <alignment horizontal="right" vertical="center"/>
    </xf>
    <xf numFmtId="4" fontId="1" fillId="5" borderId="3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7" fillId="0" borderId="11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right" vertical="center"/>
    </xf>
    <xf numFmtId="4" fontId="8" fillId="5" borderId="2" xfId="0" applyNumberFormat="1" applyFont="1" applyFill="1" applyBorder="1" applyAlignment="1">
      <alignment horizontal="right" vertical="center"/>
    </xf>
    <xf numFmtId="4" fontId="37" fillId="5" borderId="2" xfId="0" applyNumberFormat="1" applyFont="1" applyFill="1" applyBorder="1" applyAlignment="1">
      <alignment horizontal="right" vertic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5" borderId="3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0" fontId="37" fillId="0" borderId="10" xfId="0" applyFont="1" applyBorder="1" applyAlignment="1">
      <alignment horizontal="center" vertical="center"/>
    </xf>
    <xf numFmtId="3" fontId="37" fillId="0" borderId="10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4" fontId="1" fillId="5" borderId="8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/>
    <xf numFmtId="4" fontId="1" fillId="0" borderId="12" xfId="0" applyNumberFormat="1" applyFont="1" applyBorder="1" applyAlignment="1">
      <alignment wrapText="1"/>
    </xf>
    <xf numFmtId="0" fontId="1" fillId="0" borderId="12" xfId="0" applyFont="1" applyBorder="1"/>
    <xf numFmtId="4" fontId="2" fillId="0" borderId="1" xfId="0" applyNumberFormat="1" applyFont="1" applyBorder="1" applyAlignment="1">
      <alignment wrapText="1"/>
    </xf>
    <xf numFmtId="0" fontId="1" fillId="0" borderId="1" xfId="0" applyFont="1" applyBorder="1"/>
    <xf numFmtId="167" fontId="2" fillId="0" borderId="2" xfId="0" applyNumberFormat="1" applyFont="1" applyBorder="1"/>
    <xf numFmtId="167" fontId="2" fillId="0" borderId="4" xfId="0" applyNumberFormat="1" applyFont="1" applyBorder="1"/>
    <xf numFmtId="167" fontId="4" fillId="0" borderId="2" xfId="0" applyNumberFormat="1" applyFont="1" applyBorder="1"/>
    <xf numFmtId="167" fontId="5" fillId="0" borderId="2" xfId="0" applyNumberFormat="1" applyFont="1" applyBorder="1"/>
    <xf numFmtId="167" fontId="4" fillId="0" borderId="3" xfId="0" applyNumberFormat="1" applyFont="1" applyBorder="1"/>
    <xf numFmtId="4" fontId="2" fillId="4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wrapText="1"/>
    </xf>
    <xf numFmtId="4" fontId="1" fillId="4" borderId="12" xfId="0" applyNumberFormat="1" applyFont="1" applyFill="1" applyBorder="1" applyAlignment="1">
      <alignment wrapText="1"/>
    </xf>
    <xf numFmtId="3" fontId="5" fillId="0" borderId="0" xfId="0" applyNumberFormat="1" applyFont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horizontal="center" vertical="center"/>
    </xf>
    <xf numFmtId="4" fontId="41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" fontId="34" fillId="0" borderId="2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34" fillId="0" borderId="8" xfId="0" quotePrefix="1" applyNumberFormat="1" applyFont="1" applyBorder="1" applyAlignment="1">
      <alignment horizontal="center" vertical="center"/>
    </xf>
    <xf numFmtId="4" fontId="34" fillId="0" borderId="8" xfId="0" applyNumberFormat="1" applyFont="1" applyBorder="1" applyAlignment="1">
      <alignment horizontal="left" vertical="center"/>
    </xf>
    <xf numFmtId="4" fontId="34" fillId="0" borderId="8" xfId="0" applyNumberFormat="1" applyFont="1" applyBorder="1" applyAlignment="1">
      <alignment horizontal="center" vertical="center"/>
    </xf>
    <xf numFmtId="4" fontId="34" fillId="0" borderId="8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left" vertical="center"/>
    </xf>
    <xf numFmtId="4" fontId="34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quotePrefix="1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1" fillId="0" borderId="2" xfId="0" quotePrefix="1" applyNumberFormat="1" applyFont="1" applyBorder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4" fontId="34" fillId="0" borderId="2" xfId="0" applyNumberFormat="1" applyFont="1" applyBorder="1" applyAlignment="1">
      <alignment horizontal="left" vertical="center" wrapText="1"/>
    </xf>
    <xf numFmtId="4" fontId="1" fillId="0" borderId="2" xfId="0" quotePrefix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" fontId="5" fillId="0" borderId="2" xfId="0" quotePrefix="1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3" xfId="0" quotePrefix="1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4" fontId="43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/>
    </xf>
    <xf numFmtId="169" fontId="2" fillId="0" borderId="2" xfId="0" applyNumberFormat="1" applyFont="1" applyBorder="1" applyAlignment="1">
      <alignment vertical="center" wrapText="1"/>
    </xf>
    <xf numFmtId="169" fontId="27" fillId="0" borderId="2" xfId="0" applyNumberFormat="1" applyFont="1" applyBorder="1" applyAlignment="1">
      <alignment horizontal="right" vertical="center"/>
    </xf>
    <xf numFmtId="4" fontId="1" fillId="3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wrapText="1"/>
    </xf>
    <xf numFmtId="4" fontId="2" fillId="4" borderId="4" xfId="0" applyNumberFormat="1" applyFont="1" applyFill="1" applyBorder="1" applyAlignment="1">
      <alignment wrapText="1"/>
    </xf>
    <xf numFmtId="0" fontId="2" fillId="0" borderId="8" xfId="0" applyFont="1" applyBorder="1"/>
    <xf numFmtId="4" fontId="2" fillId="0" borderId="2" xfId="0" applyNumberFormat="1" applyFont="1" applyBorder="1" applyAlignment="1">
      <alignment wrapText="1"/>
    </xf>
    <xf numFmtId="4" fontId="2" fillId="4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4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4" fontId="34" fillId="0" borderId="22" xfId="0" applyNumberFormat="1" applyFont="1" applyBorder="1" applyAlignment="1">
      <alignment horizontal="center" vertical="center"/>
    </xf>
    <xf numFmtId="4" fontId="34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39" fillId="0" borderId="0" xfId="0" applyNumberFormat="1" applyFont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</cellXfs>
  <cellStyles count="6">
    <cellStyle name="Comma 2 2" xfId="5"/>
    <cellStyle name="Comma_Bảng thanh toán tiền lương T3" xfId="2"/>
    <cellStyle name="Normal" xfId="0" builtinId="0"/>
    <cellStyle name="Normal 15 3" xfId="3"/>
    <cellStyle name="Normal 2 2 2" xfId="1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y/NGAN%20SACH%20CAC%20DON%20VI%20TRUONG%20HOC/2023/Bi&#7875;u%20chi%20ti&#7871;t%20k&#232;m%20theo%20-%20NQ%20v&#7873;%20&#273;i&#7873;u%20ch&#7881;nh%20ng&#226;n%20s&#225;ch%20c&#225;c%20tr&#432;&#417;ng%20fhoc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y/NGAN%20SACH%20CAC%20DON%20VI%20TRUONG%20HOC/2024/GI&#193;O%20D&#7908;C%20DT%202024%20ch&#237;nh%20th&#7913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ểu giao tự chủ"/>
      <sheetName val="biểu 1a"/>
      <sheetName val="Biểu xác định lại số thu"/>
      <sheetName val="Biểu cl so với dự toán đầu năm"/>
      <sheetName val="Biểu nguồn thu tính mức tự chủ"/>
      <sheetName val="Biểu xđ mức NSNN hỗ trợ CTX "/>
      <sheetName val="Biểu điều chỉnh"/>
      <sheetName val="Biểu trừ TK 10% tăng thêm"/>
      <sheetName val="Biểu giao CK và thu hồi cấp bù"/>
    </sheetNames>
    <sheetDataSet>
      <sheetData sheetId="0">
        <row r="3">
          <cell r="A3" t="str">
            <v>(Kèm theo Công văn số:         /TCKH, ngày      /     /2023 của Phòng Tài chính - Kế hoạch huyện Đăk Tô)</v>
          </cell>
        </row>
        <row r="4">
          <cell r="A4" t="str">
            <v>(Kèm theo Quyết định số:         /QĐ-UBND, ngày      /     /2023 của UBND huyện Đăk Tô)</v>
          </cell>
        </row>
      </sheetData>
      <sheetData sheetId="1" refreshError="1"/>
      <sheetData sheetId="2" refreshError="1"/>
      <sheetData sheetId="3">
        <row r="3">
          <cell r="A3" t="str">
            <v>Kèm theo Tờ trình số:       /TTr-UBND, ngày       tháng      năm 2023 của UBND huyện Đăk Tô)</v>
          </cell>
        </row>
        <row r="4">
          <cell r="A4" t="str">
            <v>(Kèm theo Công văn số:         /TCKH, ngày      /     /2023 của Phòng Tài chính - Kế hoạch huyện Đăk Tô)</v>
          </cell>
        </row>
        <row r="5">
          <cell r="A5" t="str">
            <v>(Kèm theo Quyết định số:         /QĐ-UBND, ngày      /     /2023 của UBND huyện Đăk Tô)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ục lục "/>
      <sheetName val="3c-MT,MTNV"/>
      <sheetName val="4-Thuyết minh"/>
      <sheetName val=" TL giao BC "/>
      <sheetName val="so sanh"/>
      <sheetName val=" TL giao BC tăng thêm"/>
      <sheetName val="CS giáo dục "/>
      <sheetName val="CS GV dạy trẻ khuyết tật"/>
      <sheetName val="Biểu Thu "/>
      <sheetName val=" TL giao BC  (TTGDNN)"/>
      <sheetName val="Biểu Thu  (TTGDNN)"/>
      <sheetName val="nguồn"/>
      <sheetName val="CHHT TTGDNN"/>
      <sheetName val="Giảm trừ CSGD giao thiếu"/>
      <sheetName val="Giảm trừ nguồn CCTL giao thiếu"/>
      <sheetName val="số thiếu NĐ 105"/>
    </sheetNames>
    <sheetDataSet>
      <sheetData sheetId="0"/>
      <sheetData sheetId="1"/>
      <sheetData sheetId="2"/>
      <sheetData sheetId="3">
        <row r="11">
          <cell r="T11">
            <v>5531.5544008199968</v>
          </cell>
          <cell r="U11">
            <v>1150.8603115800001</v>
          </cell>
          <cell r="Z11">
            <v>769.12065896823515</v>
          </cell>
        </row>
        <row r="60">
          <cell r="T60">
            <v>2122.6115230799996</v>
          </cell>
          <cell r="U60">
            <v>441.61716251999997</v>
          </cell>
          <cell r="Z60">
            <v>271.22250407294109</v>
          </cell>
        </row>
        <row r="79">
          <cell r="T79">
            <v>4142.5694246399999</v>
          </cell>
          <cell r="U79">
            <v>861.87686015999986</v>
          </cell>
          <cell r="Z79">
            <v>621.85366317176442</v>
          </cell>
        </row>
        <row r="113">
          <cell r="T113">
            <v>3432.2481346199997</v>
          </cell>
          <cell r="U113">
            <v>714.09189377999996</v>
          </cell>
          <cell r="Z113">
            <v>516.05084728588224</v>
          </cell>
        </row>
        <row r="141">
          <cell r="T141">
            <v>4816.7659612295993</v>
          </cell>
          <cell r="U141">
            <v>1002.1459382424001</v>
          </cell>
          <cell r="Z141">
            <v>720.41752256992947</v>
          </cell>
        </row>
        <row r="175">
          <cell r="T175">
            <v>5808.3013340520001</v>
          </cell>
          <cell r="U175">
            <v>1208.438532588</v>
          </cell>
          <cell r="Z175">
            <v>883.51435306800022</v>
          </cell>
        </row>
        <row r="218">
          <cell r="T218">
            <v>3576.5495954399998</v>
          </cell>
          <cell r="U218">
            <v>744.11434536000013</v>
          </cell>
          <cell r="Z218">
            <v>549.34581096000056</v>
          </cell>
        </row>
        <row r="245">
          <cell r="T245">
            <v>4249.4867735399994</v>
          </cell>
          <cell r="U245">
            <v>884.12140925999995</v>
          </cell>
          <cell r="Z245">
            <v>637.8054306247061</v>
          </cell>
        </row>
        <row r="282">
          <cell r="T282">
            <v>3866.2176554999992</v>
          </cell>
          <cell r="U282">
            <v>804.38085449999994</v>
          </cell>
          <cell r="Z282">
            <v>589.66370391176508</v>
          </cell>
        </row>
        <row r="310">
          <cell r="T310">
            <v>2828.7591025799998</v>
          </cell>
          <cell r="U310">
            <v>588.53377302000001</v>
          </cell>
          <cell r="Z310">
            <v>304.7927828082353</v>
          </cell>
        </row>
        <row r="336">
          <cell r="T336">
            <v>4342.5411251304004</v>
          </cell>
          <cell r="U336">
            <v>903.4817105976</v>
          </cell>
          <cell r="Z336">
            <v>766.33078678771744</v>
          </cell>
        </row>
        <row r="364">
          <cell r="T364">
            <v>3539.3692350600004</v>
          </cell>
          <cell r="U364">
            <v>736.37883414000009</v>
          </cell>
          <cell r="Z364">
            <v>624.59457089294119</v>
          </cell>
        </row>
        <row r="390">
          <cell r="T390">
            <v>6392.9911034400011</v>
          </cell>
          <cell r="U390">
            <v>1330.0853973600001</v>
          </cell>
          <cell r="Z390">
            <v>1128.1749006070595</v>
          </cell>
        </row>
        <row r="428">
          <cell r="T428">
            <v>6871.3798993800001</v>
          </cell>
          <cell r="U428">
            <v>1429.6159522199996</v>
          </cell>
          <cell r="Z428">
            <v>1212.5964528317645</v>
          </cell>
        </row>
        <row r="474">
          <cell r="T474">
            <v>3925.0030336110008</v>
          </cell>
          <cell r="U474">
            <v>816.61136940900008</v>
          </cell>
          <cell r="Z474">
            <v>692.6475941666472</v>
          </cell>
        </row>
        <row r="502">
          <cell r="T502">
            <v>3375.7949059691996</v>
          </cell>
          <cell r="U502">
            <v>702.34659117479998</v>
          </cell>
          <cell r="Z502">
            <v>595.72851281809426</v>
          </cell>
        </row>
        <row r="527">
          <cell r="T527">
            <v>2972.5183881599996</v>
          </cell>
          <cell r="U527">
            <v>618.44342303999986</v>
          </cell>
          <cell r="Z527">
            <v>524.56206849882346</v>
          </cell>
        </row>
        <row r="546">
          <cell r="T546">
            <v>6842.2659758400005</v>
          </cell>
          <cell r="U546">
            <v>1423.5586929599999</v>
          </cell>
          <cell r="Z546">
            <v>1207.4587016188234</v>
          </cell>
        </row>
        <row r="594">
          <cell r="T594">
            <v>6851.4604484700003</v>
          </cell>
          <cell r="U594">
            <v>1425.4716369300004</v>
          </cell>
          <cell r="Z594">
            <v>1209.0812556123528</v>
          </cell>
        </row>
        <row r="638">
          <cell r="T638">
            <v>3624.008282759999</v>
          </cell>
          <cell r="U638">
            <v>753.98830043999999</v>
          </cell>
          <cell r="Z638">
            <v>639.53087342823528</v>
          </cell>
        </row>
        <row r="665">
          <cell r="T665">
            <v>3635.5027983599998</v>
          </cell>
          <cell r="U665">
            <v>756.37977683999998</v>
          </cell>
          <cell r="Z665">
            <v>641.55931735764671</v>
          </cell>
        </row>
        <row r="691">
          <cell r="T691">
            <v>5390.8996464600004</v>
          </cell>
          <cell r="U691">
            <v>1121.5965707400001</v>
          </cell>
          <cell r="Z691">
            <v>951.33523172823516</v>
          </cell>
        </row>
        <row r="724">
          <cell r="T724">
            <v>4836.6934461599994</v>
          </cell>
          <cell r="U724">
            <v>1006.2919250400001</v>
          </cell>
          <cell r="Z724">
            <v>853.53413755764723</v>
          </cell>
        </row>
        <row r="753">
          <cell r="T753">
            <v>4495.9694931000004</v>
          </cell>
          <cell r="U753">
            <v>935.40304890000004</v>
          </cell>
          <cell r="Z753">
            <v>703.49638113529443</v>
          </cell>
        </row>
        <row r="779">
          <cell r="T779">
            <v>3736.1779442399993</v>
          </cell>
          <cell r="U779">
            <v>777.32561256000008</v>
          </cell>
          <cell r="Z779">
            <v>586.96551957176473</v>
          </cell>
        </row>
        <row r="802">
          <cell r="T802">
            <v>9053.9093050200008</v>
          </cell>
          <cell r="U802">
            <v>1883.6992513800001</v>
          </cell>
          <cell r="Z802">
            <v>1293.4587008858825</v>
          </cell>
        </row>
        <row r="867">
          <cell r="T867">
            <v>5082.2389765799999</v>
          </cell>
          <cell r="U867">
            <v>1057.3785790200002</v>
          </cell>
          <cell r="Z867">
            <v>669.30970174941149</v>
          </cell>
        </row>
        <row r="906">
          <cell r="T906">
            <v>4215.4141985400001</v>
          </cell>
          <cell r="U906">
            <v>877.03248426000027</v>
          </cell>
          <cell r="Z906">
            <v>564.72462327176481</v>
          </cell>
        </row>
        <row r="937">
          <cell r="T937">
            <v>3583.2870387000003</v>
          </cell>
          <cell r="U937">
            <v>745.51609530000007</v>
          </cell>
          <cell r="Z937">
            <v>473.20677153529402</v>
          </cell>
        </row>
        <row r="964">
          <cell r="T964">
            <v>3609.0923933999998</v>
          </cell>
          <cell r="U964">
            <v>750.88499460000003</v>
          </cell>
          <cell r="Z964">
            <v>568.31865765882355</v>
          </cell>
        </row>
        <row r="987">
          <cell r="T987">
            <v>5836.2055969200001</v>
          </cell>
          <cell r="U987">
            <v>1214.2441174799994</v>
          </cell>
          <cell r="Z987">
            <v>935.41863475058835</v>
          </cell>
        </row>
        <row r="1018">
          <cell r="T1018">
            <v>5654.4852922800001</v>
          </cell>
          <cell r="U1018">
            <v>1176.4365373199998</v>
          </cell>
          <cell r="Z1018">
            <v>877.97034569647087</v>
          </cell>
        </row>
      </sheetData>
      <sheetData sheetId="4"/>
      <sheetData sheetId="5">
        <row r="10">
          <cell r="T10">
            <v>178.32619788</v>
          </cell>
          <cell r="U10">
            <v>37.10142372</v>
          </cell>
          <cell r="X10">
            <v>31.469329037647071</v>
          </cell>
        </row>
        <row r="12">
          <cell r="T12">
            <v>747.08683439999993</v>
          </cell>
          <cell r="U12">
            <v>155.43417360000001</v>
          </cell>
          <cell r="X12">
            <v>131.83885312941175</v>
          </cell>
        </row>
        <row r="50">
          <cell r="T50">
            <v>207.22204799999997</v>
          </cell>
          <cell r="U50">
            <v>43.113312000000001</v>
          </cell>
          <cell r="X50">
            <v>36.568596705882356</v>
          </cell>
        </row>
        <row r="53">
          <cell r="T53">
            <v>196.62636000000001</v>
          </cell>
          <cell r="U53">
            <v>40.908839999999998</v>
          </cell>
          <cell r="X53">
            <v>34.698769411764715</v>
          </cell>
        </row>
        <row r="98">
          <cell r="T98">
            <v>111.45498000000001</v>
          </cell>
          <cell r="U98">
            <v>23.18862</v>
          </cell>
          <cell r="X98">
            <v>19.668525882352952</v>
          </cell>
        </row>
        <row r="137">
          <cell r="T137">
            <v>215.75796</v>
          </cell>
          <cell r="U137">
            <v>44.889240000000001</v>
          </cell>
          <cell r="X137">
            <v>38.074934117647075</v>
          </cell>
        </row>
        <row r="139">
          <cell r="T139">
            <v>1595.6686841999999</v>
          </cell>
          <cell r="U139">
            <v>331.98475980000001</v>
          </cell>
          <cell r="X139">
            <v>281.58859132941188</v>
          </cell>
        </row>
        <row r="147">
          <cell r="T147">
            <v>238.37258399999999</v>
          </cell>
          <cell r="U147">
            <v>49.594296</v>
          </cell>
          <cell r="X147">
            <v>42.06575011764707</v>
          </cell>
        </row>
        <row r="149">
          <cell r="T149">
            <v>163.06202400000001</v>
          </cell>
          <cell r="U149">
            <v>33.925655999999996</v>
          </cell>
          <cell r="X149">
            <v>28.775651294117665</v>
          </cell>
        </row>
        <row r="151">
          <cell r="T151">
            <v>613.8114599999999</v>
          </cell>
          <cell r="U151">
            <v>127.70573999999999</v>
          </cell>
          <cell r="X151">
            <v>108.31966941176472</v>
          </cell>
        </row>
        <row r="153">
          <cell r="T153">
            <v>390.35204759999999</v>
          </cell>
          <cell r="U153">
            <v>81.214184399999994</v>
          </cell>
          <cell r="X153">
            <v>68.885655458823521</v>
          </cell>
        </row>
        <row r="185">
          <cell r="T185">
            <v>163.06202400000001</v>
          </cell>
          <cell r="U185">
            <v>33.925655999999996</v>
          </cell>
          <cell r="X185">
            <v>28.775651294117665</v>
          </cell>
        </row>
        <row r="187">
          <cell r="T187">
            <v>238.37258399999999</v>
          </cell>
          <cell r="U187">
            <v>49.594296</v>
          </cell>
          <cell r="X187">
            <v>42.06575011764707</v>
          </cell>
        </row>
        <row r="189">
          <cell r="T189">
            <v>326.12404800000002</v>
          </cell>
          <cell r="U189">
            <v>67.851311999999993</v>
          </cell>
          <cell r="X189">
            <v>57.55130258823533</v>
          </cell>
        </row>
        <row r="193">
          <cell r="T193">
            <v>238.37258399999999</v>
          </cell>
          <cell r="U193">
            <v>49.594296</v>
          </cell>
          <cell r="X193">
            <v>42.06575011764707</v>
          </cell>
        </row>
        <row r="222">
          <cell r="T222">
            <v>204.80346510000001</v>
          </cell>
          <cell r="U222">
            <v>42.610116899999994</v>
          </cell>
          <cell r="X222">
            <v>36.141787958823528</v>
          </cell>
        </row>
        <row r="258">
          <cell r="T258">
            <v>122.762292</v>
          </cell>
          <cell r="U258">
            <v>25.541148</v>
          </cell>
          <cell r="X258">
            <v>21.66393388235295</v>
          </cell>
        </row>
        <row r="287">
          <cell r="T287">
            <v>122.762292</v>
          </cell>
          <cell r="U287">
            <v>25.541148</v>
          </cell>
          <cell r="X287">
            <v>21.66393388235295</v>
          </cell>
        </row>
        <row r="289">
          <cell r="T289">
            <v>268.7021598</v>
          </cell>
          <cell r="U289">
            <v>55.904476199999998</v>
          </cell>
          <cell r="X289">
            <v>47.418028199999981</v>
          </cell>
        </row>
        <row r="292">
          <cell r="T292">
            <v>376.27566000000002</v>
          </cell>
          <cell r="U292">
            <v>78.285539999999997</v>
          </cell>
          <cell r="X292">
            <v>66.401587058823566</v>
          </cell>
        </row>
        <row r="294">
          <cell r="T294">
            <v>301.02052800000001</v>
          </cell>
          <cell r="U294">
            <v>62.628432000000004</v>
          </cell>
          <cell r="X294">
            <v>53.121269647058853</v>
          </cell>
        </row>
        <row r="296">
          <cell r="T296">
            <v>244.46966400000002</v>
          </cell>
          <cell r="U296">
            <v>50.862816000000002</v>
          </cell>
          <cell r="X296">
            <v>43.14170541176469</v>
          </cell>
        </row>
        <row r="299">
          <cell r="T299">
            <v>75.777228000000008</v>
          </cell>
          <cell r="U299">
            <v>15.765732</v>
          </cell>
          <cell r="X299">
            <v>13.37245200000001</v>
          </cell>
        </row>
        <row r="301">
          <cell r="T301">
            <v>266.43613800000003</v>
          </cell>
          <cell r="U301">
            <v>55.433021999999994</v>
          </cell>
          <cell r="X301">
            <v>47.018142000000012</v>
          </cell>
        </row>
      </sheetData>
      <sheetData sheetId="6">
        <row r="5">
          <cell r="P5">
            <v>83.97</v>
          </cell>
          <cell r="U5">
            <v>229.37</v>
          </cell>
          <cell r="W5">
            <v>18.309999999999999</v>
          </cell>
        </row>
        <row r="6">
          <cell r="Q6">
            <v>9.8279999999999994</v>
          </cell>
          <cell r="U6">
            <v>38.67</v>
          </cell>
          <cell r="W6">
            <v>3.09</v>
          </cell>
        </row>
        <row r="7">
          <cell r="Q7">
            <v>97.254000000000019</v>
          </cell>
          <cell r="U7">
            <v>425.07000000000005</v>
          </cell>
          <cell r="W7">
            <v>33.93</v>
          </cell>
        </row>
        <row r="8">
          <cell r="Q8">
            <v>117.72</v>
          </cell>
          <cell r="U8">
            <v>553.09</v>
          </cell>
          <cell r="W8">
            <v>44.15</v>
          </cell>
          <cell r="AQ8">
            <v>9.4400000000000013</v>
          </cell>
          <cell r="AS8">
            <v>3.52</v>
          </cell>
        </row>
        <row r="9">
          <cell r="Q9">
            <v>164.20500000000001</v>
          </cell>
          <cell r="U9">
            <v>698.7700000000001</v>
          </cell>
          <cell r="W9">
            <v>102.5</v>
          </cell>
          <cell r="AQ9">
            <v>9.4400000000000013</v>
          </cell>
          <cell r="AS9">
            <v>3.52</v>
          </cell>
        </row>
        <row r="10">
          <cell r="P10">
            <v>176.08500000000001</v>
          </cell>
          <cell r="U10">
            <v>800.30000000000018</v>
          </cell>
          <cell r="W10">
            <v>63.88</v>
          </cell>
        </row>
        <row r="11">
          <cell r="Q11">
            <v>105.84</v>
          </cell>
          <cell r="U11">
            <v>524.34</v>
          </cell>
          <cell r="W11">
            <v>41.85</v>
          </cell>
        </row>
        <row r="12">
          <cell r="Q12">
            <v>10.638</v>
          </cell>
          <cell r="U12">
            <v>36.010000000000005</v>
          </cell>
          <cell r="W12">
            <v>2.87</v>
          </cell>
        </row>
        <row r="13">
          <cell r="Q13">
            <v>113.94</v>
          </cell>
          <cell r="U13">
            <v>546.43000000000006</v>
          </cell>
          <cell r="W13">
            <v>43.61</v>
          </cell>
        </row>
        <row r="14">
          <cell r="Q14">
            <v>7.5600000000000005</v>
          </cell>
          <cell r="U14">
            <v>22.67</v>
          </cell>
          <cell r="W14">
            <v>1.81</v>
          </cell>
        </row>
        <row r="15">
          <cell r="BG15">
            <v>300.01000000000005</v>
          </cell>
          <cell r="BI15">
            <v>23.99</v>
          </cell>
        </row>
        <row r="17">
          <cell r="AQ17">
            <v>28.32</v>
          </cell>
          <cell r="AS17">
            <v>10.56</v>
          </cell>
        </row>
        <row r="22">
          <cell r="AQ22">
            <v>9.4400000000000013</v>
          </cell>
          <cell r="AS22">
            <v>3.52</v>
          </cell>
        </row>
        <row r="23">
          <cell r="AQ23">
            <v>28.32</v>
          </cell>
          <cell r="AS23">
            <v>10.56</v>
          </cell>
          <cell r="BG23">
            <v>180</v>
          </cell>
          <cell r="BI23">
            <v>14.4</v>
          </cell>
        </row>
        <row r="27">
          <cell r="AQ27">
            <v>80.960000000000008</v>
          </cell>
          <cell r="AS27">
            <v>35.68</v>
          </cell>
          <cell r="BG27">
            <v>150.00000000000003</v>
          </cell>
          <cell r="BI27">
            <v>12</v>
          </cell>
        </row>
        <row r="28">
          <cell r="Q28">
            <v>149.85000000000002</v>
          </cell>
          <cell r="AQ28">
            <v>18.880000000000003</v>
          </cell>
          <cell r="AS28">
            <v>7.04</v>
          </cell>
          <cell r="BG28">
            <v>1665.0400000000004</v>
          </cell>
          <cell r="BI28">
            <v>133.16</v>
          </cell>
        </row>
        <row r="30">
          <cell r="AQ30">
            <v>22.400000000000002</v>
          </cell>
          <cell r="AS30">
            <v>3.52</v>
          </cell>
        </row>
        <row r="31">
          <cell r="Q31">
            <v>120.6</v>
          </cell>
          <cell r="AQ31">
            <v>9.4400000000000013</v>
          </cell>
          <cell r="AS31">
            <v>3.52</v>
          </cell>
          <cell r="BG31">
            <v>1795.0800000000004</v>
          </cell>
          <cell r="BI31">
            <v>348.9</v>
          </cell>
        </row>
        <row r="32">
          <cell r="Q32">
            <v>63.63</v>
          </cell>
        </row>
        <row r="33">
          <cell r="Q33">
            <v>74.655000000000015</v>
          </cell>
        </row>
        <row r="34">
          <cell r="Q34">
            <v>15.750000000000004</v>
          </cell>
        </row>
        <row r="35">
          <cell r="Q35">
            <v>156.87000000000003</v>
          </cell>
        </row>
        <row r="36">
          <cell r="Q36">
            <v>113.85</v>
          </cell>
          <cell r="AQ36">
            <v>9.4400000000000013</v>
          </cell>
          <cell r="AS36">
            <v>3.52</v>
          </cell>
          <cell r="BG36">
            <v>217.51000000000005</v>
          </cell>
          <cell r="BI36">
            <v>17.39</v>
          </cell>
        </row>
        <row r="37">
          <cell r="Q37">
            <v>157.5</v>
          </cell>
          <cell r="BG37">
            <v>1335.2</v>
          </cell>
          <cell r="BI37">
            <v>106.78</v>
          </cell>
        </row>
        <row r="38">
          <cell r="Q38">
            <v>199.8</v>
          </cell>
          <cell r="AQ38">
            <v>18.880000000000003</v>
          </cell>
          <cell r="AS38">
            <v>7.04</v>
          </cell>
          <cell r="BG38">
            <v>405.02000000000004</v>
          </cell>
          <cell r="BI38">
            <v>32.380000000000003</v>
          </cell>
        </row>
      </sheetData>
      <sheetData sheetId="7">
        <row r="9">
          <cell r="S9">
            <v>3.1141869230769235</v>
          </cell>
        </row>
        <row r="12">
          <cell r="S12">
            <v>2.7644400000000005</v>
          </cell>
        </row>
        <row r="15">
          <cell r="S15">
            <v>11.599463076923078</v>
          </cell>
        </row>
        <row r="22">
          <cell r="S22">
            <v>3.4951430769230774</v>
          </cell>
        </row>
        <row r="26">
          <cell r="S26">
            <v>39.156046555183948</v>
          </cell>
        </row>
        <row r="29">
          <cell r="S29">
            <v>11.761236120401339</v>
          </cell>
        </row>
        <row r="32">
          <cell r="S32">
            <v>41.399495518394659</v>
          </cell>
        </row>
        <row r="39">
          <cell r="S39">
            <v>30.420378060200672</v>
          </cell>
        </row>
        <row r="45">
          <cell r="S45">
            <v>58.871816599190296</v>
          </cell>
        </row>
        <row r="80">
          <cell r="S80">
            <v>48.325203400809734</v>
          </cell>
        </row>
      </sheetData>
      <sheetData sheetId="8">
        <row r="5">
          <cell r="P5">
            <v>104.43600000000002</v>
          </cell>
          <cell r="AB5">
            <v>33.588000000000001</v>
          </cell>
        </row>
        <row r="6">
          <cell r="P6">
            <v>64.972800000000007</v>
          </cell>
          <cell r="AB6">
            <v>3.9312</v>
          </cell>
        </row>
        <row r="7">
          <cell r="P7">
            <v>33.890400000000007</v>
          </cell>
          <cell r="AB7">
            <v>38.901600000000009</v>
          </cell>
        </row>
        <row r="8">
          <cell r="P8">
            <v>12.672000000000001</v>
          </cell>
          <cell r="AB8">
            <v>47.088000000000001</v>
          </cell>
        </row>
        <row r="9">
          <cell r="P9">
            <v>20.718000000000004</v>
          </cell>
          <cell r="AB9">
            <v>65.682000000000002</v>
          </cell>
        </row>
        <row r="10">
          <cell r="P10">
            <v>23.886000000000003</v>
          </cell>
          <cell r="AB10">
            <v>70.434000000000012</v>
          </cell>
        </row>
        <row r="11">
          <cell r="P11">
            <v>12.204000000000001</v>
          </cell>
          <cell r="AB11">
            <v>42.336000000000006</v>
          </cell>
        </row>
        <row r="12">
          <cell r="P12">
            <v>70.480800000000002</v>
          </cell>
          <cell r="AB12">
            <v>4.2552000000000003</v>
          </cell>
        </row>
        <row r="13">
          <cell r="P13">
            <v>16.164000000000001</v>
          </cell>
          <cell r="AB13">
            <v>45.576000000000001</v>
          </cell>
        </row>
        <row r="14">
          <cell r="P14">
            <v>126.57599999999998</v>
          </cell>
          <cell r="AB14">
            <v>3.0240000000000005</v>
          </cell>
        </row>
        <row r="28">
          <cell r="P28">
            <v>0</v>
          </cell>
          <cell r="AB28">
            <v>59.940000000000012</v>
          </cell>
        </row>
        <row r="31">
          <cell r="P31">
            <v>0</v>
          </cell>
          <cell r="AB31">
            <v>48.24</v>
          </cell>
        </row>
        <row r="32">
          <cell r="P32">
            <v>177.40800000000002</v>
          </cell>
          <cell r="AB32">
            <v>25.452000000000002</v>
          </cell>
        </row>
        <row r="33">
          <cell r="P33">
            <v>121.84200000000001</v>
          </cell>
          <cell r="AB33">
            <v>29.862000000000009</v>
          </cell>
        </row>
        <row r="34">
          <cell r="P34">
            <v>113.14800000000001</v>
          </cell>
          <cell r="AB34">
            <v>6.3000000000000016</v>
          </cell>
        </row>
        <row r="35">
          <cell r="P35">
            <v>43.344000000000008</v>
          </cell>
          <cell r="AB35">
            <v>62.748000000000019</v>
          </cell>
        </row>
        <row r="36">
          <cell r="P36">
            <v>0.18000000000000002</v>
          </cell>
          <cell r="AB36">
            <v>45.54</v>
          </cell>
        </row>
        <row r="37">
          <cell r="P37">
            <v>0</v>
          </cell>
          <cell r="AB37">
            <v>63</v>
          </cell>
        </row>
        <row r="38">
          <cell r="P38">
            <v>0</v>
          </cell>
          <cell r="AB38">
            <v>79.920000000000016</v>
          </cell>
        </row>
      </sheetData>
      <sheetData sheetId="9">
        <row r="9">
          <cell r="T9">
            <v>2376.5710464287995</v>
          </cell>
          <cell r="U9">
            <v>494.45437878719986</v>
          </cell>
          <cell r="Z9">
            <v>339.04289054625895</v>
          </cell>
        </row>
      </sheetData>
      <sheetData sheetId="10">
        <row r="5">
          <cell r="P5">
            <v>25.056000000000001</v>
          </cell>
          <cell r="AA5">
            <v>71.28</v>
          </cell>
          <cell r="AB5">
            <v>28.512</v>
          </cell>
        </row>
      </sheetData>
      <sheetData sheetId="11"/>
      <sheetData sheetId="12">
        <row r="10">
          <cell r="F10">
            <v>47.25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749"/>
  <sheetViews>
    <sheetView workbookViewId="0">
      <selection activeCell="A29" sqref="A29"/>
    </sheetView>
  </sheetViews>
  <sheetFormatPr defaultColWidth="9.140625" defaultRowHeight="15"/>
  <cols>
    <col min="1" max="1" width="72.42578125" style="117" customWidth="1"/>
    <col min="2" max="2" width="18.42578125" style="117" customWidth="1"/>
    <col min="3" max="3" width="20.5703125" style="117" hidden="1" customWidth="1"/>
    <col min="4" max="4" width="20.5703125" style="117" customWidth="1"/>
    <col min="5" max="5" width="18.42578125" style="117" customWidth="1"/>
    <col min="6" max="6" width="18.28515625" style="117" customWidth="1"/>
    <col min="7" max="7" width="9.140625" style="117" customWidth="1"/>
    <col min="8" max="16384" width="9.140625" style="117"/>
  </cols>
  <sheetData>
    <row r="1" spans="1:6" s="1" customFormat="1" ht="15.75" customHeight="1">
      <c r="E1" s="362" t="s">
        <v>573</v>
      </c>
      <c r="F1" s="362"/>
    </row>
    <row r="2" spans="1:6" ht="18.75">
      <c r="A2" s="364" t="s">
        <v>254</v>
      </c>
      <c r="B2" s="364"/>
      <c r="C2" s="364"/>
      <c r="D2" s="364"/>
      <c r="E2" s="364"/>
      <c r="F2" s="364"/>
    </row>
    <row r="3" spans="1:6" ht="18.75" hidden="1">
      <c r="A3" s="365" t="str">
        <f>'[1]Biểu cl so với dự toán đầu năm'!A3:H3</f>
        <v>Kèm theo Tờ trình số:       /TTr-UBND, ngày       tháng      năm 2023 của UBND huyện Đăk Tô)</v>
      </c>
      <c r="B3" s="366"/>
      <c r="C3" s="366"/>
      <c r="D3" s="366"/>
      <c r="E3" s="366"/>
      <c r="F3" s="366"/>
    </row>
    <row r="4" spans="1:6" ht="18.75" hidden="1">
      <c r="A4" s="365" t="str">
        <f>'[1]Biểu cl so với dự toán đầu năm'!A4:H4</f>
        <v>(Kèm theo Công văn số:         /TCKH, ngày      /     /2023 của Phòng Tài chính - Kế hoạch huyện Đăk Tô)</v>
      </c>
      <c r="B4" s="366"/>
      <c r="C4" s="366"/>
      <c r="D4" s="366"/>
      <c r="E4" s="366"/>
      <c r="F4" s="366"/>
    </row>
    <row r="5" spans="1:6" ht="18.75" hidden="1">
      <c r="A5" s="365" t="str">
        <f>'[1]Biểu cl so với dự toán đầu năm'!A5:H5</f>
        <v>(Kèm theo Quyết định số:         /QĐ-UBND, ngày      /     /2023 của UBND huyện Đăk Tô)</v>
      </c>
      <c r="B5" s="365"/>
      <c r="C5" s="365"/>
      <c r="D5" s="365"/>
      <c r="E5" s="365"/>
      <c r="F5" s="365"/>
    </row>
    <row r="6" spans="1:6" ht="18.75" hidden="1">
      <c r="A6" s="179"/>
      <c r="B6" s="179"/>
      <c r="C6" s="179"/>
      <c r="D6" s="179"/>
      <c r="E6" s="179"/>
      <c r="F6" s="153"/>
    </row>
    <row r="7" spans="1:6" s="154" customFormat="1" ht="15.75">
      <c r="A7" s="367" t="s">
        <v>576</v>
      </c>
      <c r="B7" s="367"/>
      <c r="C7" s="367"/>
      <c r="D7" s="367"/>
      <c r="E7" s="367"/>
    </row>
    <row r="8" spans="1:6" ht="15.75">
      <c r="A8" s="344"/>
      <c r="B8" s="345"/>
      <c r="C8" s="345"/>
      <c r="D8" s="345"/>
      <c r="E8" s="363" t="s">
        <v>255</v>
      </c>
      <c r="F8" s="363"/>
    </row>
    <row r="9" spans="1:6" ht="43.5" customHeight="1">
      <c r="A9" s="361" t="s">
        <v>1</v>
      </c>
      <c r="B9" s="361" t="s">
        <v>256</v>
      </c>
      <c r="C9" s="361" t="s">
        <v>577</v>
      </c>
      <c r="D9" s="361" t="s">
        <v>572</v>
      </c>
      <c r="E9" s="361" t="s">
        <v>257</v>
      </c>
      <c r="F9" s="361"/>
    </row>
    <row r="10" spans="1:6" ht="78.75">
      <c r="A10" s="361"/>
      <c r="B10" s="361"/>
      <c r="C10" s="361"/>
      <c r="D10" s="361"/>
      <c r="E10" s="342" t="s">
        <v>258</v>
      </c>
      <c r="F10" s="342" t="s">
        <v>259</v>
      </c>
    </row>
    <row r="11" spans="1:6" s="182" customFormat="1" ht="15.75">
      <c r="A11" s="155" t="s">
        <v>42</v>
      </c>
      <c r="B11" s="155">
        <v>1</v>
      </c>
      <c r="C11" s="155">
        <v>2</v>
      </c>
      <c r="D11" s="155" t="s">
        <v>260</v>
      </c>
      <c r="E11" s="155">
        <v>4</v>
      </c>
      <c r="F11" s="155">
        <v>5</v>
      </c>
    </row>
    <row r="12" spans="1:6" ht="15.75">
      <c r="A12" s="346" t="s">
        <v>285</v>
      </c>
      <c r="B12" s="347"/>
      <c r="C12" s="347"/>
      <c r="D12" s="347"/>
      <c r="E12" s="347"/>
      <c r="F12" s="347"/>
    </row>
    <row r="13" spans="1:6" s="122" customFormat="1" ht="15.75">
      <c r="A13" s="348" t="s">
        <v>286</v>
      </c>
      <c r="B13" s="175"/>
      <c r="C13" s="175"/>
      <c r="D13" s="175"/>
      <c r="E13" s="175"/>
      <c r="F13" s="175"/>
    </row>
    <row r="14" spans="1:6" ht="15.75">
      <c r="A14" s="156" t="s">
        <v>261</v>
      </c>
      <c r="B14" s="349">
        <f>B15</f>
        <v>840.06</v>
      </c>
      <c r="C14" s="349">
        <f>C15</f>
        <v>0</v>
      </c>
      <c r="D14" s="349">
        <f>D15</f>
        <v>840.06</v>
      </c>
      <c r="E14" s="349">
        <f>E15</f>
        <v>0</v>
      </c>
      <c r="F14" s="349">
        <f>F15</f>
        <v>0</v>
      </c>
    </row>
    <row r="15" spans="1:6" ht="15.75">
      <c r="A15" s="158" t="s">
        <v>262</v>
      </c>
      <c r="B15" s="159">
        <f>SUM(B16:B18)</f>
        <v>840.06</v>
      </c>
      <c r="C15" s="159">
        <f>SUM(C16:C18)</f>
        <v>0</v>
      </c>
      <c r="D15" s="159">
        <f>SUM(D16:D18)</f>
        <v>840.06</v>
      </c>
      <c r="E15" s="159">
        <f>SUM(E16:E18)</f>
        <v>0</v>
      </c>
      <c r="F15" s="159">
        <f>SUM(F16:F18)</f>
        <v>0</v>
      </c>
    </row>
    <row r="16" spans="1:6" ht="15.75">
      <c r="A16" s="160" t="s">
        <v>263</v>
      </c>
      <c r="B16" s="161">
        <v>261.08999999999997</v>
      </c>
      <c r="C16" s="161">
        <v>0</v>
      </c>
      <c r="D16" s="161">
        <f>B16+C16</f>
        <v>261.08999999999997</v>
      </c>
      <c r="E16" s="161"/>
      <c r="F16" s="350"/>
    </row>
    <row r="17" spans="1:8" ht="15.75">
      <c r="A17" s="160" t="s">
        <v>264</v>
      </c>
      <c r="B17" s="161">
        <v>83.97</v>
      </c>
      <c r="C17" s="161">
        <v>0</v>
      </c>
      <c r="D17" s="161">
        <f>B17+C17</f>
        <v>83.97</v>
      </c>
      <c r="E17" s="159"/>
      <c r="F17" s="159"/>
    </row>
    <row r="18" spans="1:8" ht="15.75">
      <c r="A18" s="160" t="s">
        <v>265</v>
      </c>
      <c r="B18" s="161">
        <v>495</v>
      </c>
      <c r="C18" s="161">
        <v>0</v>
      </c>
      <c r="D18" s="161">
        <f>B18+C18</f>
        <v>495</v>
      </c>
      <c r="E18" s="161"/>
      <c r="F18" s="350"/>
    </row>
    <row r="19" spans="1:8" ht="15.75">
      <c r="A19" s="158" t="s">
        <v>266</v>
      </c>
      <c r="B19" s="159">
        <f>B20+B21+B22-0.01</f>
        <v>702.03599999999994</v>
      </c>
      <c r="C19" s="159">
        <f>SUM(C20:C22)</f>
        <v>0</v>
      </c>
      <c r="D19" s="159">
        <f>SUM(D20:D22)</f>
        <v>702.04499999999996</v>
      </c>
      <c r="E19" s="159">
        <f>SUM(E20:E22)</f>
        <v>0</v>
      </c>
      <c r="F19" s="159">
        <f>SUM(F20:F22)</f>
        <v>0</v>
      </c>
    </row>
    <row r="20" spans="1:8" ht="31.5">
      <c r="A20" s="160" t="s">
        <v>267</v>
      </c>
      <c r="B20" s="161">
        <f>B16*60%+0.01</f>
        <v>156.66399999999996</v>
      </c>
      <c r="C20" s="161">
        <f>C16*60%</f>
        <v>0</v>
      </c>
      <c r="D20" s="161">
        <f>B20+C20-0.001</f>
        <v>156.66299999999995</v>
      </c>
      <c r="E20" s="165"/>
      <c r="F20" s="350"/>
    </row>
    <row r="21" spans="1:8" ht="31.5">
      <c r="A21" s="160" t="s">
        <v>268</v>
      </c>
      <c r="B21" s="161">
        <f>B17*60%</f>
        <v>50.381999999999998</v>
      </c>
      <c r="C21" s="161">
        <f>C17*60%</f>
        <v>0</v>
      </c>
      <c r="D21" s="161">
        <f>B21+C21</f>
        <v>50.381999999999998</v>
      </c>
      <c r="E21" s="161"/>
      <c r="F21" s="350"/>
    </row>
    <row r="22" spans="1:8" ht="15.75">
      <c r="A22" s="160" t="s">
        <v>269</v>
      </c>
      <c r="B22" s="161">
        <f>B18</f>
        <v>495</v>
      </c>
      <c r="C22" s="161">
        <f>C18*60%</f>
        <v>0</v>
      </c>
      <c r="D22" s="161">
        <f>B22+C22</f>
        <v>495</v>
      </c>
      <c r="E22" s="165"/>
      <c r="F22" s="350"/>
    </row>
    <row r="23" spans="1:8" ht="31.5">
      <c r="A23" s="158" t="s">
        <v>270</v>
      </c>
      <c r="B23" s="159">
        <f>SUM(B24:B26)+0.01</f>
        <v>138.024</v>
      </c>
      <c r="C23" s="163">
        <f>SUM(C24:C26)</f>
        <v>0</v>
      </c>
      <c r="D23" s="163">
        <f>SUM(D24:D26)</f>
        <v>138.01400000000001</v>
      </c>
      <c r="E23" s="163">
        <f>SUM(E24:E26)</f>
        <v>0</v>
      </c>
      <c r="F23" s="163">
        <f>SUM(F24:F26)</f>
        <v>0</v>
      </c>
    </row>
    <row r="24" spans="1:8" ht="15.75">
      <c r="A24" s="160" t="s">
        <v>271</v>
      </c>
      <c r="B24" s="161">
        <f t="shared" ref="B24:C26" si="0">B16-B20</f>
        <v>104.42600000000002</v>
      </c>
      <c r="C24" s="161">
        <f t="shared" si="0"/>
        <v>0</v>
      </c>
      <c r="D24" s="161">
        <f>B24+C24</f>
        <v>104.42600000000002</v>
      </c>
      <c r="E24" s="161"/>
      <c r="F24" s="350"/>
    </row>
    <row r="25" spans="1:8" ht="15.75">
      <c r="A25" s="160" t="s">
        <v>272</v>
      </c>
      <c r="B25" s="161">
        <f t="shared" si="0"/>
        <v>33.588000000000001</v>
      </c>
      <c r="C25" s="161">
        <f t="shared" si="0"/>
        <v>0</v>
      </c>
      <c r="D25" s="161">
        <f>B25+C25</f>
        <v>33.588000000000001</v>
      </c>
      <c r="E25" s="159"/>
      <c r="F25" s="159"/>
    </row>
    <row r="26" spans="1:8" ht="15.75">
      <c r="A26" s="160" t="s">
        <v>265</v>
      </c>
      <c r="B26" s="161">
        <f t="shared" si="0"/>
        <v>0</v>
      </c>
      <c r="C26" s="161">
        <f t="shared" si="0"/>
        <v>0</v>
      </c>
      <c r="D26" s="161">
        <f>B26+C26</f>
        <v>0</v>
      </c>
      <c r="E26" s="161"/>
      <c r="F26" s="350"/>
    </row>
    <row r="27" spans="1:8" ht="15.75">
      <c r="A27" s="158" t="s">
        <v>273</v>
      </c>
      <c r="B27" s="159">
        <v>0</v>
      </c>
      <c r="C27" s="159"/>
      <c r="D27" s="159"/>
      <c r="E27" s="161"/>
      <c r="F27" s="350"/>
    </row>
    <row r="28" spans="1:8" ht="15.75">
      <c r="A28" s="162" t="s">
        <v>274</v>
      </c>
      <c r="B28" s="163">
        <f>B29</f>
        <v>7811.9960000000001</v>
      </c>
      <c r="C28" s="163">
        <f t="shared" ref="C28:D28" si="1">C29</f>
        <v>0</v>
      </c>
      <c r="D28" s="163">
        <f t="shared" si="1"/>
        <v>7811.9960000000001</v>
      </c>
      <c r="E28" s="161"/>
      <c r="F28" s="350"/>
    </row>
    <row r="29" spans="1:8" ht="15.75">
      <c r="A29" s="158" t="s">
        <v>275</v>
      </c>
      <c r="B29" s="159">
        <f>B30+B38</f>
        <v>7811.9960000000001</v>
      </c>
      <c r="C29" s="159">
        <f t="shared" ref="C29:D29" si="2">C30+C38</f>
        <v>0</v>
      </c>
      <c r="D29" s="159">
        <f t="shared" si="2"/>
        <v>7811.9960000000001</v>
      </c>
      <c r="E29" s="159"/>
      <c r="F29" s="350"/>
    </row>
    <row r="30" spans="1:8" ht="15.75">
      <c r="A30" s="157" t="s">
        <v>276</v>
      </c>
      <c r="B30" s="161">
        <f>SUM(B31:B37)-B32</f>
        <v>7583.8860000000004</v>
      </c>
      <c r="C30" s="161">
        <f t="shared" ref="C30:D30" si="3">SUM(C31:C37)-C32</f>
        <v>122.63999999999999</v>
      </c>
      <c r="D30" s="161">
        <f t="shared" si="3"/>
        <v>7706.5259999999998</v>
      </c>
      <c r="E30" s="163"/>
      <c r="F30" s="351"/>
    </row>
    <row r="31" spans="1:8" ht="15.75">
      <c r="A31" s="164" t="s">
        <v>277</v>
      </c>
      <c r="B31" s="165">
        <v>5531.55</v>
      </c>
      <c r="C31" s="165">
        <v>104.24</v>
      </c>
      <c r="D31" s="165">
        <f>B31+C31</f>
        <v>5635.79</v>
      </c>
      <c r="E31" s="163"/>
      <c r="F31" s="163"/>
      <c r="H31" s="183"/>
    </row>
    <row r="32" spans="1:8" ht="15.75">
      <c r="A32" s="166" t="s">
        <v>278</v>
      </c>
      <c r="B32" s="165">
        <f>SUM(B33:B34)</f>
        <v>1049.9359999999999</v>
      </c>
      <c r="C32" s="165">
        <f>SUM(C33:C34)</f>
        <v>0</v>
      </c>
      <c r="D32" s="165">
        <f t="shared" ref="D32:D37" si="4">B32+C32</f>
        <v>1049.9359999999999</v>
      </c>
      <c r="E32" s="159"/>
      <c r="F32" s="159"/>
    </row>
    <row r="33" spans="1:8" ht="31.5">
      <c r="A33" s="171" t="s">
        <v>303</v>
      </c>
      <c r="B33" s="165">
        <v>1012.8359999999999</v>
      </c>
      <c r="C33" s="161">
        <v>21.69</v>
      </c>
      <c r="D33" s="165">
        <f t="shared" si="4"/>
        <v>1034.5259999999998</v>
      </c>
      <c r="E33" s="161"/>
      <c r="F33" s="161"/>
    </row>
    <row r="34" spans="1:8" ht="31.5">
      <c r="A34" s="171" t="s">
        <v>304</v>
      </c>
      <c r="B34" s="165">
        <v>37.1</v>
      </c>
      <c r="C34" s="165">
        <v>-21.69</v>
      </c>
      <c r="D34" s="165">
        <f t="shared" si="4"/>
        <v>15.41</v>
      </c>
      <c r="E34" s="165"/>
      <c r="F34" s="352"/>
    </row>
    <row r="35" spans="1:8" ht="31.5">
      <c r="A35" s="167" t="s">
        <v>279</v>
      </c>
      <c r="B35" s="165">
        <v>689.06</v>
      </c>
      <c r="C35" s="165">
        <v>18.399999999999999</v>
      </c>
      <c r="D35" s="165">
        <f t="shared" si="4"/>
        <v>707.45999999999992</v>
      </c>
      <c r="E35" s="165"/>
      <c r="F35" s="315"/>
      <c r="G35" s="183"/>
    </row>
    <row r="36" spans="1:8" ht="15.75">
      <c r="A36" s="166" t="s">
        <v>280</v>
      </c>
      <c r="B36" s="165">
        <v>83.97</v>
      </c>
      <c r="C36" s="165"/>
      <c r="D36" s="165">
        <f t="shared" si="4"/>
        <v>83.97</v>
      </c>
      <c r="E36" s="161"/>
      <c r="F36" s="161"/>
    </row>
    <row r="37" spans="1:8" ht="31.5">
      <c r="A37" s="166" t="s">
        <v>287</v>
      </c>
      <c r="B37" s="165">
        <v>229.37</v>
      </c>
      <c r="C37" s="161"/>
      <c r="D37" s="165">
        <f t="shared" si="4"/>
        <v>229.37</v>
      </c>
      <c r="E37" s="161"/>
      <c r="F37" s="161"/>
    </row>
    <row r="38" spans="1:8" ht="15.75">
      <c r="A38" s="157" t="s">
        <v>282</v>
      </c>
      <c r="B38" s="161">
        <f>B39+B40</f>
        <v>228.11</v>
      </c>
      <c r="C38" s="161">
        <f t="shared" ref="C38:D38" si="5">C39+C40</f>
        <v>-122.63999999999999</v>
      </c>
      <c r="D38" s="161">
        <f t="shared" si="5"/>
        <v>105.47000000000003</v>
      </c>
      <c r="E38" s="161"/>
      <c r="F38" s="161"/>
    </row>
    <row r="39" spans="1:8" ht="15.75">
      <c r="A39" s="157" t="s">
        <v>283</v>
      </c>
      <c r="B39" s="168"/>
      <c r="C39" s="168"/>
      <c r="D39" s="168"/>
      <c r="E39" s="161"/>
      <c r="F39" s="161"/>
    </row>
    <row r="40" spans="1:8" ht="15.75">
      <c r="A40" s="157" t="s">
        <v>284</v>
      </c>
      <c r="B40" s="168">
        <f>SUM(B41:B43)</f>
        <v>228.11</v>
      </c>
      <c r="C40" s="168">
        <f t="shared" ref="C40:D40" si="6">SUM(C41:C43)</f>
        <v>-122.63999999999999</v>
      </c>
      <c r="D40" s="168">
        <f t="shared" si="6"/>
        <v>105.47000000000003</v>
      </c>
      <c r="E40" s="161"/>
      <c r="F40" s="161"/>
    </row>
    <row r="41" spans="1:8" ht="31.5">
      <c r="A41" s="172" t="s">
        <v>305</v>
      </c>
      <c r="B41" s="180">
        <v>178.33</v>
      </c>
      <c r="C41" s="165">
        <v>-104.24</v>
      </c>
      <c r="D41" s="165">
        <f t="shared" ref="D41:D43" si="7">B41+C41</f>
        <v>74.090000000000018</v>
      </c>
      <c r="E41" s="161"/>
      <c r="F41" s="161"/>
      <c r="H41" s="183"/>
    </row>
    <row r="42" spans="1:8" ht="15.75">
      <c r="A42" s="172" t="s">
        <v>306</v>
      </c>
      <c r="B42" s="180">
        <v>31.47</v>
      </c>
      <c r="C42" s="165">
        <v>-18.399999999999999</v>
      </c>
      <c r="D42" s="165">
        <f t="shared" si="7"/>
        <v>13.07</v>
      </c>
      <c r="E42" s="161"/>
      <c r="F42" s="161"/>
    </row>
    <row r="43" spans="1:8" ht="31.5">
      <c r="A43" s="166" t="s">
        <v>287</v>
      </c>
      <c r="B43" s="180">
        <v>18.309999999999999</v>
      </c>
      <c r="C43" s="161"/>
      <c r="D43" s="165">
        <f t="shared" si="7"/>
        <v>18.309999999999999</v>
      </c>
      <c r="E43" s="161"/>
      <c r="F43" s="161"/>
    </row>
    <row r="44" spans="1:8" s="122" customFormat="1" ht="15.75">
      <c r="A44" s="348" t="s">
        <v>288</v>
      </c>
      <c r="B44" s="175"/>
      <c r="C44" s="175"/>
      <c r="D44" s="175"/>
      <c r="E44" s="175"/>
      <c r="F44" s="175"/>
    </row>
    <row r="45" spans="1:8" ht="15.75">
      <c r="A45" s="156" t="s">
        <v>261</v>
      </c>
      <c r="B45" s="349">
        <f>B46</f>
        <v>912.38</v>
      </c>
      <c r="C45" s="349">
        <f>C46</f>
        <v>0</v>
      </c>
      <c r="D45" s="349">
        <f>D46</f>
        <v>912.38</v>
      </c>
      <c r="E45" s="349">
        <f>E46</f>
        <v>0</v>
      </c>
      <c r="F45" s="349">
        <f>F46</f>
        <v>0</v>
      </c>
    </row>
    <row r="46" spans="1:8" ht="15.75">
      <c r="A46" s="158" t="s">
        <v>262</v>
      </c>
      <c r="B46" s="159">
        <f>SUM(B47:B49)</f>
        <v>912.38</v>
      </c>
      <c r="C46" s="159">
        <f>SUM(C47:C49)</f>
        <v>0</v>
      </c>
      <c r="D46" s="159">
        <f>SUM(D47:D49)</f>
        <v>912.38</v>
      </c>
      <c r="E46" s="159">
        <f>SUM(E47:E49)</f>
        <v>0</v>
      </c>
      <c r="F46" s="159">
        <f>SUM(F47:F49)</f>
        <v>0</v>
      </c>
    </row>
    <row r="47" spans="1:8" ht="15.75">
      <c r="A47" s="160" t="s">
        <v>263</v>
      </c>
      <c r="B47" s="161">
        <v>162.43</v>
      </c>
      <c r="C47" s="161">
        <v>0</v>
      </c>
      <c r="D47" s="161">
        <f>B47+C47</f>
        <v>162.43</v>
      </c>
      <c r="E47" s="161"/>
      <c r="F47" s="350"/>
    </row>
    <row r="48" spans="1:8" ht="15.75">
      <c r="A48" s="160" t="s">
        <v>264</v>
      </c>
      <c r="B48" s="161">
        <v>9.83</v>
      </c>
      <c r="C48" s="161">
        <v>0</v>
      </c>
      <c r="D48" s="161">
        <f>B48+C48</f>
        <v>9.83</v>
      </c>
      <c r="E48" s="159"/>
      <c r="F48" s="159"/>
    </row>
    <row r="49" spans="1:6" ht="15.75">
      <c r="A49" s="160" t="s">
        <v>265</v>
      </c>
      <c r="B49" s="161">
        <v>740.12</v>
      </c>
      <c r="C49" s="161">
        <v>0</v>
      </c>
      <c r="D49" s="161">
        <f>B49+C49</f>
        <v>740.12</v>
      </c>
      <c r="E49" s="161"/>
      <c r="F49" s="350"/>
    </row>
    <row r="50" spans="1:6" ht="15.75">
      <c r="A50" s="158" t="s">
        <v>266</v>
      </c>
      <c r="B50" s="159">
        <f>SUM(B51:B53)</f>
        <v>843.476</v>
      </c>
      <c r="C50" s="159">
        <f>SUM(C51:C53)</f>
        <v>0</v>
      </c>
      <c r="D50" s="159">
        <f>SUM(D51:D53)</f>
        <v>843.476</v>
      </c>
      <c r="E50" s="159">
        <f>SUM(E51:E53)</f>
        <v>0</v>
      </c>
      <c r="F50" s="159">
        <f>SUM(F51:F53)</f>
        <v>0</v>
      </c>
    </row>
    <row r="51" spans="1:6" ht="31.5">
      <c r="A51" s="160" t="s">
        <v>267</v>
      </c>
      <c r="B51" s="161">
        <f>B47*60%</f>
        <v>97.457999999999998</v>
      </c>
      <c r="C51" s="161">
        <f>C47*60%</f>
        <v>0</v>
      </c>
      <c r="D51" s="161">
        <f>B51+C51</f>
        <v>97.457999999999998</v>
      </c>
      <c r="E51" s="165"/>
      <c r="F51" s="350"/>
    </row>
    <row r="52" spans="1:6" ht="31.5">
      <c r="A52" s="160" t="s">
        <v>268</v>
      </c>
      <c r="B52" s="161">
        <f>B48*60%</f>
        <v>5.8979999999999997</v>
      </c>
      <c r="C52" s="161">
        <f>C48*60%</f>
        <v>0</v>
      </c>
      <c r="D52" s="161">
        <f>B52+C52</f>
        <v>5.8979999999999997</v>
      </c>
      <c r="E52" s="161"/>
      <c r="F52" s="350"/>
    </row>
    <row r="53" spans="1:6" ht="15.75">
      <c r="A53" s="160" t="s">
        <v>269</v>
      </c>
      <c r="B53" s="161">
        <f>B49</f>
        <v>740.12</v>
      </c>
      <c r="C53" s="161">
        <f>C49*60%</f>
        <v>0</v>
      </c>
      <c r="D53" s="161">
        <f>B53+C53</f>
        <v>740.12</v>
      </c>
      <c r="E53" s="165"/>
      <c r="F53" s="350"/>
    </row>
    <row r="54" spans="1:6" ht="31.5">
      <c r="A54" s="158" t="s">
        <v>270</v>
      </c>
      <c r="B54" s="163">
        <f>SUM(B55:B57)</f>
        <v>68.904000000000011</v>
      </c>
      <c r="C54" s="163">
        <f>SUM(C55:C57)</f>
        <v>0</v>
      </c>
      <c r="D54" s="163">
        <f>SUM(D55:D57)</f>
        <v>68.904000000000011</v>
      </c>
      <c r="E54" s="163">
        <f>SUM(E55:E57)</f>
        <v>0</v>
      </c>
      <c r="F54" s="163">
        <f>SUM(F55:F57)</f>
        <v>0</v>
      </c>
    </row>
    <row r="55" spans="1:6" ht="15.75">
      <c r="A55" s="160" t="s">
        <v>271</v>
      </c>
      <c r="B55" s="161">
        <f t="shared" ref="B55:C57" si="8">B47-B51</f>
        <v>64.972000000000008</v>
      </c>
      <c r="C55" s="161">
        <f t="shared" si="8"/>
        <v>0</v>
      </c>
      <c r="D55" s="161">
        <f>B55+C55</f>
        <v>64.972000000000008</v>
      </c>
      <c r="E55" s="161"/>
      <c r="F55" s="350"/>
    </row>
    <row r="56" spans="1:6" ht="15.75">
      <c r="A56" s="160" t="s">
        <v>272</v>
      </c>
      <c r="B56" s="161">
        <f t="shared" si="8"/>
        <v>3.9320000000000004</v>
      </c>
      <c r="C56" s="161">
        <f t="shared" si="8"/>
        <v>0</v>
      </c>
      <c r="D56" s="161">
        <f>B56+C56</f>
        <v>3.9320000000000004</v>
      </c>
      <c r="E56" s="159"/>
      <c r="F56" s="159"/>
    </row>
    <row r="57" spans="1:6" ht="15.75">
      <c r="A57" s="160" t="s">
        <v>265</v>
      </c>
      <c r="B57" s="161">
        <f t="shared" si="8"/>
        <v>0</v>
      </c>
      <c r="C57" s="161">
        <f t="shared" si="8"/>
        <v>0</v>
      </c>
      <c r="D57" s="161">
        <f>B57+C57</f>
        <v>0</v>
      </c>
      <c r="E57" s="161"/>
      <c r="F57" s="350"/>
    </row>
    <row r="58" spans="1:6" ht="15.75">
      <c r="A58" s="158" t="s">
        <v>273</v>
      </c>
      <c r="B58" s="159">
        <v>0</v>
      </c>
      <c r="C58" s="159">
        <v>0</v>
      </c>
      <c r="D58" s="159">
        <f>B58+C58</f>
        <v>0</v>
      </c>
      <c r="E58" s="161"/>
      <c r="F58" s="350"/>
    </row>
    <row r="59" spans="1:6" ht="15.75">
      <c r="A59" s="162" t="s">
        <v>274</v>
      </c>
      <c r="B59" s="163">
        <f>B60</f>
        <v>3812.1860000000001</v>
      </c>
      <c r="C59" s="163">
        <f t="shared" ref="C59:D59" si="9">C60</f>
        <v>0</v>
      </c>
      <c r="D59" s="163">
        <f t="shared" si="9"/>
        <v>3812.1859999999997</v>
      </c>
      <c r="E59" s="159"/>
      <c r="F59" s="159"/>
    </row>
    <row r="60" spans="1:6" ht="15.75">
      <c r="A60" s="158" t="s">
        <v>275</v>
      </c>
      <c r="B60" s="159">
        <f>B61+B69</f>
        <v>3812.1860000000001</v>
      </c>
      <c r="C60" s="159">
        <f t="shared" ref="C60:D60" si="10">C61+C69</f>
        <v>0</v>
      </c>
      <c r="D60" s="159">
        <f t="shared" si="10"/>
        <v>3812.1859999999997</v>
      </c>
      <c r="E60" s="161"/>
      <c r="F60" s="161"/>
    </row>
    <row r="61" spans="1:6" ht="15.75">
      <c r="A61" s="157" t="s">
        <v>276</v>
      </c>
      <c r="B61" s="161">
        <f>SUM(B62:B68)-B63</f>
        <v>2930.1660000000002</v>
      </c>
      <c r="C61" s="161">
        <f t="shared" ref="C61:D61" si="11">SUM(C62:C68)-C63</f>
        <v>-301.04999999999995</v>
      </c>
      <c r="D61" s="161">
        <f t="shared" si="11"/>
        <v>2629.116</v>
      </c>
      <c r="E61" s="168"/>
      <c r="F61" s="168"/>
    </row>
    <row r="62" spans="1:6" ht="15.75">
      <c r="A62" s="164" t="s">
        <v>277</v>
      </c>
      <c r="B62" s="165">
        <v>2122.61</v>
      </c>
      <c r="C62" s="180">
        <v>-255.89</v>
      </c>
      <c r="D62" s="165">
        <f>B62+C62</f>
        <v>1866.7200000000003</v>
      </c>
      <c r="E62" s="168"/>
      <c r="F62" s="180"/>
    </row>
    <row r="63" spans="1:6" ht="15.75">
      <c r="A63" s="166" t="s">
        <v>278</v>
      </c>
      <c r="B63" s="165">
        <f>SUM(B64:B65)</f>
        <v>528.14599999999996</v>
      </c>
      <c r="C63" s="165">
        <f t="shared" ref="C63:D63" si="12">SUM(C64:C65)</f>
        <v>0</v>
      </c>
      <c r="D63" s="165">
        <f t="shared" si="12"/>
        <v>528.14599999999996</v>
      </c>
      <c r="E63" s="168"/>
      <c r="F63" s="168"/>
    </row>
    <row r="64" spans="1:6" ht="31.5">
      <c r="A64" s="171" t="s">
        <v>303</v>
      </c>
      <c r="B64" s="165">
        <f>441.62-B54</f>
        <v>372.71600000000001</v>
      </c>
      <c r="C64" s="180">
        <v>-56.3</v>
      </c>
      <c r="D64" s="165">
        <f t="shared" ref="D64:D68" si="13">B64+C64</f>
        <v>316.416</v>
      </c>
      <c r="E64" s="168"/>
      <c r="F64" s="168"/>
    </row>
    <row r="65" spans="1:6" ht="31.5">
      <c r="A65" s="171" t="s">
        <v>304</v>
      </c>
      <c r="B65" s="165">
        <v>155.43</v>
      </c>
      <c r="C65" s="180">
        <v>56.3</v>
      </c>
      <c r="D65" s="165">
        <f t="shared" si="13"/>
        <v>211.73000000000002</v>
      </c>
      <c r="E65" s="168"/>
      <c r="F65" s="168"/>
    </row>
    <row r="66" spans="1:6" ht="31.5">
      <c r="A66" s="167" t="s">
        <v>279</v>
      </c>
      <c r="B66" s="165">
        <v>230.91000000000003</v>
      </c>
      <c r="C66" s="180">
        <v>-45.16</v>
      </c>
      <c r="D66" s="165">
        <f t="shared" si="13"/>
        <v>185.75000000000003</v>
      </c>
      <c r="E66" s="168"/>
      <c r="F66" s="168"/>
    </row>
    <row r="67" spans="1:6" ht="15.75">
      <c r="A67" s="166" t="s">
        <v>280</v>
      </c>
      <c r="B67" s="165">
        <v>9.83</v>
      </c>
      <c r="C67" s="168"/>
      <c r="D67" s="165">
        <f t="shared" si="13"/>
        <v>9.83</v>
      </c>
      <c r="E67" s="168"/>
      <c r="F67" s="168"/>
    </row>
    <row r="68" spans="1:6" ht="31.5">
      <c r="A68" s="166" t="s">
        <v>287</v>
      </c>
      <c r="B68" s="165">
        <v>38.67</v>
      </c>
      <c r="C68" s="168"/>
      <c r="D68" s="165">
        <f t="shared" si="13"/>
        <v>38.67</v>
      </c>
      <c r="E68" s="168"/>
      <c r="F68" s="168"/>
    </row>
    <row r="69" spans="1:6" ht="15.75">
      <c r="A69" s="157" t="s">
        <v>282</v>
      </c>
      <c r="B69" s="161">
        <f>B70+B71</f>
        <v>882.0200000000001</v>
      </c>
      <c r="C69" s="161">
        <f t="shared" ref="C69:D69" si="14">C70+C71</f>
        <v>301.04999999999995</v>
      </c>
      <c r="D69" s="161">
        <f t="shared" si="14"/>
        <v>1183.07</v>
      </c>
      <c r="E69" s="168"/>
      <c r="F69" s="168"/>
    </row>
    <row r="70" spans="1:6" ht="15.75">
      <c r="A70" s="157" t="s">
        <v>283</v>
      </c>
      <c r="B70" s="168"/>
      <c r="C70" s="168"/>
      <c r="D70" s="168"/>
      <c r="E70" s="168"/>
      <c r="F70" s="168"/>
    </row>
    <row r="71" spans="1:6" ht="15.75">
      <c r="A71" s="157" t="s">
        <v>284</v>
      </c>
      <c r="B71" s="168">
        <f>SUM(B72:B75)</f>
        <v>882.0200000000001</v>
      </c>
      <c r="C71" s="168">
        <f t="shared" ref="C71:D71" si="15">SUM(C72:C75)</f>
        <v>301.04999999999995</v>
      </c>
      <c r="D71" s="168">
        <f t="shared" si="15"/>
        <v>1183.07</v>
      </c>
      <c r="E71" s="168"/>
      <c r="F71" s="168"/>
    </row>
    <row r="72" spans="1:6" ht="31.5">
      <c r="A72" s="172" t="s">
        <v>305</v>
      </c>
      <c r="B72" s="180">
        <v>747.09</v>
      </c>
      <c r="C72" s="180">
        <v>255.89</v>
      </c>
      <c r="D72" s="165">
        <f t="shared" ref="D72:D74" si="16">B72+C72</f>
        <v>1002.98</v>
      </c>
      <c r="E72" s="168"/>
      <c r="F72" s="168"/>
    </row>
    <row r="73" spans="1:6" ht="15.75">
      <c r="A73" s="172" t="s">
        <v>306</v>
      </c>
      <c r="B73" s="180">
        <v>131.84</v>
      </c>
      <c r="C73" s="180">
        <v>45.16</v>
      </c>
      <c r="D73" s="165">
        <f t="shared" si="16"/>
        <v>177</v>
      </c>
      <c r="E73" s="168"/>
      <c r="F73" s="168"/>
    </row>
    <row r="74" spans="1:6" ht="31.5">
      <c r="A74" s="166" t="s">
        <v>287</v>
      </c>
      <c r="B74" s="165">
        <v>3.09</v>
      </c>
      <c r="C74" s="168"/>
      <c r="D74" s="165">
        <f t="shared" si="16"/>
        <v>3.09</v>
      </c>
      <c r="E74" s="168"/>
      <c r="F74" s="168"/>
    </row>
    <row r="75" spans="1:6" ht="15.75">
      <c r="A75" s="348" t="s">
        <v>290</v>
      </c>
      <c r="B75" s="175"/>
      <c r="C75" s="175"/>
      <c r="D75" s="175"/>
      <c r="E75" s="175"/>
      <c r="F75" s="175"/>
    </row>
    <row r="76" spans="1:6" ht="15.75">
      <c r="A76" s="156" t="s">
        <v>261</v>
      </c>
      <c r="B76" s="349">
        <f>B77</f>
        <v>603.18000000000006</v>
      </c>
      <c r="C76" s="349">
        <f>C77</f>
        <v>0</v>
      </c>
      <c r="D76" s="349">
        <f>D77</f>
        <v>603.18000000000006</v>
      </c>
      <c r="E76" s="349">
        <f>E77</f>
        <v>0</v>
      </c>
      <c r="F76" s="349">
        <f>F77</f>
        <v>0</v>
      </c>
    </row>
    <row r="77" spans="1:6" ht="15.75">
      <c r="A77" s="158" t="s">
        <v>262</v>
      </c>
      <c r="B77" s="159">
        <f>SUM(B78:B80)</f>
        <v>603.18000000000006</v>
      </c>
      <c r="C77" s="159">
        <f>SUM(C78:C80)</f>
        <v>0</v>
      </c>
      <c r="D77" s="159">
        <f>SUM(D78:D80)</f>
        <v>603.18000000000006</v>
      </c>
      <c r="E77" s="159">
        <f>SUM(E78:E80)</f>
        <v>0</v>
      </c>
      <c r="F77" s="159">
        <f>SUM(F78:F80)</f>
        <v>0</v>
      </c>
    </row>
    <row r="78" spans="1:6" ht="15.75">
      <c r="A78" s="160" t="s">
        <v>263</v>
      </c>
      <c r="B78" s="161">
        <v>84.73</v>
      </c>
      <c r="C78" s="161">
        <v>0</v>
      </c>
      <c r="D78" s="161">
        <f>B78+C78</f>
        <v>84.73</v>
      </c>
      <c r="E78" s="161"/>
      <c r="F78" s="350"/>
    </row>
    <row r="79" spans="1:6" ht="15.75">
      <c r="A79" s="160" t="s">
        <v>264</v>
      </c>
      <c r="B79" s="161">
        <v>97.25</v>
      </c>
      <c r="C79" s="161">
        <v>0</v>
      </c>
      <c r="D79" s="161">
        <f>B79+C79+C89</f>
        <v>97.25</v>
      </c>
      <c r="E79" s="159"/>
      <c r="F79" s="159"/>
    </row>
    <row r="80" spans="1:6" ht="15.75">
      <c r="A80" s="160" t="s">
        <v>265</v>
      </c>
      <c r="B80" s="161">
        <v>421.2</v>
      </c>
      <c r="C80" s="161">
        <v>0</v>
      </c>
      <c r="D80" s="161">
        <f>B80+C80</f>
        <v>421.2</v>
      </c>
      <c r="E80" s="161"/>
      <c r="F80" s="350"/>
    </row>
    <row r="81" spans="1:6" ht="15.75">
      <c r="A81" s="158" t="s">
        <v>266</v>
      </c>
      <c r="B81" s="159">
        <f>SUM(B82:B84)</f>
        <v>530.38900000000001</v>
      </c>
      <c r="C81" s="159">
        <f>SUM(C82:C84)</f>
        <v>0</v>
      </c>
      <c r="D81" s="159">
        <f>SUM(D82:D84)</f>
        <v>530.38799999999992</v>
      </c>
      <c r="E81" s="159">
        <f>SUM(E82:E84)</f>
        <v>0</v>
      </c>
      <c r="F81" s="159">
        <f>SUM(F82:F84)</f>
        <v>0</v>
      </c>
    </row>
    <row r="82" spans="1:6" ht="31.5">
      <c r="A82" s="160" t="s">
        <v>267</v>
      </c>
      <c r="B82" s="161">
        <f>B78*60%</f>
        <v>50.838000000000001</v>
      </c>
      <c r="C82" s="161">
        <f>C78*60%</f>
        <v>0</v>
      </c>
      <c r="D82" s="161">
        <f>B82+C82</f>
        <v>50.838000000000001</v>
      </c>
      <c r="E82" s="165"/>
      <c r="F82" s="350"/>
    </row>
    <row r="83" spans="1:6" ht="31.5">
      <c r="A83" s="160" t="s">
        <v>268</v>
      </c>
      <c r="B83" s="161">
        <f>B79*60%+0.001</f>
        <v>58.350999999999992</v>
      </c>
      <c r="C83" s="161">
        <f>C79*60%</f>
        <v>0</v>
      </c>
      <c r="D83" s="161">
        <f>B83+C83-0.001</f>
        <v>58.349999999999994</v>
      </c>
      <c r="E83" s="161"/>
      <c r="F83" s="350"/>
    </row>
    <row r="84" spans="1:6" ht="15.75">
      <c r="A84" s="160" t="s">
        <v>269</v>
      </c>
      <c r="B84" s="161">
        <f>B80</f>
        <v>421.2</v>
      </c>
      <c r="C84" s="161">
        <f>C80*60%</f>
        <v>0</v>
      </c>
      <c r="D84" s="161">
        <f>B84+C84</f>
        <v>421.2</v>
      </c>
      <c r="E84" s="165"/>
      <c r="F84" s="350"/>
    </row>
    <row r="85" spans="1:6" ht="31.5">
      <c r="A85" s="158" t="s">
        <v>270</v>
      </c>
      <c r="B85" s="163">
        <f>SUM(B86:B88)</f>
        <v>72.791000000000011</v>
      </c>
      <c r="C85" s="163">
        <f>SUM(C86:C88)</f>
        <v>0</v>
      </c>
      <c r="D85" s="163">
        <f>SUM(D86:D88)</f>
        <v>72.791000000000011</v>
      </c>
      <c r="E85" s="163">
        <f>SUM(E86:E88)</f>
        <v>0</v>
      </c>
      <c r="F85" s="163">
        <f>SUM(F86:F88)</f>
        <v>0</v>
      </c>
    </row>
    <row r="86" spans="1:6" ht="15.75">
      <c r="A86" s="160" t="s">
        <v>271</v>
      </c>
      <c r="B86" s="161">
        <f t="shared" ref="B86:C88" si="17">B78-B82</f>
        <v>33.892000000000003</v>
      </c>
      <c r="C86" s="161">
        <f t="shared" si="17"/>
        <v>0</v>
      </c>
      <c r="D86" s="161">
        <f>B86+C86</f>
        <v>33.892000000000003</v>
      </c>
      <c r="E86" s="161"/>
      <c r="F86" s="350"/>
    </row>
    <row r="87" spans="1:6" ht="15.75">
      <c r="A87" s="160" t="s">
        <v>272</v>
      </c>
      <c r="B87" s="161">
        <f t="shared" si="17"/>
        <v>38.899000000000008</v>
      </c>
      <c r="C87" s="161">
        <f t="shared" si="17"/>
        <v>0</v>
      </c>
      <c r="D87" s="161">
        <f>B87+C87</f>
        <v>38.899000000000008</v>
      </c>
      <c r="E87" s="159"/>
      <c r="F87" s="159"/>
    </row>
    <row r="88" spans="1:6" ht="15.75">
      <c r="A88" s="160" t="s">
        <v>265</v>
      </c>
      <c r="B88" s="161">
        <f t="shared" si="17"/>
        <v>0</v>
      </c>
      <c r="C88" s="161">
        <f t="shared" si="17"/>
        <v>0</v>
      </c>
      <c r="D88" s="161">
        <f>B88+C88</f>
        <v>0</v>
      </c>
      <c r="E88" s="161"/>
      <c r="F88" s="350"/>
    </row>
    <row r="89" spans="1:6" ht="15.75">
      <c r="A89" s="158" t="s">
        <v>273</v>
      </c>
      <c r="B89" s="159">
        <v>0</v>
      </c>
      <c r="C89" s="159"/>
      <c r="D89" s="159"/>
      <c r="E89" s="161"/>
      <c r="F89" s="350"/>
    </row>
    <row r="90" spans="1:6" ht="15.75">
      <c r="A90" s="162" t="s">
        <v>274</v>
      </c>
      <c r="B90" s="163">
        <f>B91</f>
        <v>6047.5779999999995</v>
      </c>
      <c r="C90" s="163">
        <f t="shared" ref="C90:D90" si="18">C91</f>
        <v>0</v>
      </c>
      <c r="D90" s="163">
        <f t="shared" si="18"/>
        <v>6047.5779999999995</v>
      </c>
      <c r="E90" s="161"/>
      <c r="F90" s="350"/>
    </row>
    <row r="91" spans="1:6" ht="15.75">
      <c r="A91" s="158" t="s">
        <v>275</v>
      </c>
      <c r="B91" s="159">
        <f>B92+B100</f>
        <v>6047.5779999999995</v>
      </c>
      <c r="C91" s="159">
        <f t="shared" ref="C91:D91" si="19">C92+C100</f>
        <v>0</v>
      </c>
      <c r="D91" s="159">
        <f t="shared" si="19"/>
        <v>6047.5779999999995</v>
      </c>
      <c r="E91" s="159"/>
      <c r="F91" s="350"/>
    </row>
    <row r="92" spans="1:6" ht="15.75">
      <c r="A92" s="157" t="s">
        <v>276</v>
      </c>
      <c r="B92" s="161">
        <f>SUM(B93:B99)-B94</f>
        <v>6013.6479999999992</v>
      </c>
      <c r="C92" s="161">
        <f>SUM(C93:C99)-C94</f>
        <v>-318.36</v>
      </c>
      <c r="D92" s="161">
        <f t="shared" ref="D92" si="20">SUM(D93:D99)-D94</f>
        <v>5695.2879999999996</v>
      </c>
      <c r="E92" s="163"/>
      <c r="F92" s="351"/>
    </row>
    <row r="93" spans="1:6" ht="15.75">
      <c r="A93" s="164" t="s">
        <v>277</v>
      </c>
      <c r="B93" s="165">
        <v>4142.57</v>
      </c>
      <c r="C93" s="165">
        <v>-270.61</v>
      </c>
      <c r="D93" s="165">
        <f>B93+C93</f>
        <v>3871.9599999999996</v>
      </c>
      <c r="E93" s="163"/>
      <c r="F93" s="163"/>
    </row>
    <row r="94" spans="1:6" ht="15.75">
      <c r="A94" s="166" t="s">
        <v>278</v>
      </c>
      <c r="B94" s="165">
        <f>SUM(B95:B96)</f>
        <v>789.08799999999997</v>
      </c>
      <c r="C94" s="165">
        <f t="shared" ref="C94:D94" si="21">SUM(C95:C96)</f>
        <v>0</v>
      </c>
      <c r="D94" s="165">
        <f t="shared" si="21"/>
        <v>789.08799999999997</v>
      </c>
      <c r="E94" s="159"/>
      <c r="F94" s="159"/>
    </row>
    <row r="95" spans="1:6" ht="31.5">
      <c r="A95" s="171" t="s">
        <v>303</v>
      </c>
      <c r="B95" s="165">
        <v>789.08799999999997</v>
      </c>
      <c r="C95" s="165">
        <v>-56.3</v>
      </c>
      <c r="D95" s="165">
        <f t="shared" ref="D95:D105" si="22">B95+C95</f>
        <v>732.78800000000001</v>
      </c>
      <c r="E95" s="159"/>
      <c r="F95" s="159"/>
    </row>
    <row r="96" spans="1:6" ht="31.5">
      <c r="A96" s="171" t="s">
        <v>304</v>
      </c>
      <c r="B96" s="165"/>
      <c r="C96" s="165">
        <v>56.3</v>
      </c>
      <c r="D96" s="165">
        <f t="shared" si="22"/>
        <v>56.3</v>
      </c>
      <c r="E96" s="159"/>
      <c r="F96" s="159"/>
    </row>
    <row r="97" spans="1:7" ht="31.5">
      <c r="A97" s="167" t="s">
        <v>279</v>
      </c>
      <c r="B97" s="165">
        <v>559.67000000000007</v>
      </c>
      <c r="C97" s="165">
        <v>-47.75</v>
      </c>
      <c r="D97" s="165">
        <f t="shared" si="22"/>
        <v>511.92000000000007</v>
      </c>
      <c r="E97" s="161"/>
      <c r="F97" s="161"/>
    </row>
    <row r="98" spans="1:7" ht="15.75">
      <c r="A98" s="166" t="s">
        <v>280</v>
      </c>
      <c r="B98" s="165">
        <v>97.25</v>
      </c>
      <c r="C98" s="165"/>
      <c r="D98" s="165">
        <f t="shared" si="22"/>
        <v>97.25</v>
      </c>
      <c r="E98" s="165"/>
      <c r="F98" s="352"/>
    </row>
    <row r="99" spans="1:7" ht="31.5">
      <c r="A99" s="166" t="s">
        <v>287</v>
      </c>
      <c r="B99" s="165">
        <v>425.07</v>
      </c>
      <c r="C99" s="165"/>
      <c r="D99" s="165">
        <f t="shared" si="22"/>
        <v>425.07</v>
      </c>
      <c r="E99" s="165"/>
      <c r="F99" s="315"/>
      <c r="G99" s="183"/>
    </row>
    <row r="100" spans="1:7" ht="15.75">
      <c r="A100" s="157" t="s">
        <v>282</v>
      </c>
      <c r="B100" s="161">
        <f>B101+B102</f>
        <v>33.93</v>
      </c>
      <c r="C100" s="161">
        <f t="shared" ref="C100:D100" si="23">C101+C102</f>
        <v>318.36</v>
      </c>
      <c r="D100" s="161">
        <f t="shared" si="23"/>
        <v>352.29</v>
      </c>
      <c r="E100" s="161"/>
      <c r="F100" s="161"/>
    </row>
    <row r="101" spans="1:7" ht="15.75">
      <c r="A101" s="157" t="s">
        <v>283</v>
      </c>
      <c r="B101" s="168"/>
      <c r="C101" s="168"/>
      <c r="D101" s="168"/>
      <c r="E101" s="161"/>
      <c r="F101" s="161"/>
    </row>
    <row r="102" spans="1:7" ht="15.75">
      <c r="A102" s="157" t="s">
        <v>284</v>
      </c>
      <c r="B102" s="168">
        <f>SUM(B103:B105)</f>
        <v>33.93</v>
      </c>
      <c r="C102" s="168">
        <f t="shared" ref="C102:D102" si="24">SUM(C103:C105)</f>
        <v>318.36</v>
      </c>
      <c r="D102" s="168">
        <f t="shared" si="24"/>
        <v>352.29</v>
      </c>
      <c r="E102" s="161"/>
      <c r="F102" s="161"/>
    </row>
    <row r="103" spans="1:7" s="182" customFormat="1" ht="31.5">
      <c r="A103" s="172" t="s">
        <v>305</v>
      </c>
      <c r="B103" s="180"/>
      <c r="C103" s="180">
        <v>270.61</v>
      </c>
      <c r="D103" s="165">
        <f t="shared" si="22"/>
        <v>270.61</v>
      </c>
      <c r="E103" s="165"/>
      <c r="F103" s="165"/>
    </row>
    <row r="104" spans="1:7" s="182" customFormat="1" ht="15.75">
      <c r="A104" s="172" t="s">
        <v>306</v>
      </c>
      <c r="B104" s="180"/>
      <c r="C104" s="180">
        <v>47.75</v>
      </c>
      <c r="D104" s="165">
        <f t="shared" si="22"/>
        <v>47.75</v>
      </c>
      <c r="E104" s="165"/>
      <c r="F104" s="165"/>
    </row>
    <row r="105" spans="1:7" ht="31.5">
      <c r="A105" s="166" t="s">
        <v>287</v>
      </c>
      <c r="B105" s="165">
        <v>33.93</v>
      </c>
      <c r="C105" s="161"/>
      <c r="D105" s="165">
        <f t="shared" si="22"/>
        <v>33.93</v>
      </c>
      <c r="E105" s="161"/>
      <c r="F105" s="161"/>
    </row>
    <row r="106" spans="1:7" ht="15.75">
      <c r="A106" s="348" t="s">
        <v>291</v>
      </c>
      <c r="B106" s="175"/>
      <c r="C106" s="175"/>
      <c r="D106" s="175"/>
      <c r="E106" s="175"/>
      <c r="F106" s="175"/>
    </row>
    <row r="107" spans="1:7" ht="15.75">
      <c r="A107" s="156" t="s">
        <v>307</v>
      </c>
      <c r="B107" s="349">
        <f>B108</f>
        <v>184.77</v>
      </c>
      <c r="C107" s="349">
        <f>C108</f>
        <v>0</v>
      </c>
      <c r="D107" s="349">
        <f>D108</f>
        <v>184.77</v>
      </c>
      <c r="E107" s="349">
        <f>E108</f>
        <v>0</v>
      </c>
      <c r="F107" s="349">
        <f>F108</f>
        <v>0</v>
      </c>
    </row>
    <row r="108" spans="1:7" ht="15.75">
      <c r="A108" s="158" t="s">
        <v>262</v>
      </c>
      <c r="B108" s="159">
        <f>SUM(B109:B111)</f>
        <v>184.77</v>
      </c>
      <c r="C108" s="159">
        <f>SUM(C109:C111)</f>
        <v>0</v>
      </c>
      <c r="D108" s="159">
        <f>SUM(D109:D111)</f>
        <v>184.77</v>
      </c>
      <c r="E108" s="159">
        <f>SUM(E109:E111)</f>
        <v>0</v>
      </c>
      <c r="F108" s="159">
        <f>SUM(F109:F111)</f>
        <v>0</v>
      </c>
    </row>
    <row r="109" spans="1:7" ht="15.75">
      <c r="A109" s="160" t="s">
        <v>263</v>
      </c>
      <c r="B109" s="161">
        <v>31.68</v>
      </c>
      <c r="C109" s="161">
        <v>0</v>
      </c>
      <c r="D109" s="161">
        <f>B109+C109</f>
        <v>31.68</v>
      </c>
      <c r="E109" s="161"/>
      <c r="F109" s="350"/>
    </row>
    <row r="110" spans="1:7" ht="15.75">
      <c r="A110" s="160" t="s">
        <v>264</v>
      </c>
      <c r="B110" s="161">
        <v>117.72</v>
      </c>
      <c r="C110" s="161">
        <v>0</v>
      </c>
      <c r="D110" s="161">
        <f>B110+C110+C120</f>
        <v>117.72</v>
      </c>
      <c r="E110" s="159"/>
      <c r="F110" s="159"/>
    </row>
    <row r="111" spans="1:7" ht="15.75">
      <c r="A111" s="160" t="s">
        <v>265</v>
      </c>
      <c r="B111" s="161">
        <v>35.369999999999997</v>
      </c>
      <c r="C111" s="161">
        <v>0</v>
      </c>
      <c r="D111" s="161">
        <f>B111+C111</f>
        <v>35.369999999999997</v>
      </c>
      <c r="E111" s="161"/>
      <c r="F111" s="350"/>
    </row>
    <row r="112" spans="1:7" ht="15.75">
      <c r="A112" s="158" t="s">
        <v>266</v>
      </c>
      <c r="B112" s="159">
        <f>SUM(B113:B115)</f>
        <v>125.00999999999999</v>
      </c>
      <c r="C112" s="159">
        <f>SUM(C113:C115)</f>
        <v>0</v>
      </c>
      <c r="D112" s="159">
        <f>SUM(D113:D115)</f>
        <v>125.00999999999999</v>
      </c>
      <c r="E112" s="159">
        <f>SUM(E113:E115)</f>
        <v>0</v>
      </c>
      <c r="F112" s="159">
        <f>SUM(F113:F115)</f>
        <v>0</v>
      </c>
    </row>
    <row r="113" spans="1:6" ht="31.5">
      <c r="A113" s="160" t="s">
        <v>267</v>
      </c>
      <c r="B113" s="161">
        <f>B109*60%</f>
        <v>19.007999999999999</v>
      </c>
      <c r="C113" s="161">
        <f>C109*60%</f>
        <v>0</v>
      </c>
      <c r="D113" s="161">
        <f>B113+C113</f>
        <v>19.007999999999999</v>
      </c>
      <c r="E113" s="165"/>
      <c r="F113" s="350"/>
    </row>
    <row r="114" spans="1:6" ht="31.5">
      <c r="A114" s="169" t="s">
        <v>268</v>
      </c>
      <c r="B114" s="161">
        <f>B110*60%</f>
        <v>70.631999999999991</v>
      </c>
      <c r="C114" s="161">
        <f>C110*60%</f>
        <v>0</v>
      </c>
      <c r="D114" s="161">
        <f>B114+C114</f>
        <v>70.631999999999991</v>
      </c>
      <c r="E114" s="161"/>
      <c r="F114" s="350"/>
    </row>
    <row r="115" spans="1:6" ht="15.75">
      <c r="A115" s="169" t="s">
        <v>269</v>
      </c>
      <c r="B115" s="161">
        <f>B111</f>
        <v>35.369999999999997</v>
      </c>
      <c r="C115" s="161">
        <f>C111*60%</f>
        <v>0</v>
      </c>
      <c r="D115" s="161">
        <f>B115+C115</f>
        <v>35.369999999999997</v>
      </c>
      <c r="E115" s="165"/>
      <c r="F115" s="350"/>
    </row>
    <row r="116" spans="1:6" ht="31.5">
      <c r="A116" s="160" t="s">
        <v>270</v>
      </c>
      <c r="B116" s="163">
        <f>SUM(B117:B119)</f>
        <v>59.760000000000005</v>
      </c>
      <c r="C116" s="163">
        <f>SUM(C117:C119)</f>
        <v>0</v>
      </c>
      <c r="D116" s="163">
        <f>SUM(D117:D119)</f>
        <v>59.760000000000005</v>
      </c>
      <c r="E116" s="163">
        <f>SUM(E117:E119)</f>
        <v>0</v>
      </c>
      <c r="F116" s="163">
        <f>SUM(F117:F119)</f>
        <v>0</v>
      </c>
    </row>
    <row r="117" spans="1:6" ht="15.75">
      <c r="A117" s="169" t="s">
        <v>271</v>
      </c>
      <c r="B117" s="161">
        <f t="shared" ref="B117:C119" si="25">B109-B113</f>
        <v>12.672000000000001</v>
      </c>
      <c r="C117" s="161">
        <f t="shared" si="25"/>
        <v>0</v>
      </c>
      <c r="D117" s="161">
        <f>B117+C117</f>
        <v>12.672000000000001</v>
      </c>
      <c r="E117" s="161"/>
      <c r="F117" s="350"/>
    </row>
    <row r="118" spans="1:6" ht="15.75">
      <c r="A118" s="169" t="s">
        <v>272</v>
      </c>
      <c r="B118" s="161">
        <f t="shared" si="25"/>
        <v>47.088000000000008</v>
      </c>
      <c r="C118" s="161">
        <f t="shared" si="25"/>
        <v>0</v>
      </c>
      <c r="D118" s="161">
        <f>B118+C118</f>
        <v>47.088000000000008</v>
      </c>
      <c r="E118" s="159"/>
      <c r="F118" s="159"/>
    </row>
    <row r="119" spans="1:6" ht="15.75">
      <c r="A119" s="160" t="s">
        <v>265</v>
      </c>
      <c r="B119" s="161">
        <f t="shared" si="25"/>
        <v>0</v>
      </c>
      <c r="C119" s="161">
        <f t="shared" si="25"/>
        <v>0</v>
      </c>
      <c r="D119" s="161">
        <f>B119+C119</f>
        <v>0</v>
      </c>
      <c r="E119" s="161"/>
      <c r="F119" s="350"/>
    </row>
    <row r="120" spans="1:6" ht="15.75">
      <c r="A120" s="158" t="s">
        <v>273</v>
      </c>
      <c r="B120" s="159">
        <v>0</v>
      </c>
      <c r="C120" s="159"/>
      <c r="D120" s="159"/>
      <c r="E120" s="161"/>
      <c r="F120" s="350"/>
    </row>
    <row r="121" spans="1:6" ht="15.75">
      <c r="A121" s="162" t="s">
        <v>274</v>
      </c>
      <c r="B121" s="163">
        <f>B122</f>
        <v>5565.311999999999</v>
      </c>
      <c r="C121" s="163">
        <f t="shared" ref="C121:D121" si="26">C122</f>
        <v>0</v>
      </c>
      <c r="D121" s="163">
        <f t="shared" si="26"/>
        <v>5565.3119999999999</v>
      </c>
      <c r="E121" s="161"/>
      <c r="F121" s="350"/>
    </row>
    <row r="122" spans="1:6" ht="15.75">
      <c r="A122" s="158" t="s">
        <v>275</v>
      </c>
      <c r="B122" s="159">
        <f>B123+B132</f>
        <v>5565.311999999999</v>
      </c>
      <c r="C122" s="159">
        <f t="shared" ref="C122:D122" si="27">C123+C132</f>
        <v>0</v>
      </c>
      <c r="D122" s="159">
        <f t="shared" si="27"/>
        <v>5565.3119999999999</v>
      </c>
      <c r="E122" s="159"/>
      <c r="F122" s="350"/>
    </row>
    <row r="123" spans="1:6" ht="15.75">
      <c r="A123" s="157" t="s">
        <v>276</v>
      </c>
      <c r="B123" s="161">
        <f>SUM(B124:B131)-B125</f>
        <v>5270.7419999999993</v>
      </c>
      <c r="C123" s="161">
        <f t="shared" ref="C123:D123" si="28">SUM(C124:C131)-C125</f>
        <v>-171.27</v>
      </c>
      <c r="D123" s="161">
        <f t="shared" si="28"/>
        <v>5099.4719999999998</v>
      </c>
      <c r="E123" s="163"/>
      <c r="F123" s="351"/>
    </row>
    <row r="124" spans="1:6" ht="15.75">
      <c r="A124" s="164" t="s">
        <v>277</v>
      </c>
      <c r="B124" s="165">
        <v>3432.25</v>
      </c>
      <c r="C124" s="165">
        <v>-145.58000000000001</v>
      </c>
      <c r="D124" s="165">
        <f>B124+C124</f>
        <v>3286.67</v>
      </c>
      <c r="E124" s="163"/>
      <c r="F124" s="163"/>
    </row>
    <row r="125" spans="1:6" ht="15.75">
      <c r="A125" s="166" t="s">
        <v>278</v>
      </c>
      <c r="B125" s="165">
        <f>SUM(B126:B127)</f>
        <v>697.452</v>
      </c>
      <c r="C125" s="165">
        <f>SUM(C126:C127)</f>
        <v>0</v>
      </c>
      <c r="D125" s="165">
        <f t="shared" ref="D125" si="29">SUM(D126:D127)</f>
        <v>697.452</v>
      </c>
      <c r="E125" s="159"/>
      <c r="F125" s="159"/>
    </row>
    <row r="126" spans="1:6" ht="31.5">
      <c r="A126" s="171" t="s">
        <v>303</v>
      </c>
      <c r="B126" s="165">
        <v>654.34199999999998</v>
      </c>
      <c r="C126" s="165">
        <v>-30.29</v>
      </c>
      <c r="D126" s="165">
        <f t="shared" ref="D126:D131" si="30">B126+C126</f>
        <v>624.05200000000002</v>
      </c>
      <c r="E126" s="161"/>
      <c r="F126" s="161"/>
    </row>
    <row r="127" spans="1:6" ht="31.5">
      <c r="A127" s="171" t="s">
        <v>304</v>
      </c>
      <c r="B127" s="165">
        <v>43.11</v>
      </c>
      <c r="C127" s="165">
        <v>30.29</v>
      </c>
      <c r="D127" s="165">
        <f t="shared" si="30"/>
        <v>73.400000000000006</v>
      </c>
      <c r="E127" s="165"/>
      <c r="F127" s="352"/>
    </row>
    <row r="128" spans="1:6" ht="31.5">
      <c r="A128" s="167" t="s">
        <v>279</v>
      </c>
      <c r="B128" s="165">
        <v>460.78999999999996</v>
      </c>
      <c r="C128" s="165">
        <v>-25.69</v>
      </c>
      <c r="D128" s="165">
        <f t="shared" si="30"/>
        <v>435.09999999999997</v>
      </c>
      <c r="E128" s="165"/>
      <c r="F128" s="315"/>
    </row>
    <row r="129" spans="1:6" ht="15.75">
      <c r="A129" s="166" t="s">
        <v>280</v>
      </c>
      <c r="B129" s="165">
        <v>117.72</v>
      </c>
      <c r="C129" s="165"/>
      <c r="D129" s="165">
        <f t="shared" si="30"/>
        <v>117.72</v>
      </c>
      <c r="E129" s="161"/>
      <c r="F129" s="161"/>
    </row>
    <row r="130" spans="1:6" ht="31.5">
      <c r="A130" s="166" t="s">
        <v>287</v>
      </c>
      <c r="B130" s="165">
        <v>553.09</v>
      </c>
      <c r="C130" s="161"/>
      <c r="D130" s="165">
        <f t="shared" si="30"/>
        <v>553.09</v>
      </c>
      <c r="E130" s="161"/>
      <c r="F130" s="161"/>
    </row>
    <row r="131" spans="1:6" ht="31.5">
      <c r="A131" s="166" t="s">
        <v>308</v>
      </c>
      <c r="B131" s="165">
        <v>9.44</v>
      </c>
      <c r="C131" s="168"/>
      <c r="D131" s="165">
        <f t="shared" si="30"/>
        <v>9.44</v>
      </c>
      <c r="E131" s="168"/>
      <c r="F131" s="168"/>
    </row>
    <row r="132" spans="1:6" ht="15.75">
      <c r="A132" s="157" t="s">
        <v>282</v>
      </c>
      <c r="B132" s="161">
        <f>B133+B134</f>
        <v>294.57</v>
      </c>
      <c r="C132" s="161">
        <f t="shared" ref="C132:D132" si="31">C133+C134</f>
        <v>171.27</v>
      </c>
      <c r="D132" s="161">
        <f t="shared" si="31"/>
        <v>465.84</v>
      </c>
      <c r="E132" s="168"/>
      <c r="F132" s="168"/>
    </row>
    <row r="133" spans="1:6" ht="15.75">
      <c r="A133" s="157" t="s">
        <v>283</v>
      </c>
      <c r="B133" s="168"/>
      <c r="C133" s="168"/>
      <c r="D133" s="168"/>
      <c r="E133" s="168"/>
      <c r="F133" s="168"/>
    </row>
    <row r="134" spans="1:6" ht="15.75">
      <c r="A134" s="157" t="s">
        <v>284</v>
      </c>
      <c r="B134" s="168">
        <f>SUM(B135:B139)</f>
        <v>294.57</v>
      </c>
      <c r="C134" s="168">
        <f t="shared" ref="C134:D134" si="32">SUM(C135:C139)</f>
        <v>171.27</v>
      </c>
      <c r="D134" s="168">
        <f t="shared" si="32"/>
        <v>465.84</v>
      </c>
      <c r="E134" s="168"/>
      <c r="F134" s="168"/>
    </row>
    <row r="135" spans="1:6" ht="31.5">
      <c r="A135" s="172" t="s">
        <v>305</v>
      </c>
      <c r="B135" s="180">
        <v>207.22</v>
      </c>
      <c r="C135" s="180">
        <v>145.58000000000001</v>
      </c>
      <c r="D135" s="165">
        <f t="shared" ref="D135:D139" si="33">B135+C135</f>
        <v>352.8</v>
      </c>
      <c r="E135" s="168"/>
      <c r="F135" s="168"/>
    </row>
    <row r="136" spans="1:6" ht="15.75">
      <c r="A136" s="172" t="s">
        <v>306</v>
      </c>
      <c r="B136" s="165">
        <f>36.57</f>
        <v>36.57</v>
      </c>
      <c r="C136" s="180">
        <v>25.69</v>
      </c>
      <c r="D136" s="165">
        <f>B136+C136</f>
        <v>62.260000000000005</v>
      </c>
      <c r="E136" s="168"/>
      <c r="F136" s="168"/>
    </row>
    <row r="137" spans="1:6" ht="31.5">
      <c r="A137" s="166" t="s">
        <v>287</v>
      </c>
      <c r="B137" s="180">
        <v>44.15</v>
      </c>
      <c r="C137" s="168"/>
      <c r="D137" s="165">
        <f t="shared" si="33"/>
        <v>44.15</v>
      </c>
      <c r="E137" s="168"/>
      <c r="F137" s="168"/>
    </row>
    <row r="138" spans="1:6" ht="31.5">
      <c r="A138" s="166" t="s">
        <v>308</v>
      </c>
      <c r="B138" s="180">
        <v>3.52</v>
      </c>
      <c r="C138" s="168"/>
      <c r="D138" s="165">
        <f t="shared" si="33"/>
        <v>3.52</v>
      </c>
      <c r="E138" s="168"/>
      <c r="F138" s="168"/>
    </row>
    <row r="139" spans="1:6" ht="15.75">
      <c r="A139" s="166" t="s">
        <v>309</v>
      </c>
      <c r="B139" s="180">
        <v>3.11</v>
      </c>
      <c r="C139" s="168"/>
      <c r="D139" s="165">
        <f t="shared" si="33"/>
        <v>3.11</v>
      </c>
      <c r="E139" s="168"/>
      <c r="F139" s="168"/>
    </row>
    <row r="140" spans="1:6" ht="15.75">
      <c r="A140" s="348" t="s">
        <v>292</v>
      </c>
      <c r="B140" s="175"/>
      <c r="C140" s="175"/>
      <c r="D140" s="175"/>
      <c r="E140" s="175"/>
      <c r="F140" s="175"/>
    </row>
    <row r="141" spans="1:6" ht="15.75">
      <c r="A141" s="156" t="s">
        <v>261</v>
      </c>
      <c r="B141" s="349">
        <f>B142</f>
        <v>216.01</v>
      </c>
      <c r="C141" s="349">
        <f>C142</f>
        <v>0</v>
      </c>
      <c r="D141" s="349">
        <f>D142</f>
        <v>216.01</v>
      </c>
      <c r="E141" s="349">
        <f>E142</f>
        <v>0</v>
      </c>
      <c r="F141" s="349">
        <f>F142</f>
        <v>0</v>
      </c>
    </row>
    <row r="142" spans="1:6" ht="15.75">
      <c r="A142" s="158" t="s">
        <v>262</v>
      </c>
      <c r="B142" s="159">
        <f>SUM(B143:B145)</f>
        <v>216.01</v>
      </c>
      <c r="C142" s="159">
        <f>SUM(C143:C145)</f>
        <v>0</v>
      </c>
      <c r="D142" s="159">
        <f>SUM(D143:D145)</f>
        <v>216.01</v>
      </c>
      <c r="E142" s="159">
        <f>SUM(E143:E145)</f>
        <v>0</v>
      </c>
      <c r="F142" s="159">
        <f>SUM(F143:F145)</f>
        <v>0</v>
      </c>
    </row>
    <row r="143" spans="1:6" ht="15.75">
      <c r="A143" s="160" t="s">
        <v>263</v>
      </c>
      <c r="B143" s="161">
        <v>51.8</v>
      </c>
      <c r="C143" s="161">
        <v>0</v>
      </c>
      <c r="D143" s="161">
        <f>B143+C143</f>
        <v>51.8</v>
      </c>
      <c r="E143" s="161"/>
      <c r="F143" s="350"/>
    </row>
    <row r="144" spans="1:6" ht="15.75">
      <c r="A144" s="160" t="s">
        <v>264</v>
      </c>
      <c r="B144" s="161">
        <v>164.21</v>
      </c>
      <c r="C144" s="161">
        <v>0</v>
      </c>
      <c r="D144" s="161">
        <f>B144+C144+C154</f>
        <v>164.21</v>
      </c>
      <c r="E144" s="159"/>
      <c r="F144" s="159"/>
    </row>
    <row r="145" spans="1:6" ht="15.75">
      <c r="A145" s="160" t="s">
        <v>265</v>
      </c>
      <c r="B145" s="161">
        <v>0</v>
      </c>
      <c r="C145" s="161">
        <v>0</v>
      </c>
      <c r="D145" s="161">
        <f>B145+C145</f>
        <v>0</v>
      </c>
      <c r="E145" s="161"/>
      <c r="F145" s="350"/>
    </row>
    <row r="146" spans="1:6" ht="15.75">
      <c r="A146" s="158" t="s">
        <v>266</v>
      </c>
      <c r="B146" s="159">
        <f>SUM(B147:B149)</f>
        <v>129.60599999999999</v>
      </c>
      <c r="C146" s="159">
        <f>SUM(C147:C149)</f>
        <v>0</v>
      </c>
      <c r="D146" s="159">
        <f>SUM(D147:D149)</f>
        <v>129.60599999999999</v>
      </c>
      <c r="E146" s="159">
        <f>SUM(E147:E149)</f>
        <v>0</v>
      </c>
      <c r="F146" s="159">
        <f>SUM(F147:F149)</f>
        <v>0</v>
      </c>
    </row>
    <row r="147" spans="1:6" ht="31.5">
      <c r="A147" s="160" t="s">
        <v>267</v>
      </c>
      <c r="B147" s="161">
        <f>B143*60%+0.01</f>
        <v>31.09</v>
      </c>
      <c r="C147" s="161">
        <f t="shared" ref="C147:C149" si="34">C143*60%</f>
        <v>0</v>
      </c>
      <c r="D147" s="161">
        <f>B147+C147</f>
        <v>31.09</v>
      </c>
      <c r="E147" s="165"/>
      <c r="F147" s="350"/>
    </row>
    <row r="148" spans="1:6" ht="31.5">
      <c r="A148" s="169" t="s">
        <v>268</v>
      </c>
      <c r="B148" s="161">
        <f>B144*60%-0.01</f>
        <v>98.515999999999991</v>
      </c>
      <c r="C148" s="161">
        <f t="shared" si="34"/>
        <v>0</v>
      </c>
      <c r="D148" s="161">
        <f>B148+C148</f>
        <v>98.515999999999991</v>
      </c>
      <c r="E148" s="161"/>
      <c r="F148" s="350"/>
    </row>
    <row r="149" spans="1:6" ht="15.75">
      <c r="A149" s="169" t="s">
        <v>269</v>
      </c>
      <c r="B149" s="161">
        <f>B145</f>
        <v>0</v>
      </c>
      <c r="C149" s="161">
        <f t="shared" si="34"/>
        <v>0</v>
      </c>
      <c r="D149" s="161">
        <f>B149+C149</f>
        <v>0</v>
      </c>
      <c r="E149" s="165"/>
      <c r="F149" s="350"/>
    </row>
    <row r="150" spans="1:6" ht="31.5">
      <c r="A150" s="160" t="s">
        <v>270</v>
      </c>
      <c r="B150" s="163">
        <f>SUM(B151:B153)</f>
        <v>86.404000000000011</v>
      </c>
      <c r="C150" s="163">
        <f>SUM(C151:C153)</f>
        <v>0</v>
      </c>
      <c r="D150" s="163">
        <f>SUM(D151:D153)</f>
        <v>86.404000000000011</v>
      </c>
      <c r="E150" s="163">
        <f>SUM(E151:E153)</f>
        <v>0</v>
      </c>
      <c r="F150" s="163">
        <f>SUM(F151:F153)</f>
        <v>0</v>
      </c>
    </row>
    <row r="151" spans="1:6" ht="15.75">
      <c r="A151" s="169" t="s">
        <v>271</v>
      </c>
      <c r="B151" s="161">
        <f t="shared" ref="B151:C153" si="35">B143-B147</f>
        <v>20.709999999999997</v>
      </c>
      <c r="C151" s="161">
        <f t="shared" si="35"/>
        <v>0</v>
      </c>
      <c r="D151" s="161">
        <f>B151+C151</f>
        <v>20.709999999999997</v>
      </c>
      <c r="E151" s="161"/>
      <c r="F151" s="350"/>
    </row>
    <row r="152" spans="1:6" ht="15.75">
      <c r="A152" s="169" t="s">
        <v>272</v>
      </c>
      <c r="B152" s="161">
        <f t="shared" si="35"/>
        <v>65.694000000000017</v>
      </c>
      <c r="C152" s="161">
        <f t="shared" si="35"/>
        <v>0</v>
      </c>
      <c r="D152" s="161">
        <f>B152+C152</f>
        <v>65.694000000000017</v>
      </c>
      <c r="E152" s="159"/>
      <c r="F152" s="159"/>
    </row>
    <row r="153" spans="1:6" ht="15.75">
      <c r="A153" s="160" t="s">
        <v>265</v>
      </c>
      <c r="B153" s="161">
        <f t="shared" si="35"/>
        <v>0</v>
      </c>
      <c r="C153" s="161">
        <f t="shared" si="35"/>
        <v>0</v>
      </c>
      <c r="D153" s="161">
        <f>B153+C153</f>
        <v>0</v>
      </c>
      <c r="E153" s="161"/>
      <c r="F153" s="350"/>
    </row>
    <row r="154" spans="1:6" ht="15.75">
      <c r="A154" s="158" t="s">
        <v>273</v>
      </c>
      <c r="B154" s="159">
        <v>0</v>
      </c>
      <c r="C154" s="159">
        <v>0</v>
      </c>
      <c r="D154" s="159">
        <f>B154+C154</f>
        <v>0</v>
      </c>
      <c r="E154" s="161"/>
      <c r="F154" s="350"/>
    </row>
    <row r="155" spans="1:6" ht="15.75">
      <c r="A155" s="162" t="s">
        <v>274</v>
      </c>
      <c r="B155" s="163">
        <f>B156</f>
        <v>7639.6859999999997</v>
      </c>
      <c r="C155" s="163">
        <f t="shared" ref="C155:D155" si="36">C156</f>
        <v>0</v>
      </c>
      <c r="D155" s="163">
        <f t="shared" si="36"/>
        <v>7639.6859999999997</v>
      </c>
      <c r="E155" s="161"/>
      <c r="F155" s="350"/>
    </row>
    <row r="156" spans="1:6" ht="15.75">
      <c r="A156" s="158" t="s">
        <v>275</v>
      </c>
      <c r="B156" s="159">
        <f>B157+B166</f>
        <v>7639.6859999999997</v>
      </c>
      <c r="C156" s="159">
        <f t="shared" ref="C156:D156" si="37">C157+C166</f>
        <v>0</v>
      </c>
      <c r="D156" s="159">
        <f t="shared" si="37"/>
        <v>7639.6859999999997</v>
      </c>
      <c r="E156" s="159"/>
      <c r="F156" s="350"/>
    </row>
    <row r="157" spans="1:6" ht="15.75">
      <c r="A157" s="157" t="s">
        <v>276</v>
      </c>
      <c r="B157" s="161">
        <f>SUM(B158:B165)-B159</f>
        <v>7290.7359999999999</v>
      </c>
      <c r="C157" s="161">
        <f t="shared" ref="C157:D157" si="38">SUM(C158:C165)-C159</f>
        <v>-179.22</v>
      </c>
      <c r="D157" s="161">
        <f t="shared" si="38"/>
        <v>7111.5159999999996</v>
      </c>
      <c r="E157" s="163"/>
      <c r="F157" s="351"/>
    </row>
    <row r="158" spans="1:6" ht="15.75">
      <c r="A158" s="164" t="s">
        <v>277</v>
      </c>
      <c r="B158" s="165">
        <v>4816.7700000000004</v>
      </c>
      <c r="C158" s="165">
        <v>-152.34</v>
      </c>
      <c r="D158" s="165">
        <f>B158+C158</f>
        <v>4664.43</v>
      </c>
      <c r="E158" s="163"/>
      <c r="F158" s="163"/>
    </row>
    <row r="159" spans="1:6" ht="15.75">
      <c r="A159" s="166" t="s">
        <v>278</v>
      </c>
      <c r="B159" s="165">
        <f>SUM(B160:B161)</f>
        <v>956.64599999999996</v>
      </c>
      <c r="C159" s="165">
        <f t="shared" ref="C159:D159" si="39">SUM(C160:C161)</f>
        <v>0</v>
      </c>
      <c r="D159" s="165">
        <f t="shared" si="39"/>
        <v>956.64599999999996</v>
      </c>
      <c r="E159" s="159"/>
      <c r="F159" s="159"/>
    </row>
    <row r="160" spans="1:6" ht="31.5">
      <c r="A160" s="171" t="s">
        <v>303</v>
      </c>
      <c r="B160" s="165">
        <v>915.73599999999999</v>
      </c>
      <c r="C160" s="165">
        <v>-31.69</v>
      </c>
      <c r="D160" s="161">
        <f t="shared" ref="D160:D173" si="40">B160+C160</f>
        <v>884.04599999999994</v>
      </c>
      <c r="E160" s="161"/>
      <c r="F160" s="161"/>
    </row>
    <row r="161" spans="1:6" ht="31.5">
      <c r="A161" s="171" t="s">
        <v>304</v>
      </c>
      <c r="B161" s="165">
        <v>40.909999999999997</v>
      </c>
      <c r="C161" s="165">
        <v>31.69</v>
      </c>
      <c r="D161" s="165">
        <f t="shared" si="40"/>
        <v>72.599999999999994</v>
      </c>
      <c r="E161" s="165"/>
      <c r="F161" s="352"/>
    </row>
    <row r="162" spans="1:6" ht="31.5">
      <c r="A162" s="167" t="s">
        <v>279</v>
      </c>
      <c r="B162" s="165">
        <v>644.9</v>
      </c>
      <c r="C162" s="165">
        <v>-26.88</v>
      </c>
      <c r="D162" s="165">
        <f t="shared" si="40"/>
        <v>618.02</v>
      </c>
      <c r="E162" s="165"/>
      <c r="F162" s="315"/>
    </row>
    <row r="163" spans="1:6" ht="15.75">
      <c r="A163" s="166" t="s">
        <v>280</v>
      </c>
      <c r="B163" s="165">
        <v>164.21</v>
      </c>
      <c r="C163" s="165"/>
      <c r="D163" s="165">
        <f t="shared" si="40"/>
        <v>164.21</v>
      </c>
      <c r="E163" s="161"/>
      <c r="F163" s="161"/>
    </row>
    <row r="164" spans="1:6" ht="31.5">
      <c r="A164" s="166" t="s">
        <v>287</v>
      </c>
      <c r="B164" s="165">
        <v>698.77</v>
      </c>
      <c r="C164" s="161"/>
      <c r="D164" s="165">
        <f t="shared" si="40"/>
        <v>698.77</v>
      </c>
      <c r="E164" s="161"/>
      <c r="F164" s="161"/>
    </row>
    <row r="165" spans="1:6" ht="31.5">
      <c r="A165" s="166" t="s">
        <v>308</v>
      </c>
      <c r="B165" s="165">
        <v>9.44</v>
      </c>
      <c r="C165" s="161"/>
      <c r="D165" s="165">
        <f t="shared" si="40"/>
        <v>9.44</v>
      </c>
      <c r="E165" s="161"/>
      <c r="F165" s="161"/>
    </row>
    <row r="166" spans="1:6" ht="15.75">
      <c r="A166" s="157" t="s">
        <v>282</v>
      </c>
      <c r="B166" s="161">
        <f>B167+B168</f>
        <v>348.95</v>
      </c>
      <c r="C166" s="161">
        <f t="shared" ref="C166:D166" si="41">C167+C168</f>
        <v>179.22</v>
      </c>
      <c r="D166" s="161">
        <f t="shared" si="41"/>
        <v>528.16999999999996</v>
      </c>
      <c r="E166" s="161"/>
      <c r="F166" s="161"/>
    </row>
    <row r="167" spans="1:6" ht="15.75">
      <c r="A167" s="157" t="s">
        <v>283</v>
      </c>
      <c r="B167" s="168"/>
      <c r="C167" s="168"/>
      <c r="D167" s="168"/>
      <c r="E167" s="161"/>
      <c r="F167" s="161"/>
    </row>
    <row r="168" spans="1:6" ht="15.75">
      <c r="A168" s="157" t="s">
        <v>284</v>
      </c>
      <c r="B168" s="168">
        <f>SUM(B169:B173)</f>
        <v>348.95</v>
      </c>
      <c r="C168" s="168">
        <f t="shared" ref="C168:D168" si="42">SUM(C169:C173)</f>
        <v>179.22</v>
      </c>
      <c r="D168" s="168">
        <f t="shared" si="42"/>
        <v>528.16999999999996</v>
      </c>
      <c r="E168" s="161"/>
      <c r="F168" s="161"/>
    </row>
    <row r="169" spans="1:6" ht="31.5">
      <c r="A169" s="172" t="s">
        <v>305</v>
      </c>
      <c r="B169" s="180">
        <v>196.63</v>
      </c>
      <c r="C169" s="165">
        <v>152.34</v>
      </c>
      <c r="D169" s="165">
        <f t="shared" si="40"/>
        <v>348.97</v>
      </c>
      <c r="E169" s="161"/>
      <c r="F169" s="161"/>
    </row>
    <row r="170" spans="1:6" ht="15.75">
      <c r="A170" s="172" t="s">
        <v>306</v>
      </c>
      <c r="B170" s="165">
        <f>34.7</f>
        <v>34.700000000000003</v>
      </c>
      <c r="C170" s="165">
        <v>26.88</v>
      </c>
      <c r="D170" s="165">
        <f t="shared" si="40"/>
        <v>61.58</v>
      </c>
      <c r="E170" s="161"/>
      <c r="F170" s="161"/>
    </row>
    <row r="171" spans="1:6" ht="31.5">
      <c r="A171" s="166" t="s">
        <v>287</v>
      </c>
      <c r="B171" s="180">
        <v>102.5</v>
      </c>
      <c r="C171" s="161"/>
      <c r="D171" s="165">
        <f t="shared" si="40"/>
        <v>102.5</v>
      </c>
      <c r="E171" s="161"/>
      <c r="F171" s="161"/>
    </row>
    <row r="172" spans="1:6" ht="31.5">
      <c r="A172" s="166" t="s">
        <v>308</v>
      </c>
      <c r="B172" s="180">
        <v>3.52</v>
      </c>
      <c r="C172" s="161"/>
      <c r="D172" s="165">
        <f t="shared" si="40"/>
        <v>3.52</v>
      </c>
      <c r="E172" s="161"/>
      <c r="F172" s="161"/>
    </row>
    <row r="173" spans="1:6" ht="15.75">
      <c r="A173" s="166" t="s">
        <v>309</v>
      </c>
      <c r="B173" s="180">
        <v>11.6</v>
      </c>
      <c r="C173" s="161"/>
      <c r="D173" s="165">
        <f t="shared" si="40"/>
        <v>11.6</v>
      </c>
      <c r="E173" s="161"/>
      <c r="F173" s="161"/>
    </row>
    <row r="174" spans="1:6" ht="15.75">
      <c r="A174" s="348" t="s">
        <v>293</v>
      </c>
      <c r="B174" s="175"/>
      <c r="C174" s="175"/>
      <c r="D174" s="175"/>
      <c r="E174" s="175"/>
      <c r="F174" s="175"/>
    </row>
    <row r="175" spans="1:6" ht="15.75">
      <c r="A175" s="156" t="s">
        <v>307</v>
      </c>
      <c r="B175" s="349">
        <f>B176</f>
        <v>282.97000000000003</v>
      </c>
      <c r="C175" s="349">
        <f>C176</f>
        <v>0</v>
      </c>
      <c r="D175" s="349">
        <f>D176</f>
        <v>282.97000000000003</v>
      </c>
      <c r="E175" s="349">
        <f>E176</f>
        <v>0</v>
      </c>
      <c r="F175" s="349">
        <f>F176</f>
        <v>0</v>
      </c>
    </row>
    <row r="176" spans="1:6" ht="15.75">
      <c r="A176" s="158" t="s">
        <v>262</v>
      </c>
      <c r="B176" s="159">
        <f>SUM(B177:B179)</f>
        <v>282.97000000000003</v>
      </c>
      <c r="C176" s="159">
        <f>SUM(C177:C179)</f>
        <v>0</v>
      </c>
      <c r="D176" s="159">
        <f>SUM(D177:D179)</f>
        <v>282.97000000000003</v>
      </c>
      <c r="E176" s="159">
        <f>SUM(E177:E179)</f>
        <v>0</v>
      </c>
      <c r="F176" s="159">
        <f>SUM(F177:F179)</f>
        <v>0</v>
      </c>
    </row>
    <row r="177" spans="1:6" ht="15.75">
      <c r="A177" s="160" t="s">
        <v>263</v>
      </c>
      <c r="B177" s="161">
        <v>59.72</v>
      </c>
      <c r="C177" s="161">
        <v>0</v>
      </c>
      <c r="D177" s="161">
        <f>B177+C177</f>
        <v>59.72</v>
      </c>
      <c r="E177" s="161"/>
      <c r="F177" s="350"/>
    </row>
    <row r="178" spans="1:6" ht="15.75">
      <c r="A178" s="160" t="s">
        <v>264</v>
      </c>
      <c r="B178" s="161">
        <v>176.09</v>
      </c>
      <c r="C178" s="161">
        <v>0</v>
      </c>
      <c r="D178" s="161">
        <f>B178+C178+C188</f>
        <v>176.09</v>
      </c>
      <c r="E178" s="159"/>
      <c r="F178" s="159"/>
    </row>
    <row r="179" spans="1:6" ht="15.75">
      <c r="A179" s="160" t="s">
        <v>265</v>
      </c>
      <c r="B179" s="161">
        <v>47.16</v>
      </c>
      <c r="C179" s="161">
        <v>0</v>
      </c>
      <c r="D179" s="161">
        <f>B179+C179</f>
        <v>47.16</v>
      </c>
      <c r="E179" s="161"/>
      <c r="F179" s="350"/>
    </row>
    <row r="180" spans="1:6" ht="15.75">
      <c r="A180" s="158" t="s">
        <v>266</v>
      </c>
      <c r="B180" s="159">
        <f>SUM(B181:B183)</f>
        <v>188.64599999999999</v>
      </c>
      <c r="C180" s="159">
        <f>SUM(C181:C183)</f>
        <v>0</v>
      </c>
      <c r="D180" s="159">
        <f>SUM(D181:D183)</f>
        <v>188.64599999999999</v>
      </c>
      <c r="E180" s="159">
        <f>SUM(E181:E183)</f>
        <v>0</v>
      </c>
      <c r="F180" s="159">
        <f>SUM(F181:F183)</f>
        <v>0</v>
      </c>
    </row>
    <row r="181" spans="1:6" ht="31.5">
      <c r="A181" s="160" t="s">
        <v>267</v>
      </c>
      <c r="B181" s="161">
        <f>B177*60%</f>
        <v>35.832000000000001</v>
      </c>
      <c r="C181" s="161">
        <f>C177*60%</f>
        <v>0</v>
      </c>
      <c r="D181" s="161">
        <f>B181+C181</f>
        <v>35.832000000000001</v>
      </c>
      <c r="E181" s="165"/>
      <c r="F181" s="350"/>
    </row>
    <row r="182" spans="1:6" ht="31.5">
      <c r="A182" s="160" t="s">
        <v>268</v>
      </c>
      <c r="B182" s="161">
        <f>B178*60%</f>
        <v>105.654</v>
      </c>
      <c r="C182" s="161">
        <f>C178*60%</f>
        <v>0</v>
      </c>
      <c r="D182" s="161">
        <f>B182+C182</f>
        <v>105.654</v>
      </c>
      <c r="E182" s="161"/>
      <c r="F182" s="350"/>
    </row>
    <row r="183" spans="1:6" ht="15.75">
      <c r="A183" s="160" t="s">
        <v>269</v>
      </c>
      <c r="B183" s="161">
        <f>B179</f>
        <v>47.16</v>
      </c>
      <c r="C183" s="161">
        <f>C179*60%</f>
        <v>0</v>
      </c>
      <c r="D183" s="161">
        <f>B183+C183</f>
        <v>47.16</v>
      </c>
      <c r="E183" s="165"/>
      <c r="F183" s="350"/>
    </row>
    <row r="184" spans="1:6" ht="31.5">
      <c r="A184" s="158" t="s">
        <v>270</v>
      </c>
      <c r="B184" s="163">
        <f>SUM(B185:B187)</f>
        <v>94.322000000000003</v>
      </c>
      <c r="C184" s="163">
        <f>SUM(C185:C187)</f>
        <v>0</v>
      </c>
      <c r="D184" s="163">
        <f>SUM(D185:D187)</f>
        <v>94.322000000000003</v>
      </c>
      <c r="E184" s="163">
        <f>SUM(E185:E187)</f>
        <v>0</v>
      </c>
      <c r="F184" s="163">
        <f>SUM(F185:F187)</f>
        <v>0</v>
      </c>
    </row>
    <row r="185" spans="1:6" ht="15.75">
      <c r="A185" s="160" t="s">
        <v>271</v>
      </c>
      <c r="B185" s="161">
        <f t="shared" ref="B185:C187" si="43">B177-B181</f>
        <v>23.887999999999998</v>
      </c>
      <c r="C185" s="161">
        <f t="shared" si="43"/>
        <v>0</v>
      </c>
      <c r="D185" s="161">
        <f>B185+C185</f>
        <v>23.887999999999998</v>
      </c>
      <c r="E185" s="161"/>
      <c r="F185" s="350"/>
    </row>
    <row r="186" spans="1:6" ht="15.75">
      <c r="A186" s="160" t="s">
        <v>272</v>
      </c>
      <c r="B186" s="161">
        <f>B178-B182-0.002</f>
        <v>70.434000000000012</v>
      </c>
      <c r="C186" s="161">
        <f t="shared" si="43"/>
        <v>0</v>
      </c>
      <c r="D186" s="161">
        <f>B186+C186</f>
        <v>70.434000000000012</v>
      </c>
      <c r="E186" s="159"/>
      <c r="F186" s="159"/>
    </row>
    <row r="187" spans="1:6" ht="15.75">
      <c r="A187" s="160" t="s">
        <v>265</v>
      </c>
      <c r="B187" s="161">
        <f t="shared" si="43"/>
        <v>0</v>
      </c>
      <c r="C187" s="161">
        <f t="shared" si="43"/>
        <v>0</v>
      </c>
      <c r="D187" s="161">
        <f>B187+C187</f>
        <v>0</v>
      </c>
      <c r="E187" s="161"/>
      <c r="F187" s="350"/>
    </row>
    <row r="188" spans="1:6" ht="15.75">
      <c r="A188" s="158" t="s">
        <v>273</v>
      </c>
      <c r="B188" s="159">
        <v>0</v>
      </c>
      <c r="C188" s="159">
        <v>0</v>
      </c>
      <c r="D188" s="159">
        <v>0</v>
      </c>
      <c r="E188" s="161"/>
      <c r="F188" s="350"/>
    </row>
    <row r="189" spans="1:6" ht="15.75">
      <c r="A189" s="162" t="s">
        <v>274</v>
      </c>
      <c r="B189" s="163">
        <f>B190</f>
        <v>8760.6079999999984</v>
      </c>
      <c r="C189" s="163">
        <f t="shared" ref="C189:D189" si="44">C190</f>
        <v>0</v>
      </c>
      <c r="D189" s="163">
        <f t="shared" si="44"/>
        <v>8760.6079999999984</v>
      </c>
      <c r="E189" s="161"/>
      <c r="F189" s="350"/>
    </row>
    <row r="190" spans="1:6" ht="15.75">
      <c r="A190" s="158" t="s">
        <v>275</v>
      </c>
      <c r="B190" s="159">
        <f>B191+B199</f>
        <v>8760.6079999999984</v>
      </c>
      <c r="C190" s="159">
        <f t="shared" ref="C190:D190" si="45">C191+C199</f>
        <v>0</v>
      </c>
      <c r="D190" s="159">
        <f t="shared" si="45"/>
        <v>8760.6079999999984</v>
      </c>
      <c r="E190" s="159"/>
      <c r="F190" s="350"/>
    </row>
    <row r="191" spans="1:6" ht="15.75">
      <c r="A191" s="157" t="s">
        <v>276</v>
      </c>
      <c r="B191" s="161">
        <f>SUM(B192:B198)-B193</f>
        <v>8693.9679999999989</v>
      </c>
      <c r="C191" s="161">
        <f t="shared" ref="C191:D191" si="46">SUM(C192:C198)-C193</f>
        <v>-263.61</v>
      </c>
      <c r="D191" s="161">
        <f t="shared" si="46"/>
        <v>8430.3579999999984</v>
      </c>
      <c r="E191" s="163"/>
      <c r="F191" s="351"/>
    </row>
    <row r="192" spans="1:6" ht="15.75">
      <c r="A192" s="164" t="s">
        <v>277</v>
      </c>
      <c r="B192" s="165">
        <v>5808.3</v>
      </c>
      <c r="C192" s="165">
        <v>-224.07</v>
      </c>
      <c r="D192" s="165">
        <f>B192+C192</f>
        <v>5584.2300000000005</v>
      </c>
      <c r="E192" s="163"/>
      <c r="F192" s="163"/>
    </row>
    <row r="193" spans="1:6" ht="15.75">
      <c r="A193" s="166" t="s">
        <v>278</v>
      </c>
      <c r="B193" s="165">
        <f>SUM(B194:B195)</f>
        <v>1114.1179999999999</v>
      </c>
      <c r="C193" s="165">
        <f t="shared" ref="C193:D193" si="47">SUM(C194:C195)</f>
        <v>0</v>
      </c>
      <c r="D193" s="165">
        <f t="shared" si="47"/>
        <v>1114.1179999999999</v>
      </c>
      <c r="E193" s="159"/>
      <c r="F193" s="159"/>
    </row>
    <row r="194" spans="1:6" ht="31.5">
      <c r="A194" s="171" t="s">
        <v>303</v>
      </c>
      <c r="B194" s="165">
        <v>1114.1179999999999</v>
      </c>
      <c r="C194" s="165">
        <v>-46.62</v>
      </c>
      <c r="D194" s="165">
        <f t="shared" ref="D194:D205" si="48">B194+C194</f>
        <v>1067.498</v>
      </c>
      <c r="E194" s="159"/>
      <c r="F194" s="159"/>
    </row>
    <row r="195" spans="1:6" ht="31.5">
      <c r="A195" s="171" t="s">
        <v>304</v>
      </c>
      <c r="B195" s="165"/>
      <c r="C195" s="165">
        <v>46.62</v>
      </c>
      <c r="D195" s="165">
        <f t="shared" si="48"/>
        <v>46.62</v>
      </c>
      <c r="E195" s="159"/>
      <c r="F195" s="159"/>
    </row>
    <row r="196" spans="1:6" ht="31.5">
      <c r="A196" s="167" t="s">
        <v>279</v>
      </c>
      <c r="B196" s="165">
        <v>795.16</v>
      </c>
      <c r="C196" s="165">
        <v>-39.54</v>
      </c>
      <c r="D196" s="165">
        <f t="shared" si="48"/>
        <v>755.62</v>
      </c>
      <c r="E196" s="161"/>
      <c r="F196" s="161"/>
    </row>
    <row r="197" spans="1:6" ht="15.75">
      <c r="A197" s="166" t="s">
        <v>280</v>
      </c>
      <c r="B197" s="165">
        <v>176.09</v>
      </c>
      <c r="C197" s="165"/>
      <c r="D197" s="165">
        <f t="shared" si="48"/>
        <v>176.09</v>
      </c>
      <c r="E197" s="165"/>
      <c r="F197" s="352"/>
    </row>
    <row r="198" spans="1:6" ht="31.5">
      <c r="A198" s="166" t="s">
        <v>287</v>
      </c>
      <c r="B198" s="165">
        <v>800.3</v>
      </c>
      <c r="C198" s="165"/>
      <c r="D198" s="165">
        <f t="shared" si="48"/>
        <v>800.3</v>
      </c>
      <c r="E198" s="165"/>
      <c r="F198" s="315"/>
    </row>
    <row r="199" spans="1:6" ht="15.75">
      <c r="A199" s="157" t="s">
        <v>282</v>
      </c>
      <c r="B199" s="161">
        <f>B200+B201</f>
        <v>66.64</v>
      </c>
      <c r="C199" s="161">
        <f t="shared" ref="C199:D199" si="49">C200+C201</f>
        <v>263.61</v>
      </c>
      <c r="D199" s="161">
        <f t="shared" si="49"/>
        <v>330.25</v>
      </c>
      <c r="E199" s="161"/>
      <c r="F199" s="161"/>
    </row>
    <row r="200" spans="1:6" ht="15.75">
      <c r="A200" s="157" t="s">
        <v>283</v>
      </c>
      <c r="B200" s="168"/>
      <c r="C200" s="168"/>
      <c r="D200" s="168"/>
      <c r="E200" s="161"/>
      <c r="F200" s="161"/>
    </row>
    <row r="201" spans="1:6" ht="15.75">
      <c r="A201" s="157" t="s">
        <v>284</v>
      </c>
      <c r="B201" s="168">
        <f>SUM(B202:B205)</f>
        <v>66.64</v>
      </c>
      <c r="C201" s="168">
        <f t="shared" ref="C201:D201" si="50">SUM(C202:C205)</f>
        <v>263.61</v>
      </c>
      <c r="D201" s="168">
        <f t="shared" si="50"/>
        <v>330.25</v>
      </c>
      <c r="E201" s="161"/>
      <c r="F201" s="161"/>
    </row>
    <row r="202" spans="1:6" s="182" customFormat="1" ht="31.5">
      <c r="A202" s="172" t="s">
        <v>305</v>
      </c>
      <c r="B202" s="180"/>
      <c r="C202" s="165">
        <v>224.07</v>
      </c>
      <c r="D202" s="165">
        <f t="shared" si="48"/>
        <v>224.07</v>
      </c>
      <c r="E202" s="165"/>
      <c r="F202" s="165"/>
    </row>
    <row r="203" spans="1:6" s="182" customFormat="1" ht="15.75">
      <c r="A203" s="172" t="s">
        <v>306</v>
      </c>
      <c r="B203" s="180"/>
      <c r="C203" s="165">
        <v>39.54</v>
      </c>
      <c r="D203" s="165">
        <f t="shared" si="48"/>
        <v>39.54</v>
      </c>
      <c r="E203" s="165"/>
      <c r="F203" s="165"/>
    </row>
    <row r="204" spans="1:6" ht="31.5">
      <c r="A204" s="166" t="s">
        <v>287</v>
      </c>
      <c r="B204" s="180">
        <v>63.88</v>
      </c>
      <c r="C204" s="161"/>
      <c r="D204" s="165">
        <f t="shared" si="48"/>
        <v>63.88</v>
      </c>
      <c r="E204" s="161"/>
      <c r="F204" s="161"/>
    </row>
    <row r="205" spans="1:6" ht="15.75">
      <c r="A205" s="166" t="s">
        <v>309</v>
      </c>
      <c r="B205" s="180">
        <v>2.76</v>
      </c>
      <c r="C205" s="161"/>
      <c r="D205" s="165">
        <f t="shared" si="48"/>
        <v>2.76</v>
      </c>
      <c r="E205" s="161"/>
      <c r="F205" s="161"/>
    </row>
    <row r="206" spans="1:6" ht="15.75">
      <c r="A206" s="348" t="s">
        <v>294</v>
      </c>
      <c r="B206" s="175"/>
      <c r="C206" s="175"/>
      <c r="D206" s="175"/>
      <c r="E206" s="175"/>
      <c r="F206" s="175"/>
    </row>
    <row r="207" spans="1:6" ht="15.75">
      <c r="A207" s="156" t="s">
        <v>261</v>
      </c>
      <c r="B207" s="349">
        <f>B208</f>
        <v>136.35</v>
      </c>
      <c r="C207" s="349">
        <f>C208</f>
        <v>0</v>
      </c>
      <c r="D207" s="349">
        <f>D208</f>
        <v>136.35</v>
      </c>
      <c r="E207" s="349">
        <f>E208</f>
        <v>0</v>
      </c>
      <c r="F207" s="349">
        <f>F208</f>
        <v>0</v>
      </c>
    </row>
    <row r="208" spans="1:6" ht="15.75">
      <c r="A208" s="158" t="s">
        <v>262</v>
      </c>
      <c r="B208" s="159">
        <f>SUM(B209:B211)</f>
        <v>136.35</v>
      </c>
      <c r="C208" s="159">
        <f>SUM(C209:C211)</f>
        <v>0</v>
      </c>
      <c r="D208" s="159">
        <f>SUM(D209:D211)</f>
        <v>136.35</v>
      </c>
      <c r="E208" s="159">
        <f>SUM(E209:E211)</f>
        <v>0</v>
      </c>
      <c r="F208" s="159">
        <f>SUM(F209:F211)</f>
        <v>0</v>
      </c>
    </row>
    <row r="209" spans="1:6" ht="15.75">
      <c r="A209" s="160" t="s">
        <v>263</v>
      </c>
      <c r="B209" s="161">
        <v>30.51</v>
      </c>
      <c r="C209" s="161">
        <v>0</v>
      </c>
      <c r="D209" s="161">
        <f>B209+C209</f>
        <v>30.51</v>
      </c>
      <c r="E209" s="161"/>
      <c r="F209" s="350"/>
    </row>
    <row r="210" spans="1:6" ht="15.75">
      <c r="A210" s="160" t="s">
        <v>264</v>
      </c>
      <c r="B210" s="161">
        <v>105.84</v>
      </c>
      <c r="C210" s="161">
        <v>0</v>
      </c>
      <c r="D210" s="161">
        <f>B210+C210+C220</f>
        <v>105.84</v>
      </c>
      <c r="E210" s="159"/>
      <c r="F210" s="159"/>
    </row>
    <row r="211" spans="1:6" ht="15.75">
      <c r="A211" s="160" t="s">
        <v>265</v>
      </c>
      <c r="B211" s="161">
        <v>0</v>
      </c>
      <c r="C211" s="161">
        <v>0</v>
      </c>
      <c r="D211" s="161">
        <f>B211+C211</f>
        <v>0</v>
      </c>
      <c r="E211" s="161"/>
      <c r="F211" s="350"/>
    </row>
    <row r="212" spans="1:6" ht="15.75">
      <c r="A212" s="158" t="s">
        <v>266</v>
      </c>
      <c r="B212" s="159">
        <f>SUM(B213:B215)</f>
        <v>81.81</v>
      </c>
      <c r="C212" s="159">
        <f>SUM(C213:C215)</f>
        <v>0</v>
      </c>
      <c r="D212" s="159">
        <f>SUM(D213:D215)</f>
        <v>81.81</v>
      </c>
      <c r="E212" s="159">
        <f>SUM(E213:E215)</f>
        <v>0</v>
      </c>
      <c r="F212" s="159">
        <f>SUM(F213:F215)</f>
        <v>0</v>
      </c>
    </row>
    <row r="213" spans="1:6" ht="31.5">
      <c r="A213" s="160" t="s">
        <v>267</v>
      </c>
      <c r="B213" s="161">
        <f>B209*60%</f>
        <v>18.306000000000001</v>
      </c>
      <c r="C213" s="161">
        <f t="shared" ref="C213:C215" si="51">C209*60%</f>
        <v>0</v>
      </c>
      <c r="D213" s="161">
        <f>B213+C213</f>
        <v>18.306000000000001</v>
      </c>
      <c r="E213" s="165"/>
      <c r="F213" s="350"/>
    </row>
    <row r="214" spans="1:6" ht="31.5">
      <c r="A214" s="160" t="s">
        <v>268</v>
      </c>
      <c r="B214" s="161">
        <f>B210*60%</f>
        <v>63.503999999999998</v>
      </c>
      <c r="C214" s="161">
        <f t="shared" si="51"/>
        <v>0</v>
      </c>
      <c r="D214" s="161">
        <f>B214+C214</f>
        <v>63.503999999999998</v>
      </c>
      <c r="E214" s="161"/>
      <c r="F214" s="350"/>
    </row>
    <row r="215" spans="1:6" ht="15.75">
      <c r="A215" s="160" t="s">
        <v>269</v>
      </c>
      <c r="B215" s="161">
        <f>B211</f>
        <v>0</v>
      </c>
      <c r="C215" s="161">
        <f t="shared" si="51"/>
        <v>0</v>
      </c>
      <c r="D215" s="161">
        <f>B215+C215</f>
        <v>0</v>
      </c>
      <c r="E215" s="165"/>
      <c r="F215" s="350"/>
    </row>
    <row r="216" spans="1:6" ht="31.5">
      <c r="A216" s="158" t="s">
        <v>270</v>
      </c>
      <c r="B216" s="163">
        <f>SUM(B217:B219)</f>
        <v>54.540000000000006</v>
      </c>
      <c r="C216" s="163">
        <f>SUM(C217:C219)</f>
        <v>0</v>
      </c>
      <c r="D216" s="163">
        <f>SUM(D217:D219)</f>
        <v>54.540000000000006</v>
      </c>
      <c r="E216" s="163">
        <f>SUM(E217:E219)</f>
        <v>0</v>
      </c>
      <c r="F216" s="163">
        <f>SUM(F217:F219)</f>
        <v>0</v>
      </c>
    </row>
    <row r="217" spans="1:6" ht="15.75">
      <c r="A217" s="160" t="s">
        <v>271</v>
      </c>
      <c r="B217" s="161">
        <f t="shared" ref="B217:C219" si="52">B209-B213</f>
        <v>12.204000000000001</v>
      </c>
      <c r="C217" s="161">
        <f t="shared" si="52"/>
        <v>0</v>
      </c>
      <c r="D217" s="161">
        <f>B217+C217</f>
        <v>12.204000000000001</v>
      </c>
      <c r="E217" s="161"/>
      <c r="F217" s="350"/>
    </row>
    <row r="218" spans="1:6" ht="15.75">
      <c r="A218" s="160" t="s">
        <v>272</v>
      </c>
      <c r="B218" s="161">
        <f t="shared" si="52"/>
        <v>42.336000000000006</v>
      </c>
      <c r="C218" s="161">
        <f t="shared" si="52"/>
        <v>0</v>
      </c>
      <c r="D218" s="161">
        <f>B218+C218</f>
        <v>42.336000000000006</v>
      </c>
      <c r="E218" s="159"/>
      <c r="F218" s="159"/>
    </row>
    <row r="219" spans="1:6" ht="15.75">
      <c r="A219" s="160" t="s">
        <v>265</v>
      </c>
      <c r="B219" s="161">
        <f t="shared" si="52"/>
        <v>0</v>
      </c>
      <c r="C219" s="161">
        <f t="shared" si="52"/>
        <v>0</v>
      </c>
      <c r="D219" s="161">
        <f>B219+C219</f>
        <v>0</v>
      </c>
      <c r="E219" s="161"/>
      <c r="F219" s="350"/>
    </row>
    <row r="220" spans="1:6" ht="15.75">
      <c r="A220" s="158" t="s">
        <v>273</v>
      </c>
      <c r="B220" s="159">
        <v>0</v>
      </c>
      <c r="C220" s="159"/>
      <c r="D220" s="159"/>
      <c r="E220" s="161"/>
      <c r="F220" s="350"/>
    </row>
    <row r="221" spans="1:6" ht="15.75">
      <c r="A221" s="162" t="s">
        <v>274</v>
      </c>
      <c r="B221" s="163">
        <f>B222</f>
        <v>5588.4100000000008</v>
      </c>
      <c r="C221" s="163">
        <f t="shared" ref="C221:D221" si="53">C222</f>
        <v>0</v>
      </c>
      <c r="D221" s="163">
        <f t="shared" si="53"/>
        <v>5588.41</v>
      </c>
      <c r="E221" s="161"/>
      <c r="F221" s="350"/>
    </row>
    <row r="222" spans="1:6" ht="15.75">
      <c r="A222" s="158" t="s">
        <v>275</v>
      </c>
      <c r="B222" s="159">
        <f>B223+B231</f>
        <v>5588.4100000000008</v>
      </c>
      <c r="C222" s="159">
        <f t="shared" ref="C222:D222" si="54">C223+C231</f>
        <v>0</v>
      </c>
      <c r="D222" s="159">
        <f t="shared" si="54"/>
        <v>5588.41</v>
      </c>
      <c r="E222" s="159"/>
      <c r="F222" s="350"/>
    </row>
    <row r="223" spans="1:6" ht="15.75">
      <c r="A223" s="157" t="s">
        <v>276</v>
      </c>
      <c r="B223" s="161">
        <f>SUM(B224:B230)-B225</f>
        <v>5411.9400000000005</v>
      </c>
      <c r="C223" s="161">
        <f t="shared" ref="C223:D223" si="55">SUM(C224:C230)-C225</f>
        <v>-148.32</v>
      </c>
      <c r="D223" s="161">
        <f t="shared" si="55"/>
        <v>5263.62</v>
      </c>
      <c r="E223" s="163"/>
      <c r="F223" s="351"/>
    </row>
    <row r="224" spans="1:6" ht="15.75">
      <c r="A224" s="164" t="s">
        <v>277</v>
      </c>
      <c r="B224" s="165">
        <v>3576.55</v>
      </c>
      <c r="C224" s="165">
        <v>-126.07</v>
      </c>
      <c r="D224" s="165">
        <f>B224+C224</f>
        <v>3450.48</v>
      </c>
      <c r="E224" s="163"/>
      <c r="F224" s="163"/>
    </row>
    <row r="225" spans="1:6" ht="15.75">
      <c r="A225" s="166" t="s">
        <v>278</v>
      </c>
      <c r="B225" s="165">
        <f>SUM(B226:B227)</f>
        <v>712.75000000000011</v>
      </c>
      <c r="C225" s="165">
        <f t="shared" ref="C225:D225" si="56">SUM(C226:C227)</f>
        <v>0</v>
      </c>
      <c r="D225" s="165">
        <f t="shared" si="56"/>
        <v>712.75</v>
      </c>
      <c r="E225" s="159"/>
      <c r="F225" s="159"/>
    </row>
    <row r="226" spans="1:6" ht="31.5">
      <c r="A226" s="171" t="s">
        <v>303</v>
      </c>
      <c r="B226" s="165">
        <v>689.56000000000006</v>
      </c>
      <c r="C226" s="165">
        <v>-26.23</v>
      </c>
      <c r="D226" s="165">
        <f t="shared" ref="D226:D237" si="57">B226+C226</f>
        <v>663.33</v>
      </c>
      <c r="E226" s="161"/>
      <c r="F226" s="161"/>
    </row>
    <row r="227" spans="1:6" ht="31.5">
      <c r="A227" s="171" t="s">
        <v>304</v>
      </c>
      <c r="B227" s="165">
        <v>23.19</v>
      </c>
      <c r="C227" s="165">
        <v>26.23</v>
      </c>
      <c r="D227" s="165">
        <f t="shared" si="57"/>
        <v>49.42</v>
      </c>
      <c r="E227" s="165"/>
      <c r="F227" s="352"/>
    </row>
    <row r="228" spans="1:6" ht="31.5">
      <c r="A228" s="167" t="s">
        <v>279</v>
      </c>
      <c r="B228" s="165">
        <v>492.46000000000004</v>
      </c>
      <c r="C228" s="165">
        <v>-22.25</v>
      </c>
      <c r="D228" s="165">
        <f t="shared" si="57"/>
        <v>470.21000000000004</v>
      </c>
      <c r="E228" s="165"/>
      <c r="F228" s="315"/>
    </row>
    <row r="229" spans="1:6" ht="15.75">
      <c r="A229" s="166" t="s">
        <v>280</v>
      </c>
      <c r="B229" s="165">
        <v>105.84</v>
      </c>
      <c r="C229" s="165"/>
      <c r="D229" s="165">
        <f t="shared" si="57"/>
        <v>105.84</v>
      </c>
      <c r="E229" s="161"/>
      <c r="F229" s="161"/>
    </row>
    <row r="230" spans="1:6" ht="31.5">
      <c r="A230" s="166" t="s">
        <v>287</v>
      </c>
      <c r="B230" s="165">
        <v>524.34</v>
      </c>
      <c r="C230" s="161"/>
      <c r="D230" s="165">
        <f t="shared" si="57"/>
        <v>524.34</v>
      </c>
      <c r="E230" s="161"/>
      <c r="F230" s="161"/>
    </row>
    <row r="231" spans="1:6" ht="15.75">
      <c r="A231" s="157" t="s">
        <v>282</v>
      </c>
      <c r="B231" s="161">
        <f>B232+B233</f>
        <v>176.47</v>
      </c>
      <c r="C231" s="161">
        <f t="shared" ref="C231:D231" si="58">C232+C233</f>
        <v>148.32</v>
      </c>
      <c r="D231" s="161">
        <f t="shared" si="58"/>
        <v>324.79000000000002</v>
      </c>
      <c r="E231" s="161"/>
      <c r="F231" s="161"/>
    </row>
    <row r="232" spans="1:6" ht="15.75">
      <c r="A232" s="157" t="s">
        <v>283</v>
      </c>
      <c r="B232" s="168"/>
      <c r="C232" s="168"/>
      <c r="D232" s="168"/>
      <c r="E232" s="161"/>
      <c r="F232" s="161"/>
    </row>
    <row r="233" spans="1:6" ht="15.75">
      <c r="A233" s="157" t="s">
        <v>284</v>
      </c>
      <c r="B233" s="168">
        <f>SUM(B234:B237)</f>
        <v>176.47</v>
      </c>
      <c r="C233" s="168">
        <f t="shared" ref="C233:D233" si="59">SUM(C234:C237)</f>
        <v>148.32</v>
      </c>
      <c r="D233" s="168">
        <f t="shared" si="59"/>
        <v>324.79000000000002</v>
      </c>
      <c r="E233" s="161"/>
      <c r="F233" s="161"/>
    </row>
    <row r="234" spans="1:6" ht="31.5">
      <c r="A234" s="172" t="s">
        <v>305</v>
      </c>
      <c r="B234" s="180">
        <v>111.45</v>
      </c>
      <c r="C234" s="165">
        <v>126.07</v>
      </c>
      <c r="D234" s="165">
        <f t="shared" si="57"/>
        <v>237.51999999999998</v>
      </c>
      <c r="E234" s="161"/>
      <c r="F234" s="161"/>
    </row>
    <row r="235" spans="1:6" ht="15.75">
      <c r="A235" s="172" t="s">
        <v>306</v>
      </c>
      <c r="B235" s="165">
        <f>19.67</f>
        <v>19.670000000000002</v>
      </c>
      <c r="C235" s="165">
        <v>22.25</v>
      </c>
      <c r="D235" s="165">
        <f t="shared" si="57"/>
        <v>41.92</v>
      </c>
      <c r="E235" s="161"/>
      <c r="F235" s="161"/>
    </row>
    <row r="236" spans="1:6" ht="31.5">
      <c r="A236" s="166" t="s">
        <v>287</v>
      </c>
      <c r="B236" s="180">
        <v>41.85</v>
      </c>
      <c r="C236" s="161"/>
      <c r="D236" s="165">
        <f t="shared" si="57"/>
        <v>41.85</v>
      </c>
      <c r="E236" s="161"/>
      <c r="F236" s="161"/>
    </row>
    <row r="237" spans="1:6" ht="15.75">
      <c r="A237" s="166" t="s">
        <v>309</v>
      </c>
      <c r="B237" s="180">
        <v>3.5</v>
      </c>
      <c r="C237" s="161"/>
      <c r="D237" s="165">
        <f t="shared" si="57"/>
        <v>3.5</v>
      </c>
      <c r="E237" s="161"/>
      <c r="F237" s="161"/>
    </row>
    <row r="238" spans="1:6" ht="15.75">
      <c r="A238" s="348" t="s">
        <v>295</v>
      </c>
      <c r="B238" s="175"/>
      <c r="C238" s="175"/>
      <c r="D238" s="175"/>
      <c r="E238" s="175"/>
      <c r="F238" s="175"/>
    </row>
    <row r="239" spans="1:6" ht="15.75">
      <c r="A239" s="156" t="s">
        <v>261</v>
      </c>
      <c r="B239" s="349">
        <f>B240</f>
        <v>154.35</v>
      </c>
      <c r="C239" s="349">
        <f>C240</f>
        <v>0</v>
      </c>
      <c r="D239" s="349">
        <f>D240</f>
        <v>154.35</v>
      </c>
      <c r="E239" s="349">
        <f>E240</f>
        <v>0</v>
      </c>
      <c r="F239" s="349">
        <f>F240</f>
        <v>0</v>
      </c>
    </row>
    <row r="240" spans="1:6" ht="15.75">
      <c r="A240" s="158" t="s">
        <v>262</v>
      </c>
      <c r="B240" s="159">
        <f>SUM(B241:B243)</f>
        <v>154.35</v>
      </c>
      <c r="C240" s="159">
        <f>SUM(C241:C243)</f>
        <v>0</v>
      </c>
      <c r="D240" s="159">
        <f>SUM(D241:D243)</f>
        <v>154.35</v>
      </c>
      <c r="E240" s="159">
        <f>SUM(E241:E243)</f>
        <v>0</v>
      </c>
      <c r="F240" s="159">
        <f>SUM(F241:F243)</f>
        <v>0</v>
      </c>
    </row>
    <row r="241" spans="1:6" ht="15.75">
      <c r="A241" s="160" t="s">
        <v>263</v>
      </c>
      <c r="B241" s="161">
        <v>40.409999999999997</v>
      </c>
      <c r="C241" s="161">
        <v>0</v>
      </c>
      <c r="D241" s="161">
        <f>B241+C241</f>
        <v>40.409999999999997</v>
      </c>
      <c r="E241" s="161"/>
      <c r="F241" s="350"/>
    </row>
    <row r="242" spans="1:6" ht="15.75">
      <c r="A242" s="160" t="s">
        <v>264</v>
      </c>
      <c r="B242" s="161">
        <v>113.94</v>
      </c>
      <c r="C242" s="161">
        <v>0</v>
      </c>
      <c r="D242" s="161">
        <f>B242+C242+C252</f>
        <v>113.94</v>
      </c>
      <c r="E242" s="159"/>
      <c r="F242" s="159"/>
    </row>
    <row r="243" spans="1:6" ht="15.75">
      <c r="A243" s="160" t="s">
        <v>265</v>
      </c>
      <c r="B243" s="161">
        <v>0</v>
      </c>
      <c r="C243" s="161">
        <v>0</v>
      </c>
      <c r="D243" s="161">
        <f>B243+C243</f>
        <v>0</v>
      </c>
      <c r="E243" s="161"/>
      <c r="F243" s="350"/>
    </row>
    <row r="244" spans="1:6" ht="15.75">
      <c r="A244" s="158" t="s">
        <v>266</v>
      </c>
      <c r="B244" s="159">
        <f>SUM(B245:B247)</f>
        <v>92.609999999999985</v>
      </c>
      <c r="C244" s="159">
        <f>SUM(C245:C247)</f>
        <v>0</v>
      </c>
      <c r="D244" s="159">
        <f>SUM(D245:D247)</f>
        <v>92.609999999999985</v>
      </c>
      <c r="E244" s="159">
        <f>SUM(E245:E247)</f>
        <v>0</v>
      </c>
      <c r="F244" s="159">
        <f>SUM(F245:F247)</f>
        <v>0</v>
      </c>
    </row>
    <row r="245" spans="1:6" ht="31.5">
      <c r="A245" s="160" t="s">
        <v>267</v>
      </c>
      <c r="B245" s="161">
        <f>B241*60%</f>
        <v>24.245999999999999</v>
      </c>
      <c r="C245" s="161">
        <f t="shared" ref="C245:C247" si="60">C241*60%</f>
        <v>0</v>
      </c>
      <c r="D245" s="161">
        <f>B245+C245</f>
        <v>24.245999999999999</v>
      </c>
      <c r="E245" s="165"/>
      <c r="F245" s="350"/>
    </row>
    <row r="246" spans="1:6" ht="31.5">
      <c r="A246" s="160" t="s">
        <v>268</v>
      </c>
      <c r="B246" s="161">
        <f>B242*60%</f>
        <v>68.36399999999999</v>
      </c>
      <c r="C246" s="161">
        <f t="shared" si="60"/>
        <v>0</v>
      </c>
      <c r="D246" s="161">
        <f>B246+C246</f>
        <v>68.36399999999999</v>
      </c>
      <c r="E246" s="161"/>
      <c r="F246" s="350"/>
    </row>
    <row r="247" spans="1:6" ht="15.75">
      <c r="A247" s="160" t="s">
        <v>269</v>
      </c>
      <c r="B247" s="161">
        <f>B243</f>
        <v>0</v>
      </c>
      <c r="C247" s="161">
        <f t="shared" si="60"/>
        <v>0</v>
      </c>
      <c r="D247" s="161">
        <f>B247+C247</f>
        <v>0</v>
      </c>
      <c r="E247" s="165"/>
      <c r="F247" s="350"/>
    </row>
    <row r="248" spans="1:6" ht="31.5">
      <c r="A248" s="158" t="s">
        <v>270</v>
      </c>
      <c r="B248" s="163">
        <f>SUM(B249:B251)</f>
        <v>61.740000000000009</v>
      </c>
      <c r="C248" s="163">
        <f>SUM(C249:C251)</f>
        <v>0</v>
      </c>
      <c r="D248" s="163">
        <f>SUM(D249:D251)</f>
        <v>61.740000000000009</v>
      </c>
      <c r="E248" s="163">
        <f>SUM(E249:E251)</f>
        <v>0</v>
      </c>
      <c r="F248" s="163">
        <f>SUM(F249:F251)</f>
        <v>0</v>
      </c>
    </row>
    <row r="249" spans="1:6" ht="15.75">
      <c r="A249" s="160" t="s">
        <v>271</v>
      </c>
      <c r="B249" s="161">
        <f t="shared" ref="B249:C251" si="61">B241-B245</f>
        <v>16.163999999999998</v>
      </c>
      <c r="C249" s="161">
        <f t="shared" si="61"/>
        <v>0</v>
      </c>
      <c r="D249" s="161">
        <f>B249+C249</f>
        <v>16.163999999999998</v>
      </c>
      <c r="E249" s="161"/>
      <c r="F249" s="350"/>
    </row>
    <row r="250" spans="1:6" ht="15.75">
      <c r="A250" s="160" t="s">
        <v>272</v>
      </c>
      <c r="B250" s="161">
        <f t="shared" si="61"/>
        <v>45.576000000000008</v>
      </c>
      <c r="C250" s="161">
        <f t="shared" si="61"/>
        <v>0</v>
      </c>
      <c r="D250" s="161">
        <f>B250+C250</f>
        <v>45.576000000000008</v>
      </c>
      <c r="E250" s="159"/>
      <c r="F250" s="159"/>
    </row>
    <row r="251" spans="1:6" ht="15.75">
      <c r="A251" s="160" t="s">
        <v>265</v>
      </c>
      <c r="B251" s="161">
        <f t="shared" si="61"/>
        <v>0</v>
      </c>
      <c r="C251" s="161">
        <f t="shared" si="61"/>
        <v>0</v>
      </c>
      <c r="D251" s="161">
        <f>B251+C251</f>
        <v>0</v>
      </c>
      <c r="E251" s="161"/>
      <c r="F251" s="350"/>
    </row>
    <row r="252" spans="1:6" ht="15.75">
      <c r="A252" s="158" t="s">
        <v>273</v>
      </c>
      <c r="B252" s="159">
        <v>0</v>
      </c>
      <c r="C252" s="159"/>
      <c r="D252" s="159"/>
      <c r="E252" s="161"/>
      <c r="F252" s="350"/>
    </row>
    <row r="253" spans="1:6" ht="15.75">
      <c r="A253" s="162" t="s">
        <v>274</v>
      </c>
      <c r="B253" s="163">
        <f>B254</f>
        <v>6138.4500000000007</v>
      </c>
      <c r="C253" s="163">
        <f t="shared" ref="C253:D253" si="62">C254</f>
        <v>0</v>
      </c>
      <c r="D253" s="163">
        <f t="shared" si="62"/>
        <v>6138.45</v>
      </c>
      <c r="E253" s="161"/>
      <c r="F253" s="350"/>
    </row>
    <row r="254" spans="1:6" ht="15.75">
      <c r="A254" s="158" t="s">
        <v>275</v>
      </c>
      <c r="B254" s="159">
        <f>B255+B263</f>
        <v>6138.4500000000007</v>
      </c>
      <c r="C254" s="159">
        <f t="shared" ref="C254:D254" si="63">C255+C263</f>
        <v>0</v>
      </c>
      <c r="D254" s="159">
        <f t="shared" si="63"/>
        <v>6138.45</v>
      </c>
      <c r="E254" s="159"/>
      <c r="F254" s="350"/>
    </row>
    <row r="255" spans="1:6" ht="15.75">
      <c r="A255" s="157" t="s">
        <v>276</v>
      </c>
      <c r="B255" s="161">
        <f>SUM(B256:B262)-B257</f>
        <v>5841.0100000000011</v>
      </c>
      <c r="C255" s="161">
        <f t="shared" ref="C255:D255" si="64">SUM(C256:C262)-C257</f>
        <v>-175.2</v>
      </c>
      <c r="D255" s="161">
        <f t="shared" si="64"/>
        <v>5665.8099999999995</v>
      </c>
      <c r="E255" s="163"/>
      <c r="F255" s="351"/>
    </row>
    <row r="256" spans="1:6" ht="15.75">
      <c r="A256" s="164" t="s">
        <v>277</v>
      </c>
      <c r="B256" s="165">
        <v>3866.22</v>
      </c>
      <c r="C256" s="165">
        <v>-148.91999999999999</v>
      </c>
      <c r="D256" s="165">
        <f>B256+C256</f>
        <v>3717.2999999999997</v>
      </c>
      <c r="E256" s="163"/>
      <c r="F256" s="163"/>
    </row>
    <row r="257" spans="1:6" ht="15.75">
      <c r="A257" s="166" t="s">
        <v>278</v>
      </c>
      <c r="B257" s="165">
        <f>SUM(B258:B259)</f>
        <v>787.53</v>
      </c>
      <c r="C257" s="165">
        <f t="shared" ref="C257:D257" si="65">SUM(C258:C259)</f>
        <v>0</v>
      </c>
      <c r="D257" s="165">
        <f t="shared" si="65"/>
        <v>787.53</v>
      </c>
      <c r="E257" s="159"/>
      <c r="F257" s="159"/>
    </row>
    <row r="258" spans="1:6" ht="31.5">
      <c r="A258" s="171" t="s">
        <v>303</v>
      </c>
      <c r="B258" s="165">
        <v>742.64</v>
      </c>
      <c r="C258" s="161">
        <v>-30.98</v>
      </c>
      <c r="D258" s="161">
        <f t="shared" ref="D258:D268" si="66">B258+C258</f>
        <v>711.66</v>
      </c>
      <c r="E258" s="161"/>
      <c r="F258" s="161"/>
    </row>
    <row r="259" spans="1:6" ht="31.5">
      <c r="A259" s="171" t="s">
        <v>304</v>
      </c>
      <c r="B259" s="165">
        <v>44.89</v>
      </c>
      <c r="C259" s="165">
        <v>30.98</v>
      </c>
      <c r="D259" s="165">
        <f t="shared" si="66"/>
        <v>75.87</v>
      </c>
      <c r="E259" s="165"/>
      <c r="F259" s="352"/>
    </row>
    <row r="260" spans="1:6" ht="31.5">
      <c r="A260" s="167" t="s">
        <v>279</v>
      </c>
      <c r="B260" s="165">
        <v>526.89</v>
      </c>
      <c r="C260" s="165">
        <v>-26.28</v>
      </c>
      <c r="D260" s="165">
        <f t="shared" si="66"/>
        <v>500.61</v>
      </c>
      <c r="E260" s="165"/>
      <c r="F260" s="315"/>
    </row>
    <row r="261" spans="1:6" ht="15.75">
      <c r="A261" s="166" t="s">
        <v>280</v>
      </c>
      <c r="B261" s="165">
        <v>113.94</v>
      </c>
      <c r="C261" s="165"/>
      <c r="D261" s="165">
        <f t="shared" si="66"/>
        <v>113.94</v>
      </c>
      <c r="E261" s="161"/>
      <c r="F261" s="161"/>
    </row>
    <row r="262" spans="1:6" ht="31.5">
      <c r="A262" s="166" t="s">
        <v>287</v>
      </c>
      <c r="B262" s="165">
        <v>546.42999999999995</v>
      </c>
      <c r="C262" s="161"/>
      <c r="D262" s="165">
        <f t="shared" si="66"/>
        <v>546.42999999999995</v>
      </c>
      <c r="E262" s="161"/>
      <c r="F262" s="161"/>
    </row>
    <row r="263" spans="1:6" ht="15.75">
      <c r="A263" s="157" t="s">
        <v>282</v>
      </c>
      <c r="B263" s="161">
        <f>B264+B265</f>
        <v>297.44</v>
      </c>
      <c r="C263" s="161">
        <f t="shared" ref="C263:D263" si="67">C264+C265</f>
        <v>175.2</v>
      </c>
      <c r="D263" s="161">
        <f t="shared" si="67"/>
        <v>472.64</v>
      </c>
      <c r="E263" s="161"/>
      <c r="F263" s="161"/>
    </row>
    <row r="264" spans="1:6" ht="15.75">
      <c r="A264" s="157" t="s">
        <v>283</v>
      </c>
      <c r="B264" s="168"/>
      <c r="C264" s="168"/>
      <c r="D264" s="168"/>
      <c r="E264" s="161"/>
      <c r="F264" s="161"/>
    </row>
    <row r="265" spans="1:6" ht="15.75">
      <c r="A265" s="157" t="s">
        <v>284</v>
      </c>
      <c r="B265" s="168">
        <f>SUM(B266:B268)</f>
        <v>297.44</v>
      </c>
      <c r="C265" s="168">
        <f t="shared" ref="C265:D265" si="68">SUM(C266:C268)</f>
        <v>175.2</v>
      </c>
      <c r="D265" s="168">
        <f t="shared" si="68"/>
        <v>472.64</v>
      </c>
      <c r="E265" s="161"/>
      <c r="F265" s="161"/>
    </row>
    <row r="266" spans="1:6" ht="31.5">
      <c r="A266" s="172" t="s">
        <v>305</v>
      </c>
      <c r="B266" s="180">
        <v>215.76</v>
      </c>
      <c r="C266" s="165">
        <v>148.91999999999999</v>
      </c>
      <c r="D266" s="165">
        <f t="shared" si="66"/>
        <v>364.67999999999995</v>
      </c>
      <c r="E266" s="161"/>
      <c r="F266" s="161"/>
    </row>
    <row r="267" spans="1:6" ht="15.75">
      <c r="A267" s="172" t="s">
        <v>306</v>
      </c>
      <c r="B267" s="165">
        <f>38.07</f>
        <v>38.07</v>
      </c>
      <c r="C267" s="165">
        <v>26.28</v>
      </c>
      <c r="D267" s="165">
        <f t="shared" si="66"/>
        <v>64.349999999999994</v>
      </c>
      <c r="E267" s="161"/>
      <c r="F267" s="161"/>
    </row>
    <row r="268" spans="1:6" ht="31.5">
      <c r="A268" s="166" t="s">
        <v>287</v>
      </c>
      <c r="B268" s="180">
        <v>43.61</v>
      </c>
      <c r="C268" s="161"/>
      <c r="D268" s="165">
        <f t="shared" si="66"/>
        <v>43.61</v>
      </c>
      <c r="E268" s="161"/>
      <c r="F268" s="161"/>
    </row>
    <row r="269" spans="1:6" ht="15.75">
      <c r="A269" s="348" t="s">
        <v>296</v>
      </c>
      <c r="B269" s="175"/>
      <c r="C269" s="175"/>
      <c r="D269" s="175"/>
      <c r="E269" s="175"/>
      <c r="F269" s="175"/>
    </row>
    <row r="270" spans="1:6" ht="15.75">
      <c r="A270" s="156" t="s">
        <v>261</v>
      </c>
      <c r="B270" s="349">
        <f>B271</f>
        <v>2208.15</v>
      </c>
      <c r="C270" s="349">
        <f>C271</f>
        <v>0</v>
      </c>
      <c r="D270" s="349">
        <f>D271</f>
        <v>2208.15</v>
      </c>
      <c r="E270" s="349">
        <f>E271</f>
        <v>0</v>
      </c>
      <c r="F270" s="349">
        <f>F271</f>
        <v>0</v>
      </c>
    </row>
    <row r="271" spans="1:6" ht="15.75">
      <c r="A271" s="158" t="s">
        <v>262</v>
      </c>
      <c r="B271" s="159">
        <f>SUM(B272:B274)</f>
        <v>2208.15</v>
      </c>
      <c r="C271" s="159">
        <f>SUM(C272:C274)</f>
        <v>0</v>
      </c>
      <c r="D271" s="159">
        <f>SUM(D272:D274)</f>
        <v>2208.15</v>
      </c>
      <c r="E271" s="159">
        <f>SUM(E272:E274)</f>
        <v>0</v>
      </c>
      <c r="F271" s="159">
        <f>SUM(F272:F274)</f>
        <v>0</v>
      </c>
    </row>
    <row r="272" spans="1:6" ht="15.75">
      <c r="A272" s="160" t="s">
        <v>263</v>
      </c>
      <c r="B272" s="161">
        <v>316.44</v>
      </c>
      <c r="C272" s="161">
        <v>0</v>
      </c>
      <c r="D272" s="161">
        <f>B272+C272</f>
        <v>316.44</v>
      </c>
      <c r="E272" s="161"/>
      <c r="F272" s="350"/>
    </row>
    <row r="273" spans="1:6" ht="15.75">
      <c r="A273" s="160" t="s">
        <v>264</v>
      </c>
      <c r="B273" s="161">
        <v>7.56</v>
      </c>
      <c r="C273" s="161">
        <v>0</v>
      </c>
      <c r="D273" s="161">
        <f>B273+C273+C283</f>
        <v>7.56</v>
      </c>
      <c r="E273" s="159"/>
      <c r="F273" s="159"/>
    </row>
    <row r="274" spans="1:6" ht="15.75">
      <c r="A274" s="160" t="s">
        <v>265</v>
      </c>
      <c r="B274" s="161">
        <v>1884.15</v>
      </c>
      <c r="C274" s="161">
        <v>0</v>
      </c>
      <c r="D274" s="161">
        <f>B274+C274</f>
        <v>1884.15</v>
      </c>
      <c r="E274" s="161"/>
      <c r="F274" s="350"/>
    </row>
    <row r="275" spans="1:6" ht="15.75">
      <c r="A275" s="158" t="s">
        <v>266</v>
      </c>
      <c r="B275" s="159">
        <f>SUM(B276:B278)</f>
        <v>2078.5500000000002</v>
      </c>
      <c r="C275" s="159">
        <f>SUM(C276:C278)</f>
        <v>0</v>
      </c>
      <c r="D275" s="159">
        <f>SUM(D276:D278)</f>
        <v>2078.5500000000002</v>
      </c>
      <c r="E275" s="159">
        <f>SUM(E276:E278)</f>
        <v>0</v>
      </c>
      <c r="F275" s="159">
        <f>SUM(F276:F278)</f>
        <v>0</v>
      </c>
    </row>
    <row r="276" spans="1:6" ht="31.5">
      <c r="A276" s="160" t="s">
        <v>267</v>
      </c>
      <c r="B276" s="161">
        <f>B272*60%</f>
        <v>189.864</v>
      </c>
      <c r="C276" s="161">
        <f>C272*60%</f>
        <v>0</v>
      </c>
      <c r="D276" s="161">
        <f>B276+C276</f>
        <v>189.864</v>
      </c>
      <c r="E276" s="165"/>
      <c r="F276" s="350"/>
    </row>
    <row r="277" spans="1:6" ht="31.5">
      <c r="A277" s="160" t="s">
        <v>268</v>
      </c>
      <c r="B277" s="161">
        <f>B273*60%</f>
        <v>4.5359999999999996</v>
      </c>
      <c r="C277" s="161">
        <f>C273*60%</f>
        <v>0</v>
      </c>
      <c r="D277" s="161">
        <f>B277+C277</f>
        <v>4.5359999999999996</v>
      </c>
      <c r="E277" s="161"/>
      <c r="F277" s="350"/>
    </row>
    <row r="278" spans="1:6" ht="15.75">
      <c r="A278" s="160" t="s">
        <v>269</v>
      </c>
      <c r="B278" s="161">
        <f>B274</f>
        <v>1884.15</v>
      </c>
      <c r="C278" s="161">
        <f>C274*60%</f>
        <v>0</v>
      </c>
      <c r="D278" s="161">
        <f>B278+C278</f>
        <v>1884.15</v>
      </c>
      <c r="E278" s="165"/>
      <c r="F278" s="350"/>
    </row>
    <row r="279" spans="1:6" ht="31.5">
      <c r="A279" s="158" t="s">
        <v>270</v>
      </c>
      <c r="B279" s="163">
        <f>SUM(B280:B282)</f>
        <v>129.6</v>
      </c>
      <c r="C279" s="163">
        <f>SUM(C280:C282)</f>
        <v>0</v>
      </c>
      <c r="D279" s="163">
        <f>SUM(D280:D282)</f>
        <v>129.6</v>
      </c>
      <c r="E279" s="163">
        <f>SUM(E280:E282)</f>
        <v>0</v>
      </c>
      <c r="F279" s="163">
        <f>SUM(F280:F282)</f>
        <v>0</v>
      </c>
    </row>
    <row r="280" spans="1:6" ht="15.75">
      <c r="A280" s="160" t="s">
        <v>271</v>
      </c>
      <c r="B280" s="161">
        <f t="shared" ref="B280:C282" si="69">B272-B276</f>
        <v>126.57599999999999</v>
      </c>
      <c r="C280" s="161">
        <f t="shared" si="69"/>
        <v>0</v>
      </c>
      <c r="D280" s="161">
        <f>B280+C280</f>
        <v>126.57599999999999</v>
      </c>
      <c r="E280" s="161"/>
      <c r="F280" s="350"/>
    </row>
    <row r="281" spans="1:6" ht="15.75">
      <c r="A281" s="160" t="s">
        <v>272</v>
      </c>
      <c r="B281" s="161">
        <f t="shared" si="69"/>
        <v>3.024</v>
      </c>
      <c r="C281" s="161">
        <f t="shared" si="69"/>
        <v>0</v>
      </c>
      <c r="D281" s="161">
        <f>B281+C281</f>
        <v>3.024</v>
      </c>
      <c r="E281" s="159"/>
      <c r="F281" s="159"/>
    </row>
    <row r="282" spans="1:6" ht="15.75">
      <c r="A282" s="160" t="s">
        <v>265</v>
      </c>
      <c r="B282" s="161">
        <f t="shared" si="69"/>
        <v>0</v>
      </c>
      <c r="C282" s="161">
        <f t="shared" si="69"/>
        <v>0</v>
      </c>
      <c r="D282" s="161">
        <f>B282+C282</f>
        <v>0</v>
      </c>
      <c r="E282" s="161"/>
      <c r="F282" s="350"/>
    </row>
    <row r="283" spans="1:6" ht="15.75">
      <c r="A283" s="158" t="s">
        <v>273</v>
      </c>
      <c r="B283" s="159">
        <v>0</v>
      </c>
      <c r="C283" s="159">
        <v>0</v>
      </c>
      <c r="D283" s="159"/>
      <c r="E283" s="161"/>
      <c r="F283" s="350"/>
    </row>
    <row r="284" spans="1:6" ht="15.75">
      <c r="A284" s="162" t="s">
        <v>274</v>
      </c>
      <c r="B284" s="163">
        <f>B285</f>
        <v>5775.1290000000008</v>
      </c>
      <c r="C284" s="163">
        <f t="shared" ref="C284:D284" si="70">C285</f>
        <v>0</v>
      </c>
      <c r="D284" s="163">
        <f t="shared" si="70"/>
        <v>5775.1290000000008</v>
      </c>
      <c r="E284" s="159"/>
      <c r="F284" s="159"/>
    </row>
    <row r="285" spans="1:6" ht="15.75">
      <c r="A285" s="158" t="s">
        <v>275</v>
      </c>
      <c r="B285" s="159">
        <f>B286+B294</f>
        <v>5775.1290000000008</v>
      </c>
      <c r="C285" s="159">
        <f t="shared" ref="C285:D285" si="71">C286+C294</f>
        <v>0</v>
      </c>
      <c r="D285" s="159">
        <f t="shared" si="71"/>
        <v>5775.1290000000008</v>
      </c>
      <c r="E285" s="161"/>
      <c r="F285" s="161"/>
    </row>
    <row r="286" spans="1:6" ht="15.75">
      <c r="A286" s="157" t="s">
        <v>276</v>
      </c>
      <c r="B286" s="161">
        <f>SUM(B287:B293)-B288</f>
        <v>3896.0590000000007</v>
      </c>
      <c r="C286" s="161">
        <f t="shared" ref="C286:D286" si="72">SUM(C287:C293)-C288</f>
        <v>279.66000000000003</v>
      </c>
      <c r="D286" s="161">
        <f t="shared" si="72"/>
        <v>4175.719000000001</v>
      </c>
      <c r="E286" s="168"/>
      <c r="F286" s="168"/>
    </row>
    <row r="287" spans="1:6" ht="15.75">
      <c r="A287" s="164" t="s">
        <v>277</v>
      </c>
      <c r="B287" s="165">
        <v>2828.76</v>
      </c>
      <c r="C287" s="180">
        <v>237.71</v>
      </c>
      <c r="D287" s="165">
        <f>B287+C287</f>
        <v>3066.4700000000003</v>
      </c>
      <c r="E287" s="168"/>
      <c r="F287" s="180"/>
    </row>
    <row r="288" spans="1:6" ht="15.75">
      <c r="A288" s="166" t="s">
        <v>278</v>
      </c>
      <c r="B288" s="165">
        <f>SUM(B289:B290)</f>
        <v>790.90899999999999</v>
      </c>
      <c r="C288" s="165">
        <f t="shared" ref="C288:D288" si="73">SUM(C289:C290)</f>
        <v>0</v>
      </c>
      <c r="D288" s="165">
        <f t="shared" si="73"/>
        <v>790.90899999999999</v>
      </c>
      <c r="E288" s="168"/>
      <c r="F288" s="168"/>
    </row>
    <row r="289" spans="1:6" ht="31.5">
      <c r="A289" s="171" t="s">
        <v>303</v>
      </c>
      <c r="B289" s="165">
        <v>458.92899999999997</v>
      </c>
      <c r="C289" s="165">
        <v>49.45</v>
      </c>
      <c r="D289" s="165">
        <f t="shared" ref="D289:D299" si="74">B289+C289</f>
        <v>508.37899999999996</v>
      </c>
      <c r="E289" s="161"/>
      <c r="F289" s="161"/>
    </row>
    <row r="290" spans="1:6" ht="31.5">
      <c r="A290" s="171" t="s">
        <v>304</v>
      </c>
      <c r="B290" s="165">
        <v>331.98</v>
      </c>
      <c r="C290" s="165">
        <v>-49.45</v>
      </c>
      <c r="D290" s="165">
        <f t="shared" si="74"/>
        <v>282.53000000000003</v>
      </c>
      <c r="E290" s="161"/>
      <c r="F290" s="161"/>
    </row>
    <row r="291" spans="1:6" ht="31.5">
      <c r="A291" s="167" t="s">
        <v>279</v>
      </c>
      <c r="B291" s="165">
        <v>246.16000000000003</v>
      </c>
      <c r="C291" s="165">
        <v>41.95</v>
      </c>
      <c r="D291" s="165">
        <f t="shared" si="74"/>
        <v>288.11</v>
      </c>
      <c r="E291" s="161"/>
      <c r="F291" s="161"/>
    </row>
    <row r="292" spans="1:6" ht="15.75">
      <c r="A292" s="166" t="s">
        <v>280</v>
      </c>
      <c r="B292" s="165">
        <v>7.56</v>
      </c>
      <c r="C292" s="161"/>
      <c r="D292" s="165">
        <f t="shared" si="74"/>
        <v>7.56</v>
      </c>
      <c r="E292" s="161"/>
      <c r="F292" s="161"/>
    </row>
    <row r="293" spans="1:6" ht="31.5">
      <c r="A293" s="166" t="s">
        <v>287</v>
      </c>
      <c r="B293" s="165">
        <v>22.67</v>
      </c>
      <c r="C293" s="161"/>
      <c r="D293" s="165">
        <f t="shared" si="74"/>
        <v>22.67</v>
      </c>
      <c r="E293" s="161"/>
      <c r="F293" s="161"/>
    </row>
    <row r="294" spans="1:6" ht="15.75">
      <c r="A294" s="157" t="s">
        <v>282</v>
      </c>
      <c r="B294" s="161">
        <f>B295+B296</f>
        <v>1879.07</v>
      </c>
      <c r="C294" s="161">
        <f t="shared" ref="C294:D294" si="75">C295+C296</f>
        <v>-279.66000000000003</v>
      </c>
      <c r="D294" s="161">
        <f t="shared" si="75"/>
        <v>1599.4099999999999</v>
      </c>
      <c r="E294" s="161"/>
      <c r="F294" s="161"/>
    </row>
    <row r="295" spans="1:6" ht="15.75">
      <c r="A295" s="157" t="s">
        <v>283</v>
      </c>
      <c r="B295" s="168"/>
      <c r="C295" s="168"/>
      <c r="D295" s="168"/>
      <c r="E295" s="161"/>
      <c r="F295" s="161"/>
    </row>
    <row r="296" spans="1:6" ht="15.75">
      <c r="A296" s="157" t="s">
        <v>284</v>
      </c>
      <c r="B296" s="168">
        <f>SUM(B297:B299)</f>
        <v>1879.07</v>
      </c>
      <c r="C296" s="168">
        <f t="shared" ref="C296:D296" si="76">SUM(C297:C299)</f>
        <v>-279.66000000000003</v>
      </c>
      <c r="D296" s="168">
        <f t="shared" si="76"/>
        <v>1599.4099999999999</v>
      </c>
      <c r="E296" s="161"/>
      <c r="F296" s="161"/>
    </row>
    <row r="297" spans="1:6" ht="31.5">
      <c r="A297" s="172" t="s">
        <v>305</v>
      </c>
      <c r="B297" s="180">
        <v>1595.67</v>
      </c>
      <c r="C297" s="165">
        <v>-237.71</v>
      </c>
      <c r="D297" s="165">
        <f t="shared" si="74"/>
        <v>1357.96</v>
      </c>
      <c r="E297" s="161"/>
      <c r="F297" s="161"/>
    </row>
    <row r="298" spans="1:6" ht="15.75">
      <c r="A298" s="172" t="s">
        <v>306</v>
      </c>
      <c r="B298" s="165">
        <f>281.59</f>
        <v>281.58999999999997</v>
      </c>
      <c r="C298" s="165">
        <v>-41.95</v>
      </c>
      <c r="D298" s="165">
        <f t="shared" si="74"/>
        <v>239.64</v>
      </c>
      <c r="E298" s="161"/>
      <c r="F298" s="161"/>
    </row>
    <row r="299" spans="1:6" ht="31.5">
      <c r="A299" s="166" t="s">
        <v>287</v>
      </c>
      <c r="B299" s="180">
        <v>1.81</v>
      </c>
      <c r="C299" s="161"/>
      <c r="D299" s="165">
        <f t="shared" si="74"/>
        <v>1.81</v>
      </c>
      <c r="E299" s="161"/>
      <c r="F299" s="161"/>
    </row>
    <row r="300" spans="1:6" s="122" customFormat="1" ht="15.75">
      <c r="A300" s="174" t="s">
        <v>310</v>
      </c>
      <c r="B300" s="175"/>
      <c r="C300" s="175"/>
      <c r="D300" s="175"/>
      <c r="E300" s="175"/>
      <c r="F300" s="175"/>
    </row>
    <row r="301" spans="1:6" ht="15.75">
      <c r="A301" s="174" t="s">
        <v>312</v>
      </c>
      <c r="B301" s="161"/>
      <c r="C301" s="161"/>
      <c r="D301" s="161"/>
      <c r="E301" s="161"/>
      <c r="F301" s="161"/>
    </row>
    <row r="302" spans="1:6" ht="15.75">
      <c r="A302" s="156" t="s">
        <v>261</v>
      </c>
      <c r="B302" s="349">
        <f>B303</f>
        <v>0</v>
      </c>
      <c r="C302" s="349">
        <f>C303</f>
        <v>0</v>
      </c>
      <c r="D302" s="349">
        <f>D303</f>
        <v>0</v>
      </c>
      <c r="E302" s="349">
        <f>E303</f>
        <v>0</v>
      </c>
      <c r="F302" s="349">
        <f>F303</f>
        <v>0</v>
      </c>
    </row>
    <row r="303" spans="1:6" ht="15.75">
      <c r="A303" s="158" t="s">
        <v>262</v>
      </c>
      <c r="B303" s="159">
        <f>SUM(B304:B306)</f>
        <v>0</v>
      </c>
      <c r="C303" s="159">
        <f>SUM(C304:C306)</f>
        <v>0</v>
      </c>
      <c r="D303" s="159">
        <f>SUM(D304:D306)</f>
        <v>0</v>
      </c>
      <c r="E303" s="159">
        <f>SUM(E304:E306)</f>
        <v>0</v>
      </c>
      <c r="F303" s="159">
        <f>SUM(F304:F306)</f>
        <v>0</v>
      </c>
    </row>
    <row r="304" spans="1:6" ht="15.75">
      <c r="A304" s="160" t="s">
        <v>263</v>
      </c>
      <c r="B304" s="161">
        <v>0</v>
      </c>
      <c r="C304" s="161">
        <v>0</v>
      </c>
      <c r="D304" s="161">
        <f>B304+C304</f>
        <v>0</v>
      </c>
      <c r="E304" s="161"/>
      <c r="F304" s="350"/>
    </row>
    <row r="305" spans="1:6" ht="15.75">
      <c r="A305" s="160" t="s">
        <v>264</v>
      </c>
      <c r="B305" s="161">
        <v>0</v>
      </c>
      <c r="C305" s="161">
        <v>0</v>
      </c>
      <c r="D305" s="161">
        <f>B305+C305+C315</f>
        <v>0</v>
      </c>
      <c r="E305" s="159"/>
      <c r="F305" s="159"/>
    </row>
    <row r="306" spans="1:6" ht="15.75">
      <c r="A306" s="160" t="s">
        <v>265</v>
      </c>
      <c r="B306" s="161">
        <v>0</v>
      </c>
      <c r="C306" s="161">
        <v>0</v>
      </c>
      <c r="D306" s="161">
        <f>B306+C306</f>
        <v>0</v>
      </c>
      <c r="E306" s="161"/>
      <c r="F306" s="350"/>
    </row>
    <row r="307" spans="1:6" ht="15.75">
      <c r="A307" s="158" t="s">
        <v>266</v>
      </c>
      <c r="B307" s="159">
        <f>SUM(B308:B310)</f>
        <v>0</v>
      </c>
      <c r="C307" s="159">
        <f>SUM(C308:C310)</f>
        <v>0</v>
      </c>
      <c r="D307" s="159">
        <f>SUM(D308:D310)</f>
        <v>0</v>
      </c>
      <c r="E307" s="159">
        <f>SUM(E308:E310)</f>
        <v>0</v>
      </c>
      <c r="F307" s="159">
        <f>SUM(F308:F310)</f>
        <v>0</v>
      </c>
    </row>
    <row r="308" spans="1:6" ht="31.5">
      <c r="A308" s="160" t="s">
        <v>267</v>
      </c>
      <c r="B308" s="161">
        <f t="shared" ref="B308:C310" si="77">B304*60%</f>
        <v>0</v>
      </c>
      <c r="C308" s="161">
        <f t="shared" si="77"/>
        <v>0</v>
      </c>
      <c r="D308" s="161">
        <f>B308+C308</f>
        <v>0</v>
      </c>
      <c r="E308" s="165"/>
      <c r="F308" s="350"/>
    </row>
    <row r="309" spans="1:6" ht="31.5">
      <c r="A309" s="160" t="s">
        <v>268</v>
      </c>
      <c r="B309" s="161">
        <f t="shared" si="77"/>
        <v>0</v>
      </c>
      <c r="C309" s="161">
        <f t="shared" si="77"/>
        <v>0</v>
      </c>
      <c r="D309" s="161">
        <f>B309+C309</f>
        <v>0</v>
      </c>
      <c r="E309" s="161"/>
      <c r="F309" s="350"/>
    </row>
    <row r="310" spans="1:6" ht="15.75">
      <c r="A310" s="160" t="s">
        <v>269</v>
      </c>
      <c r="B310" s="161">
        <f t="shared" si="77"/>
        <v>0</v>
      </c>
      <c r="C310" s="161">
        <f t="shared" si="77"/>
        <v>0</v>
      </c>
      <c r="D310" s="161">
        <f>B310+C310</f>
        <v>0</v>
      </c>
      <c r="E310" s="165"/>
      <c r="F310" s="350"/>
    </row>
    <row r="311" spans="1:6" ht="15.75">
      <c r="A311" s="158" t="s">
        <v>311</v>
      </c>
      <c r="B311" s="163">
        <f>SUM(B312:B314)</f>
        <v>0</v>
      </c>
      <c r="C311" s="163">
        <f>SUM(C312:C314)</f>
        <v>0</v>
      </c>
      <c r="D311" s="163">
        <f>SUM(D312:D314)</f>
        <v>0</v>
      </c>
      <c r="E311" s="163">
        <f>SUM(E312:E314)</f>
        <v>0</v>
      </c>
      <c r="F311" s="163">
        <f>SUM(F312:F314)</f>
        <v>0</v>
      </c>
    </row>
    <row r="312" spans="1:6" ht="15.75">
      <c r="A312" s="160" t="s">
        <v>263</v>
      </c>
      <c r="B312" s="161">
        <f t="shared" ref="B312:C314" si="78">B304-B308</f>
        <v>0</v>
      </c>
      <c r="C312" s="161">
        <f t="shared" si="78"/>
        <v>0</v>
      </c>
      <c r="D312" s="161">
        <f>B312+C312</f>
        <v>0</v>
      </c>
      <c r="E312" s="161"/>
      <c r="F312" s="350"/>
    </row>
    <row r="313" spans="1:6" ht="15.75">
      <c r="A313" s="160" t="s">
        <v>264</v>
      </c>
      <c r="B313" s="161">
        <f t="shared" si="78"/>
        <v>0</v>
      </c>
      <c r="C313" s="161">
        <f t="shared" si="78"/>
        <v>0</v>
      </c>
      <c r="D313" s="161">
        <f>B313+C313</f>
        <v>0</v>
      </c>
      <c r="E313" s="159"/>
      <c r="F313" s="159"/>
    </row>
    <row r="314" spans="1:6" ht="15.75">
      <c r="A314" s="160" t="s">
        <v>265</v>
      </c>
      <c r="B314" s="161">
        <f t="shared" si="78"/>
        <v>0</v>
      </c>
      <c r="C314" s="161">
        <f t="shared" si="78"/>
        <v>0</v>
      </c>
      <c r="D314" s="161">
        <f>B314+C314</f>
        <v>0</v>
      </c>
      <c r="E314" s="161"/>
      <c r="F314" s="350"/>
    </row>
    <row r="315" spans="1:6" ht="15.75">
      <c r="A315" s="158" t="s">
        <v>273</v>
      </c>
      <c r="B315" s="159">
        <v>0</v>
      </c>
      <c r="C315" s="159">
        <v>0</v>
      </c>
      <c r="D315" s="159">
        <v>0</v>
      </c>
      <c r="E315" s="161"/>
      <c r="F315" s="350"/>
    </row>
    <row r="316" spans="1:6" ht="15.75">
      <c r="A316" s="162" t="s">
        <v>274</v>
      </c>
      <c r="B316" s="163">
        <f>B317</f>
        <v>9616.32</v>
      </c>
      <c r="C316" s="163">
        <f t="shared" ref="C316:D316" si="79">C317</f>
        <v>0</v>
      </c>
      <c r="D316" s="163">
        <f t="shared" si="79"/>
        <v>9616.32</v>
      </c>
      <c r="E316" s="161"/>
      <c r="F316" s="161"/>
    </row>
    <row r="317" spans="1:6" ht="15.75">
      <c r="A317" s="158" t="s">
        <v>275</v>
      </c>
      <c r="B317" s="159">
        <f>B318+B325</f>
        <v>9616.32</v>
      </c>
      <c r="C317" s="159">
        <f t="shared" ref="C317:D317" si="80">C318+C325</f>
        <v>0</v>
      </c>
      <c r="D317" s="159">
        <f t="shared" si="80"/>
        <v>9616.32</v>
      </c>
      <c r="E317" s="161"/>
      <c r="F317" s="161"/>
    </row>
    <row r="318" spans="1:6" ht="15.75">
      <c r="A318" s="157" t="s">
        <v>276</v>
      </c>
      <c r="B318" s="161">
        <f>SUM(B319:B324)-B320</f>
        <v>8883.6299999999992</v>
      </c>
      <c r="C318" s="161">
        <f t="shared" ref="C318:D318" si="81">SUM(C319:C324)-C320</f>
        <v>-23.15</v>
      </c>
      <c r="D318" s="161">
        <f t="shared" si="81"/>
        <v>8860.48</v>
      </c>
      <c r="E318" s="161"/>
      <c r="F318" s="161"/>
    </row>
    <row r="319" spans="1:6" ht="15.75">
      <c r="A319" s="164" t="s">
        <v>277</v>
      </c>
      <c r="B319" s="165">
        <v>6392.99</v>
      </c>
      <c r="C319" s="165">
        <v>-19.68</v>
      </c>
      <c r="D319" s="165">
        <f>B319+C319</f>
        <v>6373.3099999999995</v>
      </c>
      <c r="E319" s="161"/>
      <c r="F319" s="161"/>
    </row>
    <row r="320" spans="1:6" ht="15.75">
      <c r="A320" s="166" t="s">
        <v>278</v>
      </c>
      <c r="B320" s="165">
        <f>SUM(B321:B322)</f>
        <v>1457.8</v>
      </c>
      <c r="C320" s="165">
        <f t="shared" ref="C320:D320" si="82">SUM(C321:C322)</f>
        <v>0</v>
      </c>
      <c r="D320" s="165">
        <f t="shared" si="82"/>
        <v>1457.8</v>
      </c>
      <c r="E320" s="161"/>
      <c r="F320" s="161"/>
    </row>
    <row r="321" spans="1:6" ht="31.5">
      <c r="A321" s="171" t="s">
        <v>303</v>
      </c>
      <c r="B321" s="165">
        <v>1330.09</v>
      </c>
      <c r="C321" s="165">
        <v>-4.09</v>
      </c>
      <c r="D321" s="165">
        <f t="shared" ref="D321:D330" si="83">B321+C321</f>
        <v>1326</v>
      </c>
      <c r="E321" s="161"/>
      <c r="F321" s="161"/>
    </row>
    <row r="322" spans="1:6" ht="31.5">
      <c r="A322" s="171" t="s">
        <v>304</v>
      </c>
      <c r="B322" s="165">
        <v>127.71</v>
      </c>
      <c r="C322" s="165">
        <v>4.09</v>
      </c>
      <c r="D322" s="165">
        <f t="shared" si="83"/>
        <v>131.79999999999998</v>
      </c>
      <c r="E322" s="161"/>
      <c r="F322" s="161"/>
    </row>
    <row r="323" spans="1:6" ht="15.75">
      <c r="A323" s="167" t="s">
        <v>289</v>
      </c>
      <c r="B323" s="165">
        <v>1004.5200000000001</v>
      </c>
      <c r="C323" s="165">
        <v>-3.47</v>
      </c>
      <c r="D323" s="165">
        <f t="shared" si="83"/>
        <v>1001.0500000000001</v>
      </c>
      <c r="E323" s="161"/>
      <c r="F323" s="161"/>
    </row>
    <row r="324" spans="1:6" ht="31.5">
      <c r="A324" s="166" t="s">
        <v>308</v>
      </c>
      <c r="B324" s="165">
        <v>28.32</v>
      </c>
      <c r="C324" s="161"/>
      <c r="D324" s="165">
        <f t="shared" si="83"/>
        <v>28.32</v>
      </c>
      <c r="E324" s="161"/>
      <c r="F324" s="161"/>
    </row>
    <row r="325" spans="1:6" ht="15.75">
      <c r="A325" s="157" t="s">
        <v>282</v>
      </c>
      <c r="B325" s="161">
        <f>B326+B327</f>
        <v>732.68999999999983</v>
      </c>
      <c r="C325" s="161">
        <f t="shared" ref="C325:D325" si="84">C326+C327</f>
        <v>23.15</v>
      </c>
      <c r="D325" s="161">
        <f t="shared" si="84"/>
        <v>755.8399999999998</v>
      </c>
      <c r="E325" s="161"/>
      <c r="F325" s="161"/>
    </row>
    <row r="326" spans="1:6" ht="15.75">
      <c r="A326" s="157" t="s">
        <v>283</v>
      </c>
      <c r="B326" s="168"/>
      <c r="C326" s="168"/>
      <c r="D326" s="168"/>
      <c r="E326" s="161"/>
      <c r="F326" s="161"/>
    </row>
    <row r="327" spans="1:6" ht="15.75">
      <c r="A327" s="157" t="s">
        <v>284</v>
      </c>
      <c r="B327" s="168">
        <f>SUM(B328:B330)</f>
        <v>732.68999999999983</v>
      </c>
      <c r="C327" s="168">
        <f t="shared" ref="C327:D327" si="85">SUM(C328:C330)</f>
        <v>23.15</v>
      </c>
      <c r="D327" s="168">
        <f t="shared" si="85"/>
        <v>755.8399999999998</v>
      </c>
      <c r="E327" s="161"/>
      <c r="F327" s="161"/>
    </row>
    <row r="328" spans="1:6" ht="31.5">
      <c r="A328" s="172" t="s">
        <v>305</v>
      </c>
      <c r="B328" s="180">
        <v>613.80999999999995</v>
      </c>
      <c r="C328" s="165">
        <v>19.68</v>
      </c>
      <c r="D328" s="165">
        <f t="shared" si="83"/>
        <v>633.4899999999999</v>
      </c>
      <c r="E328" s="161"/>
      <c r="F328" s="161"/>
    </row>
    <row r="329" spans="1:6" ht="15.75">
      <c r="A329" s="172" t="s">
        <v>306</v>
      </c>
      <c r="B329" s="165">
        <v>108.32</v>
      </c>
      <c r="C329" s="165">
        <v>3.47</v>
      </c>
      <c r="D329" s="165">
        <f t="shared" si="83"/>
        <v>111.78999999999999</v>
      </c>
      <c r="E329" s="161"/>
      <c r="F329" s="161"/>
    </row>
    <row r="330" spans="1:6" ht="31.5">
      <c r="A330" s="166" t="s">
        <v>308</v>
      </c>
      <c r="B330" s="165">
        <v>10.56</v>
      </c>
      <c r="C330" s="161"/>
      <c r="D330" s="165">
        <f t="shared" si="83"/>
        <v>10.56</v>
      </c>
      <c r="E330" s="161"/>
      <c r="F330" s="161"/>
    </row>
    <row r="331" spans="1:6" s="122" customFormat="1" ht="15.75">
      <c r="A331" s="174" t="s">
        <v>313</v>
      </c>
      <c r="B331" s="175"/>
      <c r="C331" s="175"/>
      <c r="D331" s="175"/>
      <c r="E331" s="175"/>
      <c r="F331" s="175"/>
    </row>
    <row r="332" spans="1:6" ht="15.75">
      <c r="A332" s="156" t="s">
        <v>261</v>
      </c>
      <c r="B332" s="349">
        <f>B333</f>
        <v>0</v>
      </c>
      <c r="C332" s="349">
        <f>C333</f>
        <v>0</v>
      </c>
      <c r="D332" s="349">
        <f>D333</f>
        <v>0</v>
      </c>
      <c r="E332" s="349">
        <f>E333</f>
        <v>0</v>
      </c>
      <c r="F332" s="349">
        <f>F333</f>
        <v>0</v>
      </c>
    </row>
    <row r="333" spans="1:6" ht="15.75">
      <c r="A333" s="158" t="s">
        <v>262</v>
      </c>
      <c r="B333" s="159">
        <f>SUM(B334:B336)</f>
        <v>0</v>
      </c>
      <c r="C333" s="159">
        <f>SUM(C334:C336)</f>
        <v>0</v>
      </c>
      <c r="D333" s="159">
        <f>SUM(D334:D336)</f>
        <v>0</v>
      </c>
      <c r="E333" s="159">
        <f>SUM(E334:E336)</f>
        <v>0</v>
      </c>
      <c r="F333" s="159">
        <f>SUM(F334:F336)</f>
        <v>0</v>
      </c>
    </row>
    <row r="334" spans="1:6" ht="15.75">
      <c r="A334" s="160" t="s">
        <v>263</v>
      </c>
      <c r="B334" s="161">
        <v>0</v>
      </c>
      <c r="C334" s="161">
        <v>0</v>
      </c>
      <c r="D334" s="161">
        <f>B334+C334</f>
        <v>0</v>
      </c>
      <c r="E334" s="161"/>
      <c r="F334" s="350"/>
    </row>
    <row r="335" spans="1:6" ht="15.75">
      <c r="A335" s="160" t="s">
        <v>264</v>
      </c>
      <c r="B335" s="161">
        <v>0</v>
      </c>
      <c r="C335" s="161">
        <v>0</v>
      </c>
      <c r="D335" s="161">
        <f>B335+C335+C345</f>
        <v>0</v>
      </c>
      <c r="E335" s="159"/>
      <c r="F335" s="159"/>
    </row>
    <row r="336" spans="1:6" ht="15.75">
      <c r="A336" s="160" t="s">
        <v>265</v>
      </c>
      <c r="B336" s="161">
        <v>0</v>
      </c>
      <c r="C336" s="161">
        <v>0</v>
      </c>
      <c r="D336" s="161">
        <f>B336+C336</f>
        <v>0</v>
      </c>
      <c r="E336" s="161"/>
      <c r="F336" s="350"/>
    </row>
    <row r="337" spans="1:6" ht="15.75">
      <c r="A337" s="158" t="s">
        <v>266</v>
      </c>
      <c r="B337" s="159">
        <f>SUM(B338:B340)</f>
        <v>0</v>
      </c>
      <c r="C337" s="159">
        <f>SUM(C338:C340)</f>
        <v>0</v>
      </c>
      <c r="D337" s="159">
        <f>SUM(D338:D340)</f>
        <v>0</v>
      </c>
      <c r="E337" s="159">
        <f>SUM(E338:E340)</f>
        <v>0</v>
      </c>
      <c r="F337" s="159">
        <f>SUM(F338:F340)</f>
        <v>0</v>
      </c>
    </row>
    <row r="338" spans="1:6" ht="31.5">
      <c r="A338" s="160" t="s">
        <v>267</v>
      </c>
      <c r="B338" s="161">
        <f t="shared" ref="B338:C340" si="86">B334*60%</f>
        <v>0</v>
      </c>
      <c r="C338" s="161">
        <f t="shared" si="86"/>
        <v>0</v>
      </c>
      <c r="D338" s="161">
        <f>B338+C338</f>
        <v>0</v>
      </c>
      <c r="E338" s="165"/>
      <c r="F338" s="350"/>
    </row>
    <row r="339" spans="1:6" ht="31.5">
      <c r="A339" s="160" t="s">
        <v>268</v>
      </c>
      <c r="B339" s="161">
        <f t="shared" si="86"/>
        <v>0</v>
      </c>
      <c r="C339" s="161">
        <f t="shared" si="86"/>
        <v>0</v>
      </c>
      <c r="D339" s="161">
        <f>B339+C339</f>
        <v>0</v>
      </c>
      <c r="E339" s="161"/>
      <c r="F339" s="350"/>
    </row>
    <row r="340" spans="1:6" ht="15.75">
      <c r="A340" s="160" t="s">
        <v>269</v>
      </c>
      <c r="B340" s="161">
        <f t="shared" si="86"/>
        <v>0</v>
      </c>
      <c r="C340" s="161">
        <f t="shared" si="86"/>
        <v>0</v>
      </c>
      <c r="D340" s="161">
        <f>B340+C340</f>
        <v>0</v>
      </c>
      <c r="E340" s="165"/>
      <c r="F340" s="350"/>
    </row>
    <row r="341" spans="1:6" ht="15.75">
      <c r="A341" s="158" t="s">
        <v>311</v>
      </c>
      <c r="B341" s="163">
        <f>SUM(B342:B344)</f>
        <v>0</v>
      </c>
      <c r="C341" s="163">
        <f>SUM(C342:C344)</f>
        <v>0</v>
      </c>
      <c r="D341" s="163">
        <f>SUM(D342:D344)</f>
        <v>0</v>
      </c>
      <c r="E341" s="163">
        <f>SUM(E342:E344)</f>
        <v>0</v>
      </c>
      <c r="F341" s="163">
        <f>SUM(F342:F344)</f>
        <v>0</v>
      </c>
    </row>
    <row r="342" spans="1:6" ht="15.75">
      <c r="A342" s="160" t="s">
        <v>263</v>
      </c>
      <c r="B342" s="161">
        <f t="shared" ref="B342:C344" si="87">B334-B338</f>
        <v>0</v>
      </c>
      <c r="C342" s="161">
        <f t="shared" si="87"/>
        <v>0</v>
      </c>
      <c r="D342" s="161">
        <f>B342+C342</f>
        <v>0</v>
      </c>
      <c r="E342" s="161"/>
      <c r="F342" s="350"/>
    </row>
    <row r="343" spans="1:6" ht="15.75">
      <c r="A343" s="160" t="s">
        <v>264</v>
      </c>
      <c r="B343" s="161">
        <f t="shared" si="87"/>
        <v>0</v>
      </c>
      <c r="C343" s="161">
        <f t="shared" si="87"/>
        <v>0</v>
      </c>
      <c r="D343" s="161">
        <f>B343+C343</f>
        <v>0</v>
      </c>
      <c r="E343" s="159"/>
      <c r="F343" s="159"/>
    </row>
    <row r="344" spans="1:6" ht="15.75">
      <c r="A344" s="160" t="s">
        <v>265</v>
      </c>
      <c r="B344" s="161">
        <f t="shared" si="87"/>
        <v>0</v>
      </c>
      <c r="C344" s="161">
        <f t="shared" si="87"/>
        <v>0</v>
      </c>
      <c r="D344" s="161">
        <f>B344+C344</f>
        <v>0</v>
      </c>
      <c r="E344" s="161"/>
      <c r="F344" s="350"/>
    </row>
    <row r="345" spans="1:6" ht="15.75">
      <c r="A345" s="158" t="s">
        <v>273</v>
      </c>
      <c r="B345" s="159">
        <v>0</v>
      </c>
      <c r="C345" s="159">
        <v>0</v>
      </c>
      <c r="D345" s="159">
        <v>0</v>
      </c>
      <c r="E345" s="161"/>
      <c r="F345" s="350"/>
    </row>
    <row r="346" spans="1:6" ht="15.75">
      <c r="A346" s="162" t="s">
        <v>274</v>
      </c>
      <c r="B346" s="163">
        <f>B347</f>
        <v>9967.2999999999975</v>
      </c>
      <c r="C346" s="163">
        <f t="shared" ref="C346:D346" si="88">C347</f>
        <v>0</v>
      </c>
      <c r="D346" s="163">
        <f t="shared" si="88"/>
        <v>9967.3000000000011</v>
      </c>
      <c r="E346" s="161"/>
      <c r="F346" s="161"/>
    </row>
    <row r="347" spans="1:6" ht="15.75">
      <c r="A347" s="158" t="s">
        <v>275</v>
      </c>
      <c r="B347" s="159">
        <f>B348+B354</f>
        <v>9967.2999999999975</v>
      </c>
      <c r="C347" s="159">
        <f t="shared" ref="C347:D347" si="89">C348+C354</f>
        <v>0</v>
      </c>
      <c r="D347" s="159">
        <f t="shared" si="89"/>
        <v>9967.3000000000011</v>
      </c>
      <c r="E347" s="161"/>
      <c r="F347" s="161"/>
    </row>
    <row r="348" spans="1:6" ht="15.75">
      <c r="A348" s="157" t="s">
        <v>276</v>
      </c>
      <c r="B348" s="161">
        <f>SUM(B349:B353)-B350</f>
        <v>9466.659999999998</v>
      </c>
      <c r="C348" s="161">
        <f t="shared" ref="C348:D348" si="90">SUM(C349:C353)-C350</f>
        <v>459.24</v>
      </c>
      <c r="D348" s="161">
        <f t="shared" si="90"/>
        <v>9925.9000000000015</v>
      </c>
      <c r="E348" s="161"/>
      <c r="F348" s="161"/>
    </row>
    <row r="349" spans="1:6" ht="15.75">
      <c r="A349" s="164" t="s">
        <v>277</v>
      </c>
      <c r="B349" s="165">
        <v>6871.38</v>
      </c>
      <c r="C349" s="165">
        <v>390.35</v>
      </c>
      <c r="D349" s="165">
        <f>B349+C349</f>
        <v>7261.7300000000005</v>
      </c>
      <c r="E349" s="161"/>
      <c r="F349" s="161"/>
    </row>
    <row r="350" spans="1:6" ht="15.75">
      <c r="A350" s="166" t="s">
        <v>278</v>
      </c>
      <c r="B350" s="165">
        <f>SUM(B351:B352)</f>
        <v>1510.83</v>
      </c>
      <c r="C350" s="165">
        <f t="shared" ref="C350:D350" si="91">SUM(C351:C352)</f>
        <v>0</v>
      </c>
      <c r="D350" s="165">
        <f t="shared" si="91"/>
        <v>1510.83</v>
      </c>
      <c r="E350" s="161"/>
      <c r="F350" s="161"/>
    </row>
    <row r="351" spans="1:6" ht="31.5">
      <c r="A351" s="171" t="s">
        <v>303</v>
      </c>
      <c r="B351" s="165">
        <v>1429.62</v>
      </c>
      <c r="C351" s="165">
        <v>81.209999999999994</v>
      </c>
      <c r="D351" s="165">
        <f t="shared" ref="D351:D359" si="92">B351+C351</f>
        <v>1510.83</v>
      </c>
      <c r="E351" s="161"/>
      <c r="F351" s="161"/>
    </row>
    <row r="352" spans="1:6" ht="31.5">
      <c r="A352" s="171" t="s">
        <v>304</v>
      </c>
      <c r="B352" s="165">
        <v>81.209999999999994</v>
      </c>
      <c r="C352" s="165">
        <v>-81.209999999999994</v>
      </c>
      <c r="D352" s="165">
        <f t="shared" si="92"/>
        <v>0</v>
      </c>
      <c r="E352" s="161"/>
      <c r="F352" s="161"/>
    </row>
    <row r="353" spans="1:6" ht="15.75">
      <c r="A353" s="167" t="s">
        <v>289</v>
      </c>
      <c r="B353" s="165">
        <v>1084.4499999999998</v>
      </c>
      <c r="C353" s="165">
        <v>68.89</v>
      </c>
      <c r="D353" s="165">
        <f t="shared" si="92"/>
        <v>1153.3399999999999</v>
      </c>
      <c r="E353" s="161"/>
      <c r="F353" s="161"/>
    </row>
    <row r="354" spans="1:6" ht="15.75">
      <c r="A354" s="157" t="s">
        <v>282</v>
      </c>
      <c r="B354" s="161">
        <f>B355+B356</f>
        <v>500.64</v>
      </c>
      <c r="C354" s="161">
        <f t="shared" ref="C354:D354" si="93">C355+C356</f>
        <v>-459.24</v>
      </c>
      <c r="D354" s="161">
        <f t="shared" si="93"/>
        <v>41.4</v>
      </c>
      <c r="E354" s="161"/>
      <c r="F354" s="161"/>
    </row>
    <row r="355" spans="1:6" ht="15.75">
      <c r="A355" s="157" t="s">
        <v>283</v>
      </c>
      <c r="B355" s="168"/>
      <c r="C355" s="168"/>
      <c r="D355" s="168"/>
      <c r="E355" s="161"/>
      <c r="F355" s="161"/>
    </row>
    <row r="356" spans="1:6" ht="15.75">
      <c r="A356" s="157" t="s">
        <v>284</v>
      </c>
      <c r="B356" s="168">
        <f>SUM(B357:B359)</f>
        <v>500.64</v>
      </c>
      <c r="C356" s="168">
        <f t="shared" ref="C356:D356" si="94">SUM(C357:C359)</f>
        <v>-459.24</v>
      </c>
      <c r="D356" s="168">
        <f t="shared" si="94"/>
        <v>41.4</v>
      </c>
      <c r="E356" s="161"/>
      <c r="F356" s="161"/>
    </row>
    <row r="357" spans="1:6" ht="31.5">
      <c r="A357" s="172" t="s">
        <v>305</v>
      </c>
      <c r="B357" s="180">
        <v>390.35</v>
      </c>
      <c r="C357" s="165">
        <v>-390.35</v>
      </c>
      <c r="D357" s="165">
        <f t="shared" si="92"/>
        <v>0</v>
      </c>
      <c r="E357" s="161"/>
      <c r="F357" s="161"/>
    </row>
    <row r="358" spans="1:6" ht="15.75">
      <c r="A358" s="172" t="s">
        <v>306</v>
      </c>
      <c r="B358" s="165">
        <v>68.89</v>
      </c>
      <c r="C358" s="165">
        <v>-68.89</v>
      </c>
      <c r="D358" s="165">
        <f t="shared" si="92"/>
        <v>0</v>
      </c>
      <c r="E358" s="161"/>
      <c r="F358" s="161"/>
    </row>
    <row r="359" spans="1:6" ht="15.75">
      <c r="A359" s="166" t="s">
        <v>309</v>
      </c>
      <c r="B359" s="165">
        <v>41.4</v>
      </c>
      <c r="C359" s="161"/>
      <c r="D359" s="165">
        <f t="shared" si="92"/>
        <v>41.4</v>
      </c>
      <c r="E359" s="161"/>
      <c r="F359" s="161"/>
    </row>
    <row r="360" spans="1:6" s="122" customFormat="1" ht="15.75">
      <c r="A360" s="174" t="s">
        <v>314</v>
      </c>
      <c r="B360" s="175"/>
      <c r="C360" s="175"/>
      <c r="D360" s="175"/>
      <c r="E360" s="175"/>
      <c r="F360" s="175"/>
    </row>
    <row r="361" spans="1:6" ht="15.75">
      <c r="A361" s="156" t="s">
        <v>261</v>
      </c>
      <c r="B361" s="349">
        <f>B362</f>
        <v>0</v>
      </c>
      <c r="C361" s="349">
        <f>C362</f>
        <v>0</v>
      </c>
      <c r="D361" s="349">
        <f>D362</f>
        <v>0</v>
      </c>
      <c r="E361" s="349">
        <f>E362</f>
        <v>0</v>
      </c>
      <c r="F361" s="349">
        <f>F362</f>
        <v>0</v>
      </c>
    </row>
    <row r="362" spans="1:6" ht="15.75">
      <c r="A362" s="158" t="s">
        <v>262</v>
      </c>
      <c r="B362" s="159">
        <f>SUM(B363:B365)</f>
        <v>0</v>
      </c>
      <c r="C362" s="159">
        <f>SUM(C363:C365)</f>
        <v>0</v>
      </c>
      <c r="D362" s="159">
        <f>SUM(D363:D365)</f>
        <v>0</v>
      </c>
      <c r="E362" s="159">
        <f>SUM(E363:E365)</f>
        <v>0</v>
      </c>
      <c r="F362" s="159">
        <f>SUM(F363:F365)</f>
        <v>0</v>
      </c>
    </row>
    <row r="363" spans="1:6" ht="15.75">
      <c r="A363" s="160" t="s">
        <v>263</v>
      </c>
      <c r="B363" s="161">
        <v>0</v>
      </c>
      <c r="C363" s="161">
        <v>0</v>
      </c>
      <c r="D363" s="161">
        <f>B363+C363</f>
        <v>0</v>
      </c>
      <c r="E363" s="161"/>
      <c r="F363" s="350"/>
    </row>
    <row r="364" spans="1:6" ht="15.75">
      <c r="A364" s="160" t="s">
        <v>264</v>
      </c>
      <c r="B364" s="161">
        <v>0</v>
      </c>
      <c r="C364" s="161">
        <v>0</v>
      </c>
      <c r="D364" s="161">
        <f>B364+C364+C374</f>
        <v>0</v>
      </c>
      <c r="E364" s="159"/>
      <c r="F364" s="159"/>
    </row>
    <row r="365" spans="1:6" ht="15.75">
      <c r="A365" s="160" t="s">
        <v>265</v>
      </c>
      <c r="B365" s="161">
        <v>0</v>
      </c>
      <c r="C365" s="161">
        <v>0</v>
      </c>
      <c r="D365" s="161">
        <f>B365+C365</f>
        <v>0</v>
      </c>
      <c r="E365" s="161"/>
      <c r="F365" s="350"/>
    </row>
    <row r="366" spans="1:6" ht="15.75">
      <c r="A366" s="158" t="s">
        <v>266</v>
      </c>
      <c r="B366" s="159">
        <f>SUM(B367:B369)</f>
        <v>0</v>
      </c>
      <c r="C366" s="159">
        <f>SUM(C367:C369)</f>
        <v>0</v>
      </c>
      <c r="D366" s="159">
        <f>SUM(D367:D369)</f>
        <v>0</v>
      </c>
      <c r="E366" s="159">
        <f>SUM(E367:E369)</f>
        <v>0</v>
      </c>
      <c r="F366" s="159">
        <f>SUM(F367:F369)</f>
        <v>0</v>
      </c>
    </row>
    <row r="367" spans="1:6" ht="31.5">
      <c r="A367" s="160" t="s">
        <v>267</v>
      </c>
      <c r="B367" s="161">
        <f t="shared" ref="B367:C369" si="95">B363*60%</f>
        <v>0</v>
      </c>
      <c r="C367" s="161">
        <f t="shared" si="95"/>
        <v>0</v>
      </c>
      <c r="D367" s="161">
        <f>B367+C367</f>
        <v>0</v>
      </c>
      <c r="E367" s="165"/>
      <c r="F367" s="350"/>
    </row>
    <row r="368" spans="1:6" ht="31.5">
      <c r="A368" s="160" t="s">
        <v>268</v>
      </c>
      <c r="B368" s="161">
        <f t="shared" si="95"/>
        <v>0</v>
      </c>
      <c r="C368" s="161">
        <f t="shared" si="95"/>
        <v>0</v>
      </c>
      <c r="D368" s="161">
        <f>B368+C368</f>
        <v>0</v>
      </c>
      <c r="E368" s="161"/>
      <c r="F368" s="350"/>
    </row>
    <row r="369" spans="1:6" ht="15.75">
      <c r="A369" s="160" t="s">
        <v>269</v>
      </c>
      <c r="B369" s="161">
        <f t="shared" si="95"/>
        <v>0</v>
      </c>
      <c r="C369" s="161">
        <f t="shared" si="95"/>
        <v>0</v>
      </c>
      <c r="D369" s="161">
        <f>B369+C369</f>
        <v>0</v>
      </c>
      <c r="E369" s="165"/>
      <c r="F369" s="350"/>
    </row>
    <row r="370" spans="1:6" ht="15.75">
      <c r="A370" s="158" t="s">
        <v>311</v>
      </c>
      <c r="B370" s="163">
        <f>SUM(B371:B373)</f>
        <v>0</v>
      </c>
      <c r="C370" s="163">
        <f>SUM(C371:C373)</f>
        <v>0</v>
      </c>
      <c r="D370" s="163">
        <f>SUM(D371:D373)</f>
        <v>0</v>
      </c>
      <c r="E370" s="163">
        <f>SUM(E371:E373)</f>
        <v>0</v>
      </c>
      <c r="F370" s="163">
        <f>SUM(F371:F373)</f>
        <v>0</v>
      </c>
    </row>
    <row r="371" spans="1:6" ht="15.75">
      <c r="A371" s="160" t="s">
        <v>263</v>
      </c>
      <c r="B371" s="161">
        <f t="shared" ref="B371:C373" si="96">B363-B367</f>
        <v>0</v>
      </c>
      <c r="C371" s="161">
        <f t="shared" si="96"/>
        <v>0</v>
      </c>
      <c r="D371" s="161">
        <f>B371+C371</f>
        <v>0</v>
      </c>
      <c r="E371" s="161"/>
      <c r="F371" s="350"/>
    </row>
    <row r="372" spans="1:6" ht="15.75">
      <c r="A372" s="160" t="s">
        <v>264</v>
      </c>
      <c r="B372" s="161">
        <f t="shared" si="96"/>
        <v>0</v>
      </c>
      <c r="C372" s="161">
        <f t="shared" si="96"/>
        <v>0</v>
      </c>
      <c r="D372" s="161">
        <f>B372+C372</f>
        <v>0</v>
      </c>
      <c r="E372" s="159"/>
      <c r="F372" s="159"/>
    </row>
    <row r="373" spans="1:6" ht="15.75">
      <c r="A373" s="160" t="s">
        <v>265</v>
      </c>
      <c r="B373" s="161">
        <f t="shared" si="96"/>
        <v>0</v>
      </c>
      <c r="C373" s="161">
        <f t="shared" si="96"/>
        <v>0</v>
      </c>
      <c r="D373" s="161">
        <f>B373+C373</f>
        <v>0</v>
      </c>
      <c r="E373" s="161"/>
      <c r="F373" s="350"/>
    </row>
    <row r="374" spans="1:6" ht="15.75">
      <c r="A374" s="158" t="s">
        <v>273</v>
      </c>
      <c r="B374" s="159">
        <v>0</v>
      </c>
      <c r="C374" s="159"/>
      <c r="D374" s="159"/>
      <c r="E374" s="161"/>
      <c r="F374" s="350"/>
    </row>
    <row r="375" spans="1:6" ht="15.75">
      <c r="A375" s="162" t="s">
        <v>274</v>
      </c>
      <c r="B375" s="163">
        <f>B376</f>
        <v>5365</v>
      </c>
      <c r="C375" s="163">
        <f t="shared" ref="C375:D375" si="97">C376</f>
        <v>0</v>
      </c>
      <c r="D375" s="163">
        <f t="shared" si="97"/>
        <v>5365</v>
      </c>
      <c r="E375" s="161"/>
      <c r="F375" s="161"/>
    </row>
    <row r="376" spans="1:6" ht="15.75">
      <c r="A376" s="158" t="s">
        <v>275</v>
      </c>
      <c r="B376" s="159">
        <f>B377+B383</f>
        <v>5365</v>
      </c>
      <c r="C376" s="159">
        <f t="shared" ref="C376:D376" si="98">C377+C383</f>
        <v>0</v>
      </c>
      <c r="D376" s="159">
        <f t="shared" si="98"/>
        <v>5365</v>
      </c>
      <c r="E376" s="161"/>
      <c r="F376" s="161"/>
    </row>
    <row r="377" spans="1:6" ht="15.75">
      <c r="A377" s="157" t="s">
        <v>276</v>
      </c>
      <c r="B377" s="161">
        <f>SUM(B378:B382)-B379</f>
        <v>5365</v>
      </c>
      <c r="C377" s="161">
        <f t="shared" ref="C377:D377" si="99">SUM(C378:C382)-C379</f>
        <v>-293.49</v>
      </c>
      <c r="D377" s="161">
        <f t="shared" si="99"/>
        <v>5071.51</v>
      </c>
      <c r="E377" s="161"/>
      <c r="F377" s="161"/>
    </row>
    <row r="378" spans="1:6" ht="15.75">
      <c r="A378" s="164" t="s">
        <v>277</v>
      </c>
      <c r="B378" s="165">
        <v>3925</v>
      </c>
      <c r="C378" s="165">
        <v>-249.47</v>
      </c>
      <c r="D378" s="165">
        <f>B378+C378</f>
        <v>3675.53</v>
      </c>
      <c r="E378" s="161"/>
      <c r="F378" s="161"/>
    </row>
    <row r="379" spans="1:6" ht="15.75">
      <c r="A379" s="166" t="s">
        <v>278</v>
      </c>
      <c r="B379" s="165">
        <f>SUM(B380:B381)</f>
        <v>816.61</v>
      </c>
      <c r="C379" s="165">
        <f t="shared" ref="C379:D379" si="100">SUM(C380:C381)</f>
        <v>0</v>
      </c>
      <c r="D379" s="165">
        <f t="shared" si="100"/>
        <v>816.61</v>
      </c>
      <c r="E379" s="161"/>
      <c r="F379" s="161"/>
    </row>
    <row r="380" spans="1:6" s="182" customFormat="1" ht="31.5">
      <c r="A380" s="171" t="s">
        <v>303</v>
      </c>
      <c r="B380" s="165">
        <v>816.61</v>
      </c>
      <c r="C380" s="165">
        <v>-51.9</v>
      </c>
      <c r="D380" s="165">
        <f t="shared" ref="D380:D387" si="101">B380+C380</f>
        <v>764.71</v>
      </c>
      <c r="E380" s="165"/>
      <c r="F380" s="165"/>
    </row>
    <row r="381" spans="1:6" s="182" customFormat="1" ht="31.5">
      <c r="A381" s="171" t="s">
        <v>304</v>
      </c>
      <c r="B381" s="165"/>
      <c r="C381" s="165">
        <v>51.9</v>
      </c>
      <c r="D381" s="165">
        <f t="shared" si="101"/>
        <v>51.9</v>
      </c>
      <c r="E381" s="165"/>
      <c r="F381" s="165"/>
    </row>
    <row r="382" spans="1:6" ht="15.75">
      <c r="A382" s="167" t="s">
        <v>289</v>
      </c>
      <c r="B382" s="165">
        <v>623.39</v>
      </c>
      <c r="C382" s="165">
        <v>-44.02</v>
      </c>
      <c r="D382" s="165">
        <f t="shared" si="101"/>
        <v>579.37</v>
      </c>
      <c r="E382" s="161"/>
      <c r="F382" s="161"/>
    </row>
    <row r="383" spans="1:6" ht="15.75">
      <c r="A383" s="157" t="s">
        <v>282</v>
      </c>
      <c r="B383" s="161">
        <f>B384+B385</f>
        <v>0</v>
      </c>
      <c r="C383" s="161">
        <f t="shared" ref="C383:D383" si="102">C384+C385</f>
        <v>293.49</v>
      </c>
      <c r="D383" s="161">
        <f t="shared" si="102"/>
        <v>293.49</v>
      </c>
      <c r="E383" s="161"/>
      <c r="F383" s="161"/>
    </row>
    <row r="384" spans="1:6" ht="15.75">
      <c r="A384" s="157" t="s">
        <v>283</v>
      </c>
      <c r="B384" s="168"/>
      <c r="C384" s="168"/>
      <c r="D384" s="168"/>
      <c r="E384" s="161"/>
      <c r="F384" s="161"/>
    </row>
    <row r="385" spans="1:6" ht="15.75">
      <c r="A385" s="157" t="s">
        <v>284</v>
      </c>
      <c r="B385" s="168">
        <f>SUM(B386:B387)</f>
        <v>0</v>
      </c>
      <c r="C385" s="168">
        <f t="shared" ref="C385:D385" si="103">SUM(C386:C387)</f>
        <v>293.49</v>
      </c>
      <c r="D385" s="168">
        <f t="shared" si="103"/>
        <v>293.49</v>
      </c>
      <c r="E385" s="161"/>
      <c r="F385" s="161"/>
    </row>
    <row r="386" spans="1:6" s="182" customFormat="1" ht="31.5">
      <c r="A386" s="172" t="s">
        <v>305</v>
      </c>
      <c r="B386" s="180"/>
      <c r="C386" s="165">
        <v>249.47</v>
      </c>
      <c r="D386" s="165">
        <f t="shared" si="101"/>
        <v>249.47</v>
      </c>
      <c r="E386" s="165"/>
      <c r="F386" s="165"/>
    </row>
    <row r="387" spans="1:6" s="182" customFormat="1" ht="15.75">
      <c r="A387" s="172" t="s">
        <v>306</v>
      </c>
      <c r="B387" s="180"/>
      <c r="C387" s="165">
        <v>44.02</v>
      </c>
      <c r="D387" s="165">
        <f t="shared" si="101"/>
        <v>44.02</v>
      </c>
      <c r="E387" s="165"/>
      <c r="F387" s="165"/>
    </row>
    <row r="388" spans="1:6" ht="15.75">
      <c r="A388" s="174" t="s">
        <v>315</v>
      </c>
      <c r="B388" s="175"/>
      <c r="C388" s="175"/>
      <c r="D388" s="175"/>
      <c r="E388" s="175"/>
      <c r="F388" s="175"/>
    </row>
    <row r="389" spans="1:6" ht="15.75">
      <c r="A389" s="156" t="s">
        <v>261</v>
      </c>
      <c r="B389" s="349">
        <f>B390</f>
        <v>0</v>
      </c>
      <c r="C389" s="349">
        <f>C390</f>
        <v>0</v>
      </c>
      <c r="D389" s="349">
        <f>D390</f>
        <v>0</v>
      </c>
      <c r="E389" s="349">
        <f>E390</f>
        <v>0</v>
      </c>
      <c r="F389" s="349">
        <f>F390</f>
        <v>0</v>
      </c>
    </row>
    <row r="390" spans="1:6" ht="15.75">
      <c r="A390" s="158" t="s">
        <v>262</v>
      </c>
      <c r="B390" s="159">
        <f>SUM(B391:B393)</f>
        <v>0</v>
      </c>
      <c r="C390" s="159">
        <f>SUM(C391:C393)</f>
        <v>0</v>
      </c>
      <c r="D390" s="159">
        <f>SUM(D391:D393)</f>
        <v>0</v>
      </c>
      <c r="E390" s="159">
        <f>SUM(E391:E393)</f>
        <v>0</v>
      </c>
      <c r="F390" s="159">
        <f>SUM(F391:F393)</f>
        <v>0</v>
      </c>
    </row>
    <row r="391" spans="1:6" ht="15.75">
      <c r="A391" s="160" t="s">
        <v>263</v>
      </c>
      <c r="B391" s="161">
        <v>0</v>
      </c>
      <c r="C391" s="161">
        <v>0</v>
      </c>
      <c r="D391" s="161">
        <f>B391+C391</f>
        <v>0</v>
      </c>
      <c r="E391" s="161"/>
      <c r="F391" s="350"/>
    </row>
    <row r="392" spans="1:6" ht="15.75">
      <c r="A392" s="160" t="s">
        <v>264</v>
      </c>
      <c r="B392" s="161">
        <v>0</v>
      </c>
      <c r="C392" s="161">
        <v>0</v>
      </c>
      <c r="D392" s="161">
        <f>B392+C392+C402</f>
        <v>0</v>
      </c>
      <c r="E392" s="159"/>
      <c r="F392" s="159"/>
    </row>
    <row r="393" spans="1:6" ht="15.75">
      <c r="A393" s="160" t="s">
        <v>265</v>
      </c>
      <c r="B393" s="161">
        <v>0</v>
      </c>
      <c r="C393" s="161">
        <v>0</v>
      </c>
      <c r="D393" s="161">
        <f>B393+C393</f>
        <v>0</v>
      </c>
      <c r="E393" s="161"/>
      <c r="F393" s="350"/>
    </row>
    <row r="394" spans="1:6" ht="15.75">
      <c r="A394" s="158" t="s">
        <v>266</v>
      </c>
      <c r="B394" s="159">
        <f>SUM(B395:B397)</f>
        <v>0</v>
      </c>
      <c r="C394" s="159">
        <f>SUM(C395:C397)</f>
        <v>0</v>
      </c>
      <c r="D394" s="159">
        <f>SUM(D395:D397)</f>
        <v>0</v>
      </c>
      <c r="E394" s="159">
        <f>SUM(E395:E397)</f>
        <v>0</v>
      </c>
      <c r="F394" s="159">
        <f>SUM(F395:F397)</f>
        <v>0</v>
      </c>
    </row>
    <row r="395" spans="1:6" ht="31.5">
      <c r="A395" s="160" t="s">
        <v>267</v>
      </c>
      <c r="B395" s="161">
        <f t="shared" ref="B395:C397" si="104">B391*60%</f>
        <v>0</v>
      </c>
      <c r="C395" s="161">
        <f t="shared" si="104"/>
        <v>0</v>
      </c>
      <c r="D395" s="161">
        <f>B395+C395</f>
        <v>0</v>
      </c>
      <c r="E395" s="165"/>
      <c r="F395" s="350"/>
    </row>
    <row r="396" spans="1:6" ht="31.5">
      <c r="A396" s="160" t="s">
        <v>268</v>
      </c>
      <c r="B396" s="161">
        <f t="shared" si="104"/>
        <v>0</v>
      </c>
      <c r="C396" s="161">
        <f t="shared" si="104"/>
        <v>0</v>
      </c>
      <c r="D396" s="161">
        <f>B396+C396</f>
        <v>0</v>
      </c>
      <c r="E396" s="161"/>
      <c r="F396" s="350"/>
    </row>
    <row r="397" spans="1:6" ht="15.75">
      <c r="A397" s="160" t="s">
        <v>269</v>
      </c>
      <c r="B397" s="161">
        <f t="shared" si="104"/>
        <v>0</v>
      </c>
      <c r="C397" s="161">
        <f t="shared" si="104"/>
        <v>0</v>
      </c>
      <c r="D397" s="161">
        <f>B397+C397</f>
        <v>0</v>
      </c>
      <c r="E397" s="165"/>
      <c r="F397" s="350"/>
    </row>
    <row r="398" spans="1:6" ht="15.75">
      <c r="A398" s="158" t="s">
        <v>311</v>
      </c>
      <c r="B398" s="163">
        <f>SUM(B399:B401)</f>
        <v>0</v>
      </c>
      <c r="C398" s="163">
        <f>SUM(C399:C401)</f>
        <v>0</v>
      </c>
      <c r="D398" s="163">
        <f>SUM(D399:D401)</f>
        <v>0</v>
      </c>
      <c r="E398" s="163">
        <f>SUM(E399:E401)</f>
        <v>0</v>
      </c>
      <c r="F398" s="163">
        <f>SUM(F399:F401)</f>
        <v>0</v>
      </c>
    </row>
    <row r="399" spans="1:6" ht="15.75">
      <c r="A399" s="160" t="s">
        <v>263</v>
      </c>
      <c r="B399" s="161">
        <f t="shared" ref="B399:C401" si="105">B391-B395</f>
        <v>0</v>
      </c>
      <c r="C399" s="161">
        <f t="shared" si="105"/>
        <v>0</v>
      </c>
      <c r="D399" s="161">
        <f>B399+C399</f>
        <v>0</v>
      </c>
      <c r="E399" s="161"/>
      <c r="F399" s="350"/>
    </row>
    <row r="400" spans="1:6" ht="15.75">
      <c r="A400" s="160" t="s">
        <v>264</v>
      </c>
      <c r="B400" s="161">
        <f t="shared" si="105"/>
        <v>0</v>
      </c>
      <c r="C400" s="161">
        <f t="shared" si="105"/>
        <v>0</v>
      </c>
      <c r="D400" s="161">
        <f>B400+C400</f>
        <v>0</v>
      </c>
      <c r="E400" s="159"/>
      <c r="F400" s="159"/>
    </row>
    <row r="401" spans="1:6" ht="15.75">
      <c r="A401" s="160" t="s">
        <v>265</v>
      </c>
      <c r="B401" s="161">
        <f t="shared" si="105"/>
        <v>0</v>
      </c>
      <c r="C401" s="161">
        <f t="shared" si="105"/>
        <v>0</v>
      </c>
      <c r="D401" s="161">
        <f>B401+C401</f>
        <v>0</v>
      </c>
      <c r="E401" s="161"/>
      <c r="F401" s="350"/>
    </row>
    <row r="402" spans="1:6" ht="15.75">
      <c r="A402" s="158" t="s">
        <v>273</v>
      </c>
      <c r="B402" s="159">
        <v>0</v>
      </c>
      <c r="C402" s="159"/>
      <c r="D402" s="159"/>
      <c r="E402" s="161"/>
      <c r="F402" s="350"/>
    </row>
    <row r="403" spans="1:6" ht="15.75">
      <c r="A403" s="162" t="s">
        <v>274</v>
      </c>
      <c r="B403" s="163">
        <f>B404</f>
        <v>4848.9500000000007</v>
      </c>
      <c r="C403" s="163">
        <f t="shared" ref="C403:D403" si="106">C404</f>
        <v>0</v>
      </c>
      <c r="D403" s="163">
        <f t="shared" si="106"/>
        <v>4848.9500000000007</v>
      </c>
      <c r="E403" s="161"/>
      <c r="F403" s="161"/>
    </row>
    <row r="404" spans="1:6" ht="15.75">
      <c r="A404" s="158" t="s">
        <v>275</v>
      </c>
      <c r="B404" s="159">
        <f>B405+B411</f>
        <v>4848.9500000000007</v>
      </c>
      <c r="C404" s="159">
        <f t="shared" ref="C404:D404" si="107">C405+C411</f>
        <v>0</v>
      </c>
      <c r="D404" s="159">
        <f t="shared" si="107"/>
        <v>4848.9500000000007</v>
      </c>
      <c r="E404" s="161"/>
      <c r="F404" s="161"/>
    </row>
    <row r="405" spans="1:6" ht="15.75">
      <c r="A405" s="157" t="s">
        <v>276</v>
      </c>
      <c r="B405" s="161">
        <f>SUM(B406:B410)-B407</f>
        <v>4645.3500000000004</v>
      </c>
      <c r="C405" s="161">
        <f t="shared" ref="C405:D405" si="108">SUM(C406:C410)-C407</f>
        <v>-95.92</v>
      </c>
      <c r="D405" s="161">
        <f t="shared" si="108"/>
        <v>4549.4300000000012</v>
      </c>
      <c r="E405" s="161"/>
      <c r="F405" s="161"/>
    </row>
    <row r="406" spans="1:6" ht="15.75">
      <c r="A406" s="164" t="s">
        <v>277</v>
      </c>
      <c r="B406" s="165">
        <v>3375.79</v>
      </c>
      <c r="C406" s="165">
        <v>-81.53</v>
      </c>
      <c r="D406" s="165">
        <f>B406+C406</f>
        <v>3294.2599999999998</v>
      </c>
      <c r="E406" s="161"/>
      <c r="F406" s="161"/>
    </row>
    <row r="407" spans="1:6" ht="15.75">
      <c r="A407" s="166" t="s">
        <v>278</v>
      </c>
      <c r="B407" s="165">
        <f>SUM(B408:B409)</f>
        <v>736.28</v>
      </c>
      <c r="C407" s="165">
        <f t="shared" ref="C407:D407" si="109">SUM(C408:C409)</f>
        <v>0</v>
      </c>
      <c r="D407" s="165">
        <f t="shared" si="109"/>
        <v>736.28</v>
      </c>
      <c r="E407" s="161"/>
      <c r="F407" s="161"/>
    </row>
    <row r="408" spans="1:6" ht="31.5">
      <c r="A408" s="171" t="s">
        <v>303</v>
      </c>
      <c r="B408" s="165">
        <v>702.35</v>
      </c>
      <c r="C408" s="165">
        <v>-16.96</v>
      </c>
      <c r="D408" s="165">
        <f t="shared" ref="D408:D416" si="110">B408+C408</f>
        <v>685.39</v>
      </c>
      <c r="E408" s="161"/>
      <c r="F408" s="161"/>
    </row>
    <row r="409" spans="1:6" ht="31.5">
      <c r="A409" s="171" t="s">
        <v>304</v>
      </c>
      <c r="B409" s="165">
        <v>33.93</v>
      </c>
      <c r="C409" s="165">
        <v>16.96</v>
      </c>
      <c r="D409" s="165">
        <f t="shared" si="110"/>
        <v>50.89</v>
      </c>
      <c r="E409" s="161"/>
      <c r="F409" s="161"/>
    </row>
    <row r="410" spans="1:6" ht="15.75">
      <c r="A410" s="167" t="s">
        <v>289</v>
      </c>
      <c r="B410" s="165">
        <v>533.28</v>
      </c>
      <c r="C410" s="165">
        <v>-14.39</v>
      </c>
      <c r="D410" s="165">
        <f t="shared" si="110"/>
        <v>518.89</v>
      </c>
      <c r="E410" s="161"/>
      <c r="F410" s="161"/>
    </row>
    <row r="411" spans="1:6" ht="15.75">
      <c r="A411" s="157" t="s">
        <v>282</v>
      </c>
      <c r="B411" s="161">
        <f>B412+B413</f>
        <v>203.6</v>
      </c>
      <c r="C411" s="161">
        <f t="shared" ref="C411:D411" si="111">C412+C413</f>
        <v>95.92</v>
      </c>
      <c r="D411" s="161">
        <f t="shared" si="111"/>
        <v>299.52</v>
      </c>
      <c r="E411" s="161"/>
      <c r="F411" s="161"/>
    </row>
    <row r="412" spans="1:6" ht="15.75">
      <c r="A412" s="157" t="s">
        <v>283</v>
      </c>
      <c r="B412" s="168"/>
      <c r="C412" s="168"/>
      <c r="D412" s="168"/>
      <c r="E412" s="161"/>
      <c r="F412" s="161"/>
    </row>
    <row r="413" spans="1:6" ht="15.75">
      <c r="A413" s="157" t="s">
        <v>284</v>
      </c>
      <c r="B413" s="168">
        <f>SUM(B414:B416)</f>
        <v>203.6</v>
      </c>
      <c r="C413" s="168">
        <f t="shared" ref="C413:D413" si="112">SUM(C414:C416)</f>
        <v>95.92</v>
      </c>
      <c r="D413" s="168">
        <f t="shared" si="112"/>
        <v>299.52</v>
      </c>
      <c r="E413" s="161"/>
      <c r="F413" s="161"/>
    </row>
    <row r="414" spans="1:6" ht="31.5">
      <c r="A414" s="172" t="s">
        <v>305</v>
      </c>
      <c r="B414" s="180">
        <v>163.06</v>
      </c>
      <c r="C414" s="161">
        <v>81.53</v>
      </c>
      <c r="D414" s="165">
        <f t="shared" si="110"/>
        <v>244.59</v>
      </c>
      <c r="E414" s="161"/>
      <c r="F414" s="161"/>
    </row>
    <row r="415" spans="1:6" ht="15.75">
      <c r="A415" s="172" t="s">
        <v>306</v>
      </c>
      <c r="B415" s="165">
        <v>28.78</v>
      </c>
      <c r="C415" s="161">
        <v>14.39</v>
      </c>
      <c r="D415" s="165">
        <f t="shared" si="110"/>
        <v>43.17</v>
      </c>
      <c r="E415" s="161"/>
      <c r="F415" s="161"/>
    </row>
    <row r="416" spans="1:6" ht="15.75">
      <c r="A416" s="166" t="s">
        <v>309</v>
      </c>
      <c r="B416" s="165">
        <v>11.76</v>
      </c>
      <c r="C416" s="161"/>
      <c r="D416" s="165">
        <f t="shared" si="110"/>
        <v>11.76</v>
      </c>
      <c r="E416" s="161"/>
      <c r="F416" s="161"/>
    </row>
    <row r="417" spans="1:6" ht="15.75">
      <c r="A417" s="174" t="s">
        <v>316</v>
      </c>
      <c r="B417" s="175"/>
      <c r="C417" s="175"/>
      <c r="D417" s="175"/>
      <c r="E417" s="175"/>
      <c r="F417" s="175"/>
    </row>
    <row r="418" spans="1:6" ht="15.75">
      <c r="A418" s="156" t="s">
        <v>261</v>
      </c>
      <c r="B418" s="349">
        <f>B419</f>
        <v>0</v>
      </c>
      <c r="C418" s="349">
        <f>C419</f>
        <v>0</v>
      </c>
      <c r="D418" s="349">
        <f>D419</f>
        <v>0</v>
      </c>
      <c r="E418" s="349">
        <f>E419</f>
        <v>0</v>
      </c>
      <c r="F418" s="349">
        <f>F419</f>
        <v>0</v>
      </c>
    </row>
    <row r="419" spans="1:6" ht="15.75">
      <c r="A419" s="158" t="s">
        <v>262</v>
      </c>
      <c r="B419" s="159">
        <f>SUM(B420:B422)</f>
        <v>0</v>
      </c>
      <c r="C419" s="159">
        <f>SUM(C420:C422)</f>
        <v>0</v>
      </c>
      <c r="D419" s="159">
        <f>SUM(D420:D422)</f>
        <v>0</v>
      </c>
      <c r="E419" s="159">
        <f>SUM(E420:E422)</f>
        <v>0</v>
      </c>
      <c r="F419" s="159">
        <f>SUM(F420:F422)</f>
        <v>0</v>
      </c>
    </row>
    <row r="420" spans="1:6" ht="15.75">
      <c r="A420" s="160" t="s">
        <v>263</v>
      </c>
      <c r="B420" s="161">
        <v>0</v>
      </c>
      <c r="C420" s="161">
        <v>0</v>
      </c>
      <c r="D420" s="161">
        <f>B420+C420</f>
        <v>0</v>
      </c>
      <c r="E420" s="161"/>
      <c r="F420" s="350"/>
    </row>
    <row r="421" spans="1:6" ht="15.75">
      <c r="A421" s="160" t="s">
        <v>264</v>
      </c>
      <c r="B421" s="161">
        <v>0</v>
      </c>
      <c r="C421" s="161">
        <v>0</v>
      </c>
      <c r="D421" s="161">
        <f>B421+C421+C431</f>
        <v>0</v>
      </c>
      <c r="E421" s="159"/>
      <c r="F421" s="159"/>
    </row>
    <row r="422" spans="1:6" ht="15.75">
      <c r="A422" s="160" t="s">
        <v>265</v>
      </c>
      <c r="B422" s="161">
        <v>0</v>
      </c>
      <c r="C422" s="161">
        <v>0</v>
      </c>
      <c r="D422" s="161">
        <f>B422+C422</f>
        <v>0</v>
      </c>
      <c r="E422" s="161"/>
      <c r="F422" s="350"/>
    </row>
    <row r="423" spans="1:6" ht="15.75">
      <c r="A423" s="158" t="s">
        <v>266</v>
      </c>
      <c r="B423" s="159">
        <f>SUM(B424:B426)</f>
        <v>0</v>
      </c>
      <c r="C423" s="159">
        <f>SUM(C424:C426)</f>
        <v>0</v>
      </c>
      <c r="D423" s="159">
        <f>SUM(D424:D426)</f>
        <v>0</v>
      </c>
      <c r="E423" s="159">
        <f>SUM(E424:E426)</f>
        <v>0</v>
      </c>
      <c r="F423" s="159">
        <f>SUM(F424:F426)</f>
        <v>0</v>
      </c>
    </row>
    <row r="424" spans="1:6" ht="31.5">
      <c r="A424" s="160" t="s">
        <v>267</v>
      </c>
      <c r="B424" s="161">
        <f t="shared" ref="B424:C426" si="113">B420*60%</f>
        <v>0</v>
      </c>
      <c r="C424" s="161">
        <f t="shared" si="113"/>
        <v>0</v>
      </c>
      <c r="D424" s="161">
        <f>B424+C424</f>
        <v>0</v>
      </c>
      <c r="E424" s="165"/>
      <c r="F424" s="350"/>
    </row>
    <row r="425" spans="1:6" ht="31.5">
      <c r="A425" s="160" t="s">
        <v>268</v>
      </c>
      <c r="B425" s="161">
        <f t="shared" si="113"/>
        <v>0</v>
      </c>
      <c r="C425" s="161">
        <f t="shared" si="113"/>
        <v>0</v>
      </c>
      <c r="D425" s="161">
        <f>B425+C425</f>
        <v>0</v>
      </c>
      <c r="E425" s="161"/>
      <c r="F425" s="350"/>
    </row>
    <row r="426" spans="1:6" ht="15.75">
      <c r="A426" s="160" t="s">
        <v>269</v>
      </c>
      <c r="B426" s="161">
        <f t="shared" si="113"/>
        <v>0</v>
      </c>
      <c r="C426" s="161">
        <f t="shared" si="113"/>
        <v>0</v>
      </c>
      <c r="D426" s="161">
        <f>B426+C426</f>
        <v>0</v>
      </c>
      <c r="E426" s="165"/>
      <c r="F426" s="350"/>
    </row>
    <row r="427" spans="1:6" ht="15.75">
      <c r="A427" s="158" t="s">
        <v>311</v>
      </c>
      <c r="B427" s="163">
        <f>SUM(B428:B430)</f>
        <v>0</v>
      </c>
      <c r="C427" s="163">
        <f>SUM(C428:C430)</f>
        <v>0</v>
      </c>
      <c r="D427" s="163">
        <f>SUM(D428:D430)</f>
        <v>0</v>
      </c>
      <c r="E427" s="163">
        <f>SUM(E428:E430)</f>
        <v>0</v>
      </c>
      <c r="F427" s="163">
        <f>SUM(F428:F430)</f>
        <v>0</v>
      </c>
    </row>
    <row r="428" spans="1:6" ht="15.75">
      <c r="A428" s="160" t="s">
        <v>263</v>
      </c>
      <c r="B428" s="161">
        <f t="shared" ref="B428:C430" si="114">B420-B424</f>
        <v>0</v>
      </c>
      <c r="C428" s="161">
        <f t="shared" si="114"/>
        <v>0</v>
      </c>
      <c r="D428" s="161">
        <f>B428+C428</f>
        <v>0</v>
      </c>
      <c r="E428" s="161"/>
      <c r="F428" s="350"/>
    </row>
    <row r="429" spans="1:6" ht="15.75">
      <c r="A429" s="160" t="s">
        <v>264</v>
      </c>
      <c r="B429" s="161">
        <f t="shared" si="114"/>
        <v>0</v>
      </c>
      <c r="C429" s="161">
        <f t="shared" si="114"/>
        <v>0</v>
      </c>
      <c r="D429" s="161">
        <f>B429+C429</f>
        <v>0</v>
      </c>
      <c r="E429" s="159"/>
      <c r="F429" s="159"/>
    </row>
    <row r="430" spans="1:6" ht="15.75">
      <c r="A430" s="160" t="s">
        <v>265</v>
      </c>
      <c r="B430" s="161">
        <f t="shared" si="114"/>
        <v>0</v>
      </c>
      <c r="C430" s="161">
        <f t="shared" si="114"/>
        <v>0</v>
      </c>
      <c r="D430" s="161">
        <f>B430+C430</f>
        <v>0</v>
      </c>
      <c r="E430" s="161"/>
      <c r="F430" s="350"/>
    </row>
    <row r="431" spans="1:6" ht="15.75">
      <c r="A431" s="158" t="s">
        <v>273</v>
      </c>
      <c r="B431" s="159">
        <v>0</v>
      </c>
      <c r="C431" s="159"/>
      <c r="D431" s="159"/>
      <c r="E431" s="161"/>
      <c r="F431" s="350"/>
    </row>
    <row r="432" spans="1:6" ht="15.75">
      <c r="A432" s="162" t="s">
        <v>274</v>
      </c>
      <c r="B432" s="163">
        <f>B433</f>
        <v>4388.8899999999994</v>
      </c>
      <c r="C432" s="163">
        <f t="shared" ref="C432:D432" si="115">C433</f>
        <v>0</v>
      </c>
      <c r="D432" s="163">
        <f t="shared" si="115"/>
        <v>4388.8900000000003</v>
      </c>
      <c r="E432" s="161"/>
      <c r="F432" s="161"/>
    </row>
    <row r="433" spans="1:6" ht="15.75">
      <c r="A433" s="158" t="s">
        <v>275</v>
      </c>
      <c r="B433" s="159">
        <f>B434+B440</f>
        <v>4388.8899999999994</v>
      </c>
      <c r="C433" s="159">
        <f t="shared" ref="C433:D433" si="116">C434+C440</f>
        <v>0</v>
      </c>
      <c r="D433" s="159">
        <f t="shared" si="116"/>
        <v>4388.8900000000003</v>
      </c>
      <c r="E433" s="161"/>
      <c r="F433" s="161"/>
    </row>
    <row r="434" spans="1:6" ht="15.75">
      <c r="A434" s="157" t="s">
        <v>276</v>
      </c>
      <c r="B434" s="161">
        <f>SUM(B435:B439)-B436</f>
        <v>4108.45</v>
      </c>
      <c r="C434" s="161">
        <f t="shared" ref="C434:D434" si="117">SUM(C435:C439)-C436</f>
        <v>19.729999999999997</v>
      </c>
      <c r="D434" s="161">
        <f t="shared" si="117"/>
        <v>4128.18</v>
      </c>
      <c r="E434" s="161"/>
      <c r="F434" s="161"/>
    </row>
    <row r="435" spans="1:6" ht="15.75">
      <c r="A435" s="164" t="s">
        <v>277</v>
      </c>
      <c r="B435" s="165">
        <v>2972.52</v>
      </c>
      <c r="C435" s="161">
        <v>16.77</v>
      </c>
      <c r="D435" s="165">
        <f>B435+C435</f>
        <v>2989.29</v>
      </c>
      <c r="E435" s="161"/>
      <c r="F435" s="161"/>
    </row>
    <row r="436" spans="1:6" ht="15.75">
      <c r="A436" s="166" t="s">
        <v>278</v>
      </c>
      <c r="B436" s="165">
        <f>SUM(B437:B438)</f>
        <v>668.03000000000009</v>
      </c>
      <c r="C436" s="165">
        <f t="shared" ref="C436:D436" si="118">SUM(C437:C438)</f>
        <v>0</v>
      </c>
      <c r="D436" s="165">
        <f t="shared" si="118"/>
        <v>668.03000000000009</v>
      </c>
      <c r="E436" s="161"/>
      <c r="F436" s="161"/>
    </row>
    <row r="437" spans="1:6" ht="31.5">
      <c r="A437" s="171" t="s">
        <v>303</v>
      </c>
      <c r="B437" s="165">
        <v>618.44000000000005</v>
      </c>
      <c r="C437" s="161">
        <v>3.49</v>
      </c>
      <c r="D437" s="165">
        <f t="shared" ref="D437:D444" si="119">B437+C437</f>
        <v>621.93000000000006</v>
      </c>
      <c r="E437" s="161"/>
      <c r="F437" s="161"/>
    </row>
    <row r="438" spans="1:6" ht="31.5">
      <c r="A438" s="171" t="s">
        <v>304</v>
      </c>
      <c r="B438" s="165">
        <v>49.59</v>
      </c>
      <c r="C438" s="161">
        <v>-3.49</v>
      </c>
      <c r="D438" s="165">
        <f t="shared" si="119"/>
        <v>46.1</v>
      </c>
      <c r="E438" s="161"/>
      <c r="F438" s="161"/>
    </row>
    <row r="439" spans="1:6" ht="15.75">
      <c r="A439" s="167" t="s">
        <v>289</v>
      </c>
      <c r="B439" s="165">
        <v>467.9</v>
      </c>
      <c r="C439" s="161">
        <v>2.96</v>
      </c>
      <c r="D439" s="165">
        <f t="shared" si="119"/>
        <v>470.85999999999996</v>
      </c>
      <c r="E439" s="161"/>
      <c r="F439" s="161"/>
    </row>
    <row r="440" spans="1:6" ht="15.75">
      <c r="A440" s="157" t="s">
        <v>282</v>
      </c>
      <c r="B440" s="161">
        <f>B441+B442</f>
        <v>280.44</v>
      </c>
      <c r="C440" s="161">
        <f t="shared" ref="C440:D440" si="120">C441+C442</f>
        <v>-19.73</v>
      </c>
      <c r="D440" s="161">
        <f t="shared" si="120"/>
        <v>260.70999999999998</v>
      </c>
      <c r="E440" s="161"/>
      <c r="F440" s="161"/>
    </row>
    <row r="441" spans="1:6" ht="15.75">
      <c r="A441" s="157" t="s">
        <v>283</v>
      </c>
      <c r="B441" s="168"/>
      <c r="C441" s="168"/>
      <c r="D441" s="168"/>
      <c r="E441" s="161"/>
      <c r="F441" s="161"/>
    </row>
    <row r="442" spans="1:6" ht="15.75">
      <c r="A442" s="157" t="s">
        <v>284</v>
      </c>
      <c r="B442" s="168">
        <f>SUM(B443:B445)</f>
        <v>280.44</v>
      </c>
      <c r="C442" s="168">
        <f t="shared" ref="C442:D442" si="121">SUM(C443:C445)</f>
        <v>-19.73</v>
      </c>
      <c r="D442" s="168">
        <f t="shared" si="121"/>
        <v>260.70999999999998</v>
      </c>
      <c r="E442" s="161"/>
      <c r="F442" s="161"/>
    </row>
    <row r="443" spans="1:6" ht="31.5">
      <c r="A443" s="172" t="s">
        <v>305</v>
      </c>
      <c r="B443" s="180">
        <v>238.37</v>
      </c>
      <c r="C443" s="165">
        <v>-16.77</v>
      </c>
      <c r="D443" s="165">
        <f t="shared" si="119"/>
        <v>221.6</v>
      </c>
      <c r="E443" s="161"/>
      <c r="F443" s="161"/>
    </row>
    <row r="444" spans="1:6" ht="15.75">
      <c r="A444" s="172" t="s">
        <v>306</v>
      </c>
      <c r="B444" s="165">
        <v>42.07</v>
      </c>
      <c r="C444" s="165">
        <v>-2.96</v>
      </c>
      <c r="D444" s="165">
        <f t="shared" si="119"/>
        <v>39.11</v>
      </c>
      <c r="E444" s="161"/>
      <c r="F444" s="161"/>
    </row>
    <row r="445" spans="1:6" ht="15.75">
      <c r="A445" s="174" t="s">
        <v>317</v>
      </c>
      <c r="B445" s="175"/>
      <c r="C445" s="175"/>
      <c r="D445" s="175"/>
      <c r="E445" s="175"/>
      <c r="F445" s="175"/>
    </row>
    <row r="446" spans="1:6" ht="15.75">
      <c r="A446" s="156" t="s">
        <v>261</v>
      </c>
      <c r="B446" s="349">
        <f>B447</f>
        <v>0</v>
      </c>
      <c r="C446" s="349">
        <f>C447</f>
        <v>0</v>
      </c>
      <c r="D446" s="349">
        <f>D447</f>
        <v>0</v>
      </c>
      <c r="E446" s="349">
        <f>E447</f>
        <v>0</v>
      </c>
      <c r="F446" s="349">
        <f>F447</f>
        <v>0</v>
      </c>
    </row>
    <row r="447" spans="1:6" ht="15.75">
      <c r="A447" s="158" t="s">
        <v>262</v>
      </c>
      <c r="B447" s="159">
        <f>SUM(B448:B450)</f>
        <v>0</v>
      </c>
      <c r="C447" s="159">
        <f>SUM(C448:C450)</f>
        <v>0</v>
      </c>
      <c r="D447" s="159">
        <f>SUM(D448:D450)</f>
        <v>0</v>
      </c>
      <c r="E447" s="159">
        <f>SUM(E448:E450)</f>
        <v>0</v>
      </c>
      <c r="F447" s="159">
        <f>SUM(F448:F450)</f>
        <v>0</v>
      </c>
    </row>
    <row r="448" spans="1:6" ht="15.75">
      <c r="A448" s="160" t="s">
        <v>263</v>
      </c>
      <c r="B448" s="161">
        <v>0</v>
      </c>
      <c r="C448" s="161">
        <v>0</v>
      </c>
      <c r="D448" s="161">
        <f>B448+C448</f>
        <v>0</v>
      </c>
      <c r="E448" s="161"/>
      <c r="F448" s="350"/>
    </row>
    <row r="449" spans="1:6" ht="15.75">
      <c r="A449" s="160" t="s">
        <v>264</v>
      </c>
      <c r="B449" s="161">
        <v>0</v>
      </c>
      <c r="C449" s="161">
        <v>0</v>
      </c>
      <c r="D449" s="161">
        <f>B449+C449+C459</f>
        <v>0</v>
      </c>
      <c r="E449" s="159"/>
      <c r="F449" s="159"/>
    </row>
    <row r="450" spans="1:6" ht="15.75">
      <c r="A450" s="160" t="s">
        <v>265</v>
      </c>
      <c r="B450" s="161">
        <v>0</v>
      </c>
      <c r="C450" s="161">
        <v>0</v>
      </c>
      <c r="D450" s="161">
        <f>B450+C450</f>
        <v>0</v>
      </c>
      <c r="E450" s="161"/>
      <c r="F450" s="350"/>
    </row>
    <row r="451" spans="1:6" ht="15.75">
      <c r="A451" s="158" t="s">
        <v>266</v>
      </c>
      <c r="B451" s="159">
        <f>SUM(B452:B454)</f>
        <v>0</v>
      </c>
      <c r="C451" s="159">
        <f>SUM(C452:C454)</f>
        <v>0</v>
      </c>
      <c r="D451" s="159">
        <f>SUM(D452:D454)</f>
        <v>0</v>
      </c>
      <c r="E451" s="159">
        <f>SUM(E452:E454)</f>
        <v>0</v>
      </c>
      <c r="F451" s="159">
        <f>SUM(F452:F454)</f>
        <v>0</v>
      </c>
    </row>
    <row r="452" spans="1:6" ht="31.5">
      <c r="A452" s="160" t="s">
        <v>267</v>
      </c>
      <c r="B452" s="161">
        <f t="shared" ref="B452:C454" si="122">B448*60%</f>
        <v>0</v>
      </c>
      <c r="C452" s="161">
        <f t="shared" si="122"/>
        <v>0</v>
      </c>
      <c r="D452" s="161">
        <f>B452+C452</f>
        <v>0</v>
      </c>
      <c r="E452" s="165"/>
      <c r="F452" s="350"/>
    </row>
    <row r="453" spans="1:6" ht="31.5">
      <c r="A453" s="160" t="s">
        <v>268</v>
      </c>
      <c r="B453" s="161">
        <f t="shared" si="122"/>
        <v>0</v>
      </c>
      <c r="C453" s="161">
        <f t="shared" si="122"/>
        <v>0</v>
      </c>
      <c r="D453" s="161">
        <f>B453+C453</f>
        <v>0</v>
      </c>
      <c r="E453" s="161"/>
      <c r="F453" s="350"/>
    </row>
    <row r="454" spans="1:6" ht="15.75">
      <c r="A454" s="160" t="s">
        <v>269</v>
      </c>
      <c r="B454" s="161">
        <f t="shared" si="122"/>
        <v>0</v>
      </c>
      <c r="C454" s="161">
        <f t="shared" si="122"/>
        <v>0</v>
      </c>
      <c r="D454" s="161">
        <f>B454+C454</f>
        <v>0</v>
      </c>
      <c r="E454" s="165"/>
      <c r="F454" s="350"/>
    </row>
    <row r="455" spans="1:6" ht="15.75">
      <c r="A455" s="158" t="s">
        <v>311</v>
      </c>
      <c r="B455" s="163">
        <f>SUM(B456:B458)</f>
        <v>0</v>
      </c>
      <c r="C455" s="163">
        <f>SUM(C456:C458)</f>
        <v>0</v>
      </c>
      <c r="D455" s="163">
        <f>SUM(D456:D458)</f>
        <v>0</v>
      </c>
      <c r="E455" s="163">
        <f>SUM(E456:E458)</f>
        <v>0</v>
      </c>
      <c r="F455" s="163">
        <f>SUM(F456:F458)</f>
        <v>0</v>
      </c>
    </row>
    <row r="456" spans="1:6" ht="15.75">
      <c r="A456" s="160" t="s">
        <v>263</v>
      </c>
      <c r="B456" s="161">
        <f t="shared" ref="B456:C458" si="123">B448-B452</f>
        <v>0</v>
      </c>
      <c r="C456" s="161">
        <f t="shared" si="123"/>
        <v>0</v>
      </c>
      <c r="D456" s="161">
        <f>B456+C456</f>
        <v>0</v>
      </c>
      <c r="E456" s="161"/>
      <c r="F456" s="350"/>
    </row>
    <row r="457" spans="1:6" ht="15.75">
      <c r="A457" s="160" t="s">
        <v>264</v>
      </c>
      <c r="B457" s="161">
        <f t="shared" si="123"/>
        <v>0</v>
      </c>
      <c r="C457" s="161">
        <f t="shared" si="123"/>
        <v>0</v>
      </c>
      <c r="D457" s="161">
        <f>B457+C457</f>
        <v>0</v>
      </c>
      <c r="E457" s="159"/>
      <c r="F457" s="159"/>
    </row>
    <row r="458" spans="1:6" ht="15.75">
      <c r="A458" s="160" t="s">
        <v>265</v>
      </c>
      <c r="B458" s="161">
        <f t="shared" si="123"/>
        <v>0</v>
      </c>
      <c r="C458" s="161">
        <f t="shared" si="123"/>
        <v>0</v>
      </c>
      <c r="D458" s="161">
        <f>B458+C458</f>
        <v>0</v>
      </c>
      <c r="E458" s="161"/>
      <c r="F458" s="350"/>
    </row>
    <row r="459" spans="1:6" ht="15.75">
      <c r="A459" s="158" t="s">
        <v>273</v>
      </c>
      <c r="B459" s="159">
        <v>0</v>
      </c>
      <c r="C459" s="159"/>
      <c r="D459" s="159"/>
      <c r="E459" s="161"/>
      <c r="F459" s="350"/>
    </row>
    <row r="460" spans="1:6" ht="15.75">
      <c r="A460" s="162" t="s">
        <v>274</v>
      </c>
      <c r="B460" s="163">
        <f>B461</f>
        <v>4953.57</v>
      </c>
      <c r="C460" s="163">
        <f t="shared" ref="C460:D460" si="124">C461</f>
        <v>0</v>
      </c>
      <c r="D460" s="163">
        <f t="shared" si="124"/>
        <v>4953.5700000000015</v>
      </c>
      <c r="E460" s="161"/>
      <c r="F460" s="161"/>
    </row>
    <row r="461" spans="1:6" ht="15.75">
      <c r="A461" s="158" t="s">
        <v>275</v>
      </c>
      <c r="B461" s="159">
        <f>B462+B468</f>
        <v>4953.57</v>
      </c>
      <c r="C461" s="159">
        <f t="shared" ref="C461:D461" si="125">C462+C468</f>
        <v>0</v>
      </c>
      <c r="D461" s="159">
        <f t="shared" si="125"/>
        <v>4953.5700000000015</v>
      </c>
      <c r="E461" s="161"/>
      <c r="F461" s="161"/>
    </row>
    <row r="462" spans="1:6" ht="15.75">
      <c r="A462" s="157" t="s">
        <v>276</v>
      </c>
      <c r="B462" s="161">
        <f>SUM(B463:B467)-B464</f>
        <v>4953.57</v>
      </c>
      <c r="C462" s="161">
        <f t="shared" ref="C462:D462" si="126">SUM(C463:C467)-C464</f>
        <v>-93.81</v>
      </c>
      <c r="D462" s="161">
        <f t="shared" si="126"/>
        <v>4859.7600000000011</v>
      </c>
      <c r="E462" s="161"/>
      <c r="F462" s="161"/>
    </row>
    <row r="463" spans="1:6" ht="15.75">
      <c r="A463" s="164" t="s">
        <v>277</v>
      </c>
      <c r="B463" s="165">
        <v>3624.01</v>
      </c>
      <c r="C463" s="165">
        <v>-79.739999999999995</v>
      </c>
      <c r="D463" s="165">
        <f>B463+C463</f>
        <v>3544.2700000000004</v>
      </c>
      <c r="E463" s="161"/>
      <c r="F463" s="161"/>
    </row>
    <row r="464" spans="1:6" ht="15.75">
      <c r="A464" s="166" t="s">
        <v>278</v>
      </c>
      <c r="B464" s="165">
        <f>SUM(B465:B466)</f>
        <v>753.99</v>
      </c>
      <c r="C464" s="165">
        <f t="shared" ref="C464" si="127">SUM(C465:C466)</f>
        <v>0</v>
      </c>
      <c r="D464" s="165">
        <f>SUM(D465:D466)</f>
        <v>753.99</v>
      </c>
      <c r="E464" s="161"/>
      <c r="F464" s="161"/>
    </row>
    <row r="465" spans="1:6" ht="31.5">
      <c r="A465" s="171" t="s">
        <v>303</v>
      </c>
      <c r="B465" s="165">
        <v>753.99</v>
      </c>
      <c r="C465" s="165">
        <v>-16.559999999999999</v>
      </c>
      <c r="D465" s="165">
        <f>B465+C465</f>
        <v>737.43000000000006</v>
      </c>
      <c r="E465" s="161"/>
      <c r="F465" s="161"/>
    </row>
    <row r="466" spans="1:6" ht="31.5">
      <c r="A466" s="171" t="s">
        <v>304</v>
      </c>
      <c r="B466" s="165"/>
      <c r="C466" s="165">
        <v>16.559999999999999</v>
      </c>
      <c r="D466" s="165">
        <f t="shared" ref="D466:D467" si="128">B466+C466</f>
        <v>16.559999999999999</v>
      </c>
      <c r="E466" s="161"/>
      <c r="F466" s="161"/>
    </row>
    <row r="467" spans="1:6" ht="15.75">
      <c r="A467" s="167" t="s">
        <v>289</v>
      </c>
      <c r="B467" s="165">
        <v>575.56999999999994</v>
      </c>
      <c r="C467" s="165">
        <v>-14.07</v>
      </c>
      <c r="D467" s="165">
        <f t="shared" si="128"/>
        <v>561.49999999999989</v>
      </c>
      <c r="E467" s="161"/>
      <c r="F467" s="161"/>
    </row>
    <row r="468" spans="1:6" ht="15.75">
      <c r="A468" s="157" t="s">
        <v>282</v>
      </c>
      <c r="B468" s="161">
        <f>B469+B470</f>
        <v>0</v>
      </c>
      <c r="C468" s="161">
        <f t="shared" ref="C468:D468" si="129">C469+C470</f>
        <v>93.81</v>
      </c>
      <c r="D468" s="161">
        <f t="shared" si="129"/>
        <v>93.81</v>
      </c>
      <c r="E468" s="161"/>
      <c r="F468" s="161"/>
    </row>
    <row r="469" spans="1:6" ht="15.75">
      <c r="A469" s="157" t="s">
        <v>283</v>
      </c>
      <c r="B469" s="168"/>
      <c r="C469" s="168"/>
      <c r="D469" s="168"/>
      <c r="E469" s="161"/>
      <c r="F469" s="161"/>
    </row>
    <row r="470" spans="1:6" ht="15.75">
      <c r="A470" s="157" t="s">
        <v>284</v>
      </c>
      <c r="B470" s="168">
        <f>SUM(B471:B472)</f>
        <v>0</v>
      </c>
      <c r="C470" s="168">
        <f t="shared" ref="C470:D470" si="130">SUM(C471:C472)</f>
        <v>93.81</v>
      </c>
      <c r="D470" s="168">
        <f t="shared" si="130"/>
        <v>93.81</v>
      </c>
      <c r="E470" s="161"/>
      <c r="F470" s="161"/>
    </row>
    <row r="471" spans="1:6" s="182" customFormat="1" ht="31.5">
      <c r="A471" s="172" t="s">
        <v>305</v>
      </c>
      <c r="B471" s="180"/>
      <c r="C471" s="165">
        <v>79.739999999999995</v>
      </c>
      <c r="D471" s="165">
        <f t="shared" ref="D471:D472" si="131">B471+C471</f>
        <v>79.739999999999995</v>
      </c>
      <c r="E471" s="165"/>
      <c r="F471" s="165"/>
    </row>
    <row r="472" spans="1:6" s="182" customFormat="1" ht="15.75">
      <c r="A472" s="172" t="s">
        <v>306</v>
      </c>
      <c r="B472" s="180"/>
      <c r="C472" s="165">
        <v>14.07</v>
      </c>
      <c r="D472" s="165">
        <f t="shared" si="131"/>
        <v>14.07</v>
      </c>
      <c r="E472" s="165"/>
      <c r="F472" s="165"/>
    </row>
    <row r="473" spans="1:6" ht="15.75">
      <c r="A473" s="174" t="s">
        <v>568</v>
      </c>
      <c r="B473" s="175"/>
      <c r="C473" s="175"/>
      <c r="D473" s="175"/>
      <c r="E473" s="175"/>
      <c r="F473" s="175"/>
    </row>
    <row r="474" spans="1:6" ht="15.75">
      <c r="A474" s="156" t="s">
        <v>261</v>
      </c>
      <c r="B474" s="349">
        <f>B475</f>
        <v>0</v>
      </c>
      <c r="C474" s="349">
        <f>C475</f>
        <v>0</v>
      </c>
      <c r="D474" s="349">
        <f>D475</f>
        <v>0</v>
      </c>
      <c r="E474" s="349">
        <f>E475</f>
        <v>0</v>
      </c>
      <c r="F474" s="349">
        <f>F475</f>
        <v>0</v>
      </c>
    </row>
    <row r="475" spans="1:6" ht="15.75">
      <c r="A475" s="158" t="s">
        <v>262</v>
      </c>
      <c r="B475" s="159">
        <f>SUM(B476:B478)</f>
        <v>0</v>
      </c>
      <c r="C475" s="159">
        <f>SUM(C476:C478)</f>
        <v>0</v>
      </c>
      <c r="D475" s="159">
        <f>SUM(D476:D478)</f>
        <v>0</v>
      </c>
      <c r="E475" s="159">
        <f>SUM(E476:E478)</f>
        <v>0</v>
      </c>
      <c r="F475" s="159">
        <f>SUM(F476:F478)</f>
        <v>0</v>
      </c>
    </row>
    <row r="476" spans="1:6" ht="15.75">
      <c r="A476" s="160" t="s">
        <v>263</v>
      </c>
      <c r="B476" s="161">
        <v>0</v>
      </c>
      <c r="C476" s="161">
        <v>0</v>
      </c>
      <c r="D476" s="161">
        <f>B476+C476</f>
        <v>0</v>
      </c>
      <c r="E476" s="161"/>
      <c r="F476" s="350"/>
    </row>
    <row r="477" spans="1:6" ht="15.75">
      <c r="A477" s="160" t="s">
        <v>264</v>
      </c>
      <c r="B477" s="161">
        <v>0</v>
      </c>
      <c r="C477" s="161">
        <v>0</v>
      </c>
      <c r="D477" s="161">
        <f>B477+C477+C487</f>
        <v>0</v>
      </c>
      <c r="E477" s="159"/>
      <c r="F477" s="159"/>
    </row>
    <row r="478" spans="1:6" ht="15.75">
      <c r="A478" s="160" t="s">
        <v>265</v>
      </c>
      <c r="B478" s="161">
        <v>0</v>
      </c>
      <c r="C478" s="161">
        <v>0</v>
      </c>
      <c r="D478" s="161">
        <f>B478+C478</f>
        <v>0</v>
      </c>
      <c r="E478" s="161"/>
      <c r="F478" s="350"/>
    </row>
    <row r="479" spans="1:6" ht="15.75">
      <c r="A479" s="158" t="s">
        <v>266</v>
      </c>
      <c r="B479" s="159">
        <f>SUM(B480:B482)</f>
        <v>0</v>
      </c>
      <c r="C479" s="159">
        <f>SUM(C480:C482)</f>
        <v>0</v>
      </c>
      <c r="D479" s="159">
        <f>SUM(D480:D482)</f>
        <v>0</v>
      </c>
      <c r="E479" s="159">
        <f>SUM(E480:E482)</f>
        <v>0</v>
      </c>
      <c r="F479" s="159">
        <f>SUM(F480:F482)</f>
        <v>0</v>
      </c>
    </row>
    <row r="480" spans="1:6" ht="31.5">
      <c r="A480" s="160" t="s">
        <v>267</v>
      </c>
      <c r="B480" s="161">
        <f t="shared" ref="B480:C482" si="132">B476*60%</f>
        <v>0</v>
      </c>
      <c r="C480" s="161">
        <f t="shared" si="132"/>
        <v>0</v>
      </c>
      <c r="D480" s="161">
        <f>B480+C480</f>
        <v>0</v>
      </c>
      <c r="E480" s="165"/>
      <c r="F480" s="350"/>
    </row>
    <row r="481" spans="1:6" ht="31.5">
      <c r="A481" s="160" t="s">
        <v>268</v>
      </c>
      <c r="B481" s="161">
        <f t="shared" si="132"/>
        <v>0</v>
      </c>
      <c r="C481" s="161">
        <f>C477*60%</f>
        <v>0</v>
      </c>
      <c r="D481" s="161">
        <f>B481+C481</f>
        <v>0</v>
      </c>
      <c r="E481" s="161"/>
      <c r="F481" s="350"/>
    </row>
    <row r="482" spans="1:6" ht="15.75">
      <c r="A482" s="160" t="s">
        <v>269</v>
      </c>
      <c r="B482" s="161">
        <f t="shared" si="132"/>
        <v>0</v>
      </c>
      <c r="C482" s="161">
        <f t="shared" si="132"/>
        <v>0</v>
      </c>
      <c r="D482" s="161">
        <f>B482+C482</f>
        <v>0</v>
      </c>
      <c r="E482" s="165"/>
      <c r="F482" s="350"/>
    </row>
    <row r="483" spans="1:6" ht="15.75">
      <c r="A483" s="158" t="s">
        <v>311</v>
      </c>
      <c r="B483" s="163">
        <f>SUM(B484:B486)</f>
        <v>0</v>
      </c>
      <c r="C483" s="163">
        <f>SUM(C484:C486)</f>
        <v>0</v>
      </c>
      <c r="D483" s="163">
        <f>SUM(D484:D486)</f>
        <v>0</v>
      </c>
      <c r="E483" s="163">
        <f>SUM(E484:E486)</f>
        <v>0</v>
      </c>
      <c r="F483" s="163">
        <f>SUM(F484:F486)</f>
        <v>0</v>
      </c>
    </row>
    <row r="484" spans="1:6" ht="15.75">
      <c r="A484" s="160" t="s">
        <v>263</v>
      </c>
      <c r="B484" s="161">
        <f t="shared" ref="B484:C486" si="133">B476-B480</f>
        <v>0</v>
      </c>
      <c r="C484" s="161">
        <f t="shared" si="133"/>
        <v>0</v>
      </c>
      <c r="D484" s="161">
        <f>B484+C484</f>
        <v>0</v>
      </c>
      <c r="E484" s="161"/>
      <c r="F484" s="350"/>
    </row>
    <row r="485" spans="1:6" ht="15.75">
      <c r="A485" s="160" t="s">
        <v>264</v>
      </c>
      <c r="B485" s="161">
        <f t="shared" si="133"/>
        <v>0</v>
      </c>
      <c r="C485" s="161">
        <f t="shared" si="133"/>
        <v>0</v>
      </c>
      <c r="D485" s="161">
        <f>B485+C485</f>
        <v>0</v>
      </c>
      <c r="E485" s="159"/>
      <c r="F485" s="159"/>
    </row>
    <row r="486" spans="1:6" ht="15.75">
      <c r="A486" s="160" t="s">
        <v>265</v>
      </c>
      <c r="B486" s="161">
        <f t="shared" si="133"/>
        <v>0</v>
      </c>
      <c r="C486" s="161">
        <f t="shared" si="133"/>
        <v>0</v>
      </c>
      <c r="D486" s="161">
        <f>B486+C486</f>
        <v>0</v>
      </c>
      <c r="E486" s="161"/>
      <c r="F486" s="350"/>
    </row>
    <row r="487" spans="1:6" ht="15.75">
      <c r="A487" s="158" t="s">
        <v>273</v>
      </c>
      <c r="B487" s="159">
        <v>0</v>
      </c>
      <c r="C487" s="159"/>
      <c r="D487" s="159"/>
      <c r="E487" s="161"/>
      <c r="F487" s="350"/>
    </row>
    <row r="488" spans="1:6" ht="15.75">
      <c r="A488" s="162" t="s">
        <v>274</v>
      </c>
      <c r="B488" s="163">
        <f>B489</f>
        <v>5249.23</v>
      </c>
      <c r="C488" s="163">
        <f t="shared" ref="C488:D488" si="134">C489</f>
        <v>0</v>
      </c>
      <c r="D488" s="163">
        <f t="shared" si="134"/>
        <v>5249.23</v>
      </c>
      <c r="E488" s="161"/>
      <c r="F488" s="161"/>
    </row>
    <row r="489" spans="1:6" ht="15.75">
      <c r="A489" s="158" t="s">
        <v>275</v>
      </c>
      <c r="B489" s="159">
        <f>B490+B496</f>
        <v>5249.23</v>
      </c>
      <c r="C489" s="159">
        <f t="shared" ref="C489:D489" si="135">C490+C496</f>
        <v>0</v>
      </c>
      <c r="D489" s="159">
        <f t="shared" si="135"/>
        <v>5249.23</v>
      </c>
      <c r="E489" s="161"/>
      <c r="F489" s="161"/>
    </row>
    <row r="490" spans="1:6" ht="15.75">
      <c r="A490" s="157" t="s">
        <v>276</v>
      </c>
      <c r="B490" s="161">
        <f>SUM(B491:B495)-B492</f>
        <v>5008.28</v>
      </c>
      <c r="C490" s="161">
        <f t="shared" ref="C490:D490" si="136">SUM(C491:C495)-C492</f>
        <v>49.11</v>
      </c>
      <c r="D490" s="161">
        <f t="shared" si="136"/>
        <v>5057.3899999999994</v>
      </c>
      <c r="E490" s="161"/>
      <c r="F490" s="161"/>
    </row>
    <row r="491" spans="1:6" ht="15.75">
      <c r="A491" s="164" t="s">
        <v>277</v>
      </c>
      <c r="B491" s="165">
        <v>3635.5</v>
      </c>
      <c r="C491" s="165">
        <v>41.74</v>
      </c>
      <c r="D491" s="165">
        <f>B491+C491</f>
        <v>3677.24</v>
      </c>
      <c r="E491" s="161"/>
      <c r="F491" s="161"/>
    </row>
    <row r="492" spans="1:6" ht="15.75">
      <c r="A492" s="166" t="s">
        <v>278</v>
      </c>
      <c r="B492" s="165">
        <f>SUM(B493:B494)</f>
        <v>798.99</v>
      </c>
      <c r="C492" s="165">
        <f t="shared" ref="C492:D492" si="137">SUM(C493:C494)</f>
        <v>0</v>
      </c>
      <c r="D492" s="165">
        <f t="shared" si="137"/>
        <v>798.9899999999999</v>
      </c>
      <c r="E492" s="161"/>
      <c r="F492" s="161"/>
    </row>
    <row r="493" spans="1:6" ht="31.5">
      <c r="A493" s="171" t="s">
        <v>303</v>
      </c>
      <c r="B493" s="165">
        <v>756.38</v>
      </c>
      <c r="C493" s="165">
        <v>8.68</v>
      </c>
      <c r="D493" s="165">
        <f t="shared" ref="D493:D495" si="138">B493+C493</f>
        <v>765.06</v>
      </c>
      <c r="E493" s="161"/>
      <c r="F493" s="161"/>
    </row>
    <row r="494" spans="1:6" ht="31.5">
      <c r="A494" s="171" t="s">
        <v>304</v>
      </c>
      <c r="B494" s="165">
        <v>42.61</v>
      </c>
      <c r="C494" s="165">
        <v>-8.68</v>
      </c>
      <c r="D494" s="165">
        <f t="shared" si="138"/>
        <v>33.93</v>
      </c>
      <c r="E494" s="161"/>
      <c r="F494" s="161"/>
    </row>
    <row r="495" spans="1:6" ht="15.75">
      <c r="A495" s="167" t="s">
        <v>289</v>
      </c>
      <c r="B495" s="165">
        <v>573.79</v>
      </c>
      <c r="C495" s="165">
        <v>7.37</v>
      </c>
      <c r="D495" s="165">
        <f t="shared" si="138"/>
        <v>581.16</v>
      </c>
      <c r="E495" s="161"/>
      <c r="F495" s="161"/>
    </row>
    <row r="496" spans="1:6" ht="15.75">
      <c r="A496" s="157" t="s">
        <v>282</v>
      </c>
      <c r="B496" s="161">
        <f>B497+B498</f>
        <v>240.95000000000002</v>
      </c>
      <c r="C496" s="161">
        <f t="shared" ref="C496:D496" si="139">C497+C498</f>
        <v>-49.11</v>
      </c>
      <c r="D496" s="161">
        <f t="shared" si="139"/>
        <v>191.84</v>
      </c>
      <c r="E496" s="161"/>
      <c r="F496" s="161"/>
    </row>
    <row r="497" spans="1:6" ht="15.75">
      <c r="A497" s="157" t="s">
        <v>283</v>
      </c>
      <c r="B497" s="168"/>
      <c r="C497" s="168"/>
      <c r="D497" s="168"/>
      <c r="E497" s="161"/>
      <c r="F497" s="161"/>
    </row>
    <row r="498" spans="1:6" ht="15.75">
      <c r="A498" s="157" t="s">
        <v>284</v>
      </c>
      <c r="B498" s="168">
        <f>SUM(B499:B501)</f>
        <v>240.95000000000002</v>
      </c>
      <c r="C498" s="168">
        <f t="shared" ref="C498:D498" si="140">SUM(C499:C501)</f>
        <v>-49.11</v>
      </c>
      <c r="D498" s="168">
        <f t="shared" si="140"/>
        <v>191.84</v>
      </c>
      <c r="E498" s="161"/>
      <c r="F498" s="161"/>
    </row>
    <row r="499" spans="1:6" ht="31.5">
      <c r="A499" s="172" t="s">
        <v>305</v>
      </c>
      <c r="B499" s="180">
        <v>204.8</v>
      </c>
      <c r="C499" s="165">
        <v>-41.74</v>
      </c>
      <c r="D499" s="165">
        <f t="shared" ref="D499:D500" si="141">B499+C499</f>
        <v>163.06</v>
      </c>
      <c r="E499" s="161"/>
      <c r="F499" s="161"/>
    </row>
    <row r="500" spans="1:6" ht="15.75">
      <c r="A500" s="172" t="s">
        <v>306</v>
      </c>
      <c r="B500" s="165">
        <v>36.15</v>
      </c>
      <c r="C500" s="165">
        <v>-7.37</v>
      </c>
      <c r="D500" s="165">
        <f t="shared" si="141"/>
        <v>28.779999999999998</v>
      </c>
      <c r="E500" s="161"/>
      <c r="F500" s="161"/>
    </row>
    <row r="501" spans="1:6" ht="15.75">
      <c r="A501" s="174" t="s">
        <v>318</v>
      </c>
      <c r="B501" s="177"/>
      <c r="C501" s="177"/>
      <c r="D501" s="177"/>
      <c r="E501" s="177"/>
      <c r="F501" s="177"/>
    </row>
    <row r="502" spans="1:6" ht="15.75">
      <c r="A502" s="167" t="s">
        <v>261</v>
      </c>
      <c r="B502" s="349">
        <f>B503</f>
        <v>0</v>
      </c>
      <c r="C502" s="349">
        <f>C503</f>
        <v>0</v>
      </c>
      <c r="D502" s="349">
        <f>D503</f>
        <v>0</v>
      </c>
      <c r="E502" s="349">
        <f>E503</f>
        <v>0</v>
      </c>
      <c r="F502" s="349">
        <f>F503</f>
        <v>0</v>
      </c>
    </row>
    <row r="503" spans="1:6" ht="15.75">
      <c r="A503" s="166" t="s">
        <v>262</v>
      </c>
      <c r="B503" s="159">
        <f>SUM(B504:B506)</f>
        <v>0</v>
      </c>
      <c r="C503" s="159">
        <f>SUM(C504:C506)</f>
        <v>0</v>
      </c>
      <c r="D503" s="159">
        <f>SUM(D504:D506)</f>
        <v>0</v>
      </c>
      <c r="E503" s="159">
        <f>SUM(E504:E506)</f>
        <v>0</v>
      </c>
      <c r="F503" s="159">
        <f>SUM(F504:F506)</f>
        <v>0</v>
      </c>
    </row>
    <row r="504" spans="1:6" ht="15.75">
      <c r="A504" s="167" t="s">
        <v>263</v>
      </c>
      <c r="B504" s="161">
        <v>0</v>
      </c>
      <c r="C504" s="161">
        <v>0</v>
      </c>
      <c r="D504" s="161">
        <f>B504+C504</f>
        <v>0</v>
      </c>
      <c r="E504" s="161"/>
      <c r="F504" s="350"/>
    </row>
    <row r="505" spans="1:6" ht="15.75">
      <c r="A505" s="157" t="s">
        <v>264</v>
      </c>
      <c r="B505" s="161">
        <v>0</v>
      </c>
      <c r="C505" s="161">
        <v>0</v>
      </c>
      <c r="D505" s="161">
        <f>B505+C505+C515</f>
        <v>0</v>
      </c>
      <c r="E505" s="159"/>
      <c r="F505" s="159"/>
    </row>
    <row r="506" spans="1:6" ht="15.75">
      <c r="A506" s="157" t="s">
        <v>265</v>
      </c>
      <c r="B506" s="161">
        <v>0</v>
      </c>
      <c r="C506" s="161">
        <v>0</v>
      </c>
      <c r="D506" s="161">
        <f>B506+C506</f>
        <v>0</v>
      </c>
      <c r="E506" s="161"/>
      <c r="F506" s="350"/>
    </row>
    <row r="507" spans="1:6" ht="15.75">
      <c r="A507" s="157" t="s">
        <v>266</v>
      </c>
      <c r="B507" s="159">
        <f>SUM(B508:B510)</f>
        <v>0</v>
      </c>
      <c r="C507" s="159">
        <f>SUM(C508:C510)</f>
        <v>0</v>
      </c>
      <c r="D507" s="159">
        <f>SUM(D508:D510)</f>
        <v>0</v>
      </c>
      <c r="E507" s="159">
        <f>SUM(E508:E510)</f>
        <v>0</v>
      </c>
      <c r="F507" s="159">
        <f>SUM(F508:F510)</f>
        <v>0</v>
      </c>
    </row>
    <row r="508" spans="1:6" ht="31.5">
      <c r="A508" s="172" t="s">
        <v>267</v>
      </c>
      <c r="B508" s="161">
        <f t="shared" ref="B508:C510" si="142">B504*60%</f>
        <v>0</v>
      </c>
      <c r="C508" s="161">
        <f t="shared" si="142"/>
        <v>0</v>
      </c>
      <c r="D508" s="161">
        <f>B508+C508</f>
        <v>0</v>
      </c>
      <c r="E508" s="165"/>
      <c r="F508" s="350"/>
    </row>
    <row r="509" spans="1:6" ht="31.5">
      <c r="A509" s="172" t="s">
        <v>268</v>
      </c>
      <c r="B509" s="161">
        <f t="shared" si="142"/>
        <v>0</v>
      </c>
      <c r="C509" s="161">
        <f t="shared" si="142"/>
        <v>0</v>
      </c>
      <c r="D509" s="161">
        <f>B509+C509</f>
        <v>0</v>
      </c>
      <c r="E509" s="161"/>
      <c r="F509" s="350"/>
    </row>
    <row r="510" spans="1:6" ht="15.75">
      <c r="A510" s="166" t="s">
        <v>269</v>
      </c>
      <c r="B510" s="161">
        <f t="shared" si="142"/>
        <v>0</v>
      </c>
      <c r="C510" s="161">
        <f t="shared" si="142"/>
        <v>0</v>
      </c>
      <c r="D510" s="161">
        <f>B510+C510</f>
        <v>0</v>
      </c>
      <c r="E510" s="165"/>
      <c r="F510" s="350"/>
    </row>
    <row r="511" spans="1:6" ht="15.75">
      <c r="A511" s="167" t="s">
        <v>311</v>
      </c>
      <c r="B511" s="163">
        <f>SUM(B512:B514)</f>
        <v>0</v>
      </c>
      <c r="C511" s="163">
        <f>SUM(C512:C514)</f>
        <v>0</v>
      </c>
      <c r="D511" s="163">
        <f>SUM(D512:D514)</f>
        <v>0</v>
      </c>
      <c r="E511" s="163">
        <f>SUM(E512:E514)</f>
        <v>0</v>
      </c>
      <c r="F511" s="163">
        <f>SUM(F512:F514)</f>
        <v>0</v>
      </c>
    </row>
    <row r="512" spans="1:6" ht="15.75">
      <c r="A512" s="176" t="s">
        <v>263</v>
      </c>
      <c r="B512" s="161">
        <f t="shared" ref="B512:C514" si="143">B504-B508</f>
        <v>0</v>
      </c>
      <c r="C512" s="161">
        <f t="shared" si="143"/>
        <v>0</v>
      </c>
      <c r="D512" s="161">
        <f>B512+C512</f>
        <v>0</v>
      </c>
      <c r="E512" s="161"/>
      <c r="F512" s="350"/>
    </row>
    <row r="513" spans="1:6" ht="15.75">
      <c r="A513" s="173" t="s">
        <v>264</v>
      </c>
      <c r="B513" s="161">
        <f t="shared" si="143"/>
        <v>0</v>
      </c>
      <c r="C513" s="161">
        <f t="shared" si="143"/>
        <v>0</v>
      </c>
      <c r="D513" s="161">
        <f>B513+C513</f>
        <v>0</v>
      </c>
      <c r="E513" s="159"/>
      <c r="F513" s="159"/>
    </row>
    <row r="514" spans="1:6" ht="15.75">
      <c r="A514" s="173" t="s">
        <v>265</v>
      </c>
      <c r="B514" s="161">
        <f t="shared" si="143"/>
        <v>0</v>
      </c>
      <c r="C514" s="161">
        <f t="shared" si="143"/>
        <v>0</v>
      </c>
      <c r="D514" s="161">
        <f>B514+C514</f>
        <v>0</v>
      </c>
      <c r="E514" s="161"/>
      <c r="F514" s="350"/>
    </row>
    <row r="515" spans="1:6" ht="15.75">
      <c r="A515" s="173" t="s">
        <v>273</v>
      </c>
      <c r="B515" s="159">
        <v>0</v>
      </c>
      <c r="C515" s="159"/>
      <c r="D515" s="159"/>
      <c r="E515" s="161"/>
      <c r="F515" s="350"/>
    </row>
    <row r="516" spans="1:6" ht="15.75">
      <c r="A516" s="162" t="s">
        <v>274</v>
      </c>
      <c r="B516" s="163">
        <f>B517</f>
        <v>7647.34</v>
      </c>
      <c r="C516" s="163">
        <f t="shared" ref="C516:D516" si="144">C517</f>
        <v>0</v>
      </c>
      <c r="D516" s="163">
        <f t="shared" si="144"/>
        <v>7647.34</v>
      </c>
      <c r="E516" s="161"/>
      <c r="F516" s="161"/>
    </row>
    <row r="517" spans="1:6" ht="15.75">
      <c r="A517" s="158" t="s">
        <v>275</v>
      </c>
      <c r="B517" s="159">
        <f>B518+B526</f>
        <v>7647.34</v>
      </c>
      <c r="C517" s="159">
        <f t="shared" ref="C517:D517" si="145">C518+C526</f>
        <v>0</v>
      </c>
      <c r="D517" s="159">
        <f t="shared" si="145"/>
        <v>7647.34</v>
      </c>
      <c r="E517" s="161"/>
      <c r="F517" s="161"/>
    </row>
    <row r="518" spans="1:6" ht="15.75">
      <c r="A518" s="157" t="s">
        <v>276</v>
      </c>
      <c r="B518" s="161">
        <f>SUM(B519:B525)-B520</f>
        <v>7599.66</v>
      </c>
      <c r="C518" s="161">
        <f t="shared" ref="C518" si="146">SUM(C519:C525)-C520</f>
        <v>-338.81</v>
      </c>
      <c r="D518" s="161">
        <f>SUM(D519:D525)-D520</f>
        <v>7260.85</v>
      </c>
      <c r="E518" s="161"/>
      <c r="F518" s="161"/>
    </row>
    <row r="519" spans="1:6" ht="15.75">
      <c r="A519" s="164" t="s">
        <v>277</v>
      </c>
      <c r="B519" s="165">
        <v>5390.9</v>
      </c>
      <c r="C519" s="165">
        <v>-287.99</v>
      </c>
      <c r="D519" s="165">
        <f>B519+C519</f>
        <v>5102.91</v>
      </c>
      <c r="E519" s="161"/>
      <c r="F519" s="161"/>
    </row>
    <row r="520" spans="1:6" ht="15.75">
      <c r="A520" s="166" t="s">
        <v>278</v>
      </c>
      <c r="B520" s="165">
        <f>SUM(B521:B522)</f>
        <v>1121.5999999999999</v>
      </c>
      <c r="C520" s="165">
        <f t="shared" ref="C520:D520" si="147">SUM(C521:C522)</f>
        <v>0</v>
      </c>
      <c r="D520" s="165">
        <f t="shared" si="147"/>
        <v>1121.5999999999999</v>
      </c>
      <c r="E520" s="161"/>
      <c r="F520" s="161"/>
    </row>
    <row r="521" spans="1:6" s="182" customFormat="1" ht="31.5">
      <c r="A521" s="171" t="s">
        <v>303</v>
      </c>
      <c r="B521" s="165">
        <v>1121.5999999999999</v>
      </c>
      <c r="C521" s="165">
        <v>-59.92</v>
      </c>
      <c r="D521" s="165">
        <f t="shared" ref="D521:D525" si="148">B521+C521</f>
        <v>1061.6799999999998</v>
      </c>
      <c r="E521" s="165"/>
      <c r="F521" s="165"/>
    </row>
    <row r="522" spans="1:6" s="182" customFormat="1" ht="31.5">
      <c r="A522" s="171" t="s">
        <v>304</v>
      </c>
      <c r="B522" s="165"/>
      <c r="C522" s="165">
        <v>59.92</v>
      </c>
      <c r="D522" s="165">
        <f t="shared" si="148"/>
        <v>59.92</v>
      </c>
      <c r="E522" s="165"/>
      <c r="F522" s="165"/>
    </row>
    <row r="523" spans="1:6" ht="15.75">
      <c r="A523" s="167" t="s">
        <v>289</v>
      </c>
      <c r="B523" s="165">
        <v>856.2</v>
      </c>
      <c r="C523" s="165">
        <v>-50.82</v>
      </c>
      <c r="D523" s="165">
        <f t="shared" si="148"/>
        <v>805.38</v>
      </c>
      <c r="E523" s="161"/>
      <c r="F523" s="161"/>
    </row>
    <row r="524" spans="1:6" ht="31.5">
      <c r="A524" s="166" t="s">
        <v>308</v>
      </c>
      <c r="B524" s="165">
        <v>80.959999999999994</v>
      </c>
      <c r="C524" s="161"/>
      <c r="D524" s="165">
        <f t="shared" si="148"/>
        <v>80.959999999999994</v>
      </c>
      <c r="E524" s="161"/>
      <c r="F524" s="161"/>
    </row>
    <row r="525" spans="1:6" ht="31.5">
      <c r="A525" s="167" t="s">
        <v>297</v>
      </c>
      <c r="B525" s="165">
        <v>150</v>
      </c>
      <c r="C525" s="161"/>
      <c r="D525" s="165">
        <f t="shared" si="148"/>
        <v>150</v>
      </c>
      <c r="E525" s="161"/>
      <c r="F525" s="161"/>
    </row>
    <row r="526" spans="1:6" ht="15.75">
      <c r="A526" s="157" t="s">
        <v>282</v>
      </c>
      <c r="B526" s="161">
        <f>B527+B528</f>
        <v>47.68</v>
      </c>
      <c r="C526" s="161">
        <f t="shared" ref="C526:D526" si="149">C527+C528</f>
        <v>338.81</v>
      </c>
      <c r="D526" s="161">
        <f t="shared" si="149"/>
        <v>386.49</v>
      </c>
      <c r="E526" s="161"/>
      <c r="F526" s="161"/>
    </row>
    <row r="527" spans="1:6" ht="15.75">
      <c r="A527" s="157" t="s">
        <v>283</v>
      </c>
      <c r="B527" s="168"/>
      <c r="C527" s="168"/>
      <c r="D527" s="168"/>
      <c r="E527" s="161"/>
      <c r="F527" s="161"/>
    </row>
    <row r="528" spans="1:6" ht="15.75">
      <c r="A528" s="157" t="s">
        <v>284</v>
      </c>
      <c r="B528" s="168">
        <f>SUM(B529:B532)</f>
        <v>47.68</v>
      </c>
      <c r="C528" s="168">
        <f t="shared" ref="C528:D528" si="150">SUM(C529:C532)</f>
        <v>338.81</v>
      </c>
      <c r="D528" s="168">
        <f t="shared" si="150"/>
        <v>386.49</v>
      </c>
      <c r="E528" s="161"/>
      <c r="F528" s="161"/>
    </row>
    <row r="529" spans="1:6" s="182" customFormat="1" ht="31.5">
      <c r="A529" s="172" t="s">
        <v>305</v>
      </c>
      <c r="B529" s="180"/>
      <c r="C529" s="165">
        <v>287.99</v>
      </c>
      <c r="D529" s="165">
        <f t="shared" ref="D529:D532" si="151">B529+C529</f>
        <v>287.99</v>
      </c>
      <c r="E529" s="165"/>
      <c r="F529" s="165"/>
    </row>
    <row r="530" spans="1:6" s="182" customFormat="1" ht="15.75">
      <c r="A530" s="172" t="s">
        <v>306</v>
      </c>
      <c r="B530" s="180"/>
      <c r="C530" s="165">
        <v>50.82</v>
      </c>
      <c r="D530" s="165">
        <f t="shared" si="151"/>
        <v>50.82</v>
      </c>
      <c r="E530" s="165"/>
      <c r="F530" s="165"/>
    </row>
    <row r="531" spans="1:6" ht="31.5">
      <c r="A531" s="166" t="s">
        <v>308</v>
      </c>
      <c r="B531" s="165">
        <v>35.68</v>
      </c>
      <c r="C531" s="161"/>
      <c r="D531" s="165">
        <f t="shared" si="151"/>
        <v>35.68</v>
      </c>
      <c r="E531" s="161"/>
      <c r="F531" s="161"/>
    </row>
    <row r="532" spans="1:6" ht="31.5">
      <c r="A532" s="167" t="s">
        <v>297</v>
      </c>
      <c r="B532" s="165">
        <v>12</v>
      </c>
      <c r="C532" s="161"/>
      <c r="D532" s="165">
        <f t="shared" si="151"/>
        <v>12</v>
      </c>
      <c r="E532" s="161"/>
      <c r="F532" s="161"/>
    </row>
    <row r="533" spans="1:6" ht="15.75">
      <c r="A533" s="346" t="s">
        <v>319</v>
      </c>
      <c r="B533" s="170"/>
      <c r="C533" s="353"/>
      <c r="D533" s="170"/>
      <c r="E533" s="353"/>
      <c r="F533" s="353"/>
    </row>
    <row r="534" spans="1:6" ht="15.75">
      <c r="A534" s="348" t="s">
        <v>326</v>
      </c>
      <c r="B534" s="175"/>
      <c r="C534" s="175"/>
      <c r="D534" s="175"/>
      <c r="E534" s="175"/>
      <c r="F534" s="175"/>
    </row>
    <row r="535" spans="1:6" ht="15.75">
      <c r="A535" s="156" t="s">
        <v>261</v>
      </c>
      <c r="B535" s="349">
        <f>B536</f>
        <v>120.6</v>
      </c>
      <c r="C535" s="349">
        <f>C536</f>
        <v>0</v>
      </c>
      <c r="D535" s="349">
        <f>D536</f>
        <v>120.6</v>
      </c>
      <c r="E535" s="349">
        <f>E536</f>
        <v>0</v>
      </c>
      <c r="F535" s="349">
        <f>F536</f>
        <v>0</v>
      </c>
    </row>
    <row r="536" spans="1:6" ht="15.75">
      <c r="A536" s="158" t="s">
        <v>262</v>
      </c>
      <c r="B536" s="159">
        <f>SUM(B537:B539)</f>
        <v>120.6</v>
      </c>
      <c r="C536" s="159">
        <f>SUM(C537:C539)</f>
        <v>0</v>
      </c>
      <c r="D536" s="159">
        <f>SUM(D537:D539)</f>
        <v>120.6</v>
      </c>
      <c r="E536" s="159">
        <f>SUM(E537:E539)</f>
        <v>0</v>
      </c>
      <c r="F536" s="159">
        <f>SUM(F537:F539)</f>
        <v>0</v>
      </c>
    </row>
    <row r="537" spans="1:6" ht="15.75">
      <c r="A537" s="160" t="s">
        <v>263</v>
      </c>
      <c r="B537" s="161">
        <v>0</v>
      </c>
      <c r="C537" s="161">
        <v>0</v>
      </c>
      <c r="D537" s="161">
        <f>B537+C537</f>
        <v>0</v>
      </c>
      <c r="E537" s="161"/>
      <c r="F537" s="350"/>
    </row>
    <row r="538" spans="1:6" ht="15.75">
      <c r="A538" s="160" t="s">
        <v>264</v>
      </c>
      <c r="B538" s="161">
        <v>120.6</v>
      </c>
      <c r="C538" s="161">
        <v>0</v>
      </c>
      <c r="D538" s="161">
        <f>B538+C538+C548</f>
        <v>120.6</v>
      </c>
      <c r="E538" s="159"/>
      <c r="F538" s="159"/>
    </row>
    <row r="539" spans="1:6" ht="15.75">
      <c r="A539" s="160" t="s">
        <v>265</v>
      </c>
      <c r="B539" s="161">
        <v>0</v>
      </c>
      <c r="C539" s="161">
        <v>0</v>
      </c>
      <c r="D539" s="161">
        <f>B539+C539</f>
        <v>0</v>
      </c>
      <c r="E539" s="161"/>
      <c r="F539" s="350"/>
    </row>
    <row r="540" spans="1:6" ht="15.75">
      <c r="A540" s="158" t="s">
        <v>266</v>
      </c>
      <c r="B540" s="159">
        <f>SUM(B541:B543)</f>
        <v>72.36</v>
      </c>
      <c r="C540" s="159">
        <f>SUM(C541:C543)</f>
        <v>0</v>
      </c>
      <c r="D540" s="159">
        <f>SUM(D541:D543)</f>
        <v>72.36</v>
      </c>
      <c r="E540" s="159">
        <f>SUM(E541:E543)</f>
        <v>0</v>
      </c>
      <c r="F540" s="159">
        <f>SUM(F541:F543)</f>
        <v>0</v>
      </c>
    </row>
    <row r="541" spans="1:6" ht="31.5">
      <c r="A541" s="160" t="s">
        <v>267</v>
      </c>
      <c r="B541" s="161">
        <f t="shared" ref="B541:C543" si="152">B537*60%</f>
        <v>0</v>
      </c>
      <c r="C541" s="161">
        <f t="shared" si="152"/>
        <v>0</v>
      </c>
      <c r="D541" s="161">
        <f>B541+C541</f>
        <v>0</v>
      </c>
      <c r="E541" s="165"/>
      <c r="F541" s="350"/>
    </row>
    <row r="542" spans="1:6" ht="31.5">
      <c r="A542" s="160" t="s">
        <v>268</v>
      </c>
      <c r="B542" s="161">
        <f t="shared" si="152"/>
        <v>72.36</v>
      </c>
      <c r="C542" s="161">
        <f t="shared" si="152"/>
        <v>0</v>
      </c>
      <c r="D542" s="161">
        <f>B542+C542</f>
        <v>72.36</v>
      </c>
      <c r="E542" s="161"/>
      <c r="F542" s="350"/>
    </row>
    <row r="543" spans="1:6" ht="15.75">
      <c r="A543" s="160" t="s">
        <v>269</v>
      </c>
      <c r="B543" s="161">
        <f t="shared" si="152"/>
        <v>0</v>
      </c>
      <c r="C543" s="161">
        <f t="shared" si="152"/>
        <v>0</v>
      </c>
      <c r="D543" s="161">
        <f>B543+C543</f>
        <v>0</v>
      </c>
      <c r="E543" s="165"/>
      <c r="F543" s="350"/>
    </row>
    <row r="544" spans="1:6" ht="31.5">
      <c r="A544" s="158" t="s">
        <v>270</v>
      </c>
      <c r="B544" s="163">
        <f>SUM(B545:B547)</f>
        <v>48.239999999999995</v>
      </c>
      <c r="C544" s="163">
        <f>SUM(C545:C547)</f>
        <v>0</v>
      </c>
      <c r="D544" s="163">
        <f>SUM(D545:D547)</f>
        <v>48.239999999999995</v>
      </c>
      <c r="E544" s="163">
        <f>SUM(E545:E547)</f>
        <v>0</v>
      </c>
      <c r="F544" s="163">
        <f>SUM(F545:F547)</f>
        <v>0</v>
      </c>
    </row>
    <row r="545" spans="1:6" ht="15.75">
      <c r="A545" s="160" t="s">
        <v>271</v>
      </c>
      <c r="B545" s="161">
        <f t="shared" ref="B545:C547" si="153">B537-B541</f>
        <v>0</v>
      </c>
      <c r="C545" s="161">
        <f t="shared" si="153"/>
        <v>0</v>
      </c>
      <c r="D545" s="161">
        <f>B545+C545</f>
        <v>0</v>
      </c>
      <c r="E545" s="161"/>
      <c r="F545" s="350"/>
    </row>
    <row r="546" spans="1:6" ht="15.75">
      <c r="A546" s="160" t="s">
        <v>272</v>
      </c>
      <c r="B546" s="161">
        <f t="shared" si="153"/>
        <v>48.239999999999995</v>
      </c>
      <c r="C546" s="161">
        <f t="shared" si="153"/>
        <v>0</v>
      </c>
      <c r="D546" s="161">
        <f>B546+C546</f>
        <v>48.239999999999995</v>
      </c>
      <c r="E546" s="159"/>
      <c r="F546" s="159"/>
    </row>
    <row r="547" spans="1:6" ht="15.75">
      <c r="A547" s="160" t="s">
        <v>265</v>
      </c>
      <c r="B547" s="161">
        <f t="shared" si="153"/>
        <v>0</v>
      </c>
      <c r="C547" s="161">
        <f t="shared" si="153"/>
        <v>0</v>
      </c>
      <c r="D547" s="161">
        <f>B547+C547</f>
        <v>0</v>
      </c>
      <c r="E547" s="161"/>
      <c r="F547" s="350"/>
    </row>
    <row r="548" spans="1:6" ht="15.75">
      <c r="A548" s="158" t="s">
        <v>273</v>
      </c>
      <c r="B548" s="159">
        <v>0</v>
      </c>
      <c r="C548" s="159"/>
      <c r="D548" s="159"/>
      <c r="E548" s="161"/>
      <c r="F548" s="350"/>
    </row>
    <row r="549" spans="1:6" ht="15.75">
      <c r="A549" s="162" t="s">
        <v>274</v>
      </c>
      <c r="B549" s="163">
        <f>B550</f>
        <v>7438.88</v>
      </c>
      <c r="C549" s="163">
        <f t="shared" ref="C549:F549" si="154">C550</f>
        <v>0</v>
      </c>
      <c r="D549" s="163">
        <f t="shared" si="154"/>
        <v>7438.880000000001</v>
      </c>
      <c r="E549" s="163">
        <f t="shared" si="154"/>
        <v>0</v>
      </c>
      <c r="F549" s="163">
        <f t="shared" si="154"/>
        <v>0</v>
      </c>
    </row>
    <row r="550" spans="1:6" ht="15.75">
      <c r="A550" s="158" t="s">
        <v>275</v>
      </c>
      <c r="B550" s="159">
        <f>B551+B560</f>
        <v>7438.88</v>
      </c>
      <c r="C550" s="159">
        <f t="shared" ref="C550:F550" si="155">C551+C560</f>
        <v>0</v>
      </c>
      <c r="D550" s="159">
        <f t="shared" si="155"/>
        <v>7438.880000000001</v>
      </c>
      <c r="E550" s="159">
        <f t="shared" si="155"/>
        <v>0</v>
      </c>
      <c r="F550" s="159">
        <f t="shared" si="155"/>
        <v>0</v>
      </c>
    </row>
    <row r="551" spans="1:6" ht="15.75">
      <c r="A551" s="157" t="s">
        <v>276</v>
      </c>
      <c r="B551" s="161">
        <f>SUM(B552:B559)-B553</f>
        <v>6942.03</v>
      </c>
      <c r="C551" s="161">
        <f t="shared" ref="C551:F551" si="156">SUM(C552:C559)-C553</f>
        <v>144.42000000000002</v>
      </c>
      <c r="D551" s="161">
        <f t="shared" si="156"/>
        <v>7086.4500000000007</v>
      </c>
      <c r="E551" s="161">
        <f t="shared" si="156"/>
        <v>0</v>
      </c>
      <c r="F551" s="161">
        <f t="shared" si="156"/>
        <v>0</v>
      </c>
    </row>
    <row r="552" spans="1:6" ht="15.75">
      <c r="A552" s="164" t="s">
        <v>277</v>
      </c>
      <c r="B552" s="165">
        <v>3736.18</v>
      </c>
      <c r="C552" s="165">
        <v>122.76</v>
      </c>
      <c r="D552" s="165">
        <f t="shared" ref="D552:D559" si="157">B552+C552</f>
        <v>3858.94</v>
      </c>
      <c r="E552" s="163"/>
      <c r="F552" s="163"/>
    </row>
    <row r="553" spans="1:6" ht="15.75">
      <c r="A553" s="166" t="s">
        <v>278</v>
      </c>
      <c r="B553" s="165">
        <f>SUM(B554:B555)</f>
        <v>754.62</v>
      </c>
      <c r="C553" s="165">
        <f t="shared" ref="C553:D553" si="158">SUM(C554:C555)</f>
        <v>0</v>
      </c>
      <c r="D553" s="165">
        <f t="shared" si="158"/>
        <v>754.62</v>
      </c>
      <c r="E553" s="165"/>
      <c r="F553" s="165"/>
    </row>
    <row r="554" spans="1:6" ht="31.5">
      <c r="A554" s="171" t="s">
        <v>303</v>
      </c>
      <c r="B554" s="165">
        <v>729.08</v>
      </c>
      <c r="C554" s="161">
        <v>25.54</v>
      </c>
      <c r="D554" s="165">
        <f t="shared" si="157"/>
        <v>754.62</v>
      </c>
      <c r="E554" s="161"/>
      <c r="F554" s="161"/>
    </row>
    <row r="555" spans="1:6" ht="31.5">
      <c r="A555" s="171" t="s">
        <v>304</v>
      </c>
      <c r="B555" s="165">
        <v>25.54</v>
      </c>
      <c r="C555" s="165">
        <v>-25.54</v>
      </c>
      <c r="D555" s="165">
        <f t="shared" si="157"/>
        <v>0</v>
      </c>
      <c r="E555" s="165"/>
      <c r="F555" s="352"/>
    </row>
    <row r="556" spans="1:6" ht="31.5">
      <c r="A556" s="167" t="s">
        <v>279</v>
      </c>
      <c r="B556" s="165">
        <v>526.11</v>
      </c>
      <c r="C556" s="165">
        <v>21.66</v>
      </c>
      <c r="D556" s="165">
        <f t="shared" si="157"/>
        <v>547.77</v>
      </c>
      <c r="E556" s="165"/>
      <c r="F556" s="315"/>
    </row>
    <row r="557" spans="1:6" ht="15.75">
      <c r="A557" s="166" t="s">
        <v>280</v>
      </c>
      <c r="B557" s="165">
        <v>120.6</v>
      </c>
      <c r="C557" s="165"/>
      <c r="D557" s="165">
        <f t="shared" si="157"/>
        <v>120.6</v>
      </c>
      <c r="E557" s="161"/>
      <c r="F557" s="161"/>
    </row>
    <row r="558" spans="1:6" ht="31.5">
      <c r="A558" s="166" t="s">
        <v>308</v>
      </c>
      <c r="B558" s="165">
        <v>9.44</v>
      </c>
      <c r="C558" s="161"/>
      <c r="D558" s="165">
        <f t="shared" si="157"/>
        <v>9.44</v>
      </c>
      <c r="E558" s="161"/>
      <c r="F558" s="161"/>
    </row>
    <row r="559" spans="1:6" ht="31.5">
      <c r="A559" s="167" t="s">
        <v>297</v>
      </c>
      <c r="B559" s="165">
        <v>1795.08</v>
      </c>
      <c r="C559" s="184"/>
      <c r="D559" s="165">
        <f t="shared" si="157"/>
        <v>1795.08</v>
      </c>
      <c r="E559" s="184"/>
      <c r="F559" s="184"/>
    </row>
    <row r="560" spans="1:6" ht="15.75">
      <c r="A560" s="157" t="s">
        <v>282</v>
      </c>
      <c r="B560" s="161">
        <f>B561+B562</f>
        <v>496.85</v>
      </c>
      <c r="C560" s="161">
        <f>C561+C562</f>
        <v>-144.42000000000002</v>
      </c>
      <c r="D560" s="161">
        <f>D561+D562</f>
        <v>352.43</v>
      </c>
      <c r="E560" s="161">
        <f>E561+E562</f>
        <v>0</v>
      </c>
      <c r="F560" s="161">
        <f>F561+F562</f>
        <v>0</v>
      </c>
    </row>
    <row r="561" spans="1:6" ht="15.75">
      <c r="A561" s="157" t="s">
        <v>283</v>
      </c>
      <c r="B561" s="168"/>
      <c r="C561" s="168"/>
      <c r="D561" s="168"/>
      <c r="E561" s="168"/>
      <c r="F561" s="168"/>
    </row>
    <row r="562" spans="1:6" ht="15.75">
      <c r="A562" s="157" t="s">
        <v>284</v>
      </c>
      <c r="B562" s="168">
        <f>SUM(B563:B566)</f>
        <v>496.85</v>
      </c>
      <c r="C562" s="168">
        <f>SUM(C563:C566)</f>
        <v>-144.42000000000002</v>
      </c>
      <c r="D562" s="168">
        <f>SUM(D563:D566)</f>
        <v>352.43</v>
      </c>
      <c r="E562" s="168">
        <f>SUM(E563:E566)</f>
        <v>0</v>
      </c>
      <c r="F562" s="168">
        <f>SUM(F563:F566)</f>
        <v>0</v>
      </c>
    </row>
    <row r="563" spans="1:6" ht="31.5">
      <c r="A563" s="172" t="s">
        <v>305</v>
      </c>
      <c r="B563" s="180">
        <v>122.76</v>
      </c>
      <c r="C563" s="180">
        <v>-122.76</v>
      </c>
      <c r="D563" s="165">
        <f>B563+C563</f>
        <v>0</v>
      </c>
      <c r="E563" s="184"/>
      <c r="F563" s="184"/>
    </row>
    <row r="564" spans="1:6" ht="15.75">
      <c r="A564" s="172" t="s">
        <v>306</v>
      </c>
      <c r="B564" s="180">
        <v>21.67</v>
      </c>
      <c r="C564" s="180">
        <v>-21.66</v>
      </c>
      <c r="D564" s="165">
        <f>B564+C564</f>
        <v>1.0000000000001563E-2</v>
      </c>
      <c r="E564" s="184"/>
      <c r="F564" s="184"/>
    </row>
    <row r="565" spans="1:6" ht="31.5">
      <c r="A565" s="166" t="s">
        <v>308</v>
      </c>
      <c r="B565" s="180">
        <v>3.52</v>
      </c>
      <c r="C565" s="184"/>
      <c r="D565" s="165">
        <f>B565+C565</f>
        <v>3.52</v>
      </c>
      <c r="E565" s="184"/>
      <c r="F565" s="184"/>
    </row>
    <row r="566" spans="1:6" ht="31.5">
      <c r="A566" s="167" t="s">
        <v>297</v>
      </c>
      <c r="B566" s="180">
        <v>348.9</v>
      </c>
      <c r="C566" s="184"/>
      <c r="D566" s="165">
        <f>B566+C566</f>
        <v>348.9</v>
      </c>
      <c r="E566" s="184"/>
      <c r="F566" s="184"/>
    </row>
    <row r="567" spans="1:6" ht="15.75">
      <c r="A567" s="348" t="s">
        <v>325</v>
      </c>
      <c r="B567" s="175"/>
      <c r="C567" s="175"/>
      <c r="D567" s="175"/>
      <c r="E567" s="175"/>
      <c r="F567" s="175"/>
    </row>
    <row r="568" spans="1:6" ht="15.75">
      <c r="A568" s="156" t="s">
        <v>261</v>
      </c>
      <c r="B568" s="349">
        <f>B569</f>
        <v>507.15</v>
      </c>
      <c r="C568" s="349">
        <f>C569</f>
        <v>0</v>
      </c>
      <c r="D568" s="349">
        <f>D569</f>
        <v>510.48269999999997</v>
      </c>
      <c r="E568" s="349">
        <f>E569</f>
        <v>0</v>
      </c>
      <c r="F568" s="349">
        <f>F569</f>
        <v>0</v>
      </c>
    </row>
    <row r="569" spans="1:6" ht="15.75">
      <c r="A569" s="158" t="s">
        <v>262</v>
      </c>
      <c r="B569" s="159">
        <f>SUM(B570:B572)</f>
        <v>507.15</v>
      </c>
      <c r="C569" s="159">
        <f>SUM(C570:C572)</f>
        <v>0</v>
      </c>
      <c r="D569" s="159">
        <f>SUM(D570:D572)</f>
        <v>510.48269999999997</v>
      </c>
      <c r="E569" s="159">
        <f>SUM(E570:E572)</f>
        <v>0</v>
      </c>
      <c r="F569" s="159">
        <f>SUM(F570:F572)</f>
        <v>0</v>
      </c>
    </row>
    <row r="570" spans="1:6" ht="15.75">
      <c r="A570" s="160" t="s">
        <v>263</v>
      </c>
      <c r="B570" s="161">
        <v>443.52</v>
      </c>
      <c r="C570" s="161">
        <v>0</v>
      </c>
      <c r="D570" s="161">
        <f>B570+C570+2.91456</f>
        <v>446.43455999999998</v>
      </c>
      <c r="E570" s="161"/>
      <c r="F570" s="350"/>
    </row>
    <row r="571" spans="1:6" ht="15.75">
      <c r="A571" s="160" t="s">
        <v>264</v>
      </c>
      <c r="B571" s="161">
        <v>63.63</v>
      </c>
      <c r="C571" s="161">
        <v>0</v>
      </c>
      <c r="D571" s="161">
        <f>B571+C571+0.41814</f>
        <v>64.048140000000004</v>
      </c>
      <c r="E571" s="159"/>
      <c r="F571" s="159"/>
    </row>
    <row r="572" spans="1:6" ht="15.75">
      <c r="A572" s="160" t="s">
        <v>265</v>
      </c>
      <c r="B572" s="161">
        <v>0</v>
      </c>
      <c r="C572" s="161">
        <v>0</v>
      </c>
      <c r="D572" s="161">
        <f>B572+C572</f>
        <v>0</v>
      </c>
      <c r="E572" s="161"/>
      <c r="F572" s="350"/>
    </row>
    <row r="573" spans="1:6" ht="15.75">
      <c r="A573" s="158" t="s">
        <v>266</v>
      </c>
      <c r="B573" s="159">
        <f>SUM(B574:B576)</f>
        <v>304.28999999999996</v>
      </c>
      <c r="C573" s="159">
        <f>SUM(C574:C576)</f>
        <v>0</v>
      </c>
      <c r="D573" s="159">
        <f>SUM(D574:D576)</f>
        <v>304.28999999999996</v>
      </c>
      <c r="E573" s="159">
        <f>SUM(E574:E576)</f>
        <v>0</v>
      </c>
      <c r="F573" s="159">
        <f>SUM(F574:F576)</f>
        <v>0</v>
      </c>
    </row>
    <row r="574" spans="1:6" ht="31.5">
      <c r="A574" s="160" t="s">
        <v>267</v>
      </c>
      <c r="B574" s="161">
        <f t="shared" ref="B574:C576" si="159">B570*60%</f>
        <v>266.11199999999997</v>
      </c>
      <c r="C574" s="161">
        <f t="shared" si="159"/>
        <v>0</v>
      </c>
      <c r="D574" s="161">
        <f>B574+C574</f>
        <v>266.11199999999997</v>
      </c>
      <c r="E574" s="165"/>
      <c r="F574" s="350"/>
    </row>
    <row r="575" spans="1:6" ht="31.5">
      <c r="A575" s="160" t="s">
        <v>268</v>
      </c>
      <c r="B575" s="161">
        <f t="shared" si="159"/>
        <v>38.177999999999997</v>
      </c>
      <c r="C575" s="161">
        <f t="shared" si="159"/>
        <v>0</v>
      </c>
      <c r="D575" s="161">
        <f>B575+C575</f>
        <v>38.177999999999997</v>
      </c>
      <c r="E575" s="161"/>
      <c r="F575" s="350"/>
    </row>
    <row r="576" spans="1:6" ht="15.75">
      <c r="A576" s="160" t="s">
        <v>269</v>
      </c>
      <c r="B576" s="161">
        <f t="shared" si="159"/>
        <v>0</v>
      </c>
      <c r="C576" s="161">
        <f t="shared" si="159"/>
        <v>0</v>
      </c>
      <c r="D576" s="161">
        <f>B576+C576</f>
        <v>0</v>
      </c>
      <c r="E576" s="165"/>
      <c r="F576" s="350"/>
    </row>
    <row r="577" spans="1:6" ht="31.5">
      <c r="A577" s="158" t="s">
        <v>270</v>
      </c>
      <c r="B577" s="163">
        <f>SUM(B578:B580)</f>
        <v>202.86</v>
      </c>
      <c r="C577" s="163">
        <f>SUM(C578:C580)</f>
        <v>0</v>
      </c>
      <c r="D577" s="163">
        <f>SUM(D578:D580)</f>
        <v>202.85900000000001</v>
      </c>
      <c r="E577" s="163">
        <f>SUM(E578:E580)</f>
        <v>0</v>
      </c>
      <c r="F577" s="163">
        <f>SUM(F578:F580)</f>
        <v>0</v>
      </c>
    </row>
    <row r="578" spans="1:6" ht="15.75">
      <c r="A578" s="160" t="s">
        <v>271</v>
      </c>
      <c r="B578" s="161">
        <f t="shared" ref="B578:C580" si="160">B570-B574</f>
        <v>177.40800000000002</v>
      </c>
      <c r="C578" s="161">
        <f t="shared" si="160"/>
        <v>0</v>
      </c>
      <c r="D578" s="161">
        <f>B578+C578-0.001</f>
        <v>177.40700000000001</v>
      </c>
      <c r="E578" s="161"/>
      <c r="F578" s="350"/>
    </row>
    <row r="579" spans="1:6" ht="15.75">
      <c r="A579" s="160" t="s">
        <v>272</v>
      </c>
      <c r="B579" s="161">
        <f t="shared" si="160"/>
        <v>25.452000000000005</v>
      </c>
      <c r="C579" s="161">
        <f t="shared" si="160"/>
        <v>0</v>
      </c>
      <c r="D579" s="161">
        <f>B579+C579</f>
        <v>25.452000000000005</v>
      </c>
      <c r="E579" s="159"/>
      <c r="F579" s="159"/>
    </row>
    <row r="580" spans="1:6" ht="15.75">
      <c r="A580" s="160" t="s">
        <v>265</v>
      </c>
      <c r="B580" s="161">
        <f t="shared" si="160"/>
        <v>0</v>
      </c>
      <c r="C580" s="161">
        <f t="shared" si="160"/>
        <v>0</v>
      </c>
      <c r="D580" s="161">
        <f>B580+C580</f>
        <v>0</v>
      </c>
      <c r="E580" s="161"/>
      <c r="F580" s="350"/>
    </row>
    <row r="581" spans="1:6" ht="15.75">
      <c r="A581" s="158" t="s">
        <v>273</v>
      </c>
      <c r="B581" s="159">
        <v>0</v>
      </c>
      <c r="C581" s="159">
        <v>0</v>
      </c>
      <c r="D581" s="159"/>
      <c r="E581" s="161"/>
      <c r="F581" s="350"/>
    </row>
    <row r="582" spans="1:6" ht="15.75">
      <c r="A582" s="162" t="s">
        <v>274</v>
      </c>
      <c r="B582" s="163">
        <f t="shared" ref="B582:F582" si="161">B583</f>
        <v>12388.65</v>
      </c>
      <c r="C582" s="163">
        <f t="shared" si="161"/>
        <v>0</v>
      </c>
      <c r="D582" s="163">
        <f t="shared" si="161"/>
        <v>12388.650000000001</v>
      </c>
      <c r="E582" s="163">
        <f t="shared" si="161"/>
        <v>0</v>
      </c>
      <c r="F582" s="163">
        <f t="shared" si="161"/>
        <v>0</v>
      </c>
    </row>
    <row r="583" spans="1:6" ht="15.75">
      <c r="A583" s="158" t="s">
        <v>275</v>
      </c>
      <c r="B583" s="159">
        <f t="shared" ref="B583:F583" si="162">B584+B591</f>
        <v>12388.65</v>
      </c>
      <c r="C583" s="159">
        <f t="shared" si="162"/>
        <v>0</v>
      </c>
      <c r="D583" s="159">
        <f>D584+D591</f>
        <v>12388.650000000001</v>
      </c>
      <c r="E583" s="159">
        <f t="shared" si="162"/>
        <v>0</v>
      </c>
      <c r="F583" s="159">
        <f t="shared" si="162"/>
        <v>0</v>
      </c>
    </row>
    <row r="584" spans="1:6" ht="15.75">
      <c r="A584" s="157" t="s">
        <v>276</v>
      </c>
      <c r="B584" s="161">
        <f>SUM(B585:B590)-B586</f>
        <v>12013.66</v>
      </c>
      <c r="C584" s="161">
        <f t="shared" ref="C584:F584" si="163">SUM(C585:C590)-C586</f>
        <v>316.12</v>
      </c>
      <c r="D584" s="161">
        <f>SUM(D585:D590)-D586</f>
        <v>12329.78</v>
      </c>
      <c r="E584" s="161">
        <f t="shared" si="163"/>
        <v>0</v>
      </c>
      <c r="F584" s="161">
        <f t="shared" si="163"/>
        <v>0</v>
      </c>
    </row>
    <row r="585" spans="1:6" ht="15.75">
      <c r="A585" s="164" t="s">
        <v>277</v>
      </c>
      <c r="B585" s="165">
        <v>9053.91</v>
      </c>
      <c r="C585" s="165">
        <v>268.7</v>
      </c>
      <c r="D585" s="165">
        <f>B585+C585</f>
        <v>9322.61</v>
      </c>
      <c r="E585" s="163"/>
      <c r="F585" s="163"/>
    </row>
    <row r="586" spans="1:6" ht="15.75">
      <c r="A586" s="166" t="s">
        <v>278</v>
      </c>
      <c r="B586" s="165">
        <f t="shared" ref="B586:F586" si="164">SUM(B587:B588)</f>
        <v>1736.75</v>
      </c>
      <c r="C586" s="165">
        <f t="shared" si="164"/>
        <v>0</v>
      </c>
      <c r="D586" s="165">
        <f>SUM(D587:D588)</f>
        <v>1736.75</v>
      </c>
      <c r="E586" s="165">
        <f t="shared" si="164"/>
        <v>0</v>
      </c>
      <c r="F586" s="165">
        <f t="shared" si="164"/>
        <v>0</v>
      </c>
    </row>
    <row r="587" spans="1:6" ht="31.5">
      <c r="A587" s="171" t="s">
        <v>303</v>
      </c>
      <c r="B587" s="165">
        <v>1680.85</v>
      </c>
      <c r="C587" s="165">
        <v>55.9</v>
      </c>
      <c r="D587" s="165">
        <f>B587+C587</f>
        <v>1736.75</v>
      </c>
      <c r="E587" s="161"/>
      <c r="F587" s="161"/>
    </row>
    <row r="588" spans="1:6" ht="31.5">
      <c r="A588" s="171" t="s">
        <v>304</v>
      </c>
      <c r="B588" s="165">
        <v>55.9</v>
      </c>
      <c r="C588" s="165">
        <v>-55.9</v>
      </c>
      <c r="D588" s="165">
        <f>B588+C588</f>
        <v>0</v>
      </c>
      <c r="E588" s="165"/>
      <c r="F588" s="352"/>
    </row>
    <row r="589" spans="1:6" ht="31.5">
      <c r="A589" s="167" t="s">
        <v>279</v>
      </c>
      <c r="B589" s="165">
        <v>1159.3700000000001</v>
      </c>
      <c r="C589" s="165">
        <v>47.42</v>
      </c>
      <c r="D589" s="165">
        <f>B589+C589</f>
        <v>1206.7900000000002</v>
      </c>
      <c r="E589" s="165"/>
      <c r="F589" s="315"/>
    </row>
    <row r="590" spans="1:6" ht="15.75">
      <c r="A590" s="166" t="s">
        <v>280</v>
      </c>
      <c r="B590" s="165">
        <v>63.63</v>
      </c>
      <c r="C590" s="165"/>
      <c r="D590" s="165">
        <f>B590+C590</f>
        <v>63.63</v>
      </c>
      <c r="E590" s="161"/>
      <c r="F590" s="161"/>
    </row>
    <row r="591" spans="1:6" ht="15.75">
      <c r="A591" s="157" t="s">
        <v>282</v>
      </c>
      <c r="B591" s="161">
        <f>B592+B593</f>
        <v>374.99</v>
      </c>
      <c r="C591" s="161">
        <f t="shared" ref="C591:D591" si="165">C592+C593</f>
        <v>-316.12</v>
      </c>
      <c r="D591" s="161">
        <f t="shared" si="165"/>
        <v>58.87</v>
      </c>
      <c r="E591" s="161">
        <f>E592+E593</f>
        <v>0</v>
      </c>
      <c r="F591" s="161">
        <f>F592+F593</f>
        <v>0</v>
      </c>
    </row>
    <row r="592" spans="1:6" ht="15.75">
      <c r="A592" s="157" t="s">
        <v>283</v>
      </c>
      <c r="B592" s="168"/>
      <c r="C592" s="168"/>
      <c r="D592" s="168"/>
      <c r="E592" s="168"/>
      <c r="F592" s="168"/>
    </row>
    <row r="593" spans="1:6" ht="15.75">
      <c r="A593" s="157" t="s">
        <v>284</v>
      </c>
      <c r="B593" s="168">
        <f>SUM(B594:B596)</f>
        <v>374.99</v>
      </c>
      <c r="C593" s="168">
        <f t="shared" ref="C593:D593" si="166">SUM(C594:C596)</f>
        <v>-316.12</v>
      </c>
      <c r="D593" s="168">
        <f t="shared" si="166"/>
        <v>58.87</v>
      </c>
      <c r="E593" s="168">
        <f>SUM(E594:E596)</f>
        <v>0</v>
      </c>
      <c r="F593" s="168">
        <f>SUM(F594:F596)</f>
        <v>0</v>
      </c>
    </row>
    <row r="594" spans="1:6" ht="31.5">
      <c r="A594" s="172" t="s">
        <v>305</v>
      </c>
      <c r="B594" s="180">
        <v>268.7</v>
      </c>
      <c r="C594" s="165">
        <v>-268.7</v>
      </c>
      <c r="D594" s="165">
        <f>B594+C594</f>
        <v>0</v>
      </c>
      <c r="E594" s="161"/>
      <c r="F594" s="161"/>
    </row>
    <row r="595" spans="1:6" ht="15.75">
      <c r="A595" s="172" t="s">
        <v>306</v>
      </c>
      <c r="B595" s="180">
        <v>47.42</v>
      </c>
      <c r="C595" s="165">
        <v>-47.42</v>
      </c>
      <c r="D595" s="165">
        <f>B595+C595</f>
        <v>0</v>
      </c>
      <c r="E595" s="161"/>
      <c r="F595" s="161"/>
    </row>
    <row r="596" spans="1:6" ht="15.75">
      <c r="A596" s="167" t="s">
        <v>309</v>
      </c>
      <c r="B596" s="180">
        <v>58.87</v>
      </c>
      <c r="C596" s="165"/>
      <c r="D596" s="165">
        <f>B596+C596</f>
        <v>58.87</v>
      </c>
      <c r="E596" s="161"/>
      <c r="F596" s="161"/>
    </row>
    <row r="597" spans="1:6" ht="15.75">
      <c r="A597" s="348" t="s">
        <v>324</v>
      </c>
      <c r="B597" s="175"/>
      <c r="C597" s="175"/>
      <c r="D597" s="175"/>
      <c r="E597" s="175"/>
      <c r="F597" s="175"/>
    </row>
    <row r="598" spans="1:6" ht="15.75">
      <c r="A598" s="156" t="s">
        <v>261</v>
      </c>
      <c r="B598" s="349">
        <f>B599</f>
        <v>379.26</v>
      </c>
      <c r="C598" s="349">
        <f>C599</f>
        <v>0</v>
      </c>
      <c r="D598" s="349">
        <f>D599</f>
        <v>379.26</v>
      </c>
      <c r="E598" s="349">
        <f>E599</f>
        <v>0</v>
      </c>
      <c r="F598" s="349">
        <f>F599</f>
        <v>0</v>
      </c>
    </row>
    <row r="599" spans="1:6" ht="15.75">
      <c r="A599" s="158" t="s">
        <v>262</v>
      </c>
      <c r="B599" s="159">
        <f>SUM(B600:B602)</f>
        <v>379.26</v>
      </c>
      <c r="C599" s="159">
        <f>SUM(C600:C602)</f>
        <v>0</v>
      </c>
      <c r="D599" s="159">
        <f>SUM(D600:D602)</f>
        <v>379.26</v>
      </c>
      <c r="E599" s="159">
        <f>SUM(E600:E602)</f>
        <v>0</v>
      </c>
      <c r="F599" s="159">
        <f>SUM(F600:F602)</f>
        <v>0</v>
      </c>
    </row>
    <row r="600" spans="1:6" ht="15.75">
      <c r="A600" s="160" t="s">
        <v>263</v>
      </c>
      <c r="B600" s="161">
        <v>304.61</v>
      </c>
      <c r="C600" s="161">
        <v>0</v>
      </c>
      <c r="D600" s="161">
        <f>B600+C600</f>
        <v>304.61</v>
      </c>
      <c r="E600" s="161"/>
      <c r="F600" s="350"/>
    </row>
    <row r="601" spans="1:6" ht="15.75">
      <c r="A601" s="160" t="s">
        <v>264</v>
      </c>
      <c r="B601" s="161">
        <v>74.650000000000006</v>
      </c>
      <c r="C601" s="161">
        <v>0</v>
      </c>
      <c r="D601" s="161">
        <f>B601+C601+C611</f>
        <v>74.650000000000006</v>
      </c>
      <c r="E601" s="159"/>
      <c r="F601" s="159"/>
    </row>
    <row r="602" spans="1:6" ht="15.75">
      <c r="A602" s="160" t="s">
        <v>265</v>
      </c>
      <c r="B602" s="161">
        <v>0</v>
      </c>
      <c r="C602" s="161">
        <v>0</v>
      </c>
      <c r="D602" s="161">
        <f>B602+C602</f>
        <v>0</v>
      </c>
      <c r="E602" s="161"/>
      <c r="F602" s="350"/>
    </row>
    <row r="603" spans="1:6" ht="15.75">
      <c r="A603" s="158" t="s">
        <v>266</v>
      </c>
      <c r="B603" s="159">
        <f>SUM(B604:B606)</f>
        <v>227.55599999999998</v>
      </c>
      <c r="C603" s="159">
        <f>SUM(C604:C606)</f>
        <v>0</v>
      </c>
      <c r="D603" s="159">
        <f>SUM(D604:D606)</f>
        <v>227.55599999999998</v>
      </c>
      <c r="E603" s="159">
        <f>SUM(E604:E606)</f>
        <v>0</v>
      </c>
      <c r="F603" s="159">
        <f>SUM(F604:F606)</f>
        <v>0</v>
      </c>
    </row>
    <row r="604" spans="1:6" ht="31.5">
      <c r="A604" s="160" t="s">
        <v>267</v>
      </c>
      <c r="B604" s="161">
        <f t="shared" ref="B604:C606" si="167">B600*60%</f>
        <v>182.76599999999999</v>
      </c>
      <c r="C604" s="161">
        <f t="shared" si="167"/>
        <v>0</v>
      </c>
      <c r="D604" s="161">
        <f>B604+C604</f>
        <v>182.76599999999999</v>
      </c>
      <c r="E604" s="165"/>
      <c r="F604" s="350"/>
    </row>
    <row r="605" spans="1:6" ht="31.5">
      <c r="A605" s="160" t="s">
        <v>268</v>
      </c>
      <c r="B605" s="161">
        <f t="shared" si="167"/>
        <v>44.79</v>
      </c>
      <c r="C605" s="161">
        <f t="shared" si="167"/>
        <v>0</v>
      </c>
      <c r="D605" s="161">
        <f>B605+C605</f>
        <v>44.79</v>
      </c>
      <c r="E605" s="161"/>
      <c r="F605" s="350"/>
    </row>
    <row r="606" spans="1:6" ht="15.75">
      <c r="A606" s="160" t="s">
        <v>269</v>
      </c>
      <c r="B606" s="161">
        <f t="shared" si="167"/>
        <v>0</v>
      </c>
      <c r="C606" s="161">
        <f t="shared" si="167"/>
        <v>0</v>
      </c>
      <c r="D606" s="161">
        <f>B606+C606</f>
        <v>0</v>
      </c>
      <c r="E606" s="165"/>
      <c r="F606" s="350"/>
    </row>
    <row r="607" spans="1:6" ht="31.5">
      <c r="A607" s="158" t="s">
        <v>270</v>
      </c>
      <c r="B607" s="163">
        <f>SUM(B608:B610)</f>
        <v>151.70400000000004</v>
      </c>
      <c r="C607" s="163">
        <f>SUM(C608:C610)</f>
        <v>0</v>
      </c>
      <c r="D607" s="163">
        <f>SUM(D608:D610)</f>
        <v>151.70600000000002</v>
      </c>
      <c r="E607" s="163">
        <f>SUM(E608:E610)</f>
        <v>0</v>
      </c>
      <c r="F607" s="163">
        <f>SUM(F608:F610)</f>
        <v>0</v>
      </c>
    </row>
    <row r="608" spans="1:6" ht="15.75">
      <c r="A608" s="160" t="s">
        <v>271</v>
      </c>
      <c r="B608" s="161">
        <f t="shared" ref="B608:C610" si="168">B600-B604</f>
        <v>121.84400000000002</v>
      </c>
      <c r="C608" s="161">
        <f t="shared" si="168"/>
        <v>0</v>
      </c>
      <c r="D608" s="161">
        <f>B608+C608</f>
        <v>121.84400000000002</v>
      </c>
      <c r="E608" s="161"/>
      <c r="F608" s="350"/>
    </row>
    <row r="609" spans="1:6" ht="15.75">
      <c r="A609" s="160" t="s">
        <v>272</v>
      </c>
      <c r="B609" s="161">
        <f t="shared" si="168"/>
        <v>29.860000000000007</v>
      </c>
      <c r="C609" s="161">
        <f t="shared" si="168"/>
        <v>0</v>
      </c>
      <c r="D609" s="161">
        <f>B609+C609+0.002</f>
        <v>29.862000000000005</v>
      </c>
      <c r="E609" s="159"/>
      <c r="F609" s="159"/>
    </row>
    <row r="610" spans="1:6" ht="15.75">
      <c r="A610" s="160" t="s">
        <v>265</v>
      </c>
      <c r="B610" s="161">
        <f t="shared" si="168"/>
        <v>0</v>
      </c>
      <c r="C610" s="161">
        <f t="shared" si="168"/>
        <v>0</v>
      </c>
      <c r="D610" s="161">
        <f>B610+C610</f>
        <v>0</v>
      </c>
      <c r="E610" s="161"/>
      <c r="F610" s="350"/>
    </row>
    <row r="611" spans="1:6" ht="15.75">
      <c r="A611" s="158" t="s">
        <v>273</v>
      </c>
      <c r="B611" s="159">
        <v>0</v>
      </c>
      <c r="C611" s="159">
        <v>0</v>
      </c>
      <c r="D611" s="159"/>
      <c r="E611" s="161"/>
      <c r="F611" s="350"/>
    </row>
    <row r="612" spans="1:6" ht="15.75">
      <c r="A612" s="162" t="s">
        <v>274</v>
      </c>
      <c r="B612" s="163">
        <f>B613</f>
        <v>7179.2660000000005</v>
      </c>
      <c r="C612" s="163">
        <f>C613</f>
        <v>0</v>
      </c>
      <c r="D612" s="163">
        <f>D613</f>
        <v>7179.2659999999996</v>
      </c>
      <c r="E612" s="163">
        <f>E613</f>
        <v>0</v>
      </c>
      <c r="F612" s="163">
        <f>F613</f>
        <v>0</v>
      </c>
    </row>
    <row r="613" spans="1:6" ht="15.75">
      <c r="A613" s="158" t="s">
        <v>275</v>
      </c>
      <c r="B613" s="159">
        <f>B614+B621</f>
        <v>7179.2660000000005</v>
      </c>
      <c r="C613" s="159">
        <f>C614+C621</f>
        <v>0</v>
      </c>
      <c r="D613" s="159">
        <f>D614+D621</f>
        <v>7179.2659999999996</v>
      </c>
      <c r="E613" s="159">
        <f>E614+E621</f>
        <v>0</v>
      </c>
      <c r="F613" s="159">
        <f>F614+F621</f>
        <v>0</v>
      </c>
    </row>
    <row r="614" spans="1:6" ht="15.75">
      <c r="A614" s="157" t="s">
        <v>276</v>
      </c>
      <c r="B614" s="161">
        <f>SUM(B615:B620)-B616</f>
        <v>6736.5860000000002</v>
      </c>
      <c r="C614" s="161">
        <f>SUM(C615:C620)-C616</f>
        <v>265.61</v>
      </c>
      <c r="D614" s="161">
        <f>SUM(D615:D620)-D616</f>
        <v>7002.1959999999999</v>
      </c>
      <c r="E614" s="161">
        <f>SUM(E615:E620)-E616</f>
        <v>0</v>
      </c>
      <c r="F614" s="161">
        <f>SUM(F615:F620)-F616</f>
        <v>0</v>
      </c>
    </row>
    <row r="615" spans="1:6" ht="15.75">
      <c r="A615" s="164" t="s">
        <v>277</v>
      </c>
      <c r="B615" s="165">
        <v>5082.24</v>
      </c>
      <c r="C615" s="165">
        <v>225.77</v>
      </c>
      <c r="D615" s="165">
        <f>B615+C615</f>
        <v>5308.01</v>
      </c>
      <c r="E615" s="163"/>
      <c r="F615" s="163"/>
    </row>
    <row r="616" spans="1:6" ht="15.75">
      <c r="A616" s="166" t="s">
        <v>278</v>
      </c>
      <c r="B616" s="165">
        <f>SUM(B617:B618)</f>
        <v>983.96600000000001</v>
      </c>
      <c r="C616" s="165">
        <f t="shared" ref="C616:F616" si="169">SUM(C617:C618)</f>
        <v>0</v>
      </c>
      <c r="D616" s="165">
        <f t="shared" si="169"/>
        <v>983.96600000000012</v>
      </c>
      <c r="E616" s="165">
        <f t="shared" si="169"/>
        <v>0</v>
      </c>
      <c r="F616" s="165">
        <f t="shared" si="169"/>
        <v>0</v>
      </c>
    </row>
    <row r="617" spans="1:6" ht="31.5">
      <c r="A617" s="171" t="s">
        <v>303</v>
      </c>
      <c r="B617" s="165">
        <f>1057.38-B607</f>
        <v>905.67600000000004</v>
      </c>
      <c r="C617" s="161">
        <v>46.97</v>
      </c>
      <c r="D617" s="165">
        <f>B617+C617</f>
        <v>952.64600000000007</v>
      </c>
      <c r="E617" s="161"/>
      <c r="F617" s="161"/>
    </row>
    <row r="618" spans="1:6" ht="31.5">
      <c r="A618" s="171" t="s">
        <v>304</v>
      </c>
      <c r="B618" s="165">
        <v>78.290000000000006</v>
      </c>
      <c r="C618" s="165">
        <v>-46.97</v>
      </c>
      <c r="D618" s="165">
        <f>B618+C618</f>
        <v>31.320000000000007</v>
      </c>
      <c r="E618" s="165"/>
      <c r="F618" s="352"/>
    </row>
    <row r="619" spans="1:6" ht="31.5">
      <c r="A619" s="167" t="s">
        <v>279</v>
      </c>
      <c r="B619" s="165">
        <v>595.71999999999991</v>
      </c>
      <c r="C619" s="165">
        <v>39.840000000000003</v>
      </c>
      <c r="D619" s="165">
        <f>B619+C619</f>
        <v>635.55999999999995</v>
      </c>
      <c r="E619" s="165"/>
      <c r="F619" s="315"/>
    </row>
    <row r="620" spans="1:6" ht="15.75">
      <c r="A620" s="166" t="s">
        <v>280</v>
      </c>
      <c r="B620" s="165">
        <v>74.66</v>
      </c>
      <c r="C620" s="165"/>
      <c r="D620" s="165">
        <f>B620+C620</f>
        <v>74.66</v>
      </c>
      <c r="E620" s="161"/>
      <c r="F620" s="161"/>
    </row>
    <row r="621" spans="1:6" ht="15.75">
      <c r="A621" s="157" t="s">
        <v>282</v>
      </c>
      <c r="B621" s="161">
        <f>B622+B623</f>
        <v>442.67999999999995</v>
      </c>
      <c r="C621" s="161">
        <f>C622+C623</f>
        <v>-265.61</v>
      </c>
      <c r="D621" s="161">
        <f>D622+D623</f>
        <v>177.06999999999996</v>
      </c>
      <c r="E621" s="161">
        <f>E622+E623</f>
        <v>0</v>
      </c>
      <c r="F621" s="161">
        <f>F622+F623</f>
        <v>0</v>
      </c>
    </row>
    <row r="622" spans="1:6" ht="15.75">
      <c r="A622" s="157" t="s">
        <v>283</v>
      </c>
      <c r="B622" s="168"/>
      <c r="C622" s="168"/>
      <c r="D622" s="168"/>
      <c r="E622" s="168"/>
      <c r="F622" s="168"/>
    </row>
    <row r="623" spans="1:6" ht="15.75">
      <c r="A623" s="157" t="s">
        <v>284</v>
      </c>
      <c r="B623" s="168">
        <f>SUM(B624:B625)</f>
        <v>442.67999999999995</v>
      </c>
      <c r="C623" s="168">
        <f>SUM(C624:C625)</f>
        <v>-265.61</v>
      </c>
      <c r="D623" s="168">
        <f>SUM(D624:D625)</f>
        <v>177.06999999999996</v>
      </c>
      <c r="E623" s="168">
        <f>SUM(E624:E625)</f>
        <v>0</v>
      </c>
      <c r="F623" s="168">
        <f>SUM(F624:F625)</f>
        <v>0</v>
      </c>
    </row>
    <row r="624" spans="1:6" ht="31.5">
      <c r="A624" s="172" t="s">
        <v>305</v>
      </c>
      <c r="B624" s="180">
        <v>376.28</v>
      </c>
      <c r="C624" s="165">
        <v>-225.77</v>
      </c>
      <c r="D624" s="165">
        <f>B624+C624</f>
        <v>150.50999999999996</v>
      </c>
      <c r="E624" s="161"/>
      <c r="F624" s="161"/>
    </row>
    <row r="625" spans="1:6" ht="15.75">
      <c r="A625" s="172" t="s">
        <v>306</v>
      </c>
      <c r="B625" s="180">
        <v>66.400000000000006</v>
      </c>
      <c r="C625" s="165">
        <v>-39.840000000000003</v>
      </c>
      <c r="D625" s="165">
        <f>B625+C625</f>
        <v>26.560000000000002</v>
      </c>
      <c r="E625" s="161"/>
      <c r="F625" s="161"/>
    </row>
    <row r="626" spans="1:6" ht="15.75">
      <c r="A626" s="348" t="s">
        <v>323</v>
      </c>
      <c r="B626" s="175"/>
      <c r="C626" s="175"/>
      <c r="D626" s="175"/>
      <c r="E626" s="175"/>
      <c r="F626" s="175"/>
    </row>
    <row r="627" spans="1:6" ht="15.75">
      <c r="A627" s="156" t="s">
        <v>261</v>
      </c>
      <c r="B627" s="349">
        <f>B628</f>
        <v>298.62</v>
      </c>
      <c r="C627" s="349">
        <f>C628</f>
        <v>0</v>
      </c>
      <c r="D627" s="349">
        <f>D628</f>
        <v>298.62</v>
      </c>
      <c r="E627" s="349">
        <f>E628</f>
        <v>0</v>
      </c>
      <c r="F627" s="349">
        <f>F628</f>
        <v>0</v>
      </c>
    </row>
    <row r="628" spans="1:6" ht="15.75">
      <c r="A628" s="158" t="s">
        <v>262</v>
      </c>
      <c r="B628" s="159">
        <f>SUM(B629:B631)</f>
        <v>298.62</v>
      </c>
      <c r="C628" s="159">
        <f>SUM(C629:C631)</f>
        <v>0</v>
      </c>
      <c r="D628" s="159">
        <f>SUM(D629:D631)</f>
        <v>298.62</v>
      </c>
      <c r="E628" s="159">
        <f>SUM(E629:E631)</f>
        <v>0</v>
      </c>
      <c r="F628" s="159">
        <f>SUM(F629:F631)</f>
        <v>0</v>
      </c>
    </row>
    <row r="629" spans="1:6" ht="15.75">
      <c r="A629" s="160" t="s">
        <v>263</v>
      </c>
      <c r="B629" s="161">
        <v>282.87</v>
      </c>
      <c r="C629" s="161">
        <v>0</v>
      </c>
      <c r="D629" s="161">
        <f>B629+C629</f>
        <v>282.87</v>
      </c>
      <c r="E629" s="161"/>
      <c r="F629" s="350"/>
    </row>
    <row r="630" spans="1:6" ht="15.75">
      <c r="A630" s="160" t="s">
        <v>264</v>
      </c>
      <c r="B630" s="161">
        <v>15.75</v>
      </c>
      <c r="C630" s="161">
        <v>0</v>
      </c>
      <c r="D630" s="161">
        <f>B630+C630</f>
        <v>15.75</v>
      </c>
      <c r="E630" s="159"/>
      <c r="F630" s="159"/>
    </row>
    <row r="631" spans="1:6" ht="15.75">
      <c r="A631" s="160" t="s">
        <v>265</v>
      </c>
      <c r="B631" s="161">
        <v>0</v>
      </c>
      <c r="C631" s="161">
        <v>0</v>
      </c>
      <c r="D631" s="161">
        <f>B631+C631</f>
        <v>0</v>
      </c>
      <c r="E631" s="161"/>
      <c r="F631" s="350"/>
    </row>
    <row r="632" spans="1:6" ht="15.75">
      <c r="A632" s="158" t="s">
        <v>266</v>
      </c>
      <c r="B632" s="159">
        <f>SUM(B633:B635)</f>
        <v>179.172</v>
      </c>
      <c r="C632" s="159">
        <f>SUM(C633:C635)</f>
        <v>1E-3</v>
      </c>
      <c r="D632" s="159">
        <f>SUM(D633:D635)</f>
        <v>179.173</v>
      </c>
      <c r="E632" s="159">
        <f>SUM(E633:E635)</f>
        <v>0</v>
      </c>
      <c r="F632" s="159">
        <f>SUM(F633:F635)</f>
        <v>0</v>
      </c>
    </row>
    <row r="633" spans="1:6" ht="31.5">
      <c r="A633" s="160" t="s">
        <v>267</v>
      </c>
      <c r="B633" s="161">
        <f>B629*60%</f>
        <v>169.72200000000001</v>
      </c>
      <c r="C633" s="161">
        <f>C629*60%+0.001</f>
        <v>1E-3</v>
      </c>
      <c r="D633" s="161">
        <f>B633+C633</f>
        <v>169.72300000000001</v>
      </c>
      <c r="E633" s="165"/>
      <c r="F633" s="350"/>
    </row>
    <row r="634" spans="1:6" ht="31.5">
      <c r="A634" s="160" t="s">
        <v>268</v>
      </c>
      <c r="B634" s="161">
        <f>B630*60%</f>
        <v>9.4499999999999993</v>
      </c>
      <c r="C634" s="161">
        <f>C630*60%</f>
        <v>0</v>
      </c>
      <c r="D634" s="161">
        <f>B634+C634</f>
        <v>9.4499999999999993</v>
      </c>
      <c r="E634" s="161"/>
      <c r="F634" s="350"/>
    </row>
    <row r="635" spans="1:6" ht="15.75">
      <c r="A635" s="160" t="s">
        <v>269</v>
      </c>
      <c r="B635" s="161">
        <f>B631*60%</f>
        <v>0</v>
      </c>
      <c r="C635" s="161">
        <f>C631*60%</f>
        <v>0</v>
      </c>
      <c r="D635" s="161">
        <f>B635+C635</f>
        <v>0</v>
      </c>
      <c r="E635" s="165"/>
      <c r="F635" s="350"/>
    </row>
    <row r="636" spans="1:6" ht="31.5">
      <c r="A636" s="158" t="s">
        <v>270</v>
      </c>
      <c r="B636" s="163">
        <f>SUM(B637:B639)</f>
        <v>119.44799999999999</v>
      </c>
      <c r="C636" s="163">
        <f>SUM(C637:C639)</f>
        <v>-1E-3</v>
      </c>
      <c r="D636" s="163">
        <f>SUM(D637:D639)</f>
        <v>119.446</v>
      </c>
      <c r="E636" s="163">
        <f>SUM(E637:E639)</f>
        <v>0</v>
      </c>
      <c r="F636" s="163">
        <f>SUM(F637:F639)</f>
        <v>0</v>
      </c>
    </row>
    <row r="637" spans="1:6" ht="15.75">
      <c r="A637" s="160" t="s">
        <v>271</v>
      </c>
      <c r="B637" s="161">
        <f t="shared" ref="B637:C639" si="170">B629-B633</f>
        <v>113.148</v>
      </c>
      <c r="C637" s="161">
        <f t="shared" si="170"/>
        <v>-1E-3</v>
      </c>
      <c r="D637" s="161">
        <f>B637+C637</f>
        <v>113.14699999999999</v>
      </c>
      <c r="E637" s="161"/>
      <c r="F637" s="350"/>
    </row>
    <row r="638" spans="1:6" ht="15.75">
      <c r="A638" s="160" t="s">
        <v>272</v>
      </c>
      <c r="B638" s="161">
        <f t="shared" si="170"/>
        <v>6.3000000000000007</v>
      </c>
      <c r="C638" s="161">
        <f t="shared" si="170"/>
        <v>0</v>
      </c>
      <c r="D638" s="161">
        <f>B638+C638-0.001</f>
        <v>6.2990000000000004</v>
      </c>
      <c r="E638" s="159"/>
      <c r="F638" s="159"/>
    </row>
    <row r="639" spans="1:6" ht="15.75">
      <c r="A639" s="160" t="s">
        <v>265</v>
      </c>
      <c r="B639" s="161">
        <f t="shared" si="170"/>
        <v>0</v>
      </c>
      <c r="C639" s="161">
        <f t="shared" si="170"/>
        <v>0</v>
      </c>
      <c r="D639" s="161">
        <f>B639+C639</f>
        <v>0</v>
      </c>
      <c r="E639" s="161"/>
      <c r="F639" s="350"/>
    </row>
    <row r="640" spans="1:6" ht="15.75">
      <c r="A640" s="158" t="s">
        <v>273</v>
      </c>
      <c r="B640" s="159"/>
      <c r="C640" s="159">
        <v>0</v>
      </c>
      <c r="D640" s="159"/>
      <c r="E640" s="161"/>
      <c r="F640" s="350"/>
    </row>
    <row r="641" spans="1:6" ht="15.75">
      <c r="A641" s="162" t="s">
        <v>274</v>
      </c>
      <c r="B641" s="163">
        <f>B642</f>
        <v>5908.4620000000004</v>
      </c>
      <c r="C641" s="163">
        <f t="shared" ref="C641:F641" si="171">C642</f>
        <v>0</v>
      </c>
      <c r="D641" s="163">
        <f t="shared" si="171"/>
        <v>5908.4619999999995</v>
      </c>
      <c r="E641" s="163">
        <f t="shared" si="171"/>
        <v>0</v>
      </c>
      <c r="F641" s="163">
        <f t="shared" si="171"/>
        <v>0</v>
      </c>
    </row>
    <row r="642" spans="1:6" ht="15.75">
      <c r="A642" s="158" t="s">
        <v>275</v>
      </c>
      <c r="B642" s="159">
        <f>B643+B650</f>
        <v>5908.4620000000004</v>
      </c>
      <c r="C642" s="159">
        <f t="shared" ref="C642:F642" si="172">C643+C650</f>
        <v>0</v>
      </c>
      <c r="D642" s="159">
        <f t="shared" si="172"/>
        <v>5908.4619999999995</v>
      </c>
      <c r="E642" s="159">
        <f t="shared" si="172"/>
        <v>0</v>
      </c>
      <c r="F642" s="159">
        <f t="shared" si="172"/>
        <v>0</v>
      </c>
    </row>
    <row r="643" spans="1:6" ht="15.75">
      <c r="A643" s="157" t="s">
        <v>276</v>
      </c>
      <c r="B643" s="161">
        <f>SUM(B644:B649)-B645</f>
        <v>5554.3220000000001</v>
      </c>
      <c r="C643" s="161">
        <f t="shared" ref="C643:D643" si="173">SUM(C644:C649)-C645</f>
        <v>177.07</v>
      </c>
      <c r="D643" s="161">
        <f t="shared" si="173"/>
        <v>5731.3919999999998</v>
      </c>
      <c r="E643" s="161">
        <f t="shared" ref="E643:F643" si="174">SUM(E644:E649)-E645</f>
        <v>0</v>
      </c>
      <c r="F643" s="161">
        <f t="shared" si="174"/>
        <v>0</v>
      </c>
    </row>
    <row r="644" spans="1:6" ht="15.75">
      <c r="A644" s="164" t="s">
        <v>277</v>
      </c>
      <c r="B644" s="165">
        <v>4215.41</v>
      </c>
      <c r="C644" s="165">
        <v>150.51</v>
      </c>
      <c r="D644" s="165">
        <f>B644+C644</f>
        <v>4365.92</v>
      </c>
      <c r="E644" s="163"/>
      <c r="F644" s="163"/>
    </row>
    <row r="645" spans="1:6" ht="15.75">
      <c r="A645" s="166" t="s">
        <v>278</v>
      </c>
      <c r="B645" s="165">
        <f>SUM(B646:B647)</f>
        <v>820.21199999999999</v>
      </c>
      <c r="C645" s="165">
        <f>SUM(C646:C647)</f>
        <v>0</v>
      </c>
      <c r="D645" s="165">
        <f>SUM(D646:D647)</f>
        <v>820.21199999999999</v>
      </c>
      <c r="E645" s="165">
        <f>SUM(E646:E647)</f>
        <v>0</v>
      </c>
      <c r="F645" s="165">
        <f>SUM(F646:F647)</f>
        <v>0</v>
      </c>
    </row>
    <row r="646" spans="1:6" ht="31.5">
      <c r="A646" s="171" t="s">
        <v>303</v>
      </c>
      <c r="B646" s="165">
        <v>757.58199999999999</v>
      </c>
      <c r="C646" s="165">
        <v>31.31</v>
      </c>
      <c r="D646" s="165">
        <f>B646+C646</f>
        <v>788.89199999999994</v>
      </c>
      <c r="E646" s="161"/>
      <c r="F646" s="161"/>
    </row>
    <row r="647" spans="1:6" ht="31.5">
      <c r="A647" s="171" t="s">
        <v>304</v>
      </c>
      <c r="B647" s="165">
        <v>62.63</v>
      </c>
      <c r="C647" s="165">
        <v>-31.31</v>
      </c>
      <c r="D647" s="165">
        <f>B647+C647</f>
        <v>31.320000000000004</v>
      </c>
      <c r="E647" s="165"/>
      <c r="F647" s="352"/>
    </row>
    <row r="648" spans="1:6" ht="31.5">
      <c r="A648" s="167" t="s">
        <v>279</v>
      </c>
      <c r="B648" s="165">
        <v>502.95000000000005</v>
      </c>
      <c r="C648" s="165">
        <v>26.56</v>
      </c>
      <c r="D648" s="165">
        <f>B648+C648</f>
        <v>529.51</v>
      </c>
      <c r="E648" s="165"/>
      <c r="F648" s="315"/>
    </row>
    <row r="649" spans="1:6" ht="15.75">
      <c r="A649" s="166" t="s">
        <v>280</v>
      </c>
      <c r="B649" s="165">
        <v>15.75</v>
      </c>
      <c r="C649" s="165"/>
      <c r="D649" s="165">
        <f>B649+C649</f>
        <v>15.75</v>
      </c>
      <c r="E649" s="161"/>
      <c r="F649" s="161"/>
    </row>
    <row r="650" spans="1:6" ht="15.75">
      <c r="A650" s="157" t="s">
        <v>282</v>
      </c>
      <c r="B650" s="161">
        <f>B651+B652</f>
        <v>354.14</v>
      </c>
      <c r="C650" s="161">
        <f>C651+C652</f>
        <v>-177.07</v>
      </c>
      <c r="D650" s="161">
        <f>D651+D652</f>
        <v>177.07</v>
      </c>
      <c r="E650" s="161">
        <f>E651+E652</f>
        <v>0</v>
      </c>
      <c r="F650" s="161">
        <f>F651+F652</f>
        <v>0</v>
      </c>
    </row>
    <row r="651" spans="1:6" ht="15.75">
      <c r="A651" s="157" t="s">
        <v>283</v>
      </c>
      <c r="B651" s="168"/>
      <c r="C651" s="168"/>
      <c r="D651" s="168"/>
      <c r="E651" s="168"/>
      <c r="F651" s="168"/>
    </row>
    <row r="652" spans="1:6" ht="15.75">
      <c r="A652" s="157" t="s">
        <v>284</v>
      </c>
      <c r="B652" s="168">
        <f>SUM(B653:B654)</f>
        <v>354.14</v>
      </c>
      <c r="C652" s="168">
        <f>SUM(C653:C654)</f>
        <v>-177.07</v>
      </c>
      <c r="D652" s="168">
        <f>SUM(D653:D654)</f>
        <v>177.07</v>
      </c>
      <c r="E652" s="168">
        <f>SUM(E653:E654)</f>
        <v>0</v>
      </c>
      <c r="F652" s="168">
        <f>SUM(F653:F654)</f>
        <v>0</v>
      </c>
    </row>
    <row r="653" spans="1:6" ht="31.5">
      <c r="A653" s="172" t="s">
        <v>305</v>
      </c>
      <c r="B653" s="180">
        <v>301.02</v>
      </c>
      <c r="C653" s="165">
        <v>-150.51</v>
      </c>
      <c r="D653" s="165">
        <f>B653+C653</f>
        <v>150.51</v>
      </c>
      <c r="E653" s="161"/>
      <c r="F653" s="161"/>
    </row>
    <row r="654" spans="1:6" ht="15.75">
      <c r="A654" s="172" t="s">
        <v>306</v>
      </c>
      <c r="B654" s="180">
        <v>53.12</v>
      </c>
      <c r="C654" s="165">
        <v>-26.56</v>
      </c>
      <c r="D654" s="165">
        <f>B654+C654</f>
        <v>26.56</v>
      </c>
      <c r="E654" s="161"/>
      <c r="F654" s="161"/>
    </row>
    <row r="655" spans="1:6" ht="15.75">
      <c r="A655" s="348" t="s">
        <v>322</v>
      </c>
      <c r="B655" s="175"/>
      <c r="C655" s="175"/>
      <c r="D655" s="175"/>
      <c r="E655" s="175"/>
      <c r="F655" s="175"/>
    </row>
    <row r="656" spans="1:6" ht="15.75">
      <c r="A656" s="156" t="s">
        <v>261</v>
      </c>
      <c r="B656" s="349">
        <f>B657</f>
        <v>265.23</v>
      </c>
      <c r="C656" s="349">
        <f>C657</f>
        <v>0</v>
      </c>
      <c r="D656" s="349">
        <f>D657</f>
        <v>265.23</v>
      </c>
      <c r="E656" s="349">
        <f>E657</f>
        <v>0</v>
      </c>
      <c r="F656" s="349">
        <f>F657</f>
        <v>0</v>
      </c>
    </row>
    <row r="657" spans="1:6" ht="15.75">
      <c r="A657" s="158" t="s">
        <v>262</v>
      </c>
      <c r="B657" s="159">
        <f>SUM(B658:B660)</f>
        <v>265.23</v>
      </c>
      <c r="C657" s="159">
        <f>SUM(C658:C660)</f>
        <v>0</v>
      </c>
      <c r="D657" s="159">
        <f>SUM(D658:D660)</f>
        <v>265.23</v>
      </c>
      <c r="E657" s="159">
        <f>SUM(E658:E660)</f>
        <v>0</v>
      </c>
      <c r="F657" s="159">
        <f>SUM(F658:F660)</f>
        <v>0</v>
      </c>
    </row>
    <row r="658" spans="1:6" ht="15.75">
      <c r="A658" s="160" t="s">
        <v>263</v>
      </c>
      <c r="B658" s="161">
        <v>108.36</v>
      </c>
      <c r="C658" s="161">
        <v>0</v>
      </c>
      <c r="D658" s="161">
        <f>B658+C658</f>
        <v>108.36</v>
      </c>
      <c r="E658" s="161"/>
      <c r="F658" s="350"/>
    </row>
    <row r="659" spans="1:6" ht="15.75">
      <c r="A659" s="160" t="s">
        <v>264</v>
      </c>
      <c r="B659" s="161">
        <v>156.87</v>
      </c>
      <c r="C659" s="161">
        <v>0</v>
      </c>
      <c r="D659" s="161">
        <f>B659+C659+C669</f>
        <v>156.87</v>
      </c>
      <c r="E659" s="159"/>
      <c r="F659" s="159"/>
    </row>
    <row r="660" spans="1:6" ht="15.75">
      <c r="A660" s="160" t="s">
        <v>265</v>
      </c>
      <c r="B660" s="161">
        <v>0</v>
      </c>
      <c r="C660" s="161">
        <v>0</v>
      </c>
      <c r="D660" s="161">
        <f>B660+C660</f>
        <v>0</v>
      </c>
      <c r="E660" s="161"/>
      <c r="F660" s="350"/>
    </row>
    <row r="661" spans="1:6" ht="15.75">
      <c r="A661" s="158" t="s">
        <v>266</v>
      </c>
      <c r="B661" s="159">
        <f>SUM(B662:B664)</f>
        <v>159.13799999999998</v>
      </c>
      <c r="C661" s="159">
        <f>SUM(C662:C664)</f>
        <v>0</v>
      </c>
      <c r="D661" s="159">
        <f>SUM(D662:D664)</f>
        <v>159.13799999999998</v>
      </c>
      <c r="E661" s="159">
        <f>SUM(E662:E664)</f>
        <v>0</v>
      </c>
      <c r="F661" s="159">
        <f>SUM(F662:F664)</f>
        <v>0</v>
      </c>
    </row>
    <row r="662" spans="1:6" ht="31.5">
      <c r="A662" s="160" t="s">
        <v>267</v>
      </c>
      <c r="B662" s="161">
        <f t="shared" ref="B662:C664" si="175">B658*60%</f>
        <v>65.015999999999991</v>
      </c>
      <c r="C662" s="161">
        <f t="shared" si="175"/>
        <v>0</v>
      </c>
      <c r="D662" s="161">
        <f>B662+C662</f>
        <v>65.015999999999991</v>
      </c>
      <c r="E662" s="165"/>
      <c r="F662" s="350"/>
    </row>
    <row r="663" spans="1:6" ht="31.5">
      <c r="A663" s="160" t="s">
        <v>268</v>
      </c>
      <c r="B663" s="161">
        <f t="shared" si="175"/>
        <v>94.122</v>
      </c>
      <c r="C663" s="161">
        <f t="shared" si="175"/>
        <v>0</v>
      </c>
      <c r="D663" s="161">
        <f>B663+C663</f>
        <v>94.122</v>
      </c>
      <c r="E663" s="161"/>
      <c r="F663" s="350"/>
    </row>
    <row r="664" spans="1:6" ht="15.75">
      <c r="A664" s="160" t="s">
        <v>269</v>
      </c>
      <c r="B664" s="161">
        <f t="shared" si="175"/>
        <v>0</v>
      </c>
      <c r="C664" s="161">
        <f t="shared" si="175"/>
        <v>0</v>
      </c>
      <c r="D664" s="161">
        <f>B664+C664</f>
        <v>0</v>
      </c>
      <c r="E664" s="165"/>
      <c r="F664" s="350"/>
    </row>
    <row r="665" spans="1:6" ht="31.5">
      <c r="A665" s="158" t="s">
        <v>270</v>
      </c>
      <c r="B665" s="163">
        <f>SUM(B666:B668)</f>
        <v>106.09200000000001</v>
      </c>
      <c r="C665" s="163">
        <f>SUM(C666:C668)</f>
        <v>0</v>
      </c>
      <c r="D665" s="163">
        <f>SUM(D666:D668)</f>
        <v>106.09200000000001</v>
      </c>
      <c r="E665" s="163">
        <f>SUM(E666:E668)</f>
        <v>0</v>
      </c>
      <c r="F665" s="163">
        <f>SUM(F666:F668)</f>
        <v>0</v>
      </c>
    </row>
    <row r="666" spans="1:6" ht="15.75">
      <c r="A666" s="160" t="s">
        <v>271</v>
      </c>
      <c r="B666" s="161">
        <f t="shared" ref="B666:C668" si="176">B658-B662</f>
        <v>43.344000000000008</v>
      </c>
      <c r="C666" s="161">
        <f t="shared" si="176"/>
        <v>0</v>
      </c>
      <c r="D666" s="161">
        <f>B666+C666</f>
        <v>43.344000000000008</v>
      </c>
      <c r="E666" s="161"/>
      <c r="F666" s="350"/>
    </row>
    <row r="667" spans="1:6" ht="15.75">
      <c r="A667" s="160" t="s">
        <v>272</v>
      </c>
      <c r="B667" s="161">
        <f t="shared" si="176"/>
        <v>62.748000000000005</v>
      </c>
      <c r="C667" s="161">
        <f t="shared" si="176"/>
        <v>0</v>
      </c>
      <c r="D667" s="161">
        <f>B667+C667</f>
        <v>62.748000000000005</v>
      </c>
      <c r="E667" s="159"/>
      <c r="F667" s="159"/>
    </row>
    <row r="668" spans="1:6" ht="15.75">
      <c r="A668" s="160" t="s">
        <v>265</v>
      </c>
      <c r="B668" s="161">
        <f t="shared" si="176"/>
        <v>0</v>
      </c>
      <c r="C668" s="161">
        <f t="shared" si="176"/>
        <v>0</v>
      </c>
      <c r="D668" s="161">
        <f>B668+C668</f>
        <v>0</v>
      </c>
      <c r="E668" s="161"/>
      <c r="F668" s="350"/>
    </row>
    <row r="669" spans="1:6" ht="15.75">
      <c r="A669" s="158" t="s">
        <v>273</v>
      </c>
      <c r="B669" s="159">
        <v>0</v>
      </c>
      <c r="C669" s="159">
        <v>0</v>
      </c>
      <c r="D669" s="159">
        <v>0</v>
      </c>
      <c r="E669" s="159"/>
      <c r="F669" s="159"/>
    </row>
    <row r="670" spans="1:6" ht="15.75">
      <c r="A670" s="162" t="s">
        <v>274</v>
      </c>
      <c r="B670" s="163">
        <f>B671</f>
        <v>5187.9479999999985</v>
      </c>
      <c r="C670" s="163">
        <f>C671</f>
        <v>0</v>
      </c>
      <c r="D670" s="163">
        <f>D671</f>
        <v>5187.9479999999994</v>
      </c>
      <c r="E670" s="163">
        <f>E671</f>
        <v>0</v>
      </c>
      <c r="F670" s="163">
        <f>F671</f>
        <v>0</v>
      </c>
    </row>
    <row r="671" spans="1:6" ht="15.75">
      <c r="A671" s="158" t="s">
        <v>275</v>
      </c>
      <c r="B671" s="159">
        <f>B672+B679</f>
        <v>5187.9479999999985</v>
      </c>
      <c r="C671" s="159">
        <f>C672+C679</f>
        <v>0</v>
      </c>
      <c r="D671" s="159">
        <f>D672+D679</f>
        <v>5187.9479999999994</v>
      </c>
      <c r="E671" s="159">
        <f>E672+E679</f>
        <v>0</v>
      </c>
      <c r="F671" s="159">
        <f>F672+F679</f>
        <v>0</v>
      </c>
    </row>
    <row r="672" spans="1:6" ht="15.75">
      <c r="A672" s="157" t="s">
        <v>276</v>
      </c>
      <c r="B672" s="161">
        <f>SUM(B673:B678)-B674</f>
        <v>4852.0079999999989</v>
      </c>
      <c r="C672" s="161">
        <f>SUM(C673:C678)-C674</f>
        <v>110.53999999999999</v>
      </c>
      <c r="D672" s="161">
        <f>SUM(D673:D678)-D674</f>
        <v>4962.5479999999998</v>
      </c>
      <c r="E672" s="161">
        <f>SUM(E673:E678)-E674</f>
        <v>0</v>
      </c>
      <c r="F672" s="161">
        <f>SUM(F673:F678)-F674</f>
        <v>0</v>
      </c>
    </row>
    <row r="673" spans="1:6" ht="15.75">
      <c r="A673" s="164" t="s">
        <v>277</v>
      </c>
      <c r="B673" s="165">
        <v>3583.29</v>
      </c>
      <c r="C673" s="165">
        <v>93.96</v>
      </c>
      <c r="D673" s="165">
        <f>B673+C673</f>
        <v>3677.25</v>
      </c>
      <c r="E673" s="163"/>
      <c r="F673" s="163"/>
    </row>
    <row r="674" spans="1:6" ht="15.75">
      <c r="A674" s="166" t="s">
        <v>278</v>
      </c>
      <c r="B674" s="165">
        <f>SUM(B675:B676)</f>
        <v>690.27800000000002</v>
      </c>
      <c r="C674" s="165">
        <f>SUM(C675:C676)</f>
        <v>0</v>
      </c>
      <c r="D674" s="165">
        <f>SUM(D675:D676)</f>
        <v>690.27799999999991</v>
      </c>
      <c r="E674" s="165">
        <f>SUM(E675:E676)</f>
        <v>0</v>
      </c>
      <c r="F674" s="165">
        <f>SUM(F675:F676)</f>
        <v>0</v>
      </c>
    </row>
    <row r="675" spans="1:6" ht="31.5">
      <c r="A675" s="171" t="s">
        <v>303</v>
      </c>
      <c r="B675" s="165">
        <f>745.51-B665</f>
        <v>639.41800000000001</v>
      </c>
      <c r="C675" s="165">
        <v>19.55</v>
      </c>
      <c r="D675" s="161">
        <f>B675+C675</f>
        <v>658.96799999999996</v>
      </c>
      <c r="E675" s="161"/>
      <c r="F675" s="161"/>
    </row>
    <row r="676" spans="1:6" ht="31.5">
      <c r="A676" s="171" t="s">
        <v>304</v>
      </c>
      <c r="B676" s="165">
        <v>50.86</v>
      </c>
      <c r="C676" s="165">
        <v>-19.55</v>
      </c>
      <c r="D676" s="165">
        <f>B676+C676</f>
        <v>31.31</v>
      </c>
      <c r="E676" s="165"/>
      <c r="F676" s="352"/>
    </row>
    <row r="677" spans="1:6" ht="31.5">
      <c r="A677" s="167" t="s">
        <v>279</v>
      </c>
      <c r="B677" s="165">
        <v>421.57</v>
      </c>
      <c r="C677" s="165">
        <v>16.579999999999998</v>
      </c>
      <c r="D677" s="165">
        <f>B677+C677</f>
        <v>438.15</v>
      </c>
      <c r="E677" s="165"/>
      <c r="F677" s="315"/>
    </row>
    <row r="678" spans="1:6" ht="15.75">
      <c r="A678" s="166" t="s">
        <v>280</v>
      </c>
      <c r="B678" s="165">
        <v>156.87</v>
      </c>
      <c r="C678" s="165"/>
      <c r="D678" s="165">
        <f>B678+C678</f>
        <v>156.87</v>
      </c>
      <c r="E678" s="161"/>
      <c r="F678" s="161"/>
    </row>
    <row r="679" spans="1:6" ht="15.75">
      <c r="A679" s="157" t="s">
        <v>282</v>
      </c>
      <c r="B679" s="161">
        <f>B680+B681</f>
        <v>335.94</v>
      </c>
      <c r="C679" s="161">
        <f>C680+C681</f>
        <v>-110.53999999999999</v>
      </c>
      <c r="D679" s="161">
        <f>D680+D681</f>
        <v>225.39999999999998</v>
      </c>
      <c r="E679" s="161">
        <f>E680+E681</f>
        <v>0</v>
      </c>
      <c r="F679" s="161">
        <f>F680+F681</f>
        <v>0</v>
      </c>
    </row>
    <row r="680" spans="1:6" ht="15.75">
      <c r="A680" s="157" t="s">
        <v>283</v>
      </c>
      <c r="B680" s="161"/>
      <c r="C680" s="161"/>
      <c r="D680" s="161"/>
      <c r="E680" s="161"/>
      <c r="F680" s="161"/>
    </row>
    <row r="681" spans="1:6" ht="15.75">
      <c r="A681" s="157" t="s">
        <v>284</v>
      </c>
      <c r="B681" s="161">
        <f>SUM(B682:B684)</f>
        <v>335.94</v>
      </c>
      <c r="C681" s="161">
        <f>SUM(C682:C684)</f>
        <v>-110.53999999999999</v>
      </c>
      <c r="D681" s="161">
        <f>SUM(D682:D684)</f>
        <v>225.39999999999998</v>
      </c>
      <c r="E681" s="161">
        <f>SUM(E682:E684)</f>
        <v>0</v>
      </c>
      <c r="F681" s="161">
        <f>SUM(F682:F684)</f>
        <v>0</v>
      </c>
    </row>
    <row r="682" spans="1:6" ht="31.5">
      <c r="A682" s="172" t="s">
        <v>305</v>
      </c>
      <c r="B682" s="165">
        <v>244.47</v>
      </c>
      <c r="C682" s="165">
        <v>-93.96</v>
      </c>
      <c r="D682" s="165">
        <f>B682+C682</f>
        <v>150.51</v>
      </c>
      <c r="E682" s="161"/>
      <c r="F682" s="161"/>
    </row>
    <row r="683" spans="1:6" ht="15.75">
      <c r="A683" s="172" t="s">
        <v>306</v>
      </c>
      <c r="B683" s="165">
        <v>43.14</v>
      </c>
      <c r="C683" s="165">
        <v>-16.579999999999998</v>
      </c>
      <c r="D683" s="165">
        <f>B683+C683</f>
        <v>26.560000000000002</v>
      </c>
      <c r="E683" s="161"/>
      <c r="F683" s="161"/>
    </row>
    <row r="684" spans="1:6" ht="15.75">
      <c r="A684" s="167" t="s">
        <v>309</v>
      </c>
      <c r="B684" s="165">
        <v>48.33</v>
      </c>
      <c r="C684" s="165"/>
      <c r="D684" s="165">
        <f>B684+C684</f>
        <v>48.33</v>
      </c>
      <c r="E684" s="161"/>
      <c r="F684" s="161"/>
    </row>
    <row r="685" spans="1:6" ht="15.75">
      <c r="A685" s="348" t="s">
        <v>321</v>
      </c>
      <c r="B685" s="175"/>
      <c r="C685" s="175"/>
      <c r="D685" s="175"/>
      <c r="E685" s="175"/>
      <c r="F685" s="175"/>
    </row>
    <row r="686" spans="1:6" ht="15.75">
      <c r="A686" s="156" t="s">
        <v>261</v>
      </c>
      <c r="B686" s="349">
        <f>B687</f>
        <v>114.3</v>
      </c>
      <c r="C686" s="349">
        <f>C687</f>
        <v>0</v>
      </c>
      <c r="D686" s="349">
        <f>D687</f>
        <v>115.44191999999998</v>
      </c>
      <c r="E686" s="349">
        <f>E687</f>
        <v>0</v>
      </c>
      <c r="F686" s="349">
        <f>F687</f>
        <v>0</v>
      </c>
    </row>
    <row r="687" spans="1:6" ht="15.75">
      <c r="A687" s="158" t="s">
        <v>262</v>
      </c>
      <c r="B687" s="159">
        <f>SUM(B688:B690)</f>
        <v>114.3</v>
      </c>
      <c r="C687" s="159">
        <f>SUM(C688:C690)</f>
        <v>0</v>
      </c>
      <c r="D687" s="159">
        <f>SUM(D688:D690)</f>
        <v>115.44191999999998</v>
      </c>
      <c r="E687" s="159">
        <f>SUM(E688:E690)</f>
        <v>0</v>
      </c>
      <c r="F687" s="159">
        <f>SUM(F688:F690)</f>
        <v>0</v>
      </c>
    </row>
    <row r="688" spans="1:6" ht="15.75">
      <c r="A688" s="160" t="s">
        <v>263</v>
      </c>
      <c r="B688" s="161">
        <v>0.45</v>
      </c>
      <c r="C688" s="161">
        <v>0</v>
      </c>
      <c r="D688" s="161">
        <f>B688+C688+0.00342</f>
        <v>0.45341999999999999</v>
      </c>
      <c r="E688" s="161"/>
      <c r="F688" s="350"/>
    </row>
    <row r="689" spans="1:6" ht="15.75">
      <c r="A689" s="160" t="s">
        <v>264</v>
      </c>
      <c r="B689" s="161">
        <v>113.85</v>
      </c>
      <c r="C689" s="161">
        <v>0</v>
      </c>
      <c r="D689" s="161">
        <f>B689+C689+1.1385</f>
        <v>114.98849999999999</v>
      </c>
      <c r="E689" s="159"/>
      <c r="F689" s="159"/>
    </row>
    <row r="690" spans="1:6" ht="15.75">
      <c r="A690" s="160" t="s">
        <v>265</v>
      </c>
      <c r="B690" s="161">
        <v>0</v>
      </c>
      <c r="C690" s="161">
        <v>0</v>
      </c>
      <c r="D690" s="161">
        <f>B690+C690</f>
        <v>0</v>
      </c>
      <c r="E690" s="161"/>
      <c r="F690" s="350"/>
    </row>
    <row r="691" spans="1:6" ht="15.75">
      <c r="A691" s="158" t="s">
        <v>266</v>
      </c>
      <c r="B691" s="159">
        <f>SUM(B692:B694)</f>
        <v>68.579999999999984</v>
      </c>
      <c r="C691" s="159">
        <f>SUM(C692:C694)</f>
        <v>0</v>
      </c>
      <c r="D691" s="159">
        <f>SUM(D692:D694)</f>
        <v>68.579999999999984</v>
      </c>
      <c r="E691" s="159">
        <f>SUM(E692:E694)</f>
        <v>0</v>
      </c>
      <c r="F691" s="159">
        <f>SUM(F692:F694)</f>
        <v>0</v>
      </c>
    </row>
    <row r="692" spans="1:6" ht="31.5">
      <c r="A692" s="160" t="s">
        <v>267</v>
      </c>
      <c r="B692" s="161">
        <f t="shared" ref="B692:C694" si="177">B688*60%</f>
        <v>0.27</v>
      </c>
      <c r="C692" s="161">
        <f t="shared" si="177"/>
        <v>0</v>
      </c>
      <c r="D692" s="161">
        <f>B692+C692</f>
        <v>0.27</v>
      </c>
      <c r="E692" s="165"/>
      <c r="F692" s="350"/>
    </row>
    <row r="693" spans="1:6" ht="31.5">
      <c r="A693" s="160" t="s">
        <v>268</v>
      </c>
      <c r="B693" s="161">
        <f t="shared" si="177"/>
        <v>68.309999999999988</v>
      </c>
      <c r="C693" s="161">
        <f t="shared" si="177"/>
        <v>0</v>
      </c>
      <c r="D693" s="161">
        <f>B693+C693</f>
        <v>68.309999999999988</v>
      </c>
      <c r="E693" s="161"/>
      <c r="F693" s="350"/>
    </row>
    <row r="694" spans="1:6" ht="15.75">
      <c r="A694" s="160" t="s">
        <v>269</v>
      </c>
      <c r="B694" s="161">
        <f t="shared" si="177"/>
        <v>0</v>
      </c>
      <c r="C694" s="161">
        <f t="shared" si="177"/>
        <v>0</v>
      </c>
      <c r="D694" s="161">
        <f>B694+C694</f>
        <v>0</v>
      </c>
      <c r="E694" s="165"/>
      <c r="F694" s="350"/>
    </row>
    <row r="695" spans="1:6" ht="31.5">
      <c r="A695" s="158" t="s">
        <v>270</v>
      </c>
      <c r="B695" s="163">
        <f>SUM(B696:B698)</f>
        <v>45.720000000000006</v>
      </c>
      <c r="C695" s="163">
        <f>SUM(C696:C698)</f>
        <v>0</v>
      </c>
      <c r="D695" s="163">
        <f>SUM(D696:D698)</f>
        <v>45.720000000000006</v>
      </c>
      <c r="E695" s="163">
        <f>SUM(E696:E698)</f>
        <v>0</v>
      </c>
      <c r="F695" s="163">
        <f>SUM(F696:F698)</f>
        <v>0</v>
      </c>
    </row>
    <row r="696" spans="1:6" ht="15.75">
      <c r="A696" s="160" t="s">
        <v>271</v>
      </c>
      <c r="B696" s="161">
        <f t="shared" ref="B696:C698" si="178">B688-B692</f>
        <v>0.18</v>
      </c>
      <c r="C696" s="161">
        <f t="shared" si="178"/>
        <v>0</v>
      </c>
      <c r="D696" s="161">
        <f>B696+C696</f>
        <v>0.18</v>
      </c>
      <c r="E696" s="161"/>
      <c r="F696" s="350"/>
    </row>
    <row r="697" spans="1:6" ht="15.75">
      <c r="A697" s="160" t="s">
        <v>272</v>
      </c>
      <c r="B697" s="161">
        <f t="shared" si="178"/>
        <v>45.540000000000006</v>
      </c>
      <c r="C697" s="161">
        <f t="shared" si="178"/>
        <v>0</v>
      </c>
      <c r="D697" s="161">
        <f>B697+C697</f>
        <v>45.540000000000006</v>
      </c>
      <c r="E697" s="159"/>
      <c r="F697" s="159"/>
    </row>
    <row r="698" spans="1:6" ht="15.75">
      <c r="A698" s="160" t="s">
        <v>265</v>
      </c>
      <c r="B698" s="161">
        <f t="shared" si="178"/>
        <v>0</v>
      </c>
      <c r="C698" s="161">
        <f t="shared" si="178"/>
        <v>0</v>
      </c>
      <c r="D698" s="161">
        <f>B698+C698</f>
        <v>0</v>
      </c>
      <c r="E698" s="161"/>
      <c r="F698" s="350"/>
    </row>
    <row r="699" spans="1:6" ht="15.75">
      <c r="A699" s="158" t="s">
        <v>273</v>
      </c>
      <c r="B699" s="159">
        <v>0</v>
      </c>
      <c r="C699" s="159">
        <v>0</v>
      </c>
      <c r="D699" s="159">
        <f>B699+C699</f>
        <v>0</v>
      </c>
      <c r="E699" s="161"/>
      <c r="F699" s="350"/>
    </row>
    <row r="700" spans="1:6" ht="15.75">
      <c r="A700" s="162" t="s">
        <v>274</v>
      </c>
      <c r="B700" s="163">
        <f>B701</f>
        <v>5291.0300000000007</v>
      </c>
      <c r="C700" s="163">
        <f>C701</f>
        <v>0</v>
      </c>
      <c r="D700" s="163">
        <f>D701</f>
        <v>5291.03</v>
      </c>
      <c r="E700" s="163">
        <f>E701</f>
        <v>0</v>
      </c>
      <c r="F700" s="163">
        <f>F701</f>
        <v>0</v>
      </c>
    </row>
    <row r="701" spans="1:6" ht="15.75">
      <c r="A701" s="158" t="s">
        <v>275</v>
      </c>
      <c r="B701" s="159">
        <f>B702+B711</f>
        <v>5291.0300000000007</v>
      </c>
      <c r="C701" s="159">
        <f>C702+C711</f>
        <v>0</v>
      </c>
      <c r="D701" s="159">
        <f>D702+D711</f>
        <v>5291.03</v>
      </c>
      <c r="E701" s="159">
        <f>E702+E711</f>
        <v>0</v>
      </c>
      <c r="F701" s="159">
        <f>F702+F711</f>
        <v>0</v>
      </c>
    </row>
    <row r="702" spans="1:6" ht="15.75">
      <c r="A702" s="157" t="s">
        <v>276</v>
      </c>
      <c r="B702" s="161">
        <f>SUM(B703:B710)-B704</f>
        <v>5180.97</v>
      </c>
      <c r="C702" s="161">
        <f>SUM(C703:C710)-C704</f>
        <v>89.15</v>
      </c>
      <c r="D702" s="161">
        <f>SUM(D703:D710)-D704</f>
        <v>5270.12</v>
      </c>
      <c r="E702" s="161">
        <f>SUM(E703:E710)-E704</f>
        <v>0</v>
      </c>
      <c r="F702" s="161">
        <f>SUM(F703:F710)-F704</f>
        <v>0</v>
      </c>
    </row>
    <row r="703" spans="1:6" ht="15.75">
      <c r="A703" s="164" t="s">
        <v>277</v>
      </c>
      <c r="B703" s="165">
        <v>3609.09</v>
      </c>
      <c r="C703" s="161">
        <v>75.78</v>
      </c>
      <c r="D703" s="165">
        <f t="shared" ref="D703:D710" si="179">B703+C703</f>
        <v>3684.8700000000003</v>
      </c>
      <c r="E703" s="163"/>
      <c r="F703" s="163"/>
    </row>
    <row r="704" spans="1:6" ht="15.75">
      <c r="A704" s="166" t="s">
        <v>278</v>
      </c>
      <c r="B704" s="165">
        <f>SUM(B705:B706)</f>
        <v>720.93</v>
      </c>
      <c r="C704" s="165">
        <f>SUM(C705:C706)</f>
        <v>0</v>
      </c>
      <c r="D704" s="165">
        <f>SUM(D705:D706)</f>
        <v>720.93</v>
      </c>
      <c r="E704" s="165">
        <f>SUM(E705:E706)</f>
        <v>0</v>
      </c>
      <c r="F704" s="165">
        <f>SUM(F705:F706)</f>
        <v>0</v>
      </c>
    </row>
    <row r="705" spans="1:6" ht="31.5">
      <c r="A705" s="171" t="s">
        <v>303</v>
      </c>
      <c r="B705" s="165">
        <f>750.88-B695</f>
        <v>705.16</v>
      </c>
      <c r="C705" s="165">
        <v>15.77</v>
      </c>
      <c r="D705" s="165">
        <f t="shared" si="179"/>
        <v>720.93</v>
      </c>
      <c r="E705" s="161"/>
      <c r="F705" s="161"/>
    </row>
    <row r="706" spans="1:6" ht="31.5">
      <c r="A706" s="171" t="s">
        <v>304</v>
      </c>
      <c r="B706" s="165">
        <v>15.77</v>
      </c>
      <c r="C706" s="165">
        <f>-B706</f>
        <v>-15.77</v>
      </c>
      <c r="D706" s="165">
        <f t="shared" si="179"/>
        <v>0</v>
      </c>
      <c r="E706" s="165"/>
      <c r="F706" s="352"/>
    </row>
    <row r="707" spans="1:6" ht="31.5">
      <c r="A707" s="167" t="s">
        <v>279</v>
      </c>
      <c r="B707" s="165">
        <v>510.15000000000003</v>
      </c>
      <c r="C707" s="165">
        <v>13.37</v>
      </c>
      <c r="D707" s="165">
        <f t="shared" si="179"/>
        <v>523.52</v>
      </c>
      <c r="E707" s="165"/>
      <c r="F707" s="315"/>
    </row>
    <row r="708" spans="1:6" ht="15.75">
      <c r="A708" s="166" t="s">
        <v>280</v>
      </c>
      <c r="B708" s="165">
        <v>113.85</v>
      </c>
      <c r="C708" s="165"/>
      <c r="D708" s="165">
        <f t="shared" si="179"/>
        <v>113.85</v>
      </c>
      <c r="E708" s="161"/>
      <c r="F708" s="161"/>
    </row>
    <row r="709" spans="1:6" ht="31.5">
      <c r="A709" s="166" t="s">
        <v>308</v>
      </c>
      <c r="B709" s="165">
        <v>9.44</v>
      </c>
      <c r="C709" s="161"/>
      <c r="D709" s="165">
        <f t="shared" si="179"/>
        <v>9.44</v>
      </c>
      <c r="E709" s="161"/>
      <c r="F709" s="161"/>
    </row>
    <row r="710" spans="1:6" ht="31.5">
      <c r="A710" s="167" t="s">
        <v>297</v>
      </c>
      <c r="B710" s="165">
        <v>217.51</v>
      </c>
      <c r="C710" s="184"/>
      <c r="D710" s="165">
        <f t="shared" si="179"/>
        <v>217.51</v>
      </c>
      <c r="E710" s="184"/>
      <c r="F710" s="184"/>
    </row>
    <row r="711" spans="1:6" ht="15.75">
      <c r="A711" s="157" t="s">
        <v>282</v>
      </c>
      <c r="B711" s="161">
        <f>B712+B713</f>
        <v>110.06</v>
      </c>
      <c r="C711" s="161">
        <f t="shared" ref="C711:F711" si="180">C712+C713</f>
        <v>-89.15</v>
      </c>
      <c r="D711" s="161">
        <f t="shared" si="180"/>
        <v>20.91</v>
      </c>
      <c r="E711" s="161">
        <f t="shared" si="180"/>
        <v>0</v>
      </c>
      <c r="F711" s="161">
        <f t="shared" si="180"/>
        <v>0</v>
      </c>
    </row>
    <row r="712" spans="1:6" ht="15.75">
      <c r="A712" s="157" t="s">
        <v>283</v>
      </c>
      <c r="B712" s="161"/>
      <c r="C712" s="161"/>
      <c r="D712" s="161"/>
      <c r="E712" s="161"/>
      <c r="F712" s="161"/>
    </row>
    <row r="713" spans="1:6" ht="15.75">
      <c r="A713" s="157" t="s">
        <v>284</v>
      </c>
      <c r="B713" s="161">
        <f>SUM(B714:B717)</f>
        <v>110.06</v>
      </c>
      <c r="C713" s="161">
        <f t="shared" ref="C713:F713" si="181">SUM(C714:C717)</f>
        <v>-89.15</v>
      </c>
      <c r="D713" s="161">
        <f t="shared" si="181"/>
        <v>20.91</v>
      </c>
      <c r="E713" s="161">
        <f t="shared" si="181"/>
        <v>0</v>
      </c>
      <c r="F713" s="161">
        <f t="shared" si="181"/>
        <v>0</v>
      </c>
    </row>
    <row r="714" spans="1:6" ht="31.5">
      <c r="A714" s="172" t="s">
        <v>305</v>
      </c>
      <c r="B714" s="165">
        <v>75.78</v>
      </c>
      <c r="C714" s="165">
        <f>-B714</f>
        <v>-75.78</v>
      </c>
      <c r="D714" s="165">
        <f>B714+C714</f>
        <v>0</v>
      </c>
      <c r="E714" s="184"/>
      <c r="F714" s="184"/>
    </row>
    <row r="715" spans="1:6" ht="15.75">
      <c r="A715" s="172" t="s">
        <v>306</v>
      </c>
      <c r="B715" s="165">
        <v>13.37</v>
      </c>
      <c r="C715" s="165">
        <v>-13.37</v>
      </c>
      <c r="D715" s="165">
        <f>B715+C715</f>
        <v>0</v>
      </c>
      <c r="E715" s="184"/>
      <c r="F715" s="184"/>
    </row>
    <row r="716" spans="1:6" ht="31.5">
      <c r="A716" s="166" t="s">
        <v>308</v>
      </c>
      <c r="B716" s="165">
        <v>3.52</v>
      </c>
      <c r="C716" s="184"/>
      <c r="D716" s="165">
        <f>B716+C716</f>
        <v>3.52</v>
      </c>
      <c r="E716" s="184"/>
      <c r="F716" s="184"/>
    </row>
    <row r="717" spans="1:6" ht="31.5">
      <c r="A717" s="167" t="s">
        <v>297</v>
      </c>
      <c r="B717" s="165">
        <v>17.39</v>
      </c>
      <c r="C717" s="184"/>
      <c r="D717" s="165">
        <f>B717+C717</f>
        <v>17.39</v>
      </c>
      <c r="E717" s="184"/>
      <c r="F717" s="184"/>
    </row>
    <row r="718" spans="1:6" ht="15.75">
      <c r="A718" s="348" t="s">
        <v>320</v>
      </c>
      <c r="B718" s="175"/>
      <c r="C718" s="175"/>
      <c r="D718" s="175"/>
      <c r="E718" s="175"/>
      <c r="F718" s="175"/>
    </row>
    <row r="719" spans="1:6" ht="15.75">
      <c r="A719" s="156" t="s">
        <v>261</v>
      </c>
      <c r="B719" s="349">
        <f>B720</f>
        <v>157.5</v>
      </c>
      <c r="C719" s="349">
        <f>C720</f>
        <v>0</v>
      </c>
      <c r="D719" s="349">
        <f>D720</f>
        <v>157.5</v>
      </c>
      <c r="E719" s="349">
        <f>E720</f>
        <v>0</v>
      </c>
      <c r="F719" s="349">
        <f>F720</f>
        <v>0</v>
      </c>
    </row>
    <row r="720" spans="1:6" ht="15.75">
      <c r="A720" s="158" t="s">
        <v>262</v>
      </c>
      <c r="B720" s="159">
        <f>SUM(B721:B723)</f>
        <v>157.5</v>
      </c>
      <c r="C720" s="159">
        <f>SUM(C721:C723)</f>
        <v>0</v>
      </c>
      <c r="D720" s="159">
        <f>SUM(D721:D723)</f>
        <v>157.5</v>
      </c>
      <c r="E720" s="159">
        <f>SUM(E721:E723)</f>
        <v>0</v>
      </c>
      <c r="F720" s="159">
        <f>SUM(F721:F723)</f>
        <v>0</v>
      </c>
    </row>
    <row r="721" spans="1:6" ht="15.75">
      <c r="A721" s="160" t="s">
        <v>263</v>
      </c>
      <c r="B721" s="161">
        <v>0</v>
      </c>
      <c r="C721" s="161">
        <v>0</v>
      </c>
      <c r="D721" s="161">
        <f>B721+C721</f>
        <v>0</v>
      </c>
      <c r="E721" s="161"/>
      <c r="F721" s="350"/>
    </row>
    <row r="722" spans="1:6" ht="15.75">
      <c r="A722" s="160" t="s">
        <v>264</v>
      </c>
      <c r="B722" s="161">
        <v>157.5</v>
      </c>
      <c r="C722" s="161">
        <v>0</v>
      </c>
      <c r="D722" s="161">
        <f>B722+C722</f>
        <v>157.5</v>
      </c>
      <c r="E722" s="159"/>
      <c r="F722" s="159"/>
    </row>
    <row r="723" spans="1:6" ht="15.75">
      <c r="A723" s="160" t="s">
        <v>265</v>
      </c>
      <c r="B723" s="161">
        <v>0</v>
      </c>
      <c r="C723" s="161">
        <v>0</v>
      </c>
      <c r="D723" s="161">
        <f>B723+C723</f>
        <v>0</v>
      </c>
      <c r="E723" s="161"/>
      <c r="F723" s="350"/>
    </row>
    <row r="724" spans="1:6" ht="15.75">
      <c r="A724" s="158" t="s">
        <v>266</v>
      </c>
      <c r="B724" s="159">
        <f>SUM(B725:B727)</f>
        <v>94.5</v>
      </c>
      <c r="C724" s="159">
        <f>SUM(C725:C727)</f>
        <v>0</v>
      </c>
      <c r="D724" s="159">
        <f>SUM(D725:D727)</f>
        <v>94.5</v>
      </c>
      <c r="E724" s="159">
        <f>SUM(E725:E727)</f>
        <v>0</v>
      </c>
      <c r="F724" s="159">
        <f>SUM(F725:F727)</f>
        <v>0</v>
      </c>
    </row>
    <row r="725" spans="1:6" ht="31.5">
      <c r="A725" s="160" t="s">
        <v>267</v>
      </c>
      <c r="B725" s="161">
        <f t="shared" ref="B725:C727" si="182">B721*60%</f>
        <v>0</v>
      </c>
      <c r="C725" s="161">
        <f t="shared" si="182"/>
        <v>0</v>
      </c>
      <c r="D725" s="161">
        <f>B725+C725</f>
        <v>0</v>
      </c>
      <c r="E725" s="165"/>
      <c r="F725" s="350"/>
    </row>
    <row r="726" spans="1:6" ht="31.5">
      <c r="A726" s="160" t="s">
        <v>268</v>
      </c>
      <c r="B726" s="161">
        <f t="shared" si="182"/>
        <v>94.5</v>
      </c>
      <c r="C726" s="161">
        <f t="shared" si="182"/>
        <v>0</v>
      </c>
      <c r="D726" s="161">
        <f>B726+C726</f>
        <v>94.5</v>
      </c>
      <c r="E726" s="161"/>
      <c r="F726" s="350"/>
    </row>
    <row r="727" spans="1:6" ht="15.75">
      <c r="A727" s="160" t="s">
        <v>269</v>
      </c>
      <c r="B727" s="161">
        <f t="shared" si="182"/>
        <v>0</v>
      </c>
      <c r="C727" s="161">
        <f t="shared" si="182"/>
        <v>0</v>
      </c>
      <c r="D727" s="161">
        <f>B727+C727</f>
        <v>0</v>
      </c>
      <c r="E727" s="165"/>
      <c r="F727" s="350"/>
    </row>
    <row r="728" spans="1:6" ht="31.5">
      <c r="A728" s="158" t="s">
        <v>270</v>
      </c>
      <c r="B728" s="163">
        <f>SUM(B729:B731)</f>
        <v>63</v>
      </c>
      <c r="C728" s="163">
        <f>SUM(C729:C731)</f>
        <v>0</v>
      </c>
      <c r="D728" s="163">
        <f>SUM(D729:D731)</f>
        <v>63</v>
      </c>
      <c r="E728" s="163">
        <f>SUM(E729:E731)</f>
        <v>0</v>
      </c>
      <c r="F728" s="163">
        <f>SUM(F729:F731)</f>
        <v>0</v>
      </c>
    </row>
    <row r="729" spans="1:6" ht="15.75">
      <c r="A729" s="160" t="s">
        <v>271</v>
      </c>
      <c r="B729" s="161">
        <f t="shared" ref="B729:C731" si="183">B721-B725</f>
        <v>0</v>
      </c>
      <c r="C729" s="161">
        <f t="shared" si="183"/>
        <v>0</v>
      </c>
      <c r="D729" s="161">
        <f>B729+C729</f>
        <v>0</v>
      </c>
      <c r="E729" s="161"/>
      <c r="F729" s="350"/>
    </row>
    <row r="730" spans="1:6" ht="15.75">
      <c r="A730" s="160" t="s">
        <v>272</v>
      </c>
      <c r="B730" s="161">
        <f t="shared" si="183"/>
        <v>63</v>
      </c>
      <c r="C730" s="161">
        <f t="shared" si="183"/>
        <v>0</v>
      </c>
      <c r="D730" s="161">
        <f>B730+C730</f>
        <v>63</v>
      </c>
      <c r="E730" s="159"/>
      <c r="F730" s="159"/>
    </row>
    <row r="731" spans="1:6" ht="15.75">
      <c r="A731" s="160" t="s">
        <v>265</v>
      </c>
      <c r="B731" s="161">
        <f t="shared" si="183"/>
        <v>0</v>
      </c>
      <c r="C731" s="161">
        <f t="shared" si="183"/>
        <v>0</v>
      </c>
      <c r="D731" s="161">
        <f>B731+C731</f>
        <v>0</v>
      </c>
      <c r="E731" s="161"/>
      <c r="F731" s="350"/>
    </row>
    <row r="732" spans="1:6" ht="15.75">
      <c r="A732" s="158" t="s">
        <v>273</v>
      </c>
      <c r="B732" s="159"/>
      <c r="C732" s="159">
        <v>0</v>
      </c>
      <c r="D732" s="159">
        <f>B732+C732</f>
        <v>0</v>
      </c>
      <c r="E732" s="161"/>
      <c r="F732" s="350"/>
    </row>
    <row r="733" spans="1:6" ht="15.75">
      <c r="A733" s="162" t="s">
        <v>274</v>
      </c>
      <c r="B733" s="163">
        <f>B734</f>
        <v>9792.9900000000016</v>
      </c>
      <c r="C733" s="163">
        <f>C734</f>
        <v>0</v>
      </c>
      <c r="D733" s="163">
        <f>D734</f>
        <v>9792.9900000000016</v>
      </c>
      <c r="E733" s="161"/>
      <c r="F733" s="350"/>
    </row>
    <row r="734" spans="1:6" ht="15.75">
      <c r="A734" s="158" t="s">
        <v>275</v>
      </c>
      <c r="B734" s="159">
        <f>B735+B743</f>
        <v>9792.9900000000016</v>
      </c>
      <c r="C734" s="159">
        <f>C735+C743</f>
        <v>0</v>
      </c>
      <c r="D734" s="159">
        <f>D735+D743</f>
        <v>9792.9900000000016</v>
      </c>
      <c r="E734" s="159"/>
      <c r="F734" s="350"/>
    </row>
    <row r="735" spans="1:6" ht="15.75">
      <c r="A735" s="157" t="s">
        <v>276</v>
      </c>
      <c r="B735" s="161">
        <f>SUM(B736:B742)-B737</f>
        <v>9372.760000000002</v>
      </c>
      <c r="C735" s="161">
        <f t="shared" ref="C735" si="184">SUM(C736:C742)-C737</f>
        <v>313.45</v>
      </c>
      <c r="D735" s="161">
        <f>SUM(D736:D742)-D737</f>
        <v>9686.2100000000009</v>
      </c>
      <c r="E735" s="163"/>
      <c r="F735" s="351"/>
    </row>
    <row r="736" spans="1:6" ht="15.75">
      <c r="A736" s="164" t="s">
        <v>277</v>
      </c>
      <c r="B736" s="165">
        <v>5836.21</v>
      </c>
      <c r="C736" s="161">
        <v>266.44</v>
      </c>
      <c r="D736" s="165">
        <f>B736+C736</f>
        <v>6102.65</v>
      </c>
      <c r="E736" s="163"/>
      <c r="F736" s="163"/>
    </row>
    <row r="737" spans="1:6" ht="15.75">
      <c r="A737" s="166" t="s">
        <v>278</v>
      </c>
      <c r="B737" s="165">
        <f>SUM(B738:B739)</f>
        <v>1206.67</v>
      </c>
      <c r="C737" s="165">
        <f>SUM(C738:C739)</f>
        <v>0</v>
      </c>
      <c r="D737" s="165">
        <f>SUM(D738:D739)</f>
        <v>1206.67</v>
      </c>
      <c r="E737" s="159"/>
      <c r="F737" s="159"/>
    </row>
    <row r="738" spans="1:6" ht="31.5">
      <c r="A738" s="171" t="s">
        <v>303</v>
      </c>
      <c r="B738" s="165">
        <v>1151.24</v>
      </c>
      <c r="C738" s="161">
        <v>55.43</v>
      </c>
      <c r="D738" s="165">
        <f>B738+C738</f>
        <v>1206.67</v>
      </c>
      <c r="E738" s="161"/>
      <c r="F738" s="161"/>
    </row>
    <row r="739" spans="1:6" ht="31.5">
      <c r="A739" s="171" t="s">
        <v>304</v>
      </c>
      <c r="B739" s="165">
        <v>55.43</v>
      </c>
      <c r="C739" s="165">
        <v>-55.43</v>
      </c>
      <c r="D739" s="165">
        <f>B739+C739</f>
        <v>0</v>
      </c>
      <c r="E739" s="165"/>
      <c r="F739" s="352"/>
    </row>
    <row r="740" spans="1:6" ht="31.5">
      <c r="A740" s="167" t="s">
        <v>279</v>
      </c>
      <c r="B740" s="165">
        <v>837.18</v>
      </c>
      <c r="C740" s="165">
        <v>47.01</v>
      </c>
      <c r="D740" s="165">
        <f>B740+C740</f>
        <v>884.18999999999994</v>
      </c>
      <c r="E740" s="165"/>
      <c r="F740" s="315"/>
    </row>
    <row r="741" spans="1:6" ht="15.75">
      <c r="A741" s="166" t="s">
        <v>280</v>
      </c>
      <c r="B741" s="165">
        <v>157.5</v>
      </c>
      <c r="C741" s="165"/>
      <c r="D741" s="165">
        <f>B741+C741</f>
        <v>157.5</v>
      </c>
      <c r="E741" s="161"/>
      <c r="F741" s="161"/>
    </row>
    <row r="742" spans="1:6" ht="31.5">
      <c r="A742" s="167" t="s">
        <v>297</v>
      </c>
      <c r="B742" s="165">
        <v>1335.2</v>
      </c>
      <c r="C742" s="184"/>
      <c r="D742" s="165">
        <f>B742+C742</f>
        <v>1335.2</v>
      </c>
      <c r="E742" s="184"/>
      <c r="F742" s="184"/>
    </row>
    <row r="743" spans="1:6" ht="15.75">
      <c r="A743" s="157" t="s">
        <v>282</v>
      </c>
      <c r="B743" s="161">
        <f>B744+B745</f>
        <v>420.23</v>
      </c>
      <c r="C743" s="161">
        <f>C744+C745</f>
        <v>-313.45</v>
      </c>
      <c r="D743" s="161">
        <f>D744+D745</f>
        <v>106.78</v>
      </c>
      <c r="E743" s="184"/>
      <c r="F743" s="184"/>
    </row>
    <row r="744" spans="1:6" ht="15.75">
      <c r="A744" s="157" t="s">
        <v>283</v>
      </c>
      <c r="B744" s="168"/>
      <c r="C744" s="168"/>
      <c r="D744" s="168"/>
      <c r="E744" s="184"/>
      <c r="F744" s="184"/>
    </row>
    <row r="745" spans="1:6" ht="15.75">
      <c r="A745" s="157" t="s">
        <v>284</v>
      </c>
      <c r="B745" s="168">
        <f>SUM(B746:B748)</f>
        <v>420.23</v>
      </c>
      <c r="C745" s="168">
        <f>SUM(C746:C748)</f>
        <v>-313.45</v>
      </c>
      <c r="D745" s="168">
        <f>SUM(D746:D748)</f>
        <v>106.78</v>
      </c>
      <c r="E745" s="184"/>
      <c r="F745" s="184"/>
    </row>
    <row r="746" spans="1:6" ht="31.5">
      <c r="A746" s="172" t="s">
        <v>305</v>
      </c>
      <c r="B746" s="180">
        <v>266.44</v>
      </c>
      <c r="C746" s="180">
        <v>-266.44</v>
      </c>
      <c r="D746" s="165">
        <f>B746+C746</f>
        <v>0</v>
      </c>
      <c r="E746" s="184"/>
      <c r="F746" s="184"/>
    </row>
    <row r="747" spans="1:6" ht="15.75">
      <c r="A747" s="172" t="s">
        <v>306</v>
      </c>
      <c r="B747" s="180">
        <v>47.01</v>
      </c>
      <c r="C747" s="180">
        <v>-47.01</v>
      </c>
      <c r="D747" s="165">
        <f>B747+C747</f>
        <v>0</v>
      </c>
      <c r="E747" s="184"/>
      <c r="F747" s="184"/>
    </row>
    <row r="748" spans="1:6" ht="31.5">
      <c r="A748" s="167" t="s">
        <v>297</v>
      </c>
      <c r="B748" s="180">
        <v>106.78</v>
      </c>
      <c r="C748" s="184"/>
      <c r="D748" s="165">
        <f>B748+C748</f>
        <v>106.78</v>
      </c>
      <c r="E748" s="184"/>
      <c r="F748" s="184"/>
    </row>
    <row r="749" spans="1:6" ht="15.75">
      <c r="A749" s="185"/>
      <c r="B749" s="185"/>
      <c r="C749" s="185"/>
      <c r="D749" s="181"/>
      <c r="E749" s="185"/>
      <c r="F749" s="185"/>
    </row>
  </sheetData>
  <mergeCells count="12">
    <mergeCell ref="E1:F1"/>
    <mergeCell ref="E8:F8"/>
    <mergeCell ref="A2:F2"/>
    <mergeCell ref="A3:F3"/>
    <mergeCell ref="A4:F4"/>
    <mergeCell ref="A5:F5"/>
    <mergeCell ref="A7:E7"/>
    <mergeCell ref="A9:A10"/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793"/>
  <sheetViews>
    <sheetView workbookViewId="0">
      <selection activeCell="K19" sqref="I19:K19"/>
    </sheetView>
  </sheetViews>
  <sheetFormatPr defaultRowHeight="15.75"/>
  <cols>
    <col min="1" max="1" width="5.85546875" style="154" customWidth="1"/>
    <col min="2" max="2" width="90.7109375" style="267" customWidth="1"/>
    <col min="3" max="3" width="10.85546875" style="154" customWidth="1"/>
    <col min="4" max="4" width="12.140625" style="272" bestFit="1" customWidth="1"/>
    <col min="5" max="5" width="12" style="272" customWidth="1"/>
    <col min="6" max="6" width="9.42578125" style="272" hidden="1" customWidth="1"/>
    <col min="7" max="7" width="10.42578125" style="272" customWidth="1"/>
    <col min="8" max="8" width="11.7109375" style="189" customWidth="1"/>
    <col min="9" max="9" width="10.7109375" style="189" customWidth="1"/>
    <col min="10" max="10" width="11" style="189" hidden="1" customWidth="1"/>
    <col min="11" max="11" width="10.28515625" style="189" customWidth="1"/>
    <col min="12" max="12" width="10" style="189" customWidth="1"/>
    <col min="13" max="13" width="7.7109375" style="189" hidden="1" customWidth="1"/>
    <col min="14" max="14" width="8.85546875" style="189" customWidth="1"/>
    <col min="15" max="15" width="9" style="189" customWidth="1"/>
    <col min="16" max="16" width="8" style="189" hidden="1" customWidth="1"/>
    <col min="17" max="17" width="8.42578125" style="189" hidden="1" customWidth="1"/>
    <col min="18" max="18" width="11.7109375" style="189" customWidth="1"/>
    <col min="19" max="19" width="9.85546875" style="267" customWidth="1"/>
    <col min="20" max="20" width="11.7109375" style="189" customWidth="1"/>
    <col min="21" max="21" width="9.85546875" style="267" hidden="1" customWidth="1"/>
    <col min="22" max="27" width="0" style="267" hidden="1" customWidth="1"/>
    <col min="28" max="256" width="9.140625" style="267"/>
    <col min="257" max="257" width="5.85546875" style="267" customWidth="1"/>
    <col min="258" max="258" width="90.7109375" style="267" customWidth="1"/>
    <col min="259" max="259" width="10.85546875" style="267" customWidth="1"/>
    <col min="260" max="260" width="14.85546875" style="267" customWidth="1"/>
    <col min="261" max="262" width="15" style="267" customWidth="1"/>
    <col min="263" max="263" width="13.42578125" style="267" customWidth="1"/>
    <col min="264" max="268" width="14.7109375" style="267" customWidth="1"/>
    <col min="269" max="269" width="12.85546875" style="267" customWidth="1"/>
    <col min="270" max="270" width="11.7109375" style="267" customWidth="1"/>
    <col min="271" max="271" width="14.7109375" style="267" customWidth="1"/>
    <col min="272" max="273" width="12.42578125" style="267" customWidth="1"/>
    <col min="274" max="274" width="12.140625" style="267" customWidth="1"/>
    <col min="275" max="275" width="15.5703125" style="267" customWidth="1"/>
    <col min="276" max="512" width="9.140625" style="267"/>
    <col min="513" max="513" width="5.85546875" style="267" customWidth="1"/>
    <col min="514" max="514" width="90.7109375" style="267" customWidth="1"/>
    <col min="515" max="515" width="10.85546875" style="267" customWidth="1"/>
    <col min="516" max="516" width="14.85546875" style="267" customWidth="1"/>
    <col min="517" max="518" width="15" style="267" customWidth="1"/>
    <col min="519" max="519" width="13.42578125" style="267" customWidth="1"/>
    <col min="520" max="524" width="14.7109375" style="267" customWidth="1"/>
    <col min="525" max="525" width="12.85546875" style="267" customWidth="1"/>
    <col min="526" max="526" width="11.7109375" style="267" customWidth="1"/>
    <col min="527" max="527" width="14.7109375" style="267" customWidth="1"/>
    <col min="528" max="529" width="12.42578125" style="267" customWidth="1"/>
    <col min="530" max="530" width="12.140625" style="267" customWidth="1"/>
    <col min="531" max="531" width="15.5703125" style="267" customWidth="1"/>
    <col min="532" max="768" width="9.140625" style="267"/>
    <col min="769" max="769" width="5.85546875" style="267" customWidth="1"/>
    <col min="770" max="770" width="90.7109375" style="267" customWidth="1"/>
    <col min="771" max="771" width="10.85546875" style="267" customWidth="1"/>
    <col min="772" max="772" width="14.85546875" style="267" customWidth="1"/>
    <col min="773" max="774" width="15" style="267" customWidth="1"/>
    <col min="775" max="775" width="13.42578125" style="267" customWidth="1"/>
    <col min="776" max="780" width="14.7109375" style="267" customWidth="1"/>
    <col min="781" max="781" width="12.85546875" style="267" customWidth="1"/>
    <col min="782" max="782" width="11.7109375" style="267" customWidth="1"/>
    <col min="783" max="783" width="14.7109375" style="267" customWidth="1"/>
    <col min="784" max="785" width="12.42578125" style="267" customWidth="1"/>
    <col min="786" max="786" width="12.140625" style="267" customWidth="1"/>
    <col min="787" max="787" width="15.5703125" style="267" customWidth="1"/>
    <col min="788" max="1024" width="9.140625" style="267"/>
    <col min="1025" max="1025" width="5.85546875" style="267" customWidth="1"/>
    <col min="1026" max="1026" width="90.7109375" style="267" customWidth="1"/>
    <col min="1027" max="1027" width="10.85546875" style="267" customWidth="1"/>
    <col min="1028" max="1028" width="14.85546875" style="267" customWidth="1"/>
    <col min="1029" max="1030" width="15" style="267" customWidth="1"/>
    <col min="1031" max="1031" width="13.42578125" style="267" customWidth="1"/>
    <col min="1032" max="1036" width="14.7109375" style="267" customWidth="1"/>
    <col min="1037" max="1037" width="12.85546875" style="267" customWidth="1"/>
    <col min="1038" max="1038" width="11.7109375" style="267" customWidth="1"/>
    <col min="1039" max="1039" width="14.7109375" style="267" customWidth="1"/>
    <col min="1040" max="1041" width="12.42578125" style="267" customWidth="1"/>
    <col min="1042" max="1042" width="12.140625" style="267" customWidth="1"/>
    <col min="1043" max="1043" width="15.5703125" style="267" customWidth="1"/>
    <col min="1044" max="1280" width="9.140625" style="267"/>
    <col min="1281" max="1281" width="5.85546875" style="267" customWidth="1"/>
    <col min="1282" max="1282" width="90.7109375" style="267" customWidth="1"/>
    <col min="1283" max="1283" width="10.85546875" style="267" customWidth="1"/>
    <col min="1284" max="1284" width="14.85546875" style="267" customWidth="1"/>
    <col min="1285" max="1286" width="15" style="267" customWidth="1"/>
    <col min="1287" max="1287" width="13.42578125" style="267" customWidth="1"/>
    <col min="1288" max="1292" width="14.7109375" style="267" customWidth="1"/>
    <col min="1293" max="1293" width="12.85546875" style="267" customWidth="1"/>
    <col min="1294" max="1294" width="11.7109375" style="267" customWidth="1"/>
    <col min="1295" max="1295" width="14.7109375" style="267" customWidth="1"/>
    <col min="1296" max="1297" width="12.42578125" style="267" customWidth="1"/>
    <col min="1298" max="1298" width="12.140625" style="267" customWidth="1"/>
    <col min="1299" max="1299" width="15.5703125" style="267" customWidth="1"/>
    <col min="1300" max="1536" width="9.140625" style="267"/>
    <col min="1537" max="1537" width="5.85546875" style="267" customWidth="1"/>
    <col min="1538" max="1538" width="90.7109375" style="267" customWidth="1"/>
    <col min="1539" max="1539" width="10.85546875" style="267" customWidth="1"/>
    <col min="1540" max="1540" width="14.85546875" style="267" customWidth="1"/>
    <col min="1541" max="1542" width="15" style="267" customWidth="1"/>
    <col min="1543" max="1543" width="13.42578125" style="267" customWidth="1"/>
    <col min="1544" max="1548" width="14.7109375" style="267" customWidth="1"/>
    <col min="1549" max="1549" width="12.85546875" style="267" customWidth="1"/>
    <col min="1550" max="1550" width="11.7109375" style="267" customWidth="1"/>
    <col min="1551" max="1551" width="14.7109375" style="267" customWidth="1"/>
    <col min="1552" max="1553" width="12.42578125" style="267" customWidth="1"/>
    <col min="1554" max="1554" width="12.140625" style="267" customWidth="1"/>
    <col min="1555" max="1555" width="15.5703125" style="267" customWidth="1"/>
    <col min="1556" max="1792" width="9.140625" style="267"/>
    <col min="1793" max="1793" width="5.85546875" style="267" customWidth="1"/>
    <col min="1794" max="1794" width="90.7109375" style="267" customWidth="1"/>
    <col min="1795" max="1795" width="10.85546875" style="267" customWidth="1"/>
    <col min="1796" max="1796" width="14.85546875" style="267" customWidth="1"/>
    <col min="1797" max="1798" width="15" style="267" customWidth="1"/>
    <col min="1799" max="1799" width="13.42578125" style="267" customWidth="1"/>
    <col min="1800" max="1804" width="14.7109375" style="267" customWidth="1"/>
    <col min="1805" max="1805" width="12.85546875" style="267" customWidth="1"/>
    <col min="1806" max="1806" width="11.7109375" style="267" customWidth="1"/>
    <col min="1807" max="1807" width="14.7109375" style="267" customWidth="1"/>
    <col min="1808" max="1809" width="12.42578125" style="267" customWidth="1"/>
    <col min="1810" max="1810" width="12.140625" style="267" customWidth="1"/>
    <col min="1811" max="1811" width="15.5703125" style="267" customWidth="1"/>
    <col min="1812" max="2048" width="9.140625" style="267"/>
    <col min="2049" max="2049" width="5.85546875" style="267" customWidth="1"/>
    <col min="2050" max="2050" width="90.7109375" style="267" customWidth="1"/>
    <col min="2051" max="2051" width="10.85546875" style="267" customWidth="1"/>
    <col min="2052" max="2052" width="14.85546875" style="267" customWidth="1"/>
    <col min="2053" max="2054" width="15" style="267" customWidth="1"/>
    <col min="2055" max="2055" width="13.42578125" style="267" customWidth="1"/>
    <col min="2056" max="2060" width="14.7109375" style="267" customWidth="1"/>
    <col min="2061" max="2061" width="12.85546875" style="267" customWidth="1"/>
    <col min="2062" max="2062" width="11.7109375" style="267" customWidth="1"/>
    <col min="2063" max="2063" width="14.7109375" style="267" customWidth="1"/>
    <col min="2064" max="2065" width="12.42578125" style="267" customWidth="1"/>
    <col min="2066" max="2066" width="12.140625" style="267" customWidth="1"/>
    <col min="2067" max="2067" width="15.5703125" style="267" customWidth="1"/>
    <col min="2068" max="2304" width="9.140625" style="267"/>
    <col min="2305" max="2305" width="5.85546875" style="267" customWidth="1"/>
    <col min="2306" max="2306" width="90.7109375" style="267" customWidth="1"/>
    <col min="2307" max="2307" width="10.85546875" style="267" customWidth="1"/>
    <col min="2308" max="2308" width="14.85546875" style="267" customWidth="1"/>
    <col min="2309" max="2310" width="15" style="267" customWidth="1"/>
    <col min="2311" max="2311" width="13.42578125" style="267" customWidth="1"/>
    <col min="2312" max="2316" width="14.7109375" style="267" customWidth="1"/>
    <col min="2317" max="2317" width="12.85546875" style="267" customWidth="1"/>
    <col min="2318" max="2318" width="11.7109375" style="267" customWidth="1"/>
    <col min="2319" max="2319" width="14.7109375" style="267" customWidth="1"/>
    <col min="2320" max="2321" width="12.42578125" style="267" customWidth="1"/>
    <col min="2322" max="2322" width="12.140625" style="267" customWidth="1"/>
    <col min="2323" max="2323" width="15.5703125" style="267" customWidth="1"/>
    <col min="2324" max="2560" width="9.140625" style="267"/>
    <col min="2561" max="2561" width="5.85546875" style="267" customWidth="1"/>
    <col min="2562" max="2562" width="90.7109375" style="267" customWidth="1"/>
    <col min="2563" max="2563" width="10.85546875" style="267" customWidth="1"/>
    <col min="2564" max="2564" width="14.85546875" style="267" customWidth="1"/>
    <col min="2565" max="2566" width="15" style="267" customWidth="1"/>
    <col min="2567" max="2567" width="13.42578125" style="267" customWidth="1"/>
    <col min="2568" max="2572" width="14.7109375" style="267" customWidth="1"/>
    <col min="2573" max="2573" width="12.85546875" style="267" customWidth="1"/>
    <col min="2574" max="2574" width="11.7109375" style="267" customWidth="1"/>
    <col min="2575" max="2575" width="14.7109375" style="267" customWidth="1"/>
    <col min="2576" max="2577" width="12.42578125" style="267" customWidth="1"/>
    <col min="2578" max="2578" width="12.140625" style="267" customWidth="1"/>
    <col min="2579" max="2579" width="15.5703125" style="267" customWidth="1"/>
    <col min="2580" max="2816" width="9.140625" style="267"/>
    <col min="2817" max="2817" width="5.85546875" style="267" customWidth="1"/>
    <col min="2818" max="2818" width="90.7109375" style="267" customWidth="1"/>
    <col min="2819" max="2819" width="10.85546875" style="267" customWidth="1"/>
    <col min="2820" max="2820" width="14.85546875" style="267" customWidth="1"/>
    <col min="2821" max="2822" width="15" style="267" customWidth="1"/>
    <col min="2823" max="2823" width="13.42578125" style="267" customWidth="1"/>
    <col min="2824" max="2828" width="14.7109375" style="267" customWidth="1"/>
    <col min="2829" max="2829" width="12.85546875" style="267" customWidth="1"/>
    <col min="2830" max="2830" width="11.7109375" style="267" customWidth="1"/>
    <col min="2831" max="2831" width="14.7109375" style="267" customWidth="1"/>
    <col min="2832" max="2833" width="12.42578125" style="267" customWidth="1"/>
    <col min="2834" max="2834" width="12.140625" style="267" customWidth="1"/>
    <col min="2835" max="2835" width="15.5703125" style="267" customWidth="1"/>
    <col min="2836" max="3072" width="9.140625" style="267"/>
    <col min="3073" max="3073" width="5.85546875" style="267" customWidth="1"/>
    <col min="3074" max="3074" width="90.7109375" style="267" customWidth="1"/>
    <col min="3075" max="3075" width="10.85546875" style="267" customWidth="1"/>
    <col min="3076" max="3076" width="14.85546875" style="267" customWidth="1"/>
    <col min="3077" max="3078" width="15" style="267" customWidth="1"/>
    <col min="3079" max="3079" width="13.42578125" style="267" customWidth="1"/>
    <col min="3080" max="3084" width="14.7109375" style="267" customWidth="1"/>
    <col min="3085" max="3085" width="12.85546875" style="267" customWidth="1"/>
    <col min="3086" max="3086" width="11.7109375" style="267" customWidth="1"/>
    <col min="3087" max="3087" width="14.7109375" style="267" customWidth="1"/>
    <col min="3088" max="3089" width="12.42578125" style="267" customWidth="1"/>
    <col min="3090" max="3090" width="12.140625" style="267" customWidth="1"/>
    <col min="3091" max="3091" width="15.5703125" style="267" customWidth="1"/>
    <col min="3092" max="3328" width="9.140625" style="267"/>
    <col min="3329" max="3329" width="5.85546875" style="267" customWidth="1"/>
    <col min="3330" max="3330" width="90.7109375" style="267" customWidth="1"/>
    <col min="3331" max="3331" width="10.85546875" style="267" customWidth="1"/>
    <col min="3332" max="3332" width="14.85546875" style="267" customWidth="1"/>
    <col min="3333" max="3334" width="15" style="267" customWidth="1"/>
    <col min="3335" max="3335" width="13.42578125" style="267" customWidth="1"/>
    <col min="3336" max="3340" width="14.7109375" style="267" customWidth="1"/>
    <col min="3341" max="3341" width="12.85546875" style="267" customWidth="1"/>
    <col min="3342" max="3342" width="11.7109375" style="267" customWidth="1"/>
    <col min="3343" max="3343" width="14.7109375" style="267" customWidth="1"/>
    <col min="3344" max="3345" width="12.42578125" style="267" customWidth="1"/>
    <col min="3346" max="3346" width="12.140625" style="267" customWidth="1"/>
    <col min="3347" max="3347" width="15.5703125" style="267" customWidth="1"/>
    <col min="3348" max="3584" width="9.140625" style="267"/>
    <col min="3585" max="3585" width="5.85546875" style="267" customWidth="1"/>
    <col min="3586" max="3586" width="90.7109375" style="267" customWidth="1"/>
    <col min="3587" max="3587" width="10.85546875" style="267" customWidth="1"/>
    <col min="3588" max="3588" width="14.85546875" style="267" customWidth="1"/>
    <col min="3589" max="3590" width="15" style="267" customWidth="1"/>
    <col min="3591" max="3591" width="13.42578125" style="267" customWidth="1"/>
    <col min="3592" max="3596" width="14.7109375" style="267" customWidth="1"/>
    <col min="3597" max="3597" width="12.85546875" style="267" customWidth="1"/>
    <col min="3598" max="3598" width="11.7109375" style="267" customWidth="1"/>
    <col min="3599" max="3599" width="14.7109375" style="267" customWidth="1"/>
    <col min="3600" max="3601" width="12.42578125" style="267" customWidth="1"/>
    <col min="3602" max="3602" width="12.140625" style="267" customWidth="1"/>
    <col min="3603" max="3603" width="15.5703125" style="267" customWidth="1"/>
    <col min="3604" max="3840" width="9.140625" style="267"/>
    <col min="3841" max="3841" width="5.85546875" style="267" customWidth="1"/>
    <col min="3842" max="3842" width="90.7109375" style="267" customWidth="1"/>
    <col min="3843" max="3843" width="10.85546875" style="267" customWidth="1"/>
    <col min="3844" max="3844" width="14.85546875" style="267" customWidth="1"/>
    <col min="3845" max="3846" width="15" style="267" customWidth="1"/>
    <col min="3847" max="3847" width="13.42578125" style="267" customWidth="1"/>
    <col min="3848" max="3852" width="14.7109375" style="267" customWidth="1"/>
    <col min="3853" max="3853" width="12.85546875" style="267" customWidth="1"/>
    <col min="3854" max="3854" width="11.7109375" style="267" customWidth="1"/>
    <col min="3855" max="3855" width="14.7109375" style="267" customWidth="1"/>
    <col min="3856" max="3857" width="12.42578125" style="267" customWidth="1"/>
    <col min="3858" max="3858" width="12.140625" style="267" customWidth="1"/>
    <col min="3859" max="3859" width="15.5703125" style="267" customWidth="1"/>
    <col min="3860" max="4096" width="9.140625" style="267"/>
    <col min="4097" max="4097" width="5.85546875" style="267" customWidth="1"/>
    <col min="4098" max="4098" width="90.7109375" style="267" customWidth="1"/>
    <col min="4099" max="4099" width="10.85546875" style="267" customWidth="1"/>
    <col min="4100" max="4100" width="14.85546875" style="267" customWidth="1"/>
    <col min="4101" max="4102" width="15" style="267" customWidth="1"/>
    <col min="4103" max="4103" width="13.42578125" style="267" customWidth="1"/>
    <col min="4104" max="4108" width="14.7109375" style="267" customWidth="1"/>
    <col min="4109" max="4109" width="12.85546875" style="267" customWidth="1"/>
    <col min="4110" max="4110" width="11.7109375" style="267" customWidth="1"/>
    <col min="4111" max="4111" width="14.7109375" style="267" customWidth="1"/>
    <col min="4112" max="4113" width="12.42578125" style="267" customWidth="1"/>
    <col min="4114" max="4114" width="12.140625" style="267" customWidth="1"/>
    <col min="4115" max="4115" width="15.5703125" style="267" customWidth="1"/>
    <col min="4116" max="4352" width="9.140625" style="267"/>
    <col min="4353" max="4353" width="5.85546875" style="267" customWidth="1"/>
    <col min="4354" max="4354" width="90.7109375" style="267" customWidth="1"/>
    <col min="4355" max="4355" width="10.85546875" style="267" customWidth="1"/>
    <col min="4356" max="4356" width="14.85546875" style="267" customWidth="1"/>
    <col min="4357" max="4358" width="15" style="267" customWidth="1"/>
    <col min="4359" max="4359" width="13.42578125" style="267" customWidth="1"/>
    <col min="4360" max="4364" width="14.7109375" style="267" customWidth="1"/>
    <col min="4365" max="4365" width="12.85546875" style="267" customWidth="1"/>
    <col min="4366" max="4366" width="11.7109375" style="267" customWidth="1"/>
    <col min="4367" max="4367" width="14.7109375" style="267" customWidth="1"/>
    <col min="4368" max="4369" width="12.42578125" style="267" customWidth="1"/>
    <col min="4370" max="4370" width="12.140625" style="267" customWidth="1"/>
    <col min="4371" max="4371" width="15.5703125" style="267" customWidth="1"/>
    <col min="4372" max="4608" width="9.140625" style="267"/>
    <col min="4609" max="4609" width="5.85546875" style="267" customWidth="1"/>
    <col min="4610" max="4610" width="90.7109375" style="267" customWidth="1"/>
    <col min="4611" max="4611" width="10.85546875" style="267" customWidth="1"/>
    <col min="4612" max="4612" width="14.85546875" style="267" customWidth="1"/>
    <col min="4613" max="4614" width="15" style="267" customWidth="1"/>
    <col min="4615" max="4615" width="13.42578125" style="267" customWidth="1"/>
    <col min="4616" max="4620" width="14.7109375" style="267" customWidth="1"/>
    <col min="4621" max="4621" width="12.85546875" style="267" customWidth="1"/>
    <col min="4622" max="4622" width="11.7109375" style="267" customWidth="1"/>
    <col min="4623" max="4623" width="14.7109375" style="267" customWidth="1"/>
    <col min="4624" max="4625" width="12.42578125" style="267" customWidth="1"/>
    <col min="4626" max="4626" width="12.140625" style="267" customWidth="1"/>
    <col min="4627" max="4627" width="15.5703125" style="267" customWidth="1"/>
    <col min="4628" max="4864" width="9.140625" style="267"/>
    <col min="4865" max="4865" width="5.85546875" style="267" customWidth="1"/>
    <col min="4866" max="4866" width="90.7109375" style="267" customWidth="1"/>
    <col min="4867" max="4867" width="10.85546875" style="267" customWidth="1"/>
    <col min="4868" max="4868" width="14.85546875" style="267" customWidth="1"/>
    <col min="4869" max="4870" width="15" style="267" customWidth="1"/>
    <col min="4871" max="4871" width="13.42578125" style="267" customWidth="1"/>
    <col min="4872" max="4876" width="14.7109375" style="267" customWidth="1"/>
    <col min="4877" max="4877" width="12.85546875" style="267" customWidth="1"/>
    <col min="4878" max="4878" width="11.7109375" style="267" customWidth="1"/>
    <col min="4879" max="4879" width="14.7109375" style="267" customWidth="1"/>
    <col min="4880" max="4881" width="12.42578125" style="267" customWidth="1"/>
    <col min="4882" max="4882" width="12.140625" style="267" customWidth="1"/>
    <col min="4883" max="4883" width="15.5703125" style="267" customWidth="1"/>
    <col min="4884" max="5120" width="9.140625" style="267"/>
    <col min="5121" max="5121" width="5.85546875" style="267" customWidth="1"/>
    <col min="5122" max="5122" width="90.7109375" style="267" customWidth="1"/>
    <col min="5123" max="5123" width="10.85546875" style="267" customWidth="1"/>
    <col min="5124" max="5124" width="14.85546875" style="267" customWidth="1"/>
    <col min="5125" max="5126" width="15" style="267" customWidth="1"/>
    <col min="5127" max="5127" width="13.42578125" style="267" customWidth="1"/>
    <col min="5128" max="5132" width="14.7109375" style="267" customWidth="1"/>
    <col min="5133" max="5133" width="12.85546875" style="267" customWidth="1"/>
    <col min="5134" max="5134" width="11.7109375" style="267" customWidth="1"/>
    <col min="5135" max="5135" width="14.7109375" style="267" customWidth="1"/>
    <col min="5136" max="5137" width="12.42578125" style="267" customWidth="1"/>
    <col min="5138" max="5138" width="12.140625" style="267" customWidth="1"/>
    <col min="5139" max="5139" width="15.5703125" style="267" customWidth="1"/>
    <col min="5140" max="5376" width="9.140625" style="267"/>
    <col min="5377" max="5377" width="5.85546875" style="267" customWidth="1"/>
    <col min="5378" max="5378" width="90.7109375" style="267" customWidth="1"/>
    <col min="5379" max="5379" width="10.85546875" style="267" customWidth="1"/>
    <col min="5380" max="5380" width="14.85546875" style="267" customWidth="1"/>
    <col min="5381" max="5382" width="15" style="267" customWidth="1"/>
    <col min="5383" max="5383" width="13.42578125" style="267" customWidth="1"/>
    <col min="5384" max="5388" width="14.7109375" style="267" customWidth="1"/>
    <col min="5389" max="5389" width="12.85546875" style="267" customWidth="1"/>
    <col min="5390" max="5390" width="11.7109375" style="267" customWidth="1"/>
    <col min="5391" max="5391" width="14.7109375" style="267" customWidth="1"/>
    <col min="5392" max="5393" width="12.42578125" style="267" customWidth="1"/>
    <col min="5394" max="5394" width="12.140625" style="267" customWidth="1"/>
    <col min="5395" max="5395" width="15.5703125" style="267" customWidth="1"/>
    <col min="5396" max="5632" width="9.140625" style="267"/>
    <col min="5633" max="5633" width="5.85546875" style="267" customWidth="1"/>
    <col min="5634" max="5634" width="90.7109375" style="267" customWidth="1"/>
    <col min="5635" max="5635" width="10.85546875" style="267" customWidth="1"/>
    <col min="5636" max="5636" width="14.85546875" style="267" customWidth="1"/>
    <col min="5637" max="5638" width="15" style="267" customWidth="1"/>
    <col min="5639" max="5639" width="13.42578125" style="267" customWidth="1"/>
    <col min="5640" max="5644" width="14.7109375" style="267" customWidth="1"/>
    <col min="5645" max="5645" width="12.85546875" style="267" customWidth="1"/>
    <col min="5646" max="5646" width="11.7109375" style="267" customWidth="1"/>
    <col min="5647" max="5647" width="14.7109375" style="267" customWidth="1"/>
    <col min="5648" max="5649" width="12.42578125" style="267" customWidth="1"/>
    <col min="5650" max="5650" width="12.140625" style="267" customWidth="1"/>
    <col min="5651" max="5651" width="15.5703125" style="267" customWidth="1"/>
    <col min="5652" max="5888" width="9.140625" style="267"/>
    <col min="5889" max="5889" width="5.85546875" style="267" customWidth="1"/>
    <col min="5890" max="5890" width="90.7109375" style="267" customWidth="1"/>
    <col min="5891" max="5891" width="10.85546875" style="267" customWidth="1"/>
    <col min="5892" max="5892" width="14.85546875" style="267" customWidth="1"/>
    <col min="5893" max="5894" width="15" style="267" customWidth="1"/>
    <col min="5895" max="5895" width="13.42578125" style="267" customWidth="1"/>
    <col min="5896" max="5900" width="14.7109375" style="267" customWidth="1"/>
    <col min="5901" max="5901" width="12.85546875" style="267" customWidth="1"/>
    <col min="5902" max="5902" width="11.7109375" style="267" customWidth="1"/>
    <col min="5903" max="5903" width="14.7109375" style="267" customWidth="1"/>
    <col min="5904" max="5905" width="12.42578125" style="267" customWidth="1"/>
    <col min="5906" max="5906" width="12.140625" style="267" customWidth="1"/>
    <col min="5907" max="5907" width="15.5703125" style="267" customWidth="1"/>
    <col min="5908" max="6144" width="9.140625" style="267"/>
    <col min="6145" max="6145" width="5.85546875" style="267" customWidth="1"/>
    <col min="6146" max="6146" width="90.7109375" style="267" customWidth="1"/>
    <col min="6147" max="6147" width="10.85546875" style="267" customWidth="1"/>
    <col min="6148" max="6148" width="14.85546875" style="267" customWidth="1"/>
    <col min="6149" max="6150" width="15" style="267" customWidth="1"/>
    <col min="6151" max="6151" width="13.42578125" style="267" customWidth="1"/>
    <col min="6152" max="6156" width="14.7109375" style="267" customWidth="1"/>
    <col min="6157" max="6157" width="12.85546875" style="267" customWidth="1"/>
    <col min="6158" max="6158" width="11.7109375" style="267" customWidth="1"/>
    <col min="6159" max="6159" width="14.7109375" style="267" customWidth="1"/>
    <col min="6160" max="6161" width="12.42578125" style="267" customWidth="1"/>
    <col min="6162" max="6162" width="12.140625" style="267" customWidth="1"/>
    <col min="6163" max="6163" width="15.5703125" style="267" customWidth="1"/>
    <col min="6164" max="6400" width="9.140625" style="267"/>
    <col min="6401" max="6401" width="5.85546875" style="267" customWidth="1"/>
    <col min="6402" max="6402" width="90.7109375" style="267" customWidth="1"/>
    <col min="6403" max="6403" width="10.85546875" style="267" customWidth="1"/>
    <col min="6404" max="6404" width="14.85546875" style="267" customWidth="1"/>
    <col min="6405" max="6406" width="15" style="267" customWidth="1"/>
    <col min="6407" max="6407" width="13.42578125" style="267" customWidth="1"/>
    <col min="6408" max="6412" width="14.7109375" style="267" customWidth="1"/>
    <col min="6413" max="6413" width="12.85546875" style="267" customWidth="1"/>
    <col min="6414" max="6414" width="11.7109375" style="267" customWidth="1"/>
    <col min="6415" max="6415" width="14.7109375" style="267" customWidth="1"/>
    <col min="6416" max="6417" width="12.42578125" style="267" customWidth="1"/>
    <col min="6418" max="6418" width="12.140625" style="267" customWidth="1"/>
    <col min="6419" max="6419" width="15.5703125" style="267" customWidth="1"/>
    <col min="6420" max="6656" width="9.140625" style="267"/>
    <col min="6657" max="6657" width="5.85546875" style="267" customWidth="1"/>
    <col min="6658" max="6658" width="90.7109375" style="267" customWidth="1"/>
    <col min="6659" max="6659" width="10.85546875" style="267" customWidth="1"/>
    <col min="6660" max="6660" width="14.85546875" style="267" customWidth="1"/>
    <col min="6661" max="6662" width="15" style="267" customWidth="1"/>
    <col min="6663" max="6663" width="13.42578125" style="267" customWidth="1"/>
    <col min="6664" max="6668" width="14.7109375" style="267" customWidth="1"/>
    <col min="6669" max="6669" width="12.85546875" style="267" customWidth="1"/>
    <col min="6670" max="6670" width="11.7109375" style="267" customWidth="1"/>
    <col min="6671" max="6671" width="14.7109375" style="267" customWidth="1"/>
    <col min="6672" max="6673" width="12.42578125" style="267" customWidth="1"/>
    <col min="6674" max="6674" width="12.140625" style="267" customWidth="1"/>
    <col min="6675" max="6675" width="15.5703125" style="267" customWidth="1"/>
    <col min="6676" max="6912" width="9.140625" style="267"/>
    <col min="6913" max="6913" width="5.85546875" style="267" customWidth="1"/>
    <col min="6914" max="6914" width="90.7109375" style="267" customWidth="1"/>
    <col min="6915" max="6915" width="10.85546875" style="267" customWidth="1"/>
    <col min="6916" max="6916" width="14.85546875" style="267" customWidth="1"/>
    <col min="6917" max="6918" width="15" style="267" customWidth="1"/>
    <col min="6919" max="6919" width="13.42578125" style="267" customWidth="1"/>
    <col min="6920" max="6924" width="14.7109375" style="267" customWidth="1"/>
    <col min="6925" max="6925" width="12.85546875" style="267" customWidth="1"/>
    <col min="6926" max="6926" width="11.7109375" style="267" customWidth="1"/>
    <col min="6927" max="6927" width="14.7109375" style="267" customWidth="1"/>
    <col min="6928" max="6929" width="12.42578125" style="267" customWidth="1"/>
    <col min="6930" max="6930" width="12.140625" style="267" customWidth="1"/>
    <col min="6931" max="6931" width="15.5703125" style="267" customWidth="1"/>
    <col min="6932" max="7168" width="9.140625" style="267"/>
    <col min="7169" max="7169" width="5.85546875" style="267" customWidth="1"/>
    <col min="7170" max="7170" width="90.7109375" style="267" customWidth="1"/>
    <col min="7171" max="7171" width="10.85546875" style="267" customWidth="1"/>
    <col min="7172" max="7172" width="14.85546875" style="267" customWidth="1"/>
    <col min="7173" max="7174" width="15" style="267" customWidth="1"/>
    <col min="7175" max="7175" width="13.42578125" style="267" customWidth="1"/>
    <col min="7176" max="7180" width="14.7109375" style="267" customWidth="1"/>
    <col min="7181" max="7181" width="12.85546875" style="267" customWidth="1"/>
    <col min="7182" max="7182" width="11.7109375" style="267" customWidth="1"/>
    <col min="7183" max="7183" width="14.7109375" style="267" customWidth="1"/>
    <col min="7184" max="7185" width="12.42578125" style="267" customWidth="1"/>
    <col min="7186" max="7186" width="12.140625" style="267" customWidth="1"/>
    <col min="7187" max="7187" width="15.5703125" style="267" customWidth="1"/>
    <col min="7188" max="7424" width="9.140625" style="267"/>
    <col min="7425" max="7425" width="5.85546875" style="267" customWidth="1"/>
    <col min="7426" max="7426" width="90.7109375" style="267" customWidth="1"/>
    <col min="7427" max="7427" width="10.85546875" style="267" customWidth="1"/>
    <col min="7428" max="7428" width="14.85546875" style="267" customWidth="1"/>
    <col min="7429" max="7430" width="15" style="267" customWidth="1"/>
    <col min="7431" max="7431" width="13.42578125" style="267" customWidth="1"/>
    <col min="7432" max="7436" width="14.7109375" style="267" customWidth="1"/>
    <col min="7437" max="7437" width="12.85546875" style="267" customWidth="1"/>
    <col min="7438" max="7438" width="11.7109375" style="267" customWidth="1"/>
    <col min="7439" max="7439" width="14.7109375" style="267" customWidth="1"/>
    <col min="7440" max="7441" width="12.42578125" style="267" customWidth="1"/>
    <col min="7442" max="7442" width="12.140625" style="267" customWidth="1"/>
    <col min="7443" max="7443" width="15.5703125" style="267" customWidth="1"/>
    <col min="7444" max="7680" width="9.140625" style="267"/>
    <col min="7681" max="7681" width="5.85546875" style="267" customWidth="1"/>
    <col min="7682" max="7682" width="90.7109375" style="267" customWidth="1"/>
    <col min="7683" max="7683" width="10.85546875" style="267" customWidth="1"/>
    <col min="7684" max="7684" width="14.85546875" style="267" customWidth="1"/>
    <col min="7685" max="7686" width="15" style="267" customWidth="1"/>
    <col min="7687" max="7687" width="13.42578125" style="267" customWidth="1"/>
    <col min="7688" max="7692" width="14.7109375" style="267" customWidth="1"/>
    <col min="7693" max="7693" width="12.85546875" style="267" customWidth="1"/>
    <col min="7694" max="7694" width="11.7109375" style="267" customWidth="1"/>
    <col min="7695" max="7695" width="14.7109375" style="267" customWidth="1"/>
    <col min="7696" max="7697" width="12.42578125" style="267" customWidth="1"/>
    <col min="7698" max="7698" width="12.140625" style="267" customWidth="1"/>
    <col min="7699" max="7699" width="15.5703125" style="267" customWidth="1"/>
    <col min="7700" max="7936" width="9.140625" style="267"/>
    <col min="7937" max="7937" width="5.85546875" style="267" customWidth="1"/>
    <col min="7938" max="7938" width="90.7109375" style="267" customWidth="1"/>
    <col min="7939" max="7939" width="10.85546875" style="267" customWidth="1"/>
    <col min="7940" max="7940" width="14.85546875" style="267" customWidth="1"/>
    <col min="7941" max="7942" width="15" style="267" customWidth="1"/>
    <col min="7943" max="7943" width="13.42578125" style="267" customWidth="1"/>
    <col min="7944" max="7948" width="14.7109375" style="267" customWidth="1"/>
    <col min="7949" max="7949" width="12.85546875" style="267" customWidth="1"/>
    <col min="7950" max="7950" width="11.7109375" style="267" customWidth="1"/>
    <col min="7951" max="7951" width="14.7109375" style="267" customWidth="1"/>
    <col min="7952" max="7953" width="12.42578125" style="267" customWidth="1"/>
    <col min="7954" max="7954" width="12.140625" style="267" customWidth="1"/>
    <col min="7955" max="7955" width="15.5703125" style="267" customWidth="1"/>
    <col min="7956" max="8192" width="9.140625" style="267"/>
    <col min="8193" max="8193" width="5.85546875" style="267" customWidth="1"/>
    <col min="8194" max="8194" width="90.7109375" style="267" customWidth="1"/>
    <col min="8195" max="8195" width="10.85546875" style="267" customWidth="1"/>
    <col min="8196" max="8196" width="14.85546875" style="267" customWidth="1"/>
    <col min="8197" max="8198" width="15" style="267" customWidth="1"/>
    <col min="8199" max="8199" width="13.42578125" style="267" customWidth="1"/>
    <col min="8200" max="8204" width="14.7109375" style="267" customWidth="1"/>
    <col min="8205" max="8205" width="12.85546875" style="267" customWidth="1"/>
    <col min="8206" max="8206" width="11.7109375" style="267" customWidth="1"/>
    <col min="8207" max="8207" width="14.7109375" style="267" customWidth="1"/>
    <col min="8208" max="8209" width="12.42578125" style="267" customWidth="1"/>
    <col min="8210" max="8210" width="12.140625" style="267" customWidth="1"/>
    <col min="8211" max="8211" width="15.5703125" style="267" customWidth="1"/>
    <col min="8212" max="8448" width="9.140625" style="267"/>
    <col min="8449" max="8449" width="5.85546875" style="267" customWidth="1"/>
    <col min="8450" max="8450" width="90.7109375" style="267" customWidth="1"/>
    <col min="8451" max="8451" width="10.85546875" style="267" customWidth="1"/>
    <col min="8452" max="8452" width="14.85546875" style="267" customWidth="1"/>
    <col min="8453" max="8454" width="15" style="267" customWidth="1"/>
    <col min="8455" max="8455" width="13.42578125" style="267" customWidth="1"/>
    <col min="8456" max="8460" width="14.7109375" style="267" customWidth="1"/>
    <col min="8461" max="8461" width="12.85546875" style="267" customWidth="1"/>
    <col min="8462" max="8462" width="11.7109375" style="267" customWidth="1"/>
    <col min="8463" max="8463" width="14.7109375" style="267" customWidth="1"/>
    <col min="8464" max="8465" width="12.42578125" style="267" customWidth="1"/>
    <col min="8466" max="8466" width="12.140625" style="267" customWidth="1"/>
    <col min="8467" max="8467" width="15.5703125" style="267" customWidth="1"/>
    <col min="8468" max="8704" width="9.140625" style="267"/>
    <col min="8705" max="8705" width="5.85546875" style="267" customWidth="1"/>
    <col min="8706" max="8706" width="90.7109375" style="267" customWidth="1"/>
    <col min="8707" max="8707" width="10.85546875" style="267" customWidth="1"/>
    <col min="8708" max="8708" width="14.85546875" style="267" customWidth="1"/>
    <col min="8709" max="8710" width="15" style="267" customWidth="1"/>
    <col min="8711" max="8711" width="13.42578125" style="267" customWidth="1"/>
    <col min="8712" max="8716" width="14.7109375" style="267" customWidth="1"/>
    <col min="8717" max="8717" width="12.85546875" style="267" customWidth="1"/>
    <col min="8718" max="8718" width="11.7109375" style="267" customWidth="1"/>
    <col min="8719" max="8719" width="14.7109375" style="267" customWidth="1"/>
    <col min="8720" max="8721" width="12.42578125" style="267" customWidth="1"/>
    <col min="8722" max="8722" width="12.140625" style="267" customWidth="1"/>
    <col min="8723" max="8723" width="15.5703125" style="267" customWidth="1"/>
    <col min="8724" max="8960" width="9.140625" style="267"/>
    <col min="8961" max="8961" width="5.85546875" style="267" customWidth="1"/>
    <col min="8962" max="8962" width="90.7109375" style="267" customWidth="1"/>
    <col min="8963" max="8963" width="10.85546875" style="267" customWidth="1"/>
    <col min="8964" max="8964" width="14.85546875" style="267" customWidth="1"/>
    <col min="8965" max="8966" width="15" style="267" customWidth="1"/>
    <col min="8967" max="8967" width="13.42578125" style="267" customWidth="1"/>
    <col min="8968" max="8972" width="14.7109375" style="267" customWidth="1"/>
    <col min="8973" max="8973" width="12.85546875" style="267" customWidth="1"/>
    <col min="8974" max="8974" width="11.7109375" style="267" customWidth="1"/>
    <col min="8975" max="8975" width="14.7109375" style="267" customWidth="1"/>
    <col min="8976" max="8977" width="12.42578125" style="267" customWidth="1"/>
    <col min="8978" max="8978" width="12.140625" style="267" customWidth="1"/>
    <col min="8979" max="8979" width="15.5703125" style="267" customWidth="1"/>
    <col min="8980" max="9216" width="9.140625" style="267"/>
    <col min="9217" max="9217" width="5.85546875" style="267" customWidth="1"/>
    <col min="9218" max="9218" width="90.7109375" style="267" customWidth="1"/>
    <col min="9219" max="9219" width="10.85546875" style="267" customWidth="1"/>
    <col min="9220" max="9220" width="14.85546875" style="267" customWidth="1"/>
    <col min="9221" max="9222" width="15" style="267" customWidth="1"/>
    <col min="9223" max="9223" width="13.42578125" style="267" customWidth="1"/>
    <col min="9224" max="9228" width="14.7109375" style="267" customWidth="1"/>
    <col min="9229" max="9229" width="12.85546875" style="267" customWidth="1"/>
    <col min="9230" max="9230" width="11.7109375" style="267" customWidth="1"/>
    <col min="9231" max="9231" width="14.7109375" style="267" customWidth="1"/>
    <col min="9232" max="9233" width="12.42578125" style="267" customWidth="1"/>
    <col min="9234" max="9234" width="12.140625" style="267" customWidth="1"/>
    <col min="9235" max="9235" width="15.5703125" style="267" customWidth="1"/>
    <col min="9236" max="9472" width="9.140625" style="267"/>
    <col min="9473" max="9473" width="5.85546875" style="267" customWidth="1"/>
    <col min="9474" max="9474" width="90.7109375" style="267" customWidth="1"/>
    <col min="9475" max="9475" width="10.85546875" style="267" customWidth="1"/>
    <col min="9476" max="9476" width="14.85546875" style="267" customWidth="1"/>
    <col min="9477" max="9478" width="15" style="267" customWidth="1"/>
    <col min="9479" max="9479" width="13.42578125" style="267" customWidth="1"/>
    <col min="9480" max="9484" width="14.7109375" style="267" customWidth="1"/>
    <col min="9485" max="9485" width="12.85546875" style="267" customWidth="1"/>
    <col min="9486" max="9486" width="11.7109375" style="267" customWidth="1"/>
    <col min="9487" max="9487" width="14.7109375" style="267" customWidth="1"/>
    <col min="9488" max="9489" width="12.42578125" style="267" customWidth="1"/>
    <col min="9490" max="9490" width="12.140625" style="267" customWidth="1"/>
    <col min="9491" max="9491" width="15.5703125" style="267" customWidth="1"/>
    <col min="9492" max="9728" width="9.140625" style="267"/>
    <col min="9729" max="9729" width="5.85546875" style="267" customWidth="1"/>
    <col min="9730" max="9730" width="90.7109375" style="267" customWidth="1"/>
    <col min="9731" max="9731" width="10.85546875" style="267" customWidth="1"/>
    <col min="9732" max="9732" width="14.85546875" style="267" customWidth="1"/>
    <col min="9733" max="9734" width="15" style="267" customWidth="1"/>
    <col min="9735" max="9735" width="13.42578125" style="267" customWidth="1"/>
    <col min="9736" max="9740" width="14.7109375" style="267" customWidth="1"/>
    <col min="9741" max="9741" width="12.85546875" style="267" customWidth="1"/>
    <col min="9742" max="9742" width="11.7109375" style="267" customWidth="1"/>
    <col min="9743" max="9743" width="14.7109375" style="267" customWidth="1"/>
    <col min="9744" max="9745" width="12.42578125" style="267" customWidth="1"/>
    <col min="9746" max="9746" width="12.140625" style="267" customWidth="1"/>
    <col min="9747" max="9747" width="15.5703125" style="267" customWidth="1"/>
    <col min="9748" max="9984" width="9.140625" style="267"/>
    <col min="9985" max="9985" width="5.85546875" style="267" customWidth="1"/>
    <col min="9986" max="9986" width="90.7109375" style="267" customWidth="1"/>
    <col min="9987" max="9987" width="10.85546875" style="267" customWidth="1"/>
    <col min="9988" max="9988" width="14.85546875" style="267" customWidth="1"/>
    <col min="9989" max="9990" width="15" style="267" customWidth="1"/>
    <col min="9991" max="9991" width="13.42578125" style="267" customWidth="1"/>
    <col min="9992" max="9996" width="14.7109375" style="267" customWidth="1"/>
    <col min="9997" max="9997" width="12.85546875" style="267" customWidth="1"/>
    <col min="9998" max="9998" width="11.7109375" style="267" customWidth="1"/>
    <col min="9999" max="9999" width="14.7109375" style="267" customWidth="1"/>
    <col min="10000" max="10001" width="12.42578125" style="267" customWidth="1"/>
    <col min="10002" max="10002" width="12.140625" style="267" customWidth="1"/>
    <col min="10003" max="10003" width="15.5703125" style="267" customWidth="1"/>
    <col min="10004" max="10240" width="9.140625" style="267"/>
    <col min="10241" max="10241" width="5.85546875" style="267" customWidth="1"/>
    <col min="10242" max="10242" width="90.7109375" style="267" customWidth="1"/>
    <col min="10243" max="10243" width="10.85546875" style="267" customWidth="1"/>
    <col min="10244" max="10244" width="14.85546875" style="267" customWidth="1"/>
    <col min="10245" max="10246" width="15" style="267" customWidth="1"/>
    <col min="10247" max="10247" width="13.42578125" style="267" customWidth="1"/>
    <col min="10248" max="10252" width="14.7109375" style="267" customWidth="1"/>
    <col min="10253" max="10253" width="12.85546875" style="267" customWidth="1"/>
    <col min="10254" max="10254" width="11.7109375" style="267" customWidth="1"/>
    <col min="10255" max="10255" width="14.7109375" style="267" customWidth="1"/>
    <col min="10256" max="10257" width="12.42578125" style="267" customWidth="1"/>
    <col min="10258" max="10258" width="12.140625" style="267" customWidth="1"/>
    <col min="10259" max="10259" width="15.5703125" style="267" customWidth="1"/>
    <col min="10260" max="10496" width="9.140625" style="267"/>
    <col min="10497" max="10497" width="5.85546875" style="267" customWidth="1"/>
    <col min="10498" max="10498" width="90.7109375" style="267" customWidth="1"/>
    <col min="10499" max="10499" width="10.85546875" style="267" customWidth="1"/>
    <col min="10500" max="10500" width="14.85546875" style="267" customWidth="1"/>
    <col min="10501" max="10502" width="15" style="267" customWidth="1"/>
    <col min="10503" max="10503" width="13.42578125" style="267" customWidth="1"/>
    <col min="10504" max="10508" width="14.7109375" style="267" customWidth="1"/>
    <col min="10509" max="10509" width="12.85546875" style="267" customWidth="1"/>
    <col min="10510" max="10510" width="11.7109375" style="267" customWidth="1"/>
    <col min="10511" max="10511" width="14.7109375" style="267" customWidth="1"/>
    <col min="10512" max="10513" width="12.42578125" style="267" customWidth="1"/>
    <col min="10514" max="10514" width="12.140625" style="267" customWidth="1"/>
    <col min="10515" max="10515" width="15.5703125" style="267" customWidth="1"/>
    <col min="10516" max="10752" width="9.140625" style="267"/>
    <col min="10753" max="10753" width="5.85546875" style="267" customWidth="1"/>
    <col min="10754" max="10754" width="90.7109375" style="267" customWidth="1"/>
    <col min="10755" max="10755" width="10.85546875" style="267" customWidth="1"/>
    <col min="10756" max="10756" width="14.85546875" style="267" customWidth="1"/>
    <col min="10757" max="10758" width="15" style="267" customWidth="1"/>
    <col min="10759" max="10759" width="13.42578125" style="267" customWidth="1"/>
    <col min="10760" max="10764" width="14.7109375" style="267" customWidth="1"/>
    <col min="10765" max="10765" width="12.85546875" style="267" customWidth="1"/>
    <col min="10766" max="10766" width="11.7109375" style="267" customWidth="1"/>
    <col min="10767" max="10767" width="14.7109375" style="267" customWidth="1"/>
    <col min="10768" max="10769" width="12.42578125" style="267" customWidth="1"/>
    <col min="10770" max="10770" width="12.140625" style="267" customWidth="1"/>
    <col min="10771" max="10771" width="15.5703125" style="267" customWidth="1"/>
    <col min="10772" max="11008" width="9.140625" style="267"/>
    <col min="11009" max="11009" width="5.85546875" style="267" customWidth="1"/>
    <col min="11010" max="11010" width="90.7109375" style="267" customWidth="1"/>
    <col min="11011" max="11011" width="10.85546875" style="267" customWidth="1"/>
    <col min="11012" max="11012" width="14.85546875" style="267" customWidth="1"/>
    <col min="11013" max="11014" width="15" style="267" customWidth="1"/>
    <col min="11015" max="11015" width="13.42578125" style="267" customWidth="1"/>
    <col min="11016" max="11020" width="14.7109375" style="267" customWidth="1"/>
    <col min="11021" max="11021" width="12.85546875" style="267" customWidth="1"/>
    <col min="11022" max="11022" width="11.7109375" style="267" customWidth="1"/>
    <col min="11023" max="11023" width="14.7109375" style="267" customWidth="1"/>
    <col min="11024" max="11025" width="12.42578125" style="267" customWidth="1"/>
    <col min="11026" max="11026" width="12.140625" style="267" customWidth="1"/>
    <col min="11027" max="11027" width="15.5703125" style="267" customWidth="1"/>
    <col min="11028" max="11264" width="9.140625" style="267"/>
    <col min="11265" max="11265" width="5.85546875" style="267" customWidth="1"/>
    <col min="11266" max="11266" width="90.7109375" style="267" customWidth="1"/>
    <col min="11267" max="11267" width="10.85546875" style="267" customWidth="1"/>
    <col min="11268" max="11268" width="14.85546875" style="267" customWidth="1"/>
    <col min="11269" max="11270" width="15" style="267" customWidth="1"/>
    <col min="11271" max="11271" width="13.42578125" style="267" customWidth="1"/>
    <col min="11272" max="11276" width="14.7109375" style="267" customWidth="1"/>
    <col min="11277" max="11277" width="12.85546875" style="267" customWidth="1"/>
    <col min="11278" max="11278" width="11.7109375" style="267" customWidth="1"/>
    <col min="11279" max="11279" width="14.7109375" style="267" customWidth="1"/>
    <col min="11280" max="11281" width="12.42578125" style="267" customWidth="1"/>
    <col min="11282" max="11282" width="12.140625" style="267" customWidth="1"/>
    <col min="11283" max="11283" width="15.5703125" style="267" customWidth="1"/>
    <col min="11284" max="11520" width="9.140625" style="267"/>
    <col min="11521" max="11521" width="5.85546875" style="267" customWidth="1"/>
    <col min="11522" max="11522" width="90.7109375" style="267" customWidth="1"/>
    <col min="11523" max="11523" width="10.85546875" style="267" customWidth="1"/>
    <col min="11524" max="11524" width="14.85546875" style="267" customWidth="1"/>
    <col min="11525" max="11526" width="15" style="267" customWidth="1"/>
    <col min="11527" max="11527" width="13.42578125" style="267" customWidth="1"/>
    <col min="11528" max="11532" width="14.7109375" style="267" customWidth="1"/>
    <col min="11533" max="11533" width="12.85546875" style="267" customWidth="1"/>
    <col min="11534" max="11534" width="11.7109375" style="267" customWidth="1"/>
    <col min="11535" max="11535" width="14.7109375" style="267" customWidth="1"/>
    <col min="11536" max="11537" width="12.42578125" style="267" customWidth="1"/>
    <col min="11538" max="11538" width="12.140625" style="267" customWidth="1"/>
    <col min="11539" max="11539" width="15.5703125" style="267" customWidth="1"/>
    <col min="11540" max="11776" width="9.140625" style="267"/>
    <col min="11777" max="11777" width="5.85546875" style="267" customWidth="1"/>
    <col min="11778" max="11778" width="90.7109375" style="267" customWidth="1"/>
    <col min="11779" max="11779" width="10.85546875" style="267" customWidth="1"/>
    <col min="11780" max="11780" width="14.85546875" style="267" customWidth="1"/>
    <col min="11781" max="11782" width="15" style="267" customWidth="1"/>
    <col min="11783" max="11783" width="13.42578125" style="267" customWidth="1"/>
    <col min="11784" max="11788" width="14.7109375" style="267" customWidth="1"/>
    <col min="11789" max="11789" width="12.85546875" style="267" customWidth="1"/>
    <col min="11790" max="11790" width="11.7109375" style="267" customWidth="1"/>
    <col min="11791" max="11791" width="14.7109375" style="267" customWidth="1"/>
    <col min="11792" max="11793" width="12.42578125" style="267" customWidth="1"/>
    <col min="11794" max="11794" width="12.140625" style="267" customWidth="1"/>
    <col min="11795" max="11795" width="15.5703125" style="267" customWidth="1"/>
    <col min="11796" max="12032" width="9.140625" style="267"/>
    <col min="12033" max="12033" width="5.85546875" style="267" customWidth="1"/>
    <col min="12034" max="12034" width="90.7109375" style="267" customWidth="1"/>
    <col min="12035" max="12035" width="10.85546875" style="267" customWidth="1"/>
    <col min="12036" max="12036" width="14.85546875" style="267" customWidth="1"/>
    <col min="12037" max="12038" width="15" style="267" customWidth="1"/>
    <col min="12039" max="12039" width="13.42578125" style="267" customWidth="1"/>
    <col min="12040" max="12044" width="14.7109375" style="267" customWidth="1"/>
    <col min="12045" max="12045" width="12.85546875" style="267" customWidth="1"/>
    <col min="12046" max="12046" width="11.7109375" style="267" customWidth="1"/>
    <col min="12047" max="12047" width="14.7109375" style="267" customWidth="1"/>
    <col min="12048" max="12049" width="12.42578125" style="267" customWidth="1"/>
    <col min="12050" max="12050" width="12.140625" style="267" customWidth="1"/>
    <col min="12051" max="12051" width="15.5703125" style="267" customWidth="1"/>
    <col min="12052" max="12288" width="9.140625" style="267"/>
    <col min="12289" max="12289" width="5.85546875" style="267" customWidth="1"/>
    <col min="12290" max="12290" width="90.7109375" style="267" customWidth="1"/>
    <col min="12291" max="12291" width="10.85546875" style="267" customWidth="1"/>
    <col min="12292" max="12292" width="14.85546875" style="267" customWidth="1"/>
    <col min="12293" max="12294" width="15" style="267" customWidth="1"/>
    <col min="12295" max="12295" width="13.42578125" style="267" customWidth="1"/>
    <col min="12296" max="12300" width="14.7109375" style="267" customWidth="1"/>
    <col min="12301" max="12301" width="12.85546875" style="267" customWidth="1"/>
    <col min="12302" max="12302" width="11.7109375" style="267" customWidth="1"/>
    <col min="12303" max="12303" width="14.7109375" style="267" customWidth="1"/>
    <col min="12304" max="12305" width="12.42578125" style="267" customWidth="1"/>
    <col min="12306" max="12306" width="12.140625" style="267" customWidth="1"/>
    <col min="12307" max="12307" width="15.5703125" style="267" customWidth="1"/>
    <col min="12308" max="12544" width="9.140625" style="267"/>
    <col min="12545" max="12545" width="5.85546875" style="267" customWidth="1"/>
    <col min="12546" max="12546" width="90.7109375" style="267" customWidth="1"/>
    <col min="12547" max="12547" width="10.85546875" style="267" customWidth="1"/>
    <col min="12548" max="12548" width="14.85546875" style="267" customWidth="1"/>
    <col min="12549" max="12550" width="15" style="267" customWidth="1"/>
    <col min="12551" max="12551" width="13.42578125" style="267" customWidth="1"/>
    <col min="12552" max="12556" width="14.7109375" style="267" customWidth="1"/>
    <col min="12557" max="12557" width="12.85546875" style="267" customWidth="1"/>
    <col min="12558" max="12558" width="11.7109375" style="267" customWidth="1"/>
    <col min="12559" max="12559" width="14.7109375" style="267" customWidth="1"/>
    <col min="12560" max="12561" width="12.42578125" style="267" customWidth="1"/>
    <col min="12562" max="12562" width="12.140625" style="267" customWidth="1"/>
    <col min="12563" max="12563" width="15.5703125" style="267" customWidth="1"/>
    <col min="12564" max="12800" width="9.140625" style="267"/>
    <col min="12801" max="12801" width="5.85546875" style="267" customWidth="1"/>
    <col min="12802" max="12802" width="90.7109375" style="267" customWidth="1"/>
    <col min="12803" max="12803" width="10.85546875" style="267" customWidth="1"/>
    <col min="12804" max="12804" width="14.85546875" style="267" customWidth="1"/>
    <col min="12805" max="12806" width="15" style="267" customWidth="1"/>
    <col min="12807" max="12807" width="13.42578125" style="267" customWidth="1"/>
    <col min="12808" max="12812" width="14.7109375" style="267" customWidth="1"/>
    <col min="12813" max="12813" width="12.85546875" style="267" customWidth="1"/>
    <col min="12814" max="12814" width="11.7109375" style="267" customWidth="1"/>
    <col min="12815" max="12815" width="14.7109375" style="267" customWidth="1"/>
    <col min="12816" max="12817" width="12.42578125" style="267" customWidth="1"/>
    <col min="12818" max="12818" width="12.140625" style="267" customWidth="1"/>
    <col min="12819" max="12819" width="15.5703125" style="267" customWidth="1"/>
    <col min="12820" max="13056" width="9.140625" style="267"/>
    <col min="13057" max="13057" width="5.85546875" style="267" customWidth="1"/>
    <col min="13058" max="13058" width="90.7109375" style="267" customWidth="1"/>
    <col min="13059" max="13059" width="10.85546875" style="267" customWidth="1"/>
    <col min="13060" max="13060" width="14.85546875" style="267" customWidth="1"/>
    <col min="13061" max="13062" width="15" style="267" customWidth="1"/>
    <col min="13063" max="13063" width="13.42578125" style="267" customWidth="1"/>
    <col min="13064" max="13068" width="14.7109375" style="267" customWidth="1"/>
    <col min="13069" max="13069" width="12.85546875" style="267" customWidth="1"/>
    <col min="13070" max="13070" width="11.7109375" style="267" customWidth="1"/>
    <col min="13071" max="13071" width="14.7109375" style="267" customWidth="1"/>
    <col min="13072" max="13073" width="12.42578125" style="267" customWidth="1"/>
    <col min="13074" max="13074" width="12.140625" style="267" customWidth="1"/>
    <col min="13075" max="13075" width="15.5703125" style="267" customWidth="1"/>
    <col min="13076" max="13312" width="9.140625" style="267"/>
    <col min="13313" max="13313" width="5.85546875" style="267" customWidth="1"/>
    <col min="13314" max="13314" width="90.7109375" style="267" customWidth="1"/>
    <col min="13315" max="13315" width="10.85546875" style="267" customWidth="1"/>
    <col min="13316" max="13316" width="14.85546875" style="267" customWidth="1"/>
    <col min="13317" max="13318" width="15" style="267" customWidth="1"/>
    <col min="13319" max="13319" width="13.42578125" style="267" customWidth="1"/>
    <col min="13320" max="13324" width="14.7109375" style="267" customWidth="1"/>
    <col min="13325" max="13325" width="12.85546875" style="267" customWidth="1"/>
    <col min="13326" max="13326" width="11.7109375" style="267" customWidth="1"/>
    <col min="13327" max="13327" width="14.7109375" style="267" customWidth="1"/>
    <col min="13328" max="13329" width="12.42578125" style="267" customWidth="1"/>
    <col min="13330" max="13330" width="12.140625" style="267" customWidth="1"/>
    <col min="13331" max="13331" width="15.5703125" style="267" customWidth="1"/>
    <col min="13332" max="13568" width="9.140625" style="267"/>
    <col min="13569" max="13569" width="5.85546875" style="267" customWidth="1"/>
    <col min="13570" max="13570" width="90.7109375" style="267" customWidth="1"/>
    <col min="13571" max="13571" width="10.85546875" style="267" customWidth="1"/>
    <col min="13572" max="13572" width="14.85546875" style="267" customWidth="1"/>
    <col min="13573" max="13574" width="15" style="267" customWidth="1"/>
    <col min="13575" max="13575" width="13.42578125" style="267" customWidth="1"/>
    <col min="13576" max="13580" width="14.7109375" style="267" customWidth="1"/>
    <col min="13581" max="13581" width="12.85546875" style="267" customWidth="1"/>
    <col min="13582" max="13582" width="11.7109375" style="267" customWidth="1"/>
    <col min="13583" max="13583" width="14.7109375" style="267" customWidth="1"/>
    <col min="13584" max="13585" width="12.42578125" style="267" customWidth="1"/>
    <col min="13586" max="13586" width="12.140625" style="267" customWidth="1"/>
    <col min="13587" max="13587" width="15.5703125" style="267" customWidth="1"/>
    <col min="13588" max="13824" width="9.140625" style="267"/>
    <col min="13825" max="13825" width="5.85546875" style="267" customWidth="1"/>
    <col min="13826" max="13826" width="90.7109375" style="267" customWidth="1"/>
    <col min="13827" max="13827" width="10.85546875" style="267" customWidth="1"/>
    <col min="13828" max="13828" width="14.85546875" style="267" customWidth="1"/>
    <col min="13829" max="13830" width="15" style="267" customWidth="1"/>
    <col min="13831" max="13831" width="13.42578125" style="267" customWidth="1"/>
    <col min="13832" max="13836" width="14.7109375" style="267" customWidth="1"/>
    <col min="13837" max="13837" width="12.85546875" style="267" customWidth="1"/>
    <col min="13838" max="13838" width="11.7109375" style="267" customWidth="1"/>
    <col min="13839" max="13839" width="14.7109375" style="267" customWidth="1"/>
    <col min="13840" max="13841" width="12.42578125" style="267" customWidth="1"/>
    <col min="13842" max="13842" width="12.140625" style="267" customWidth="1"/>
    <col min="13843" max="13843" width="15.5703125" style="267" customWidth="1"/>
    <col min="13844" max="14080" width="9.140625" style="267"/>
    <col min="14081" max="14081" width="5.85546875" style="267" customWidth="1"/>
    <col min="14082" max="14082" width="90.7109375" style="267" customWidth="1"/>
    <col min="14083" max="14083" width="10.85546875" style="267" customWidth="1"/>
    <col min="14084" max="14084" width="14.85546875" style="267" customWidth="1"/>
    <col min="14085" max="14086" width="15" style="267" customWidth="1"/>
    <col min="14087" max="14087" width="13.42578125" style="267" customWidth="1"/>
    <col min="14088" max="14092" width="14.7109375" style="267" customWidth="1"/>
    <col min="14093" max="14093" width="12.85546875" style="267" customWidth="1"/>
    <col min="14094" max="14094" width="11.7109375" style="267" customWidth="1"/>
    <col min="14095" max="14095" width="14.7109375" style="267" customWidth="1"/>
    <col min="14096" max="14097" width="12.42578125" style="267" customWidth="1"/>
    <col min="14098" max="14098" width="12.140625" style="267" customWidth="1"/>
    <col min="14099" max="14099" width="15.5703125" style="267" customWidth="1"/>
    <col min="14100" max="14336" width="9.140625" style="267"/>
    <col min="14337" max="14337" width="5.85546875" style="267" customWidth="1"/>
    <col min="14338" max="14338" width="90.7109375" style="267" customWidth="1"/>
    <col min="14339" max="14339" width="10.85546875" style="267" customWidth="1"/>
    <col min="14340" max="14340" width="14.85546875" style="267" customWidth="1"/>
    <col min="14341" max="14342" width="15" style="267" customWidth="1"/>
    <col min="14343" max="14343" width="13.42578125" style="267" customWidth="1"/>
    <col min="14344" max="14348" width="14.7109375" style="267" customWidth="1"/>
    <col min="14349" max="14349" width="12.85546875" style="267" customWidth="1"/>
    <col min="14350" max="14350" width="11.7109375" style="267" customWidth="1"/>
    <col min="14351" max="14351" width="14.7109375" style="267" customWidth="1"/>
    <col min="14352" max="14353" width="12.42578125" style="267" customWidth="1"/>
    <col min="14354" max="14354" width="12.140625" style="267" customWidth="1"/>
    <col min="14355" max="14355" width="15.5703125" style="267" customWidth="1"/>
    <col min="14356" max="14592" width="9.140625" style="267"/>
    <col min="14593" max="14593" width="5.85546875" style="267" customWidth="1"/>
    <col min="14594" max="14594" width="90.7109375" style="267" customWidth="1"/>
    <col min="14595" max="14595" width="10.85546875" style="267" customWidth="1"/>
    <col min="14596" max="14596" width="14.85546875" style="267" customWidth="1"/>
    <col min="14597" max="14598" width="15" style="267" customWidth="1"/>
    <col min="14599" max="14599" width="13.42578125" style="267" customWidth="1"/>
    <col min="14600" max="14604" width="14.7109375" style="267" customWidth="1"/>
    <col min="14605" max="14605" width="12.85546875" style="267" customWidth="1"/>
    <col min="14606" max="14606" width="11.7109375" style="267" customWidth="1"/>
    <col min="14607" max="14607" width="14.7109375" style="267" customWidth="1"/>
    <col min="14608" max="14609" width="12.42578125" style="267" customWidth="1"/>
    <col min="14610" max="14610" width="12.140625" style="267" customWidth="1"/>
    <col min="14611" max="14611" width="15.5703125" style="267" customWidth="1"/>
    <col min="14612" max="14848" width="9.140625" style="267"/>
    <col min="14849" max="14849" width="5.85546875" style="267" customWidth="1"/>
    <col min="14850" max="14850" width="90.7109375" style="267" customWidth="1"/>
    <col min="14851" max="14851" width="10.85546875" style="267" customWidth="1"/>
    <col min="14852" max="14852" width="14.85546875" style="267" customWidth="1"/>
    <col min="14853" max="14854" width="15" style="267" customWidth="1"/>
    <col min="14855" max="14855" width="13.42578125" style="267" customWidth="1"/>
    <col min="14856" max="14860" width="14.7109375" style="267" customWidth="1"/>
    <col min="14861" max="14861" width="12.85546875" style="267" customWidth="1"/>
    <col min="14862" max="14862" width="11.7109375" style="267" customWidth="1"/>
    <col min="14863" max="14863" width="14.7109375" style="267" customWidth="1"/>
    <col min="14864" max="14865" width="12.42578125" style="267" customWidth="1"/>
    <col min="14866" max="14866" width="12.140625" style="267" customWidth="1"/>
    <col min="14867" max="14867" width="15.5703125" style="267" customWidth="1"/>
    <col min="14868" max="15104" width="9.140625" style="267"/>
    <col min="15105" max="15105" width="5.85546875" style="267" customWidth="1"/>
    <col min="15106" max="15106" width="90.7109375" style="267" customWidth="1"/>
    <col min="15107" max="15107" width="10.85546875" style="267" customWidth="1"/>
    <col min="15108" max="15108" width="14.85546875" style="267" customWidth="1"/>
    <col min="15109" max="15110" width="15" style="267" customWidth="1"/>
    <col min="15111" max="15111" width="13.42578125" style="267" customWidth="1"/>
    <col min="15112" max="15116" width="14.7109375" style="267" customWidth="1"/>
    <col min="15117" max="15117" width="12.85546875" style="267" customWidth="1"/>
    <col min="15118" max="15118" width="11.7109375" style="267" customWidth="1"/>
    <col min="15119" max="15119" width="14.7109375" style="267" customWidth="1"/>
    <col min="15120" max="15121" width="12.42578125" style="267" customWidth="1"/>
    <col min="15122" max="15122" width="12.140625" style="267" customWidth="1"/>
    <col min="15123" max="15123" width="15.5703125" style="267" customWidth="1"/>
    <col min="15124" max="15360" width="9.140625" style="267"/>
    <col min="15361" max="15361" width="5.85546875" style="267" customWidth="1"/>
    <col min="15362" max="15362" width="90.7109375" style="267" customWidth="1"/>
    <col min="15363" max="15363" width="10.85546875" style="267" customWidth="1"/>
    <col min="15364" max="15364" width="14.85546875" style="267" customWidth="1"/>
    <col min="15365" max="15366" width="15" style="267" customWidth="1"/>
    <col min="15367" max="15367" width="13.42578125" style="267" customWidth="1"/>
    <col min="15368" max="15372" width="14.7109375" style="267" customWidth="1"/>
    <col min="15373" max="15373" width="12.85546875" style="267" customWidth="1"/>
    <col min="15374" max="15374" width="11.7109375" style="267" customWidth="1"/>
    <col min="15375" max="15375" width="14.7109375" style="267" customWidth="1"/>
    <col min="15376" max="15377" width="12.42578125" style="267" customWidth="1"/>
    <col min="15378" max="15378" width="12.140625" style="267" customWidth="1"/>
    <col min="15379" max="15379" width="15.5703125" style="267" customWidth="1"/>
    <col min="15380" max="15616" width="9.140625" style="267"/>
    <col min="15617" max="15617" width="5.85546875" style="267" customWidth="1"/>
    <col min="15618" max="15618" width="90.7109375" style="267" customWidth="1"/>
    <col min="15619" max="15619" width="10.85546875" style="267" customWidth="1"/>
    <col min="15620" max="15620" width="14.85546875" style="267" customWidth="1"/>
    <col min="15621" max="15622" width="15" style="267" customWidth="1"/>
    <col min="15623" max="15623" width="13.42578125" style="267" customWidth="1"/>
    <col min="15624" max="15628" width="14.7109375" style="267" customWidth="1"/>
    <col min="15629" max="15629" width="12.85546875" style="267" customWidth="1"/>
    <col min="15630" max="15630" width="11.7109375" style="267" customWidth="1"/>
    <col min="15631" max="15631" width="14.7109375" style="267" customWidth="1"/>
    <col min="15632" max="15633" width="12.42578125" style="267" customWidth="1"/>
    <col min="15634" max="15634" width="12.140625" style="267" customWidth="1"/>
    <col min="15635" max="15635" width="15.5703125" style="267" customWidth="1"/>
    <col min="15636" max="15872" width="9.140625" style="267"/>
    <col min="15873" max="15873" width="5.85546875" style="267" customWidth="1"/>
    <col min="15874" max="15874" width="90.7109375" style="267" customWidth="1"/>
    <col min="15875" max="15875" width="10.85546875" style="267" customWidth="1"/>
    <col min="15876" max="15876" width="14.85546875" style="267" customWidth="1"/>
    <col min="15877" max="15878" width="15" style="267" customWidth="1"/>
    <col min="15879" max="15879" width="13.42578125" style="267" customWidth="1"/>
    <col min="15880" max="15884" width="14.7109375" style="267" customWidth="1"/>
    <col min="15885" max="15885" width="12.85546875" style="267" customWidth="1"/>
    <col min="15886" max="15886" width="11.7109375" style="267" customWidth="1"/>
    <col min="15887" max="15887" width="14.7109375" style="267" customWidth="1"/>
    <col min="15888" max="15889" width="12.42578125" style="267" customWidth="1"/>
    <col min="15890" max="15890" width="12.140625" style="267" customWidth="1"/>
    <col min="15891" max="15891" width="15.5703125" style="267" customWidth="1"/>
    <col min="15892" max="16128" width="9.140625" style="267"/>
    <col min="16129" max="16129" width="5.85546875" style="267" customWidth="1"/>
    <col min="16130" max="16130" width="90.7109375" style="267" customWidth="1"/>
    <col min="16131" max="16131" width="10.85546875" style="267" customWidth="1"/>
    <col min="16132" max="16132" width="14.85546875" style="267" customWidth="1"/>
    <col min="16133" max="16134" width="15" style="267" customWidth="1"/>
    <col min="16135" max="16135" width="13.42578125" style="267" customWidth="1"/>
    <col min="16136" max="16140" width="14.7109375" style="267" customWidth="1"/>
    <col min="16141" max="16141" width="12.85546875" style="267" customWidth="1"/>
    <col min="16142" max="16142" width="11.7109375" style="267" customWidth="1"/>
    <col min="16143" max="16143" width="14.7109375" style="267" customWidth="1"/>
    <col min="16144" max="16145" width="12.42578125" style="267" customWidth="1"/>
    <col min="16146" max="16146" width="12.140625" style="267" customWidth="1"/>
    <col min="16147" max="16147" width="15.5703125" style="267" customWidth="1"/>
    <col min="16148" max="16384" width="9.140625" style="267"/>
  </cols>
  <sheetData>
    <row r="1" spans="1:22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62" t="s">
        <v>574</v>
      </c>
      <c r="T1" s="362"/>
    </row>
    <row r="2" spans="1:22" ht="26.25" customHeight="1">
      <c r="A2" s="391" t="s">
        <v>414</v>
      </c>
      <c r="B2" s="391"/>
      <c r="C2" s="391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T2" s="267"/>
    </row>
    <row r="3" spans="1:22" ht="18" customHeight="1">
      <c r="A3" s="393" t="str">
        <f>TH!A7</f>
        <v>(Kèm theo Nghị quyết số:         /NQ-HĐND, ngày          /       /2024 của HĐND huyện Đăk Tô)</v>
      </c>
      <c r="B3" s="393"/>
      <c r="C3" s="393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T3" s="267"/>
    </row>
    <row r="4" spans="1:22" ht="18" hidden="1" customHeight="1">
      <c r="A4" s="393" t="s">
        <v>415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T4" s="267"/>
    </row>
    <row r="5" spans="1:22" ht="18" hidden="1" customHeight="1">
      <c r="A5" s="393" t="s">
        <v>416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T5" s="267"/>
    </row>
    <row r="6" spans="1:22" ht="15.75" hidden="1" customHeight="1">
      <c r="A6" s="268"/>
      <c r="B6" s="269"/>
      <c r="C6" s="268"/>
      <c r="D6" s="270"/>
      <c r="E6" s="271"/>
      <c r="F6" s="271"/>
      <c r="G6" s="271"/>
      <c r="H6" s="272"/>
      <c r="I6" s="272"/>
      <c r="J6" s="272"/>
      <c r="K6" s="272"/>
      <c r="L6" s="272"/>
      <c r="N6" s="389"/>
      <c r="O6" s="389"/>
      <c r="P6" s="389"/>
      <c r="Q6" s="389"/>
      <c r="R6" s="389"/>
      <c r="T6" s="267"/>
    </row>
    <row r="7" spans="1:22">
      <c r="A7" s="268"/>
      <c r="B7" s="268"/>
      <c r="C7" s="273"/>
      <c r="D7" s="274"/>
      <c r="E7" s="275"/>
      <c r="F7" s="275"/>
      <c r="G7" s="275"/>
      <c r="H7" s="276"/>
      <c r="I7" s="276"/>
      <c r="J7" s="276"/>
      <c r="K7" s="276"/>
      <c r="L7" s="276"/>
      <c r="M7" s="277"/>
      <c r="N7" s="278"/>
      <c r="O7" s="278"/>
      <c r="P7" s="388" t="s">
        <v>327</v>
      </c>
      <c r="Q7" s="388"/>
      <c r="R7" s="388"/>
      <c r="S7" s="388"/>
      <c r="T7" s="267"/>
    </row>
    <row r="8" spans="1:22" s="154" customFormat="1" ht="42.75" customHeight="1">
      <c r="A8" s="377" t="s">
        <v>417</v>
      </c>
      <c r="B8" s="377" t="s">
        <v>1</v>
      </c>
      <c r="C8" s="377" t="s">
        <v>418</v>
      </c>
      <c r="D8" s="380" t="s">
        <v>419</v>
      </c>
      <c r="E8" s="381"/>
      <c r="F8" s="381"/>
      <c r="G8" s="381"/>
      <c r="H8" s="382" t="s">
        <v>420</v>
      </c>
      <c r="I8" s="383"/>
      <c r="J8" s="383"/>
      <c r="K8" s="384"/>
      <c r="L8" s="368" t="s">
        <v>421</v>
      </c>
      <c r="M8" s="368" t="s">
        <v>422</v>
      </c>
      <c r="N8" s="368" t="s">
        <v>423</v>
      </c>
      <c r="O8" s="374" t="s">
        <v>257</v>
      </c>
      <c r="P8" s="374"/>
      <c r="Q8" s="279"/>
      <c r="R8" s="368" t="s">
        <v>424</v>
      </c>
      <c r="S8" s="361" t="s">
        <v>566</v>
      </c>
      <c r="T8" s="368" t="s">
        <v>567</v>
      </c>
    </row>
    <row r="9" spans="1:22" s="154" customFormat="1" ht="42.75" customHeight="1">
      <c r="A9" s="378"/>
      <c r="B9" s="378"/>
      <c r="C9" s="378"/>
      <c r="D9" s="371" t="s">
        <v>425</v>
      </c>
      <c r="E9" s="373" t="s">
        <v>426</v>
      </c>
      <c r="F9" s="373" t="s">
        <v>427</v>
      </c>
      <c r="G9" s="373" t="s">
        <v>428</v>
      </c>
      <c r="H9" s="385"/>
      <c r="I9" s="386"/>
      <c r="J9" s="386"/>
      <c r="K9" s="387"/>
      <c r="L9" s="369"/>
      <c r="M9" s="369"/>
      <c r="N9" s="369"/>
      <c r="O9" s="374" t="s">
        <v>429</v>
      </c>
      <c r="P9" s="374" t="s">
        <v>430</v>
      </c>
      <c r="Q9" s="375" t="s">
        <v>436</v>
      </c>
      <c r="R9" s="369"/>
      <c r="S9" s="361"/>
      <c r="T9" s="369"/>
    </row>
    <row r="10" spans="1:22" s="154" customFormat="1" ht="99" customHeight="1">
      <c r="A10" s="379"/>
      <c r="B10" s="379"/>
      <c r="C10" s="378"/>
      <c r="D10" s="372"/>
      <c r="E10" s="372"/>
      <c r="F10" s="372"/>
      <c r="G10" s="372" t="s">
        <v>431</v>
      </c>
      <c r="H10" s="281" t="s">
        <v>432</v>
      </c>
      <c r="I10" s="281" t="s">
        <v>433</v>
      </c>
      <c r="J10" s="281" t="s">
        <v>434</v>
      </c>
      <c r="K10" s="281" t="s">
        <v>435</v>
      </c>
      <c r="L10" s="370"/>
      <c r="M10" s="370"/>
      <c r="N10" s="370"/>
      <c r="O10" s="374"/>
      <c r="P10" s="374"/>
      <c r="Q10" s="376"/>
      <c r="R10" s="370"/>
      <c r="S10" s="361"/>
      <c r="T10" s="370"/>
    </row>
    <row r="11" spans="1:22" s="285" customFormat="1" ht="30" customHeight="1">
      <c r="A11" s="282" t="s">
        <v>41</v>
      </c>
      <c r="B11" s="282" t="s">
        <v>42</v>
      </c>
      <c r="C11" s="282" t="s">
        <v>183</v>
      </c>
      <c r="D11" s="282">
        <v>1</v>
      </c>
      <c r="E11" s="282">
        <v>2</v>
      </c>
      <c r="F11" s="282">
        <v>3</v>
      </c>
      <c r="G11" s="282">
        <v>4</v>
      </c>
      <c r="H11" s="283">
        <v>5</v>
      </c>
      <c r="I11" s="283">
        <v>6</v>
      </c>
      <c r="J11" s="283">
        <v>7</v>
      </c>
      <c r="K11" s="283">
        <v>8</v>
      </c>
      <c r="L11" s="280">
        <v>9</v>
      </c>
      <c r="M11" s="280">
        <v>10</v>
      </c>
      <c r="N11" s="265">
        <v>11</v>
      </c>
      <c r="O11" s="265">
        <v>12</v>
      </c>
      <c r="P11" s="265">
        <v>13</v>
      </c>
      <c r="Q11" s="265">
        <v>17</v>
      </c>
      <c r="R11" s="265">
        <v>14</v>
      </c>
      <c r="S11" s="284">
        <v>15</v>
      </c>
      <c r="T11" s="265">
        <v>16</v>
      </c>
    </row>
    <row r="12" spans="1:22" s="285" customFormat="1" ht="30" customHeight="1">
      <c r="A12" s="284"/>
      <c r="B12" s="284"/>
      <c r="C12" s="284"/>
      <c r="D12" s="284"/>
      <c r="E12" s="284"/>
      <c r="F12" s="284"/>
      <c r="G12" s="284"/>
      <c r="H12" s="186"/>
      <c r="I12" s="186"/>
      <c r="J12" s="186"/>
      <c r="K12" s="186"/>
      <c r="L12" s="194"/>
      <c r="M12" s="194"/>
      <c r="N12" s="194"/>
      <c r="O12" s="194"/>
      <c r="P12" s="194"/>
      <c r="Q12" s="194"/>
      <c r="R12" s="194"/>
      <c r="S12" s="286"/>
      <c r="T12" s="194"/>
    </row>
    <row r="13" spans="1:22" s="289" customFormat="1" ht="30" customHeight="1">
      <c r="A13" s="287"/>
      <c r="B13" s="287" t="s">
        <v>437</v>
      </c>
      <c r="C13" s="287"/>
      <c r="D13" s="288">
        <f>D17+D20+D23+D36+D60+D50</f>
        <v>245902.23690933501</v>
      </c>
      <c r="E13" s="288">
        <f>E17+E20+E23+E36+E60+E50</f>
        <v>235004.24203296861</v>
      </c>
      <c r="F13" s="288">
        <f t="shared" ref="F13:T13" si="0">F17+F20+F23+F36+F60+F50</f>
        <v>0</v>
      </c>
      <c r="G13" s="288">
        <f t="shared" si="0"/>
        <v>10897.994876366396</v>
      </c>
      <c r="H13" s="288">
        <f>H17+H20+H23+H36+H60+H50</f>
        <v>186847.10297179961</v>
      </c>
      <c r="I13" s="288">
        <f t="shared" si="0"/>
        <v>27009.947409331104</v>
      </c>
      <c r="J13" s="288">
        <f t="shared" si="0"/>
        <v>0</v>
      </c>
      <c r="K13" s="288">
        <f t="shared" si="0"/>
        <v>32798.519528204299</v>
      </c>
      <c r="L13" s="288">
        <f t="shared" si="0"/>
        <v>3279.8519528204297</v>
      </c>
      <c r="M13" s="288">
        <f t="shared" si="0"/>
        <v>0</v>
      </c>
      <c r="N13" s="288">
        <f t="shared" si="0"/>
        <v>3279.8519528204297</v>
      </c>
      <c r="O13" s="288">
        <f t="shared" si="0"/>
        <v>5051.1599528204297</v>
      </c>
      <c r="P13" s="288">
        <f t="shared" si="0"/>
        <v>0</v>
      </c>
      <c r="Q13" s="288">
        <f t="shared" si="0"/>
        <v>0</v>
      </c>
      <c r="R13" s="288">
        <f t="shared" si="0"/>
        <v>245902.23690933501</v>
      </c>
      <c r="S13" s="288">
        <f t="shared" si="0"/>
        <v>0</v>
      </c>
      <c r="T13" s="288">
        <f t="shared" si="0"/>
        <v>245902.23690933501</v>
      </c>
      <c r="V13" s="289">
        <f>R13-T13</f>
        <v>0</v>
      </c>
    </row>
    <row r="14" spans="1:22" s="289" customFormat="1" ht="24.75" customHeight="1">
      <c r="A14" s="287"/>
      <c r="B14" s="290" t="s">
        <v>48</v>
      </c>
      <c r="C14" s="287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91"/>
      <c r="T14" s="288"/>
    </row>
    <row r="15" spans="1:22" s="285" customFormat="1" ht="24.75" customHeight="1">
      <c r="A15" s="292" t="s">
        <v>438</v>
      </c>
      <c r="B15" s="293" t="s">
        <v>439</v>
      </c>
      <c r="C15" s="294"/>
      <c r="D15" s="295">
        <f>SUM(E15:G15)</f>
        <v>218033.99226402643</v>
      </c>
      <c r="E15" s="295">
        <f>E17+E20+E23+E36+E50+E60-E16+E44</f>
        <v>207135.99738766003</v>
      </c>
      <c r="F15" s="295"/>
      <c r="G15" s="295">
        <f>G17+G20+G23+G36+G50+G60-G16</f>
        <v>10897.994876366396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6"/>
      <c r="T15" s="295"/>
    </row>
    <row r="16" spans="1:22" s="285" customFormat="1" ht="24.75" customHeight="1">
      <c r="A16" s="292" t="s">
        <v>438</v>
      </c>
      <c r="B16" s="293" t="s">
        <v>440</v>
      </c>
      <c r="C16" s="294"/>
      <c r="D16" s="295">
        <f>SUM(E16:G16)</f>
        <v>27799.744645308572</v>
      </c>
      <c r="E16" s="295">
        <f>E25+E32+E53+E54+E55+E65+E68+E69+E44</f>
        <v>27799.744645308572</v>
      </c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6"/>
      <c r="T16" s="295"/>
    </row>
    <row r="17" spans="1:20" s="285" customFormat="1" ht="30" customHeight="1">
      <c r="A17" s="296" t="s">
        <v>4</v>
      </c>
      <c r="B17" s="297" t="s">
        <v>441</v>
      </c>
      <c r="C17" s="296"/>
      <c r="D17" s="298">
        <f>D18</f>
        <v>50</v>
      </c>
      <c r="E17" s="298">
        <f t="shared" ref="E17:Q17" si="1">E18</f>
        <v>50</v>
      </c>
      <c r="F17" s="298">
        <f t="shared" si="1"/>
        <v>0</v>
      </c>
      <c r="G17" s="298">
        <f t="shared" si="1"/>
        <v>0</v>
      </c>
      <c r="H17" s="298">
        <f t="shared" si="1"/>
        <v>0</v>
      </c>
      <c r="I17" s="298">
        <f t="shared" si="1"/>
        <v>50</v>
      </c>
      <c r="J17" s="298">
        <f t="shared" si="1"/>
        <v>0</v>
      </c>
      <c r="K17" s="298">
        <f t="shared" si="1"/>
        <v>0</v>
      </c>
      <c r="L17" s="298">
        <f t="shared" si="1"/>
        <v>0</v>
      </c>
      <c r="M17" s="298">
        <f t="shared" si="1"/>
        <v>0</v>
      </c>
      <c r="N17" s="298">
        <f t="shared" si="1"/>
        <v>0</v>
      </c>
      <c r="O17" s="298">
        <f t="shared" si="1"/>
        <v>0</v>
      </c>
      <c r="P17" s="298">
        <f t="shared" si="1"/>
        <v>0</v>
      </c>
      <c r="Q17" s="298">
        <f t="shared" si="1"/>
        <v>0</v>
      </c>
      <c r="R17" s="298">
        <f>R18</f>
        <v>50</v>
      </c>
      <c r="S17" s="298">
        <f t="shared" ref="S17:T17" si="2">S18</f>
        <v>0</v>
      </c>
      <c r="T17" s="298">
        <f t="shared" si="2"/>
        <v>50</v>
      </c>
    </row>
    <row r="18" spans="1:20" s="285" customFormat="1" ht="30" customHeight="1">
      <c r="A18" s="296" t="s">
        <v>442</v>
      </c>
      <c r="B18" s="297" t="s">
        <v>443</v>
      </c>
      <c r="C18" s="291" t="s">
        <v>444</v>
      </c>
      <c r="D18" s="299">
        <f t="shared" ref="D18:T18" si="3">SUM(D19)</f>
        <v>50</v>
      </c>
      <c r="E18" s="299">
        <f t="shared" si="3"/>
        <v>50</v>
      </c>
      <c r="F18" s="299">
        <f t="shared" si="3"/>
        <v>0</v>
      </c>
      <c r="G18" s="299">
        <f t="shared" si="3"/>
        <v>0</v>
      </c>
      <c r="H18" s="299">
        <f t="shared" si="3"/>
        <v>0</v>
      </c>
      <c r="I18" s="299">
        <f t="shared" si="3"/>
        <v>50</v>
      </c>
      <c r="J18" s="299">
        <f t="shared" si="3"/>
        <v>0</v>
      </c>
      <c r="K18" s="299">
        <f t="shared" si="3"/>
        <v>0</v>
      </c>
      <c r="L18" s="299">
        <f t="shared" si="3"/>
        <v>0</v>
      </c>
      <c r="M18" s="299">
        <f t="shared" si="3"/>
        <v>0</v>
      </c>
      <c r="N18" s="299">
        <f t="shared" si="3"/>
        <v>0</v>
      </c>
      <c r="O18" s="299">
        <f t="shared" si="3"/>
        <v>0</v>
      </c>
      <c r="P18" s="299">
        <f t="shared" si="3"/>
        <v>0</v>
      </c>
      <c r="Q18" s="299">
        <f t="shared" si="3"/>
        <v>0</v>
      </c>
      <c r="R18" s="299">
        <f t="shared" si="3"/>
        <v>50</v>
      </c>
      <c r="S18" s="299">
        <f t="shared" si="3"/>
        <v>0</v>
      </c>
      <c r="T18" s="299">
        <f t="shared" si="3"/>
        <v>50</v>
      </c>
    </row>
    <row r="19" spans="1:20" s="188" customFormat="1" ht="30" customHeight="1">
      <c r="A19" s="300">
        <v>1</v>
      </c>
      <c r="B19" s="301" t="s">
        <v>445</v>
      </c>
      <c r="C19" s="300" t="s">
        <v>444</v>
      </c>
      <c r="D19" s="302">
        <f>SUBTOTAL(9,E19:G19)</f>
        <v>50</v>
      </c>
      <c r="E19" s="302">
        <v>50</v>
      </c>
      <c r="F19" s="302"/>
      <c r="G19" s="302"/>
      <c r="H19" s="302"/>
      <c r="I19" s="302">
        <f>E19</f>
        <v>50</v>
      </c>
      <c r="J19" s="302"/>
      <c r="K19" s="302"/>
      <c r="L19" s="302">
        <f>K19*10%</f>
        <v>0</v>
      </c>
      <c r="M19" s="302"/>
      <c r="N19" s="302">
        <f>L19+M19</f>
        <v>0</v>
      </c>
      <c r="O19" s="302">
        <f>L19</f>
        <v>0</v>
      </c>
      <c r="P19" s="302"/>
      <c r="Q19" s="302"/>
      <c r="R19" s="302">
        <f>D19-N19</f>
        <v>50</v>
      </c>
      <c r="S19" s="303"/>
      <c r="T19" s="302">
        <f>R19</f>
        <v>50</v>
      </c>
    </row>
    <row r="20" spans="1:20" s="285" customFormat="1" ht="30" customHeight="1">
      <c r="A20" s="296" t="s">
        <v>200</v>
      </c>
      <c r="B20" s="297" t="s">
        <v>446</v>
      </c>
      <c r="C20" s="296"/>
      <c r="D20" s="298">
        <f t="shared" ref="D20:T20" si="4">D21</f>
        <v>255</v>
      </c>
      <c r="E20" s="298">
        <f t="shared" si="4"/>
        <v>255</v>
      </c>
      <c r="F20" s="298">
        <f t="shared" si="4"/>
        <v>0</v>
      </c>
      <c r="G20" s="298">
        <f t="shared" si="4"/>
        <v>0</v>
      </c>
      <c r="H20" s="298">
        <f t="shared" si="4"/>
        <v>0</v>
      </c>
      <c r="I20" s="298">
        <f t="shared" si="4"/>
        <v>255</v>
      </c>
      <c r="J20" s="298">
        <f t="shared" si="4"/>
        <v>0</v>
      </c>
      <c r="K20" s="298">
        <f t="shared" si="4"/>
        <v>0</v>
      </c>
      <c r="L20" s="298">
        <f t="shared" si="4"/>
        <v>0</v>
      </c>
      <c r="M20" s="298">
        <f t="shared" si="4"/>
        <v>0</v>
      </c>
      <c r="N20" s="298">
        <f t="shared" si="4"/>
        <v>0</v>
      </c>
      <c r="O20" s="298">
        <f t="shared" si="4"/>
        <v>0</v>
      </c>
      <c r="P20" s="298">
        <f t="shared" si="4"/>
        <v>0</v>
      </c>
      <c r="Q20" s="298">
        <f t="shared" si="4"/>
        <v>0</v>
      </c>
      <c r="R20" s="298">
        <f t="shared" si="4"/>
        <v>255</v>
      </c>
      <c r="S20" s="298">
        <f t="shared" si="4"/>
        <v>0</v>
      </c>
      <c r="T20" s="298">
        <f t="shared" si="4"/>
        <v>255</v>
      </c>
    </row>
    <row r="21" spans="1:20" s="285" customFormat="1" ht="30" customHeight="1">
      <c r="A21" s="296" t="s">
        <v>447</v>
      </c>
      <c r="B21" s="297" t="s">
        <v>448</v>
      </c>
      <c r="C21" s="291" t="s">
        <v>444</v>
      </c>
      <c r="D21" s="299">
        <f t="shared" ref="D21:T21" si="5">SUM(D22)</f>
        <v>255</v>
      </c>
      <c r="E21" s="299">
        <f t="shared" si="5"/>
        <v>255</v>
      </c>
      <c r="F21" s="299">
        <f t="shared" si="5"/>
        <v>0</v>
      </c>
      <c r="G21" s="299">
        <f t="shared" si="5"/>
        <v>0</v>
      </c>
      <c r="H21" s="299">
        <f t="shared" si="5"/>
        <v>0</v>
      </c>
      <c r="I21" s="299">
        <f t="shared" si="5"/>
        <v>255</v>
      </c>
      <c r="J21" s="299">
        <f t="shared" si="5"/>
        <v>0</v>
      </c>
      <c r="K21" s="299">
        <f t="shared" si="5"/>
        <v>0</v>
      </c>
      <c r="L21" s="299">
        <f t="shared" si="5"/>
        <v>0</v>
      </c>
      <c r="M21" s="299">
        <f t="shared" si="5"/>
        <v>0</v>
      </c>
      <c r="N21" s="299">
        <f t="shared" si="5"/>
        <v>0</v>
      </c>
      <c r="O21" s="299">
        <f t="shared" si="5"/>
        <v>0</v>
      </c>
      <c r="P21" s="299">
        <f t="shared" si="5"/>
        <v>0</v>
      </c>
      <c r="Q21" s="299">
        <f t="shared" si="5"/>
        <v>0</v>
      </c>
      <c r="R21" s="299">
        <f t="shared" si="5"/>
        <v>255</v>
      </c>
      <c r="S21" s="299">
        <f t="shared" si="5"/>
        <v>0</v>
      </c>
      <c r="T21" s="299">
        <f t="shared" si="5"/>
        <v>255</v>
      </c>
    </row>
    <row r="22" spans="1:20" s="188" customFormat="1" ht="30" customHeight="1">
      <c r="A22" s="300">
        <v>1</v>
      </c>
      <c r="B22" s="301" t="s">
        <v>449</v>
      </c>
      <c r="C22" s="300" t="s">
        <v>444</v>
      </c>
      <c r="D22" s="302">
        <f>SUBTOTAL(9,E22:G22)</f>
        <v>255</v>
      </c>
      <c r="E22" s="302">
        <v>255</v>
      </c>
      <c r="F22" s="302"/>
      <c r="G22" s="302"/>
      <c r="H22" s="302"/>
      <c r="I22" s="302">
        <f>E22</f>
        <v>255</v>
      </c>
      <c r="J22" s="302"/>
      <c r="K22" s="302"/>
      <c r="L22" s="302">
        <f>K22*10%</f>
        <v>0</v>
      </c>
      <c r="M22" s="302"/>
      <c r="N22" s="302">
        <f>L22+M22</f>
        <v>0</v>
      </c>
      <c r="O22" s="302">
        <f>L22</f>
        <v>0</v>
      </c>
      <c r="P22" s="302"/>
      <c r="Q22" s="302"/>
      <c r="R22" s="302">
        <f>D22-N22</f>
        <v>255</v>
      </c>
      <c r="S22" s="303"/>
      <c r="T22" s="302">
        <f>R22</f>
        <v>255</v>
      </c>
    </row>
    <row r="23" spans="1:20" s="285" customFormat="1" ht="30" customHeight="1">
      <c r="A23" s="296" t="s">
        <v>214</v>
      </c>
      <c r="B23" s="297" t="s">
        <v>450</v>
      </c>
      <c r="C23" s="296"/>
      <c r="D23" s="298">
        <f t="shared" ref="D23:R23" si="6">D24+D31+D34</f>
        <v>16976.542000000001</v>
      </c>
      <c r="E23" s="298">
        <f t="shared" si="6"/>
        <v>16849.542000000001</v>
      </c>
      <c r="F23" s="298">
        <f t="shared" si="6"/>
        <v>0</v>
      </c>
      <c r="G23" s="298">
        <f t="shared" si="6"/>
        <v>127</v>
      </c>
      <c r="H23" s="298">
        <f t="shared" si="6"/>
        <v>0</v>
      </c>
      <c r="I23" s="298">
        <f t="shared" si="6"/>
        <v>10196.545000000002</v>
      </c>
      <c r="J23" s="298">
        <f t="shared" si="6"/>
        <v>0</v>
      </c>
      <c r="K23" s="298">
        <f t="shared" si="6"/>
        <v>7533.33</v>
      </c>
      <c r="L23" s="298">
        <f t="shared" si="6"/>
        <v>753.33300000000008</v>
      </c>
      <c r="M23" s="298">
        <f t="shared" si="6"/>
        <v>0</v>
      </c>
      <c r="N23" s="298">
        <f t="shared" si="6"/>
        <v>753.33300000000008</v>
      </c>
      <c r="O23" s="298">
        <f t="shared" si="6"/>
        <v>753.33300000000008</v>
      </c>
      <c r="P23" s="298">
        <f t="shared" si="6"/>
        <v>0</v>
      </c>
      <c r="Q23" s="298">
        <f t="shared" si="6"/>
        <v>0</v>
      </c>
      <c r="R23" s="298">
        <f t="shared" si="6"/>
        <v>16976.542000000001</v>
      </c>
      <c r="S23" s="298">
        <f t="shared" ref="S23:T23" si="7">S24+S31+S34</f>
        <v>0</v>
      </c>
      <c r="T23" s="298">
        <f t="shared" si="7"/>
        <v>16976.542000000001</v>
      </c>
    </row>
    <row r="24" spans="1:20" s="285" customFormat="1" ht="30" customHeight="1">
      <c r="A24" s="296" t="s">
        <v>451</v>
      </c>
      <c r="B24" s="297" t="s">
        <v>448</v>
      </c>
      <c r="C24" s="296"/>
      <c r="D24" s="298">
        <f>SUM(D25:D30)</f>
        <v>4389.5969999999998</v>
      </c>
      <c r="E24" s="298">
        <f t="shared" ref="E24:R24" si="8">SUM(E25:E30)</f>
        <v>4389.5969999999998</v>
      </c>
      <c r="F24" s="298">
        <f t="shared" si="8"/>
        <v>0</v>
      </c>
      <c r="G24" s="298">
        <f t="shared" si="8"/>
        <v>0</v>
      </c>
      <c r="H24" s="298">
        <f t="shared" si="8"/>
        <v>0</v>
      </c>
      <c r="I24" s="298">
        <f t="shared" si="8"/>
        <v>0</v>
      </c>
      <c r="J24" s="298">
        <f t="shared" si="8"/>
        <v>0</v>
      </c>
      <c r="K24" s="298">
        <f t="shared" si="8"/>
        <v>4877.33</v>
      </c>
      <c r="L24" s="298">
        <f t="shared" si="8"/>
        <v>487.733</v>
      </c>
      <c r="M24" s="298">
        <f t="shared" si="8"/>
        <v>0</v>
      </c>
      <c r="N24" s="298">
        <f t="shared" si="8"/>
        <v>487.733</v>
      </c>
      <c r="O24" s="298">
        <f t="shared" si="8"/>
        <v>487.733</v>
      </c>
      <c r="P24" s="298">
        <f t="shared" si="8"/>
        <v>0</v>
      </c>
      <c r="Q24" s="298">
        <f t="shared" si="8"/>
        <v>0</v>
      </c>
      <c r="R24" s="298">
        <f t="shared" si="8"/>
        <v>4389.5969999999998</v>
      </c>
      <c r="S24" s="298">
        <f t="shared" ref="S24:T24" si="9">SUM(S25:S30)</f>
        <v>0</v>
      </c>
      <c r="T24" s="298">
        <f t="shared" si="9"/>
        <v>4389.5969999999998</v>
      </c>
    </row>
    <row r="25" spans="1:20" s="311" customFormat="1" ht="27.75" customHeight="1">
      <c r="A25" s="304" t="s">
        <v>438</v>
      </c>
      <c r="B25" s="166" t="s">
        <v>452</v>
      </c>
      <c r="C25" s="305" t="s">
        <v>444</v>
      </c>
      <c r="D25" s="306">
        <f>E25+G25</f>
        <v>-487.733</v>
      </c>
      <c r="E25" s="306">
        <f>-L24</f>
        <v>-487.733</v>
      </c>
      <c r="F25" s="306"/>
      <c r="G25" s="306"/>
      <c r="H25" s="307"/>
      <c r="I25" s="308"/>
      <c r="J25" s="308"/>
      <c r="K25" s="308"/>
      <c r="L25" s="309">
        <f t="shared" ref="L25:L30" si="10">K25*10%</f>
        <v>0</v>
      </c>
      <c r="M25" s="309"/>
      <c r="N25" s="309">
        <f t="shared" ref="N25:N30" si="11">L25+M25</f>
        <v>0</v>
      </c>
      <c r="O25" s="309">
        <f>L25-P25</f>
        <v>0</v>
      </c>
      <c r="P25" s="309">
        <f>N25</f>
        <v>0</v>
      </c>
      <c r="Q25" s="309">
        <f>M25</f>
        <v>0</v>
      </c>
      <c r="R25" s="307"/>
      <c r="S25" s="310"/>
      <c r="T25" s="307"/>
    </row>
    <row r="26" spans="1:20" s="188" customFormat="1" ht="30" customHeight="1">
      <c r="A26" s="300">
        <v>1</v>
      </c>
      <c r="B26" s="301" t="s">
        <v>453</v>
      </c>
      <c r="C26" s="300" t="s">
        <v>444</v>
      </c>
      <c r="D26" s="302">
        <f>SUBTOTAL(9,E26:G26)</f>
        <v>1000</v>
      </c>
      <c r="E26" s="302">
        <v>1000</v>
      </c>
      <c r="F26" s="302"/>
      <c r="G26" s="302"/>
      <c r="H26" s="302"/>
      <c r="I26" s="302"/>
      <c r="J26" s="302"/>
      <c r="K26" s="302">
        <f>E26</f>
        <v>1000</v>
      </c>
      <c r="L26" s="302">
        <f t="shared" si="10"/>
        <v>100</v>
      </c>
      <c r="M26" s="302"/>
      <c r="N26" s="302">
        <f t="shared" si="11"/>
        <v>100</v>
      </c>
      <c r="O26" s="302">
        <f>L26-P26</f>
        <v>100</v>
      </c>
      <c r="P26" s="302"/>
      <c r="Q26" s="302">
        <f>M26</f>
        <v>0</v>
      </c>
      <c r="R26" s="302">
        <f>D26-N26</f>
        <v>900</v>
      </c>
      <c r="S26" s="303"/>
      <c r="T26" s="302">
        <f>R26</f>
        <v>900</v>
      </c>
    </row>
    <row r="27" spans="1:20" s="188" customFormat="1" ht="30" customHeight="1">
      <c r="A27" s="300">
        <v>2</v>
      </c>
      <c r="B27" s="301" t="s">
        <v>454</v>
      </c>
      <c r="C27" s="300" t="s">
        <v>444</v>
      </c>
      <c r="D27" s="302">
        <f>E27+F27+G27</f>
        <v>1300</v>
      </c>
      <c r="E27" s="302">
        <v>1300</v>
      </c>
      <c r="F27" s="302"/>
      <c r="G27" s="302"/>
      <c r="H27" s="302"/>
      <c r="I27" s="302"/>
      <c r="J27" s="302"/>
      <c r="K27" s="302">
        <f>E27</f>
        <v>1300</v>
      </c>
      <c r="L27" s="302">
        <f t="shared" si="10"/>
        <v>130</v>
      </c>
      <c r="M27" s="302"/>
      <c r="N27" s="302">
        <f t="shared" si="11"/>
        <v>130</v>
      </c>
      <c r="O27" s="302">
        <f>L27</f>
        <v>130</v>
      </c>
      <c r="P27" s="302"/>
      <c r="Q27" s="302"/>
      <c r="R27" s="302">
        <f>D27-N27</f>
        <v>1170</v>
      </c>
      <c r="S27" s="303"/>
      <c r="T27" s="302">
        <f t="shared" ref="T27:T30" si="12">R27</f>
        <v>1170</v>
      </c>
    </row>
    <row r="28" spans="1:20" s="188" customFormat="1" ht="30" customHeight="1">
      <c r="A28" s="300">
        <v>3</v>
      </c>
      <c r="B28" s="301" t="s">
        <v>455</v>
      </c>
      <c r="C28" s="300" t="s">
        <v>444</v>
      </c>
      <c r="D28" s="302">
        <f>E28+F28+G28</f>
        <v>577.33000000000004</v>
      </c>
      <c r="E28" s="302">
        <v>577.33000000000004</v>
      </c>
      <c r="F28" s="302"/>
      <c r="G28" s="302"/>
      <c r="H28" s="302"/>
      <c r="I28" s="302"/>
      <c r="J28" s="302"/>
      <c r="K28" s="302">
        <f>E28</f>
        <v>577.33000000000004</v>
      </c>
      <c r="L28" s="302">
        <f t="shared" si="10"/>
        <v>57.733000000000004</v>
      </c>
      <c r="M28" s="302"/>
      <c r="N28" s="302">
        <f t="shared" si="11"/>
        <v>57.733000000000004</v>
      </c>
      <c r="O28" s="302">
        <f>L28</f>
        <v>57.733000000000004</v>
      </c>
      <c r="P28" s="302"/>
      <c r="Q28" s="302"/>
      <c r="R28" s="302">
        <f>D28-N28</f>
        <v>519.59699999999998</v>
      </c>
      <c r="S28" s="303"/>
      <c r="T28" s="302">
        <f t="shared" si="12"/>
        <v>519.59699999999998</v>
      </c>
    </row>
    <row r="29" spans="1:20" s="188" customFormat="1" ht="30" customHeight="1">
      <c r="A29" s="300">
        <v>4</v>
      </c>
      <c r="B29" s="301" t="s">
        <v>456</v>
      </c>
      <c r="C29" s="300" t="s">
        <v>444</v>
      </c>
      <c r="D29" s="302">
        <f>E29+F29+G29</f>
        <v>1400</v>
      </c>
      <c r="E29" s="302">
        <v>1400</v>
      </c>
      <c r="F29" s="302"/>
      <c r="G29" s="302"/>
      <c r="H29" s="302"/>
      <c r="I29" s="302"/>
      <c r="J29" s="302"/>
      <c r="K29" s="302">
        <f>E29</f>
        <v>1400</v>
      </c>
      <c r="L29" s="302">
        <f t="shared" si="10"/>
        <v>140</v>
      </c>
      <c r="M29" s="302"/>
      <c r="N29" s="302">
        <f t="shared" si="11"/>
        <v>140</v>
      </c>
      <c r="O29" s="302">
        <f>L29</f>
        <v>140</v>
      </c>
      <c r="P29" s="302"/>
      <c r="Q29" s="302"/>
      <c r="R29" s="302">
        <f>D29-N29</f>
        <v>1260</v>
      </c>
      <c r="S29" s="303"/>
      <c r="T29" s="302">
        <f t="shared" si="12"/>
        <v>1260</v>
      </c>
    </row>
    <row r="30" spans="1:20" s="188" customFormat="1" ht="30" customHeight="1">
      <c r="A30" s="300">
        <v>5</v>
      </c>
      <c r="B30" s="301" t="s">
        <v>457</v>
      </c>
      <c r="C30" s="300" t="s">
        <v>444</v>
      </c>
      <c r="D30" s="302">
        <f>E30+F30+G30</f>
        <v>600</v>
      </c>
      <c r="E30" s="302">
        <v>600</v>
      </c>
      <c r="F30" s="302"/>
      <c r="G30" s="302"/>
      <c r="H30" s="302"/>
      <c r="I30" s="302"/>
      <c r="J30" s="302"/>
      <c r="K30" s="302">
        <f>E30</f>
        <v>600</v>
      </c>
      <c r="L30" s="302">
        <f t="shared" si="10"/>
        <v>60</v>
      </c>
      <c r="M30" s="302"/>
      <c r="N30" s="302">
        <f t="shared" si="11"/>
        <v>60</v>
      </c>
      <c r="O30" s="302">
        <f>L30</f>
        <v>60</v>
      </c>
      <c r="P30" s="302"/>
      <c r="Q30" s="302"/>
      <c r="R30" s="302">
        <f>D30-N30</f>
        <v>540</v>
      </c>
      <c r="S30" s="303"/>
      <c r="T30" s="302">
        <f t="shared" si="12"/>
        <v>540</v>
      </c>
    </row>
    <row r="31" spans="1:20" s="285" customFormat="1" ht="30" customHeight="1">
      <c r="A31" s="296" t="s">
        <v>458</v>
      </c>
      <c r="B31" s="297" t="s">
        <v>459</v>
      </c>
      <c r="C31" s="291" t="s">
        <v>444</v>
      </c>
      <c r="D31" s="299">
        <f>SUM(D32:D33)</f>
        <v>2390.4</v>
      </c>
      <c r="E31" s="299">
        <f t="shared" ref="E31:R31" si="13">SUM(E32:E33)</f>
        <v>2390.4</v>
      </c>
      <c r="F31" s="299">
        <f t="shared" si="13"/>
        <v>0</v>
      </c>
      <c r="G31" s="299">
        <f t="shared" si="13"/>
        <v>0</v>
      </c>
      <c r="H31" s="299">
        <f t="shared" si="13"/>
        <v>0</v>
      </c>
      <c r="I31" s="299">
        <f t="shared" si="13"/>
        <v>0</v>
      </c>
      <c r="J31" s="299">
        <f t="shared" si="13"/>
        <v>0</v>
      </c>
      <c r="K31" s="299">
        <f t="shared" si="13"/>
        <v>2656</v>
      </c>
      <c r="L31" s="299">
        <f t="shared" si="13"/>
        <v>265.60000000000002</v>
      </c>
      <c r="M31" s="299">
        <f t="shared" si="13"/>
        <v>0</v>
      </c>
      <c r="N31" s="299">
        <f t="shared" si="13"/>
        <v>265.60000000000002</v>
      </c>
      <c r="O31" s="299">
        <f t="shared" si="13"/>
        <v>265.60000000000002</v>
      </c>
      <c r="P31" s="299">
        <f t="shared" si="13"/>
        <v>0</v>
      </c>
      <c r="Q31" s="299">
        <f t="shared" si="13"/>
        <v>0</v>
      </c>
      <c r="R31" s="299">
        <f t="shared" si="13"/>
        <v>2390.4</v>
      </c>
      <c r="S31" s="312"/>
      <c r="T31" s="299">
        <f>R31</f>
        <v>2390.4</v>
      </c>
    </row>
    <row r="32" spans="1:20" s="311" customFormat="1" ht="27.75" customHeight="1">
      <c r="A32" s="304" t="s">
        <v>438</v>
      </c>
      <c r="B32" s="166" t="s">
        <v>452</v>
      </c>
      <c r="C32" s="305" t="s">
        <v>444</v>
      </c>
      <c r="D32" s="306">
        <f>E32+G32</f>
        <v>-265.60000000000002</v>
      </c>
      <c r="E32" s="306">
        <f>-L31</f>
        <v>-265.60000000000002</v>
      </c>
      <c r="F32" s="306"/>
      <c r="G32" s="306"/>
      <c r="H32" s="307"/>
      <c r="I32" s="308"/>
      <c r="J32" s="308"/>
      <c r="K32" s="308"/>
      <c r="L32" s="309">
        <f>K32*10%</f>
        <v>0</v>
      </c>
      <c r="M32" s="309"/>
      <c r="N32" s="309">
        <f>L32+M32</f>
        <v>0</v>
      </c>
      <c r="O32" s="309">
        <f>L32-P32</f>
        <v>0</v>
      </c>
      <c r="P32" s="309">
        <f>N32</f>
        <v>0</v>
      </c>
      <c r="Q32" s="309">
        <f>M32</f>
        <v>0</v>
      </c>
      <c r="R32" s="307"/>
      <c r="S32" s="310"/>
      <c r="T32" s="307"/>
    </row>
    <row r="33" spans="1:20" s="188" customFormat="1" ht="30" customHeight="1">
      <c r="A33" s="300">
        <v>1</v>
      </c>
      <c r="B33" s="313" t="s">
        <v>460</v>
      </c>
      <c r="C33" s="300" t="s">
        <v>444</v>
      </c>
      <c r="D33" s="302">
        <f>SUBTOTAL(9,E33:G33)</f>
        <v>2656</v>
      </c>
      <c r="E33" s="302">
        <v>2656</v>
      </c>
      <c r="F33" s="302"/>
      <c r="G33" s="302"/>
      <c r="H33" s="302"/>
      <c r="I33" s="302"/>
      <c r="J33" s="302"/>
      <c r="K33" s="302">
        <f>D33</f>
        <v>2656</v>
      </c>
      <c r="L33" s="302">
        <f>K33*10%</f>
        <v>265.60000000000002</v>
      </c>
      <c r="M33" s="302"/>
      <c r="N33" s="302">
        <f>L33+M33</f>
        <v>265.60000000000002</v>
      </c>
      <c r="O33" s="302">
        <f>L33</f>
        <v>265.60000000000002</v>
      </c>
      <c r="P33" s="302"/>
      <c r="Q33" s="302"/>
      <c r="R33" s="302">
        <f>D33-N33</f>
        <v>2390.4</v>
      </c>
      <c r="S33" s="303"/>
      <c r="T33" s="302">
        <f>R33</f>
        <v>2390.4</v>
      </c>
    </row>
    <row r="34" spans="1:20" s="285" customFormat="1" ht="30" customHeight="1">
      <c r="A34" s="296" t="s">
        <v>461</v>
      </c>
      <c r="B34" s="297" t="s">
        <v>443</v>
      </c>
      <c r="C34" s="291" t="s">
        <v>444</v>
      </c>
      <c r="D34" s="299">
        <f t="shared" ref="D34:R34" si="14">SUM(D35)</f>
        <v>10196.545000000002</v>
      </c>
      <c r="E34" s="299">
        <f t="shared" si="14"/>
        <v>10069.545000000002</v>
      </c>
      <c r="F34" s="299">
        <f t="shared" si="14"/>
        <v>0</v>
      </c>
      <c r="G34" s="299">
        <f t="shared" si="14"/>
        <v>127</v>
      </c>
      <c r="H34" s="299">
        <f t="shared" si="14"/>
        <v>0</v>
      </c>
      <c r="I34" s="299">
        <f t="shared" si="14"/>
        <v>10196.545000000002</v>
      </c>
      <c r="J34" s="299">
        <f t="shared" si="14"/>
        <v>0</v>
      </c>
      <c r="K34" s="299">
        <f t="shared" si="14"/>
        <v>0</v>
      </c>
      <c r="L34" s="299">
        <f t="shared" si="14"/>
        <v>0</v>
      </c>
      <c r="M34" s="299">
        <f t="shared" si="14"/>
        <v>0</v>
      </c>
      <c r="N34" s="299">
        <f t="shared" si="14"/>
        <v>0</v>
      </c>
      <c r="O34" s="299">
        <f t="shared" si="14"/>
        <v>0</v>
      </c>
      <c r="P34" s="299">
        <f t="shared" si="14"/>
        <v>0</v>
      </c>
      <c r="Q34" s="299">
        <f t="shared" si="14"/>
        <v>0</v>
      </c>
      <c r="R34" s="299">
        <f t="shared" si="14"/>
        <v>10196.545000000002</v>
      </c>
      <c r="S34" s="312"/>
      <c r="T34" s="299">
        <f>R34</f>
        <v>10196.545000000002</v>
      </c>
    </row>
    <row r="35" spans="1:20" s="188" customFormat="1" ht="30" customHeight="1">
      <c r="A35" s="300">
        <v>1</v>
      </c>
      <c r="B35" s="301" t="s">
        <v>462</v>
      </c>
      <c r="C35" s="300" t="s">
        <v>444</v>
      </c>
      <c r="D35" s="302">
        <f>SUBTOTAL(9,E35:G35)</f>
        <v>10196.545000000002</v>
      </c>
      <c r="E35" s="302">
        <v>10069.545000000002</v>
      </c>
      <c r="F35" s="302"/>
      <c r="G35" s="302">
        <v>127</v>
      </c>
      <c r="H35" s="302"/>
      <c r="I35" s="302">
        <f>D35</f>
        <v>10196.545000000002</v>
      </c>
      <c r="J35" s="302"/>
      <c r="K35" s="302"/>
      <c r="L35" s="302">
        <f>K35*10%</f>
        <v>0</v>
      </c>
      <c r="M35" s="302"/>
      <c r="N35" s="302">
        <f>L35+M35</f>
        <v>0</v>
      </c>
      <c r="O35" s="302">
        <f>L35</f>
        <v>0</v>
      </c>
      <c r="P35" s="302"/>
      <c r="Q35" s="302"/>
      <c r="R35" s="302">
        <f>D35-N35</f>
        <v>10196.545000000002</v>
      </c>
      <c r="S35" s="303"/>
      <c r="T35" s="302">
        <f>R35</f>
        <v>10196.545000000002</v>
      </c>
    </row>
    <row r="36" spans="1:20" s="285" customFormat="1" ht="30" customHeight="1">
      <c r="A36" s="296" t="s">
        <v>463</v>
      </c>
      <c r="B36" s="297" t="s">
        <v>464</v>
      </c>
      <c r="C36" s="296"/>
      <c r="D36" s="298">
        <f t="shared" ref="D36:Q36" si="15">D37+D42+D45</f>
        <v>2894.8799999999965</v>
      </c>
      <c r="E36" s="298">
        <f>E37+E42+E45</f>
        <v>2460.8299999999972</v>
      </c>
      <c r="F36" s="298">
        <f t="shared" si="15"/>
        <v>0</v>
      </c>
      <c r="G36" s="298">
        <f t="shared" si="15"/>
        <v>434.04999999999916</v>
      </c>
      <c r="H36" s="298">
        <f t="shared" si="15"/>
        <v>0</v>
      </c>
      <c r="I36" s="298">
        <f>D36</f>
        <v>2894.8799999999965</v>
      </c>
      <c r="J36" s="298">
        <f t="shared" si="15"/>
        <v>0</v>
      </c>
      <c r="K36" s="298">
        <f t="shared" si="15"/>
        <v>0</v>
      </c>
      <c r="L36" s="298">
        <f t="shared" si="15"/>
        <v>0</v>
      </c>
      <c r="M36" s="298">
        <f t="shared" si="15"/>
        <v>0</v>
      </c>
      <c r="N36" s="298">
        <f t="shared" si="15"/>
        <v>0</v>
      </c>
      <c r="O36" s="298">
        <f t="shared" si="15"/>
        <v>0</v>
      </c>
      <c r="P36" s="298">
        <f t="shared" si="15"/>
        <v>0</v>
      </c>
      <c r="Q36" s="298">
        <f t="shared" si="15"/>
        <v>0</v>
      </c>
      <c r="R36" s="298">
        <f>R37+R42+R45</f>
        <v>2894.8799999999965</v>
      </c>
      <c r="S36" s="298">
        <f t="shared" ref="S36:T36" si="16">S37+S42+S45</f>
        <v>0</v>
      </c>
      <c r="T36" s="298">
        <f t="shared" si="16"/>
        <v>2894.8799999999965</v>
      </c>
    </row>
    <row r="37" spans="1:20" s="285" customFormat="1" ht="30" customHeight="1">
      <c r="A37" s="296" t="s">
        <v>465</v>
      </c>
      <c r="B37" s="297" t="s">
        <v>448</v>
      </c>
      <c r="C37" s="296"/>
      <c r="D37" s="298">
        <f t="shared" ref="D37:R37" si="17">SUM(D38:D41)</f>
        <v>0</v>
      </c>
      <c r="E37" s="298">
        <f t="shared" si="17"/>
        <v>0</v>
      </c>
      <c r="F37" s="298">
        <f t="shared" si="17"/>
        <v>0</v>
      </c>
      <c r="G37" s="298">
        <f t="shared" si="17"/>
        <v>0</v>
      </c>
      <c r="H37" s="298">
        <f t="shared" si="17"/>
        <v>0</v>
      </c>
      <c r="I37" s="298">
        <f t="shared" si="17"/>
        <v>0</v>
      </c>
      <c r="J37" s="298">
        <f t="shared" si="17"/>
        <v>0</v>
      </c>
      <c r="K37" s="298">
        <f t="shared" si="17"/>
        <v>0</v>
      </c>
      <c r="L37" s="298">
        <f t="shared" si="17"/>
        <v>0</v>
      </c>
      <c r="M37" s="298">
        <f t="shared" si="17"/>
        <v>0</v>
      </c>
      <c r="N37" s="298">
        <f t="shared" si="17"/>
        <v>0</v>
      </c>
      <c r="O37" s="298">
        <f t="shared" si="17"/>
        <v>0</v>
      </c>
      <c r="P37" s="298">
        <f t="shared" si="17"/>
        <v>0</v>
      </c>
      <c r="Q37" s="298">
        <f t="shared" si="17"/>
        <v>0</v>
      </c>
      <c r="R37" s="298">
        <f t="shared" si="17"/>
        <v>0</v>
      </c>
      <c r="S37" s="298">
        <f t="shared" ref="S37:T37" si="18">SUM(S38:S41)</f>
        <v>55.459999999999837</v>
      </c>
      <c r="T37" s="298">
        <f t="shared" si="18"/>
        <v>55.459999999999837</v>
      </c>
    </row>
    <row r="38" spans="1:20" s="264" customFormat="1" ht="30" customHeight="1">
      <c r="A38" s="314">
        <v>1</v>
      </c>
      <c r="B38" s="161" t="s">
        <v>466</v>
      </c>
      <c r="C38" s="300" t="s">
        <v>444</v>
      </c>
      <c r="D38" s="302">
        <f>SUBTOTAL(9,E38:G38)</f>
        <v>0</v>
      </c>
      <c r="E38" s="315"/>
      <c r="F38" s="315"/>
      <c r="G38" s="315"/>
      <c r="H38" s="315"/>
      <c r="I38" s="315"/>
      <c r="J38" s="315"/>
      <c r="K38" s="315">
        <f>E38</f>
        <v>0</v>
      </c>
      <c r="L38" s="302"/>
      <c r="M38" s="302"/>
      <c r="N38" s="302">
        <f>L38+M38</f>
        <v>0</v>
      </c>
      <c r="O38" s="302">
        <f t="shared" ref="O38:P41" si="19">L38</f>
        <v>0</v>
      </c>
      <c r="P38" s="302">
        <f t="shared" si="19"/>
        <v>0</v>
      </c>
      <c r="Q38" s="302"/>
      <c r="R38" s="302">
        <f>D38-N38</f>
        <v>0</v>
      </c>
      <c r="S38" s="305"/>
      <c r="T38" s="302"/>
    </row>
    <row r="39" spans="1:20" s="188" customFormat="1" ht="30" customHeight="1">
      <c r="A39" s="300">
        <v>2</v>
      </c>
      <c r="B39" s="307" t="s">
        <v>467</v>
      </c>
      <c r="C39" s="300" t="s">
        <v>444</v>
      </c>
      <c r="D39" s="302">
        <f>SUBTOTAL(9,E39:G39)</f>
        <v>0</v>
      </c>
      <c r="E39" s="302"/>
      <c r="F39" s="302"/>
      <c r="G39" s="302"/>
      <c r="H39" s="302"/>
      <c r="I39" s="302"/>
      <c r="J39" s="302"/>
      <c r="K39" s="315">
        <f>E39</f>
        <v>0</v>
      </c>
      <c r="L39" s="302">
        <f>K39*10%</f>
        <v>0</v>
      </c>
      <c r="M39" s="302"/>
      <c r="N39" s="302">
        <f>L39+M39</f>
        <v>0</v>
      </c>
      <c r="O39" s="302">
        <f t="shared" si="19"/>
        <v>0</v>
      </c>
      <c r="P39" s="302">
        <f t="shared" si="19"/>
        <v>0</v>
      </c>
      <c r="Q39" s="302"/>
      <c r="R39" s="302">
        <f>D39-N39</f>
        <v>0</v>
      </c>
      <c r="S39" s="303"/>
      <c r="T39" s="302"/>
    </row>
    <row r="40" spans="1:20" s="188" customFormat="1">
      <c r="A40" s="314">
        <v>3</v>
      </c>
      <c r="B40" s="307" t="s">
        <v>468</v>
      </c>
      <c r="C40" s="300" t="s">
        <v>444</v>
      </c>
      <c r="D40" s="302">
        <f>SUBTOTAL(9,E40:G40)</f>
        <v>0</v>
      </c>
      <c r="E40" s="302"/>
      <c r="F40" s="302"/>
      <c r="G40" s="302"/>
      <c r="H40" s="302">
        <f>E40</f>
        <v>0</v>
      </c>
      <c r="I40" s="302"/>
      <c r="J40" s="302"/>
      <c r="K40" s="315"/>
      <c r="L40" s="302">
        <f>K40*10%</f>
        <v>0</v>
      </c>
      <c r="M40" s="302"/>
      <c r="N40" s="302">
        <f>L40+M40</f>
        <v>0</v>
      </c>
      <c r="O40" s="302">
        <f t="shared" si="19"/>
        <v>0</v>
      </c>
      <c r="P40" s="302">
        <f t="shared" si="19"/>
        <v>0</v>
      </c>
      <c r="Q40" s="302"/>
      <c r="R40" s="302">
        <f>D40-N40</f>
        <v>0</v>
      </c>
      <c r="S40" s="303"/>
      <c r="T40" s="302"/>
    </row>
    <row r="41" spans="1:20" s="339" customFormat="1">
      <c r="A41" s="300">
        <v>4</v>
      </c>
      <c r="B41" s="307" t="s">
        <v>469</v>
      </c>
      <c r="C41" s="300" t="s">
        <v>444</v>
      </c>
      <c r="D41" s="302">
        <f>SUBTOTAL(9,E41:G41)</f>
        <v>0</v>
      </c>
      <c r="E41" s="302"/>
      <c r="F41" s="302"/>
      <c r="G41" s="302"/>
      <c r="H41" s="302"/>
      <c r="I41" s="302"/>
      <c r="J41" s="302"/>
      <c r="K41" s="315">
        <f>E41-H41</f>
        <v>0</v>
      </c>
      <c r="L41" s="302">
        <f>K41*10%</f>
        <v>0</v>
      </c>
      <c r="M41" s="302"/>
      <c r="N41" s="302">
        <f>L41+M41</f>
        <v>0</v>
      </c>
      <c r="O41" s="302">
        <f t="shared" si="19"/>
        <v>0</v>
      </c>
      <c r="P41" s="302">
        <f t="shared" si="19"/>
        <v>0</v>
      </c>
      <c r="Q41" s="302"/>
      <c r="R41" s="302">
        <f>D41-N41</f>
        <v>0</v>
      </c>
      <c r="S41" s="302">
        <f>-S49</f>
        <v>55.459999999999837</v>
      </c>
      <c r="T41" s="302">
        <f>R41+S41</f>
        <v>55.459999999999837</v>
      </c>
    </row>
    <row r="42" spans="1:20" s="285" customFormat="1" ht="30" customHeight="1">
      <c r="A42" s="296" t="s">
        <v>470</v>
      </c>
      <c r="B42" s="297" t="s">
        <v>459</v>
      </c>
      <c r="C42" s="291" t="s">
        <v>444</v>
      </c>
      <c r="D42" s="299">
        <f t="shared" ref="D42:T42" si="20">SUM(D43)</f>
        <v>2367</v>
      </c>
      <c r="E42" s="299">
        <f>SUM(E43)</f>
        <v>2367</v>
      </c>
      <c r="F42" s="299">
        <f t="shared" si="20"/>
        <v>0</v>
      </c>
      <c r="G42" s="299">
        <f t="shared" si="20"/>
        <v>0</v>
      </c>
      <c r="H42" s="299">
        <f t="shared" si="20"/>
        <v>0</v>
      </c>
      <c r="I42" s="299">
        <f t="shared" si="20"/>
        <v>2367</v>
      </c>
      <c r="J42" s="299">
        <f t="shared" si="20"/>
        <v>0</v>
      </c>
      <c r="K42" s="299">
        <f t="shared" si="20"/>
        <v>0</v>
      </c>
      <c r="L42" s="299">
        <f t="shared" si="20"/>
        <v>0</v>
      </c>
      <c r="M42" s="299">
        <f t="shared" si="20"/>
        <v>0</v>
      </c>
      <c r="N42" s="299">
        <f t="shared" si="20"/>
        <v>0</v>
      </c>
      <c r="O42" s="299">
        <f t="shared" si="20"/>
        <v>0</v>
      </c>
      <c r="P42" s="299">
        <f t="shared" si="20"/>
        <v>0</v>
      </c>
      <c r="Q42" s="299">
        <f t="shared" si="20"/>
        <v>0</v>
      </c>
      <c r="R42" s="299">
        <f t="shared" si="20"/>
        <v>2367</v>
      </c>
      <c r="S42" s="299">
        <f t="shared" si="20"/>
        <v>0</v>
      </c>
      <c r="T42" s="299">
        <f t="shared" si="20"/>
        <v>2367</v>
      </c>
    </row>
    <row r="43" spans="1:20" s="188" customFormat="1" ht="28.5" customHeight="1">
      <c r="A43" s="300"/>
      <c r="B43" s="316" t="s">
        <v>471</v>
      </c>
      <c r="C43" s="300" t="s">
        <v>444</v>
      </c>
      <c r="D43" s="302">
        <f>SUBTOTAL(9,E43:G43)</f>
        <v>2367</v>
      </c>
      <c r="E43" s="302">
        <v>2367</v>
      </c>
      <c r="F43" s="302"/>
      <c r="G43" s="302"/>
      <c r="H43" s="302">
        <v>0</v>
      </c>
      <c r="I43" s="302">
        <v>2367</v>
      </c>
      <c r="J43" s="302"/>
      <c r="K43" s="315"/>
      <c r="L43" s="302">
        <f>K43*10%</f>
        <v>0</v>
      </c>
      <c r="M43" s="302"/>
      <c r="N43" s="302">
        <f>L43+M43</f>
        <v>0</v>
      </c>
      <c r="O43" s="302">
        <f>L43</f>
        <v>0</v>
      </c>
      <c r="P43" s="302">
        <f>M43</f>
        <v>0</v>
      </c>
      <c r="Q43" s="302"/>
      <c r="R43" s="302">
        <f>D43-N43</f>
        <v>2367</v>
      </c>
      <c r="S43" s="303"/>
      <c r="T43" s="302">
        <f>R43</f>
        <v>2367</v>
      </c>
    </row>
    <row r="44" spans="1:20" s="317" customFormat="1">
      <c r="A44" s="300"/>
      <c r="B44" s="316"/>
      <c r="C44" s="300"/>
      <c r="D44" s="302">
        <v>-68.5</v>
      </c>
      <c r="E44" s="302">
        <v>-68.5</v>
      </c>
      <c r="F44" s="302"/>
      <c r="G44" s="302"/>
      <c r="H44" s="302">
        <v>-68.5</v>
      </c>
      <c r="I44" s="302"/>
      <c r="J44" s="302"/>
      <c r="K44" s="315"/>
      <c r="L44" s="302">
        <v>68.5</v>
      </c>
      <c r="M44" s="302"/>
      <c r="N44" s="302">
        <v>68.5</v>
      </c>
      <c r="O44" s="302">
        <v>68.5</v>
      </c>
      <c r="P44" s="302"/>
      <c r="Q44" s="302"/>
      <c r="R44" s="302">
        <v>-68.5</v>
      </c>
      <c r="S44" s="303"/>
      <c r="T44" s="302"/>
    </row>
    <row r="45" spans="1:20" s="188" customFormat="1" ht="31.5">
      <c r="A45" s="296" t="s">
        <v>472</v>
      </c>
      <c r="B45" s="318" t="s">
        <v>473</v>
      </c>
      <c r="C45" s="300"/>
      <c r="D45" s="299">
        <f>SUM(D46:D49)</f>
        <v>527.87999999999647</v>
      </c>
      <c r="E45" s="299">
        <f t="shared" ref="E45:T45" si="21">SUM(E46:E49)</f>
        <v>93.829999999997341</v>
      </c>
      <c r="F45" s="299">
        <f t="shared" si="21"/>
        <v>0</v>
      </c>
      <c r="G45" s="299">
        <f t="shared" si="21"/>
        <v>434.04999999999916</v>
      </c>
      <c r="H45" s="299">
        <f t="shared" si="21"/>
        <v>0</v>
      </c>
      <c r="I45" s="299">
        <f t="shared" si="21"/>
        <v>527.87999999999647</v>
      </c>
      <c r="J45" s="299">
        <f t="shared" si="21"/>
        <v>0</v>
      </c>
      <c r="K45" s="299">
        <f t="shared" si="21"/>
        <v>0</v>
      </c>
      <c r="L45" s="299">
        <f t="shared" si="21"/>
        <v>0</v>
      </c>
      <c r="M45" s="299">
        <f t="shared" si="21"/>
        <v>0</v>
      </c>
      <c r="N45" s="299">
        <f t="shared" si="21"/>
        <v>0</v>
      </c>
      <c r="O45" s="299">
        <f t="shared" si="21"/>
        <v>0</v>
      </c>
      <c r="P45" s="299">
        <f t="shared" si="21"/>
        <v>0</v>
      </c>
      <c r="Q45" s="299">
        <f t="shared" si="21"/>
        <v>0</v>
      </c>
      <c r="R45" s="299">
        <f t="shared" si="21"/>
        <v>527.87999999999647</v>
      </c>
      <c r="S45" s="299">
        <f t="shared" si="21"/>
        <v>-55.459999999999837</v>
      </c>
      <c r="T45" s="299">
        <f t="shared" si="21"/>
        <v>472.41999999999666</v>
      </c>
    </row>
    <row r="46" spans="1:20" s="188" customFormat="1" ht="27.75" customHeight="1">
      <c r="A46" s="319" t="s">
        <v>438</v>
      </c>
      <c r="B46" s="307" t="s">
        <v>474</v>
      </c>
      <c r="C46" s="300" t="s">
        <v>444</v>
      </c>
      <c r="D46" s="302">
        <f>SUBTOTAL(9,E46:G46)</f>
        <v>43.279999999998836</v>
      </c>
      <c r="E46" s="302">
        <f>3918-E75</f>
        <v>43.279999999998836</v>
      </c>
      <c r="F46" s="302"/>
      <c r="G46" s="302"/>
      <c r="H46" s="302">
        <v>0</v>
      </c>
      <c r="I46" s="302">
        <f>E46</f>
        <v>43.279999999998836</v>
      </c>
      <c r="J46" s="302"/>
      <c r="K46" s="315"/>
      <c r="L46" s="302">
        <f>K46*10%</f>
        <v>0</v>
      </c>
      <c r="M46" s="302"/>
      <c r="N46" s="302">
        <f>L46+M46</f>
        <v>0</v>
      </c>
      <c r="O46" s="302">
        <f t="shared" ref="O46:P49" si="22">L46</f>
        <v>0</v>
      </c>
      <c r="P46" s="302">
        <f t="shared" si="22"/>
        <v>0</v>
      </c>
      <c r="Q46" s="302"/>
      <c r="R46" s="302">
        <f>D46-N46</f>
        <v>43.279999999998836</v>
      </c>
      <c r="S46" s="303"/>
      <c r="T46" s="302">
        <f>R46</f>
        <v>43.279999999998836</v>
      </c>
    </row>
    <row r="47" spans="1:20" s="188" customFormat="1" ht="27.75" customHeight="1">
      <c r="A47" s="319" t="s">
        <v>438</v>
      </c>
      <c r="B47" s="307" t="s">
        <v>475</v>
      </c>
      <c r="C47" s="300" t="s">
        <v>444</v>
      </c>
      <c r="D47" s="302">
        <f>SUBTOTAL(9,E47:G47)</f>
        <v>0</v>
      </c>
      <c r="E47" s="302"/>
      <c r="F47" s="302"/>
      <c r="G47" s="302"/>
      <c r="H47" s="302">
        <v>0</v>
      </c>
      <c r="I47" s="302">
        <f>E47</f>
        <v>0</v>
      </c>
      <c r="J47" s="302"/>
      <c r="K47" s="315"/>
      <c r="L47" s="302">
        <f>K47*10%</f>
        <v>0</v>
      </c>
      <c r="M47" s="302"/>
      <c r="N47" s="302">
        <f>L47+M47</f>
        <v>0</v>
      </c>
      <c r="O47" s="302">
        <f t="shared" si="22"/>
        <v>0</v>
      </c>
      <c r="P47" s="302">
        <f t="shared" si="22"/>
        <v>0</v>
      </c>
      <c r="Q47" s="302"/>
      <c r="R47" s="302">
        <f>D47-N47</f>
        <v>0</v>
      </c>
      <c r="S47" s="303"/>
      <c r="T47" s="302">
        <f t="shared" ref="T47:T48" si="23">R47</f>
        <v>0</v>
      </c>
    </row>
    <row r="48" spans="1:20" s="188" customFormat="1" ht="36" customHeight="1">
      <c r="A48" s="319" t="s">
        <v>438</v>
      </c>
      <c r="B48" s="161" t="s">
        <v>476</v>
      </c>
      <c r="C48" s="300" t="s">
        <v>444</v>
      </c>
      <c r="D48" s="302">
        <f>SUBTOTAL(9,E48:G48)</f>
        <v>50.549999999998512</v>
      </c>
      <c r="E48" s="302">
        <f>6238-E77-130.63-8.96</f>
        <v>50.549999999998512</v>
      </c>
      <c r="F48" s="302"/>
      <c r="G48" s="302"/>
      <c r="H48" s="302">
        <v>0</v>
      </c>
      <c r="I48" s="302">
        <f>E48</f>
        <v>50.549999999998512</v>
      </c>
      <c r="J48" s="302"/>
      <c r="K48" s="315"/>
      <c r="L48" s="302">
        <f>K48*10%</f>
        <v>0</v>
      </c>
      <c r="M48" s="302"/>
      <c r="N48" s="302">
        <f>L48+M48</f>
        <v>0</v>
      </c>
      <c r="O48" s="302">
        <f t="shared" si="22"/>
        <v>0</v>
      </c>
      <c r="P48" s="302">
        <f t="shared" si="22"/>
        <v>0</v>
      </c>
      <c r="Q48" s="302"/>
      <c r="R48" s="302">
        <f>D48-N48</f>
        <v>50.549999999998512</v>
      </c>
      <c r="S48" s="303"/>
      <c r="T48" s="302">
        <f t="shared" si="23"/>
        <v>50.549999999998512</v>
      </c>
    </row>
    <row r="49" spans="1:24" s="340" customFormat="1" ht="27.75" customHeight="1">
      <c r="A49" s="319" t="s">
        <v>438</v>
      </c>
      <c r="B49" s="307" t="s">
        <v>477</v>
      </c>
      <c r="C49" s="300" t="s">
        <v>478</v>
      </c>
      <c r="D49" s="302">
        <f>SUBTOTAL(9,E49:G49)</f>
        <v>434.04999999999916</v>
      </c>
      <c r="E49" s="302"/>
      <c r="F49" s="302"/>
      <c r="G49" s="302">
        <v>434.04999999999916</v>
      </c>
      <c r="H49" s="302">
        <v>0</v>
      </c>
      <c r="I49" s="302">
        <f>D49</f>
        <v>434.04999999999916</v>
      </c>
      <c r="J49" s="302"/>
      <c r="K49" s="315"/>
      <c r="L49" s="302">
        <f>K49*10%</f>
        <v>0</v>
      </c>
      <c r="M49" s="302"/>
      <c r="N49" s="302">
        <f>L49+M49</f>
        <v>0</v>
      </c>
      <c r="O49" s="302">
        <f t="shared" si="22"/>
        <v>0</v>
      </c>
      <c r="P49" s="302">
        <f t="shared" si="22"/>
        <v>0</v>
      </c>
      <c r="Q49" s="302"/>
      <c r="R49" s="302">
        <f>D49-N49</f>
        <v>434.04999999999916</v>
      </c>
      <c r="S49" s="302">
        <f>-S64-S72</f>
        <v>-55.459999999999837</v>
      </c>
      <c r="T49" s="302">
        <f>R49+S49</f>
        <v>378.58999999999935</v>
      </c>
    </row>
    <row r="50" spans="1:24" ht="27.75" customHeight="1">
      <c r="A50" s="320" t="s">
        <v>479</v>
      </c>
      <c r="B50" s="321" t="s">
        <v>480</v>
      </c>
      <c r="C50" s="320" t="s">
        <v>444</v>
      </c>
      <c r="D50" s="322">
        <f t="shared" ref="D50:T50" si="24">D51+D57</f>
        <v>3241.1260267076327</v>
      </c>
      <c r="E50" s="322">
        <f t="shared" si="24"/>
        <v>3241.1260267076327</v>
      </c>
      <c r="F50" s="322">
        <f t="shared" si="24"/>
        <v>0</v>
      </c>
      <c r="G50" s="322">
        <f t="shared" si="24"/>
        <v>0</v>
      </c>
      <c r="H50" s="322">
        <f t="shared" si="24"/>
        <v>2783.5531361613735</v>
      </c>
      <c r="I50" s="322">
        <f t="shared" si="24"/>
        <v>118.53</v>
      </c>
      <c r="J50" s="322">
        <f t="shared" si="24"/>
        <v>0</v>
      </c>
      <c r="K50" s="322">
        <f t="shared" si="24"/>
        <v>339.04289054625895</v>
      </c>
      <c r="L50" s="322">
        <f t="shared" si="24"/>
        <v>33.904289054625899</v>
      </c>
      <c r="M50" s="322">
        <f t="shared" si="24"/>
        <v>0</v>
      </c>
      <c r="N50" s="322">
        <f t="shared" si="24"/>
        <v>33.904289054625899</v>
      </c>
      <c r="O50" s="322">
        <f t="shared" si="24"/>
        <v>87.47228905462589</v>
      </c>
      <c r="P50" s="322">
        <f t="shared" si="24"/>
        <v>0</v>
      </c>
      <c r="Q50" s="322">
        <f t="shared" si="24"/>
        <v>0</v>
      </c>
      <c r="R50" s="322">
        <f t="shared" si="24"/>
        <v>3241.1260267076323</v>
      </c>
      <c r="S50" s="322">
        <f t="shared" si="24"/>
        <v>0</v>
      </c>
      <c r="T50" s="322">
        <f t="shared" si="24"/>
        <v>3241.1260267076323</v>
      </c>
    </row>
    <row r="51" spans="1:24" ht="27.75" customHeight="1">
      <c r="A51" s="303" t="s">
        <v>481</v>
      </c>
      <c r="B51" s="323" t="s">
        <v>482</v>
      </c>
      <c r="C51" s="320" t="s">
        <v>444</v>
      </c>
      <c r="D51" s="307">
        <f t="shared" ref="D51:R51" si="25">D52+D53+D54+D55+D56</f>
        <v>3122.5960267076325</v>
      </c>
      <c r="E51" s="307">
        <f t="shared" si="25"/>
        <v>3122.5960267076325</v>
      </c>
      <c r="F51" s="307">
        <f t="shared" si="25"/>
        <v>0</v>
      </c>
      <c r="G51" s="307">
        <f t="shared" si="25"/>
        <v>0</v>
      </c>
      <c r="H51" s="307">
        <f t="shared" si="25"/>
        <v>2783.5531361613735</v>
      </c>
      <c r="I51" s="307">
        <f t="shared" si="25"/>
        <v>0</v>
      </c>
      <c r="J51" s="307">
        <f t="shared" si="25"/>
        <v>0</v>
      </c>
      <c r="K51" s="307">
        <f t="shared" si="25"/>
        <v>339.04289054625895</v>
      </c>
      <c r="L51" s="307">
        <f t="shared" si="25"/>
        <v>33.904289054625899</v>
      </c>
      <c r="M51" s="307">
        <f t="shared" si="25"/>
        <v>0</v>
      </c>
      <c r="N51" s="307">
        <f t="shared" si="25"/>
        <v>33.904289054625899</v>
      </c>
      <c r="O51" s="307">
        <f t="shared" si="25"/>
        <v>87.47228905462589</v>
      </c>
      <c r="P51" s="307">
        <f t="shared" si="25"/>
        <v>0</v>
      </c>
      <c r="Q51" s="307">
        <f t="shared" si="25"/>
        <v>0</v>
      </c>
      <c r="R51" s="307">
        <f t="shared" si="25"/>
        <v>3122.5960267076321</v>
      </c>
      <c r="S51" s="324"/>
      <c r="T51" s="307">
        <f>R51</f>
        <v>3122.5960267076321</v>
      </c>
    </row>
    <row r="52" spans="1:24" ht="27.75" customHeight="1">
      <c r="A52" s="325" t="s">
        <v>438</v>
      </c>
      <c r="B52" s="164" t="s">
        <v>277</v>
      </c>
      <c r="C52" s="320" t="s">
        <v>444</v>
      </c>
      <c r="D52" s="306">
        <f>SUM(E52:G52)</f>
        <v>2376.5710464287995</v>
      </c>
      <c r="E52" s="306">
        <f>'[2] TL giao BC  (TTGDNN)'!T9</f>
        <v>2376.5710464287995</v>
      </c>
      <c r="F52" s="306"/>
      <c r="G52" s="306"/>
      <c r="H52" s="307">
        <f>D52</f>
        <v>2376.5710464287995</v>
      </c>
      <c r="I52" s="309"/>
      <c r="J52" s="309"/>
      <c r="K52" s="309"/>
      <c r="L52" s="309">
        <f>K52*10%</f>
        <v>0</v>
      </c>
      <c r="M52" s="309"/>
      <c r="N52" s="309">
        <f>L52+M52</f>
        <v>0</v>
      </c>
      <c r="O52" s="309">
        <f>L52-P52</f>
        <v>0</v>
      </c>
      <c r="P52" s="309">
        <f>N52</f>
        <v>0</v>
      </c>
      <c r="Q52" s="309">
        <f>M52</f>
        <v>0</v>
      </c>
      <c r="R52" s="307">
        <f>D52-N52</f>
        <v>2376.5710464287995</v>
      </c>
      <c r="S52" s="324"/>
      <c r="T52" s="307">
        <f t="shared" ref="T52:T54" si="26">R52</f>
        <v>2376.5710464287995</v>
      </c>
    </row>
    <row r="53" spans="1:24" ht="27.75" customHeight="1">
      <c r="A53" s="304" t="s">
        <v>438</v>
      </c>
      <c r="B53" s="166" t="s">
        <v>278</v>
      </c>
      <c r="C53" s="320" t="s">
        <v>444</v>
      </c>
      <c r="D53" s="306">
        <f>SUM(E53:G53)</f>
        <v>494.45437878719986</v>
      </c>
      <c r="E53" s="306">
        <f>'[2] TL giao BC  (TTGDNN)'!U9</f>
        <v>494.45437878719986</v>
      </c>
      <c r="F53" s="306"/>
      <c r="G53" s="306"/>
      <c r="H53" s="307">
        <f>D53</f>
        <v>494.45437878719986</v>
      </c>
      <c r="I53" s="309"/>
      <c r="J53" s="309"/>
      <c r="K53" s="309"/>
      <c r="L53" s="309">
        <f>K53*10%</f>
        <v>0</v>
      </c>
      <c r="M53" s="309"/>
      <c r="N53" s="309">
        <f>L53+M53</f>
        <v>0</v>
      </c>
      <c r="O53" s="309">
        <f>L53-P53</f>
        <v>0</v>
      </c>
      <c r="P53" s="309">
        <f>N53</f>
        <v>0</v>
      </c>
      <c r="Q53" s="309">
        <f>M53</f>
        <v>0</v>
      </c>
      <c r="R53" s="307">
        <f>D53-N53</f>
        <v>494.45437878719986</v>
      </c>
      <c r="S53" s="324"/>
      <c r="T53" s="307">
        <f t="shared" si="26"/>
        <v>494.45437878719986</v>
      </c>
    </row>
    <row r="54" spans="1:24" ht="27.75" customHeight="1">
      <c r="A54" s="325" t="s">
        <v>438</v>
      </c>
      <c r="B54" s="164" t="s">
        <v>483</v>
      </c>
      <c r="C54" s="320"/>
      <c r="D54" s="306">
        <f>SUM(E54:G54)</f>
        <v>-53.567999999999998</v>
      </c>
      <c r="E54" s="306">
        <f>-'[2]Biểu Thu  (TTGDNN)'!AB5-'[2]Biểu Thu  (TTGDNN)'!P5</f>
        <v>-53.567999999999998</v>
      </c>
      <c r="F54" s="306"/>
      <c r="G54" s="306"/>
      <c r="H54" s="307">
        <f>D54</f>
        <v>-53.567999999999998</v>
      </c>
      <c r="I54" s="309"/>
      <c r="J54" s="309"/>
      <c r="K54" s="309"/>
      <c r="L54" s="309"/>
      <c r="M54" s="309"/>
      <c r="N54" s="309"/>
      <c r="O54" s="309">
        <f>-H54</f>
        <v>53.567999999999998</v>
      </c>
      <c r="P54" s="309"/>
      <c r="Q54" s="309"/>
      <c r="R54" s="307">
        <f>D54-N54</f>
        <v>-53.567999999999998</v>
      </c>
      <c r="S54" s="324"/>
      <c r="T54" s="307">
        <f t="shared" si="26"/>
        <v>-53.567999999999998</v>
      </c>
    </row>
    <row r="55" spans="1:24" s="311" customFormat="1" ht="27.75" customHeight="1">
      <c r="A55" s="304" t="s">
        <v>438</v>
      </c>
      <c r="B55" s="166" t="s">
        <v>452</v>
      </c>
      <c r="C55" s="320" t="s">
        <v>444</v>
      </c>
      <c r="D55" s="306">
        <f>E55+G55</f>
        <v>-33.904289054625899</v>
      </c>
      <c r="E55" s="306">
        <f>-L56</f>
        <v>-33.904289054625899</v>
      </c>
      <c r="F55" s="306"/>
      <c r="G55" s="306"/>
      <c r="H55" s="307">
        <f>D55</f>
        <v>-33.904289054625899</v>
      </c>
      <c r="I55" s="308"/>
      <c r="J55" s="308"/>
      <c r="K55" s="308"/>
      <c r="L55" s="309">
        <f>K55*10%</f>
        <v>0</v>
      </c>
      <c r="M55" s="309"/>
      <c r="N55" s="309">
        <f>L55+M55</f>
        <v>0</v>
      </c>
      <c r="O55" s="309">
        <f>L55-P55</f>
        <v>0</v>
      </c>
      <c r="P55" s="309">
        <f>N55</f>
        <v>0</v>
      </c>
      <c r="Q55" s="309">
        <f>M55</f>
        <v>0</v>
      </c>
      <c r="R55" s="307"/>
      <c r="S55" s="310"/>
      <c r="T55" s="307"/>
    </row>
    <row r="56" spans="1:24" ht="31.5">
      <c r="A56" s="304" t="s">
        <v>438</v>
      </c>
      <c r="B56" s="166" t="s">
        <v>484</v>
      </c>
      <c r="C56" s="320" t="s">
        <v>444</v>
      </c>
      <c r="D56" s="306">
        <f>SUM(E56:G56)</f>
        <v>339.04289054625895</v>
      </c>
      <c r="E56" s="306">
        <f>'[2] TL giao BC  (TTGDNN)'!Z9</f>
        <v>339.04289054625895</v>
      </c>
      <c r="F56" s="306"/>
      <c r="G56" s="306"/>
      <c r="H56" s="309"/>
      <c r="I56" s="309"/>
      <c r="J56" s="309"/>
      <c r="K56" s="309">
        <f>D56</f>
        <v>339.04289054625895</v>
      </c>
      <c r="L56" s="309">
        <f>K56*10%</f>
        <v>33.904289054625899</v>
      </c>
      <c r="M56" s="309"/>
      <c r="N56" s="309">
        <f>L56+M56</f>
        <v>33.904289054625899</v>
      </c>
      <c r="O56" s="309">
        <f>N56</f>
        <v>33.904289054625899</v>
      </c>
      <c r="P56" s="309">
        <f>N56-O56</f>
        <v>0</v>
      </c>
      <c r="Q56" s="309">
        <f>M56</f>
        <v>0</v>
      </c>
      <c r="R56" s="309">
        <f>D56-N56</f>
        <v>305.13860149163304</v>
      </c>
      <c r="S56" s="324"/>
      <c r="T56" s="309">
        <f>R56</f>
        <v>305.13860149163304</v>
      </c>
    </row>
    <row r="57" spans="1:24" ht="30" customHeight="1">
      <c r="A57" s="303" t="s">
        <v>481</v>
      </c>
      <c r="B57" s="326" t="s">
        <v>485</v>
      </c>
      <c r="C57" s="320" t="s">
        <v>444</v>
      </c>
      <c r="D57" s="307">
        <f>E57+G57+F57</f>
        <v>118.53</v>
      </c>
      <c r="E57" s="307">
        <f t="shared" ref="E57:R57" si="27">SUM(E58:E59)</f>
        <v>118.53</v>
      </c>
      <c r="F57" s="307">
        <f t="shared" si="27"/>
        <v>0</v>
      </c>
      <c r="G57" s="307">
        <f t="shared" si="27"/>
        <v>0</v>
      </c>
      <c r="H57" s="307">
        <f t="shared" si="27"/>
        <v>0</v>
      </c>
      <c r="I57" s="307">
        <f t="shared" si="27"/>
        <v>118.53</v>
      </c>
      <c r="J57" s="307">
        <f t="shared" si="27"/>
        <v>0</v>
      </c>
      <c r="K57" s="307">
        <f t="shared" si="27"/>
        <v>0</v>
      </c>
      <c r="L57" s="307">
        <f t="shared" si="27"/>
        <v>0</v>
      </c>
      <c r="M57" s="307">
        <f t="shared" si="27"/>
        <v>0</v>
      </c>
      <c r="N57" s="307">
        <f t="shared" si="27"/>
        <v>0</v>
      </c>
      <c r="O57" s="307">
        <f t="shared" si="27"/>
        <v>0</v>
      </c>
      <c r="P57" s="307">
        <f t="shared" si="27"/>
        <v>0</v>
      </c>
      <c r="Q57" s="307">
        <f t="shared" si="27"/>
        <v>0</v>
      </c>
      <c r="R57" s="307">
        <f t="shared" si="27"/>
        <v>118.53</v>
      </c>
      <c r="S57" s="324"/>
      <c r="T57" s="309">
        <f t="shared" ref="T57:T59" si="28">R57</f>
        <v>118.53</v>
      </c>
    </row>
    <row r="58" spans="1:24" ht="30" customHeight="1">
      <c r="A58" s="325" t="s">
        <v>438</v>
      </c>
      <c r="B58" s="166" t="s">
        <v>280</v>
      </c>
      <c r="C58" s="320" t="s">
        <v>444</v>
      </c>
      <c r="D58" s="306">
        <f>E58+G58</f>
        <v>71.28</v>
      </c>
      <c r="E58" s="306">
        <f>'[2]Biểu Thu  (TTGDNN)'!AA5</f>
        <v>71.28</v>
      </c>
      <c r="F58" s="306"/>
      <c r="G58" s="306"/>
      <c r="H58" s="309"/>
      <c r="I58" s="309">
        <f>D58</f>
        <v>71.28</v>
      </c>
      <c r="J58" s="309"/>
      <c r="K58" s="309"/>
      <c r="L58" s="309">
        <f>K58*10%</f>
        <v>0</v>
      </c>
      <c r="M58" s="309"/>
      <c r="N58" s="309">
        <f>L58+M58</f>
        <v>0</v>
      </c>
      <c r="O58" s="309">
        <f>N58</f>
        <v>0</v>
      </c>
      <c r="P58" s="309">
        <f>N58-O58</f>
        <v>0</v>
      </c>
      <c r="Q58" s="309">
        <f>M58</f>
        <v>0</v>
      </c>
      <c r="R58" s="309">
        <f>D58-N58</f>
        <v>71.28</v>
      </c>
      <c r="S58" s="324"/>
      <c r="T58" s="309">
        <f t="shared" si="28"/>
        <v>71.28</v>
      </c>
    </row>
    <row r="59" spans="1:24" ht="30" customHeight="1">
      <c r="A59" s="325" t="s">
        <v>438</v>
      </c>
      <c r="B59" s="166" t="s">
        <v>281</v>
      </c>
      <c r="C59" s="320" t="s">
        <v>444</v>
      </c>
      <c r="D59" s="306">
        <f>E59+G59+F59</f>
        <v>47.25</v>
      </c>
      <c r="E59" s="306">
        <f>'[2]CHHT TTGDNN'!F10</f>
        <v>47.25</v>
      </c>
      <c r="F59" s="306"/>
      <c r="G59" s="306"/>
      <c r="H59" s="309"/>
      <c r="I59" s="309">
        <f>D59</f>
        <v>47.25</v>
      </c>
      <c r="J59" s="309"/>
      <c r="K59" s="309"/>
      <c r="L59" s="309">
        <f>K59*10%</f>
        <v>0</v>
      </c>
      <c r="M59" s="309"/>
      <c r="N59" s="309">
        <f>L59+M59</f>
        <v>0</v>
      </c>
      <c r="O59" s="309">
        <f>N59</f>
        <v>0</v>
      </c>
      <c r="P59" s="309">
        <f>N59-O59</f>
        <v>0</v>
      </c>
      <c r="Q59" s="309">
        <f>M59</f>
        <v>0</v>
      </c>
      <c r="R59" s="309">
        <f>D59-N59</f>
        <v>47.25</v>
      </c>
      <c r="S59" s="324"/>
      <c r="T59" s="309">
        <f t="shared" si="28"/>
        <v>47.25</v>
      </c>
    </row>
    <row r="60" spans="1:24" ht="27.75" customHeight="1">
      <c r="A60" s="320" t="s">
        <v>486</v>
      </c>
      <c r="B60" s="321" t="s">
        <v>487</v>
      </c>
      <c r="C60" s="320" t="s">
        <v>488</v>
      </c>
      <c r="D60" s="322">
        <f>D61+D73</f>
        <v>222484.68888262738</v>
      </c>
      <c r="E60" s="322">
        <f t="shared" ref="E60:Q60" si="29">E61+E73</f>
        <v>212147.74400626097</v>
      </c>
      <c r="F60" s="322">
        <f t="shared" si="29"/>
        <v>0</v>
      </c>
      <c r="G60" s="322">
        <f>G61+G73</f>
        <v>10336.944876366397</v>
      </c>
      <c r="H60" s="322">
        <f t="shared" si="29"/>
        <v>184063.54983563823</v>
      </c>
      <c r="I60" s="322">
        <f t="shared" si="29"/>
        <v>13494.992409331106</v>
      </c>
      <c r="J60" s="322">
        <f t="shared" si="29"/>
        <v>0</v>
      </c>
      <c r="K60" s="322">
        <f t="shared" si="29"/>
        <v>24926.146637658039</v>
      </c>
      <c r="L60" s="322">
        <f>L61+L73</f>
        <v>2492.6146637658039</v>
      </c>
      <c r="M60" s="322">
        <f t="shared" si="29"/>
        <v>0</v>
      </c>
      <c r="N60" s="322">
        <f>N61+N73</f>
        <v>2492.6146637658039</v>
      </c>
      <c r="O60" s="322">
        <f t="shared" si="29"/>
        <v>4210.3546637658037</v>
      </c>
      <c r="P60" s="322">
        <f t="shared" si="29"/>
        <v>0</v>
      </c>
      <c r="Q60" s="322">
        <f t="shared" si="29"/>
        <v>0</v>
      </c>
      <c r="R60" s="322">
        <f>R61+R73</f>
        <v>222484.68888262738</v>
      </c>
      <c r="S60" s="322">
        <f t="shared" ref="S60:T60" si="30">S61+S73</f>
        <v>0</v>
      </c>
      <c r="T60" s="322">
        <f t="shared" si="30"/>
        <v>222484.68888262738</v>
      </c>
    </row>
    <row r="61" spans="1:24" ht="27.75" customHeight="1">
      <c r="A61" s="303" t="s">
        <v>481</v>
      </c>
      <c r="B61" s="323" t="s">
        <v>482</v>
      </c>
      <c r="C61" s="320" t="s">
        <v>488</v>
      </c>
      <c r="D61" s="307">
        <f>D62+D65+D68+D69+D70</f>
        <v>208989.69647329627</v>
      </c>
      <c r="E61" s="307">
        <f>E62+E65+E68+E69+E70</f>
        <v>200040.65900626098</v>
      </c>
      <c r="F61" s="307">
        <f t="shared" ref="F61:Q61" si="31">F62+F65+F68+F69+F70</f>
        <v>0</v>
      </c>
      <c r="G61" s="307">
        <f>G62+G65+G68+G69+G70</f>
        <v>8949.037467035294</v>
      </c>
      <c r="H61" s="307">
        <f>H62+H65+H68+H69+H70</f>
        <v>184063.54983563823</v>
      </c>
      <c r="I61" s="307">
        <f t="shared" si="31"/>
        <v>0</v>
      </c>
      <c r="J61" s="307">
        <f t="shared" si="31"/>
        <v>0</v>
      </c>
      <c r="K61" s="307">
        <f t="shared" si="31"/>
        <v>24926.146637658039</v>
      </c>
      <c r="L61" s="307">
        <f>L62+L65+L68+L69+L70</f>
        <v>2492.6146637658039</v>
      </c>
      <c r="M61" s="307">
        <f t="shared" si="31"/>
        <v>0</v>
      </c>
      <c r="N61" s="307">
        <f>N62+N65+N68+N69+N70</f>
        <v>2492.6146637658039</v>
      </c>
      <c r="O61" s="307">
        <f t="shared" si="31"/>
        <v>4210.3546637658037</v>
      </c>
      <c r="P61" s="307">
        <f t="shared" si="31"/>
        <v>0</v>
      </c>
      <c r="Q61" s="307">
        <f t="shared" si="31"/>
        <v>0</v>
      </c>
      <c r="R61" s="307">
        <f>R62+R65+R68+R69+R70</f>
        <v>208989.69647329627</v>
      </c>
      <c r="S61" s="307">
        <f t="shared" ref="S61" si="32">S62+S65+S68+S69+S70</f>
        <v>0</v>
      </c>
      <c r="T61" s="307">
        <f>T62+T65+T68+T69+T70</f>
        <v>208989.69647329627</v>
      </c>
    </row>
    <row r="62" spans="1:24" ht="27.75" customHeight="1">
      <c r="A62" s="325" t="s">
        <v>438</v>
      </c>
      <c r="B62" s="164" t="s">
        <v>277</v>
      </c>
      <c r="C62" s="320" t="s">
        <v>488</v>
      </c>
      <c r="D62" s="306">
        <f t="shared" ref="D62:D68" si="33">SUM(E62:G62)</f>
        <v>155848.9542800622</v>
      </c>
      <c r="E62" s="306">
        <f>SUM(E63:E64)</f>
        <v>148242.27243308219</v>
      </c>
      <c r="F62" s="306">
        <f>SUM(F63:F64)</f>
        <v>0</v>
      </c>
      <c r="G62" s="306">
        <f>SUM(G63:G64)</f>
        <v>7606.6818469799991</v>
      </c>
      <c r="H62" s="307">
        <f>D62</f>
        <v>155848.9542800622</v>
      </c>
      <c r="I62" s="309"/>
      <c r="J62" s="309"/>
      <c r="K62" s="309"/>
      <c r="L62" s="309">
        <f>K62*10%</f>
        <v>0</v>
      </c>
      <c r="M62" s="309"/>
      <c r="N62" s="309">
        <f>L62+M62</f>
        <v>0</v>
      </c>
      <c r="O62" s="309">
        <f>L62-P62</f>
        <v>0</v>
      </c>
      <c r="P62" s="309">
        <f>N62</f>
        <v>0</v>
      </c>
      <c r="Q62" s="309">
        <f>M62</f>
        <v>0</v>
      </c>
      <c r="R62" s="307">
        <f>SUM(R63:R64)</f>
        <v>155848.9542800622</v>
      </c>
      <c r="S62" s="307">
        <f t="shared" ref="S62:T62" si="34">SUM(S63:S64)</f>
        <v>0</v>
      </c>
      <c r="T62" s="307">
        <f t="shared" si="34"/>
        <v>155848.9542800622</v>
      </c>
      <c r="U62" s="327"/>
    </row>
    <row r="63" spans="1:24" s="335" customFormat="1" ht="27.75" customHeight="1">
      <c r="A63" s="325" t="s">
        <v>489</v>
      </c>
      <c r="B63" s="164" t="s">
        <v>490</v>
      </c>
      <c r="C63" s="320" t="s">
        <v>444</v>
      </c>
      <c r="D63" s="306">
        <f t="shared" si="33"/>
        <v>148242.27243308219</v>
      </c>
      <c r="E63" s="306">
        <f t="shared" ref="E63:F64" si="35">E82+E291+E557</f>
        <v>148242.27243308219</v>
      </c>
      <c r="F63" s="306">
        <f t="shared" si="35"/>
        <v>0</v>
      </c>
      <c r="G63" s="306">
        <f>G82+G291+G557</f>
        <v>0</v>
      </c>
      <c r="H63" s="307">
        <f t="shared" ref="H63:H69" si="36">D63</f>
        <v>148242.27243308219</v>
      </c>
      <c r="I63" s="309"/>
      <c r="J63" s="309"/>
      <c r="K63" s="309"/>
      <c r="L63" s="309"/>
      <c r="M63" s="309"/>
      <c r="N63" s="309"/>
      <c r="O63" s="309"/>
      <c r="P63" s="309"/>
      <c r="Q63" s="309"/>
      <c r="R63" s="307">
        <f>D63-N63</f>
        <v>148242.27243308219</v>
      </c>
      <c r="S63" s="306">
        <f t="shared" ref="S63:T63" si="37">S82+S291+S557</f>
        <v>-47.159999999999854</v>
      </c>
      <c r="T63" s="307">
        <f t="shared" si="37"/>
        <v>148195.11243308219</v>
      </c>
      <c r="V63" s="336">
        <f>T63-R63</f>
        <v>-47.160000000003492</v>
      </c>
      <c r="X63" s="336">
        <f>R64+R72</f>
        <v>8814.8019050297644</v>
      </c>
    </row>
    <row r="64" spans="1:24" s="337" customFormat="1" ht="27.75" customHeight="1">
      <c r="A64" s="325" t="s">
        <v>489</v>
      </c>
      <c r="B64" s="164" t="s">
        <v>305</v>
      </c>
      <c r="C64" s="320" t="s">
        <v>478</v>
      </c>
      <c r="D64" s="306">
        <f>SUM(E64:G64)</f>
        <v>7606.6818469799991</v>
      </c>
      <c r="E64" s="306">
        <f t="shared" si="35"/>
        <v>0</v>
      </c>
      <c r="F64" s="306">
        <f t="shared" si="35"/>
        <v>0</v>
      </c>
      <c r="G64" s="306">
        <f>G83+G292+G558</f>
        <v>7606.6818469799991</v>
      </c>
      <c r="H64" s="307">
        <f t="shared" si="36"/>
        <v>7606.6818469799991</v>
      </c>
      <c r="I64" s="309"/>
      <c r="J64" s="309"/>
      <c r="K64" s="309"/>
      <c r="L64" s="309"/>
      <c r="M64" s="309"/>
      <c r="N64" s="309"/>
      <c r="O64" s="309"/>
      <c r="P64" s="309"/>
      <c r="Q64" s="309"/>
      <c r="R64" s="307">
        <f>D64-N64</f>
        <v>7606.6818469799991</v>
      </c>
      <c r="S64" s="306">
        <f t="shared" ref="S64:T64" si="38">S83+S292+S558</f>
        <v>47.159999999999854</v>
      </c>
      <c r="T64" s="307">
        <f t="shared" si="38"/>
        <v>7653.841846979999</v>
      </c>
      <c r="V64" s="338">
        <f>T64-R64</f>
        <v>47.159999999999854</v>
      </c>
    </row>
    <row r="65" spans="1:26" ht="27.75" customHeight="1">
      <c r="A65" s="304" t="s">
        <v>438</v>
      </c>
      <c r="B65" s="166" t="s">
        <v>278</v>
      </c>
      <c r="C65" s="320" t="s">
        <v>444</v>
      </c>
      <c r="D65" s="306">
        <f t="shared" si="33"/>
        <v>32424.950219341805</v>
      </c>
      <c r="E65" s="306">
        <f>SUM(E66:E67)</f>
        <v>32424.950219341805</v>
      </c>
      <c r="F65" s="306">
        <f>SUM(F66:F67)</f>
        <v>0</v>
      </c>
      <c r="G65" s="306">
        <f>SUM(G66:G67)</f>
        <v>0</v>
      </c>
      <c r="H65" s="307">
        <f t="shared" si="36"/>
        <v>32424.950219341805</v>
      </c>
      <c r="I65" s="309"/>
      <c r="J65" s="309"/>
      <c r="K65" s="309"/>
      <c r="L65" s="309">
        <f>K65*10%</f>
        <v>0</v>
      </c>
      <c r="M65" s="309"/>
      <c r="N65" s="309">
        <f>L65+M65</f>
        <v>0</v>
      </c>
      <c r="O65" s="309">
        <f>L65-P65</f>
        <v>0</v>
      </c>
      <c r="P65" s="309">
        <f>N65</f>
        <v>0</v>
      </c>
      <c r="Q65" s="309">
        <f>M65</f>
        <v>0</v>
      </c>
      <c r="R65" s="307">
        <f>SUM(R66:R67)</f>
        <v>32424.950219341805</v>
      </c>
      <c r="S65" s="307">
        <f t="shared" ref="S65" si="39">SUM(S66:S67)</f>
        <v>0</v>
      </c>
      <c r="T65" s="307">
        <f>SUM(T66:T67)</f>
        <v>32424.950219341801</v>
      </c>
    </row>
    <row r="66" spans="1:26" s="335" customFormat="1" ht="27.75" customHeight="1">
      <c r="A66" s="325" t="s">
        <v>489</v>
      </c>
      <c r="B66" s="166" t="s">
        <v>491</v>
      </c>
      <c r="C66" s="320" t="s">
        <v>444</v>
      </c>
      <c r="D66" s="306">
        <f t="shared" si="33"/>
        <v>30842.351982721804</v>
      </c>
      <c r="E66" s="306">
        <f>E85+E294+E560</f>
        <v>30842.351982721804</v>
      </c>
      <c r="F66" s="306"/>
      <c r="G66" s="306"/>
      <c r="H66" s="307">
        <f t="shared" si="36"/>
        <v>30842.351982721804</v>
      </c>
      <c r="I66" s="309"/>
      <c r="J66" s="309"/>
      <c r="K66" s="309"/>
      <c r="L66" s="309"/>
      <c r="M66" s="309"/>
      <c r="N66" s="309"/>
      <c r="O66" s="309"/>
      <c r="P66" s="309"/>
      <c r="Q66" s="309"/>
      <c r="R66" s="307">
        <f>D66-N66</f>
        <v>30842.351982721804</v>
      </c>
      <c r="S66" s="306">
        <f t="shared" ref="S66:T66" si="40">S85+S294+S560</f>
        <v>-9.7699999999999818</v>
      </c>
      <c r="T66" s="307">
        <f t="shared" si="40"/>
        <v>30832.5819827218</v>
      </c>
      <c r="V66" s="336">
        <f>T66-R66</f>
        <v>-9.7700000000040745</v>
      </c>
      <c r="X66" s="336">
        <f>X63+N72</f>
        <v>8949.037467035294</v>
      </c>
      <c r="Z66" s="336">
        <f>T64+T72+N72</f>
        <v>9004.4974670352931</v>
      </c>
    </row>
    <row r="67" spans="1:26" s="337" customFormat="1" ht="27.75" customHeight="1">
      <c r="A67" s="325" t="s">
        <v>489</v>
      </c>
      <c r="B67" s="164" t="s">
        <v>492</v>
      </c>
      <c r="C67" s="320" t="s">
        <v>444</v>
      </c>
      <c r="D67" s="306">
        <f t="shared" si="33"/>
        <v>1582.5982366200001</v>
      </c>
      <c r="E67" s="306">
        <f>E86+E295+E561</f>
        <v>1582.5982366200001</v>
      </c>
      <c r="F67" s="306"/>
      <c r="G67" s="306"/>
      <c r="H67" s="307">
        <f t="shared" si="36"/>
        <v>1582.5982366200001</v>
      </c>
      <c r="I67" s="309"/>
      <c r="J67" s="309"/>
      <c r="K67" s="309"/>
      <c r="L67" s="309"/>
      <c r="M67" s="309"/>
      <c r="N67" s="309"/>
      <c r="O67" s="309"/>
      <c r="P67" s="309"/>
      <c r="Q67" s="309"/>
      <c r="R67" s="307">
        <f>D67-N67</f>
        <v>1582.5982366200001</v>
      </c>
      <c r="S67" s="306">
        <f t="shared" ref="S67:T67" si="41">S86+S295+S561</f>
        <v>9.7699999999999818</v>
      </c>
      <c r="T67" s="307">
        <f t="shared" si="41"/>
        <v>1592.3682366200001</v>
      </c>
      <c r="V67" s="338">
        <f>T67-R67</f>
        <v>9.7699999999999818</v>
      </c>
      <c r="X67" s="338">
        <v>0</v>
      </c>
      <c r="Z67" s="338">
        <f>Z66-X66</f>
        <v>55.459999999999127</v>
      </c>
    </row>
    <row r="68" spans="1:26" ht="27.75" customHeight="1">
      <c r="A68" s="325" t="s">
        <v>438</v>
      </c>
      <c r="B68" s="164" t="s">
        <v>483</v>
      </c>
      <c r="C68" s="320"/>
      <c r="D68" s="306">
        <f t="shared" si="33"/>
        <v>-1717.74</v>
      </c>
      <c r="E68" s="306">
        <f>E87+E296+E562</f>
        <v>-1717.74</v>
      </c>
      <c r="F68" s="306"/>
      <c r="G68" s="306"/>
      <c r="H68" s="307">
        <f t="shared" si="36"/>
        <v>-1717.74</v>
      </c>
      <c r="I68" s="309"/>
      <c r="J68" s="309"/>
      <c r="K68" s="309"/>
      <c r="L68" s="309"/>
      <c r="M68" s="309"/>
      <c r="N68" s="309"/>
      <c r="O68" s="309">
        <f>-H68</f>
        <v>1717.74</v>
      </c>
      <c r="P68" s="309"/>
      <c r="Q68" s="309"/>
      <c r="R68" s="307">
        <f>D68-N68</f>
        <v>-1717.74</v>
      </c>
      <c r="S68" s="307"/>
      <c r="T68" s="307">
        <f>T87+T296+T562</f>
        <v>-1717.74</v>
      </c>
    </row>
    <row r="69" spans="1:26" s="311" customFormat="1" ht="27.75" customHeight="1">
      <c r="A69" s="304" t="s">
        <v>438</v>
      </c>
      <c r="B69" s="166" t="s">
        <v>452</v>
      </c>
      <c r="C69" s="320" t="s">
        <v>488</v>
      </c>
      <c r="D69" s="306">
        <f>E69+G69</f>
        <v>-2492.6146637658039</v>
      </c>
      <c r="E69" s="306">
        <f>-L70</f>
        <v>-2492.6146637658039</v>
      </c>
      <c r="F69" s="306"/>
      <c r="G69" s="306"/>
      <c r="H69" s="307">
        <f t="shared" si="36"/>
        <v>-2492.6146637658039</v>
      </c>
      <c r="I69" s="308"/>
      <c r="J69" s="308"/>
      <c r="K69" s="308"/>
      <c r="L69" s="309">
        <f>K69*10%</f>
        <v>0</v>
      </c>
      <c r="M69" s="309"/>
      <c r="N69" s="309">
        <f>L69+M69</f>
        <v>0</v>
      </c>
      <c r="O69" s="309">
        <f>L69-P69</f>
        <v>0</v>
      </c>
      <c r="P69" s="309">
        <f>N69</f>
        <v>0</v>
      </c>
      <c r="Q69" s="309">
        <f>M69</f>
        <v>0</v>
      </c>
      <c r="R69" s="307"/>
      <c r="S69" s="306"/>
      <c r="T69" s="307"/>
    </row>
    <row r="70" spans="1:26" ht="26.25" customHeight="1">
      <c r="A70" s="304" t="s">
        <v>438</v>
      </c>
      <c r="B70" s="166" t="s">
        <v>412</v>
      </c>
      <c r="C70" s="320" t="s">
        <v>488</v>
      </c>
      <c r="D70" s="306">
        <f>SUM(E70:G70)</f>
        <v>24926.146637658039</v>
      </c>
      <c r="E70" s="306">
        <f>SUM(E71:E72)</f>
        <v>23583.791017602744</v>
      </c>
      <c r="F70" s="306">
        <f>SUM(F71:F72)</f>
        <v>0</v>
      </c>
      <c r="G70" s="306">
        <f>SUM(G71:G72)</f>
        <v>1342.3556200552946</v>
      </c>
      <c r="H70" s="309"/>
      <c r="I70" s="309"/>
      <c r="J70" s="309"/>
      <c r="K70" s="309">
        <f>SUM(K71:K72)</f>
        <v>24926.146637658039</v>
      </c>
      <c r="L70" s="309">
        <f>SUM(L71:L72)</f>
        <v>2492.6146637658039</v>
      </c>
      <c r="M70" s="309"/>
      <c r="N70" s="309">
        <f>L70+M70</f>
        <v>2492.6146637658039</v>
      </c>
      <c r="O70" s="309">
        <f>N70</f>
        <v>2492.6146637658039</v>
      </c>
      <c r="P70" s="309">
        <f>N70-O70</f>
        <v>0</v>
      </c>
      <c r="Q70" s="309">
        <f>M70</f>
        <v>0</v>
      </c>
      <c r="R70" s="307">
        <f>SUM(R71:R72)</f>
        <v>22433.531973892234</v>
      </c>
      <c r="S70" s="307">
        <f t="shared" ref="S70:T70" si="42">SUM(S71:S72)</f>
        <v>0</v>
      </c>
      <c r="T70" s="307">
        <f t="shared" si="42"/>
        <v>22433.531973892234</v>
      </c>
      <c r="U70" s="327"/>
    </row>
    <row r="71" spans="1:26" ht="31.5">
      <c r="A71" s="325" t="s">
        <v>489</v>
      </c>
      <c r="B71" s="166" t="s">
        <v>493</v>
      </c>
      <c r="C71" s="320" t="s">
        <v>444</v>
      </c>
      <c r="D71" s="306">
        <f>SUM(E71:G71)</f>
        <v>23583.791017602744</v>
      </c>
      <c r="E71" s="306">
        <f>E90+E299+E565</f>
        <v>23583.791017602744</v>
      </c>
      <c r="F71" s="306">
        <f t="shared" ref="E71:G72" si="43">F90+F299+F565</f>
        <v>0</v>
      </c>
      <c r="G71" s="306">
        <f t="shared" si="43"/>
        <v>0</v>
      </c>
      <c r="H71" s="309"/>
      <c r="I71" s="309"/>
      <c r="J71" s="309"/>
      <c r="K71" s="309">
        <f>D71</f>
        <v>23583.791017602744</v>
      </c>
      <c r="L71" s="309">
        <f>K71*10%</f>
        <v>2358.3791017602744</v>
      </c>
      <c r="M71" s="309"/>
      <c r="N71" s="309">
        <f>L71</f>
        <v>2358.3791017602744</v>
      </c>
      <c r="O71" s="309"/>
      <c r="P71" s="309"/>
      <c r="Q71" s="309"/>
      <c r="R71" s="307">
        <f>D71-N71</f>
        <v>21225.411915842469</v>
      </c>
      <c r="S71" s="306">
        <f>S90+S299+S565</f>
        <v>-8.2999999999999829</v>
      </c>
      <c r="T71" s="307">
        <f>R71+S71</f>
        <v>21217.11191584247</v>
      </c>
      <c r="U71" s="327"/>
    </row>
    <row r="72" spans="1:26" s="337" customFormat="1" ht="33" customHeight="1">
      <c r="A72" s="325" t="s">
        <v>489</v>
      </c>
      <c r="B72" s="164" t="s">
        <v>494</v>
      </c>
      <c r="C72" s="320" t="s">
        <v>478</v>
      </c>
      <c r="D72" s="306">
        <f>SUM(E72:G72)</f>
        <v>1342.3556200552946</v>
      </c>
      <c r="E72" s="306">
        <f t="shared" si="43"/>
        <v>0</v>
      </c>
      <c r="F72" s="306">
        <f t="shared" si="43"/>
        <v>0</v>
      </c>
      <c r="G72" s="306">
        <f t="shared" si="43"/>
        <v>1342.3556200552946</v>
      </c>
      <c r="H72" s="309"/>
      <c r="I72" s="309"/>
      <c r="J72" s="309"/>
      <c r="K72" s="309">
        <f>D72</f>
        <v>1342.3556200552946</v>
      </c>
      <c r="L72" s="309">
        <f>K72*10%</f>
        <v>134.23556200552946</v>
      </c>
      <c r="M72" s="309"/>
      <c r="N72" s="309">
        <f>L72</f>
        <v>134.23556200552946</v>
      </c>
      <c r="O72" s="309"/>
      <c r="P72" s="309"/>
      <c r="Q72" s="309"/>
      <c r="R72" s="307">
        <f t="shared" ref="R72" si="44">D72-N72</f>
        <v>1208.1200580497652</v>
      </c>
      <c r="S72" s="306">
        <f t="shared" ref="S72" si="45">S91+S300+S566</f>
        <v>8.2999999999999829</v>
      </c>
      <c r="T72" s="307">
        <f>R72+S72</f>
        <v>1216.4200580497652</v>
      </c>
      <c r="U72" s="338"/>
    </row>
    <row r="73" spans="1:26" ht="30" customHeight="1">
      <c r="A73" s="303" t="s">
        <v>481</v>
      </c>
      <c r="B73" s="326" t="s">
        <v>485</v>
      </c>
      <c r="C73" s="320" t="s">
        <v>488</v>
      </c>
      <c r="D73" s="307">
        <f>E73+G73+F73</f>
        <v>13494.992409331106</v>
      </c>
      <c r="E73" s="307">
        <f t="shared" ref="E73:Q73" si="46">SUM(E74:E78)</f>
        <v>12107.085000000003</v>
      </c>
      <c r="F73" s="307">
        <f t="shared" si="46"/>
        <v>0</v>
      </c>
      <c r="G73" s="307">
        <f>SUM(G74:G78)</f>
        <v>1387.9074093311037</v>
      </c>
      <c r="H73" s="307">
        <f t="shared" si="46"/>
        <v>0</v>
      </c>
      <c r="I73" s="307">
        <f t="shared" si="46"/>
        <v>13494.992409331106</v>
      </c>
      <c r="J73" s="307">
        <f t="shared" si="46"/>
        <v>0</v>
      </c>
      <c r="K73" s="307">
        <f t="shared" si="46"/>
        <v>0</v>
      </c>
      <c r="L73" s="307">
        <f t="shared" si="46"/>
        <v>0</v>
      </c>
      <c r="M73" s="307">
        <f t="shared" si="46"/>
        <v>0</v>
      </c>
      <c r="N73" s="307">
        <f t="shared" si="46"/>
        <v>0</v>
      </c>
      <c r="O73" s="307">
        <f t="shared" si="46"/>
        <v>0</v>
      </c>
      <c r="P73" s="307">
        <f t="shared" si="46"/>
        <v>0</v>
      </c>
      <c r="Q73" s="307">
        <f t="shared" si="46"/>
        <v>0</v>
      </c>
      <c r="R73" s="307">
        <f>SUM(R74:R78)</f>
        <v>13494.992409331106</v>
      </c>
      <c r="S73" s="307">
        <f t="shared" ref="S73:T73" si="47">SUM(S74:S78)</f>
        <v>0</v>
      </c>
      <c r="T73" s="307">
        <f t="shared" si="47"/>
        <v>13494.992409331106</v>
      </c>
    </row>
    <row r="74" spans="1:26" ht="30" customHeight="1">
      <c r="A74" s="325" t="s">
        <v>438</v>
      </c>
      <c r="B74" s="166" t="s">
        <v>280</v>
      </c>
      <c r="C74" s="320" t="s">
        <v>444</v>
      </c>
      <c r="D74" s="306">
        <f>E74+G74</f>
        <v>1939.5450000000003</v>
      </c>
      <c r="E74" s="306">
        <f>E93+E302+E568</f>
        <v>1939.5450000000003</v>
      </c>
      <c r="F74" s="306">
        <f t="shared" ref="E74:G78" si="48">F93+F302+F568</f>
        <v>0</v>
      </c>
      <c r="G74" s="306">
        <f t="shared" si="48"/>
        <v>0</v>
      </c>
      <c r="H74" s="309"/>
      <c r="I74" s="309">
        <f>D74</f>
        <v>1939.5450000000003</v>
      </c>
      <c r="J74" s="309"/>
      <c r="K74" s="309"/>
      <c r="L74" s="309">
        <f>K74*10%</f>
        <v>0</v>
      </c>
      <c r="M74" s="309"/>
      <c r="N74" s="309">
        <f>L74+M74</f>
        <v>0</v>
      </c>
      <c r="O74" s="309">
        <f>N74</f>
        <v>0</v>
      </c>
      <c r="P74" s="309">
        <f>N74-O74</f>
        <v>0</v>
      </c>
      <c r="Q74" s="309">
        <f>M74</f>
        <v>0</v>
      </c>
      <c r="R74" s="307">
        <f>D74-N74</f>
        <v>1939.5450000000003</v>
      </c>
      <c r="S74" s="306">
        <f t="shared" ref="S74:T74" si="49">S93+S302+S568</f>
        <v>0</v>
      </c>
      <c r="T74" s="307">
        <f t="shared" si="49"/>
        <v>1939.5450000000003</v>
      </c>
    </row>
    <row r="75" spans="1:26" ht="30" customHeight="1">
      <c r="A75" s="325" t="s">
        <v>438</v>
      </c>
      <c r="B75" s="166" t="s">
        <v>287</v>
      </c>
      <c r="C75" s="320" t="s">
        <v>488</v>
      </c>
      <c r="D75" s="306">
        <f>E75+G75+F75</f>
        <v>4230.7200000000012</v>
      </c>
      <c r="E75" s="306">
        <f t="shared" si="48"/>
        <v>3874.7200000000012</v>
      </c>
      <c r="F75" s="306">
        <f t="shared" si="48"/>
        <v>0</v>
      </c>
      <c r="G75" s="306">
        <f t="shared" si="48"/>
        <v>356.00000000000006</v>
      </c>
      <c r="H75" s="309"/>
      <c r="I75" s="309">
        <f>D75</f>
        <v>4230.7200000000012</v>
      </c>
      <c r="J75" s="309"/>
      <c r="K75" s="309"/>
      <c r="L75" s="309">
        <f>K75*10%</f>
        <v>0</v>
      </c>
      <c r="M75" s="309"/>
      <c r="N75" s="309">
        <f>L75+M75</f>
        <v>0</v>
      </c>
      <c r="O75" s="309">
        <f>N75</f>
        <v>0</v>
      </c>
      <c r="P75" s="309">
        <f>N75-O75</f>
        <v>0</v>
      </c>
      <c r="Q75" s="309">
        <f>M75</f>
        <v>0</v>
      </c>
      <c r="R75" s="307">
        <f>D75-N75</f>
        <v>4230.7200000000012</v>
      </c>
      <c r="S75" s="306">
        <f t="shared" ref="S75:T75" si="50">S94+S303+S569</f>
        <v>0</v>
      </c>
      <c r="T75" s="307">
        <f t="shared" si="50"/>
        <v>4230.72</v>
      </c>
    </row>
    <row r="76" spans="1:26" ht="39" customHeight="1">
      <c r="A76" s="325" t="s">
        <v>438</v>
      </c>
      <c r="B76" s="166" t="s">
        <v>308</v>
      </c>
      <c r="C76" s="320" t="s">
        <v>488</v>
      </c>
      <c r="D76" s="306">
        <f>E76+G76</f>
        <v>336.96000000000004</v>
      </c>
      <c r="E76" s="306">
        <f t="shared" si="48"/>
        <v>244.96000000000004</v>
      </c>
      <c r="F76" s="306">
        <f t="shared" si="48"/>
        <v>0</v>
      </c>
      <c r="G76" s="306">
        <f t="shared" si="48"/>
        <v>92.000000000000014</v>
      </c>
      <c r="H76" s="309"/>
      <c r="I76" s="309">
        <f>D76</f>
        <v>336.96000000000004</v>
      </c>
      <c r="J76" s="309"/>
      <c r="K76" s="309"/>
      <c r="L76" s="309">
        <f>K76*10%</f>
        <v>0</v>
      </c>
      <c r="M76" s="309"/>
      <c r="N76" s="309">
        <f>L76+M76</f>
        <v>0</v>
      </c>
      <c r="O76" s="309">
        <f>N76</f>
        <v>0</v>
      </c>
      <c r="P76" s="309">
        <f>N76-O76</f>
        <v>0</v>
      </c>
      <c r="Q76" s="309">
        <f>M76</f>
        <v>0</v>
      </c>
      <c r="R76" s="307">
        <f>D76-N76</f>
        <v>336.96000000000004</v>
      </c>
      <c r="S76" s="306">
        <f t="shared" ref="S76:T76" si="51">S95+S304+S570</f>
        <v>0</v>
      </c>
      <c r="T76" s="307">
        <f t="shared" si="51"/>
        <v>336.96000000000004</v>
      </c>
    </row>
    <row r="77" spans="1:26" ht="36" customHeight="1">
      <c r="A77" s="325" t="s">
        <v>438</v>
      </c>
      <c r="B77" s="166" t="s">
        <v>495</v>
      </c>
      <c r="C77" s="320" t="s">
        <v>488</v>
      </c>
      <c r="D77" s="306">
        <f>E77+G77</f>
        <v>6736.8600000000015</v>
      </c>
      <c r="E77" s="306">
        <f t="shared" si="48"/>
        <v>6047.8600000000015</v>
      </c>
      <c r="F77" s="306">
        <f t="shared" si="48"/>
        <v>0</v>
      </c>
      <c r="G77" s="306">
        <f t="shared" si="48"/>
        <v>688.99999999999989</v>
      </c>
      <c r="H77" s="309"/>
      <c r="I77" s="309">
        <f>D77</f>
        <v>6736.8600000000015</v>
      </c>
      <c r="J77" s="309"/>
      <c r="K77" s="309"/>
      <c r="L77" s="309">
        <f>K77*10%</f>
        <v>0</v>
      </c>
      <c r="M77" s="309"/>
      <c r="N77" s="309">
        <f>L77+M77</f>
        <v>0</v>
      </c>
      <c r="O77" s="309">
        <f>N77</f>
        <v>0</v>
      </c>
      <c r="P77" s="309">
        <f>N77-O77</f>
        <v>0</v>
      </c>
      <c r="Q77" s="309">
        <f>M77</f>
        <v>0</v>
      </c>
      <c r="R77" s="307">
        <f>D77-N77</f>
        <v>6736.8600000000015</v>
      </c>
      <c r="S77" s="306">
        <f t="shared" ref="S77:T77" si="52">S96+S305+S571</f>
        <v>0</v>
      </c>
      <c r="T77" s="307">
        <f t="shared" si="52"/>
        <v>6736.8600000000006</v>
      </c>
    </row>
    <row r="78" spans="1:26" ht="26.25" customHeight="1">
      <c r="A78" s="325" t="s">
        <v>438</v>
      </c>
      <c r="B78" s="166" t="s">
        <v>309</v>
      </c>
      <c r="C78" s="320" t="s">
        <v>478</v>
      </c>
      <c r="D78" s="306">
        <f>E78+G78</f>
        <v>250.90740933110374</v>
      </c>
      <c r="E78" s="306">
        <f t="shared" si="48"/>
        <v>0</v>
      </c>
      <c r="F78" s="306">
        <f t="shared" si="48"/>
        <v>0</v>
      </c>
      <c r="G78" s="306">
        <f t="shared" si="48"/>
        <v>250.90740933110374</v>
      </c>
      <c r="H78" s="309"/>
      <c r="I78" s="309">
        <f>D78</f>
        <v>250.90740933110374</v>
      </c>
      <c r="J78" s="309"/>
      <c r="K78" s="309"/>
      <c r="L78" s="309">
        <f>K78*10%</f>
        <v>0</v>
      </c>
      <c r="M78" s="309"/>
      <c r="N78" s="309">
        <f>L78+M78</f>
        <v>0</v>
      </c>
      <c r="O78" s="309">
        <f>N78</f>
        <v>0</v>
      </c>
      <c r="P78" s="309">
        <f>N78-O78</f>
        <v>0</v>
      </c>
      <c r="Q78" s="309">
        <f>M78</f>
        <v>0</v>
      </c>
      <c r="R78" s="307">
        <f>D78-N78</f>
        <v>250.90740933110374</v>
      </c>
      <c r="S78" s="306">
        <f t="shared" ref="S78:T78" si="53">S97+S306+S572</f>
        <v>0</v>
      </c>
      <c r="T78" s="307">
        <f t="shared" si="53"/>
        <v>250.90740933110374</v>
      </c>
    </row>
    <row r="79" spans="1:26" s="328" customFormat="1" ht="27.75" customHeight="1">
      <c r="A79" s="320" t="s">
        <v>41</v>
      </c>
      <c r="B79" s="321" t="s">
        <v>496</v>
      </c>
      <c r="C79" s="320" t="s">
        <v>488</v>
      </c>
      <c r="D79" s="322">
        <f>D80+D92</f>
        <v>62821.771042538938</v>
      </c>
      <c r="E79" s="322">
        <f t="shared" ref="E79:Q79" si="54">E80+E92</f>
        <v>58611.707145367895</v>
      </c>
      <c r="F79" s="322">
        <f t="shared" si="54"/>
        <v>0</v>
      </c>
      <c r="G79" s="322">
        <f t="shared" si="54"/>
        <v>4210.0638971710405</v>
      </c>
      <c r="H79" s="322">
        <f t="shared" si="54"/>
        <v>51219.422932406436</v>
      </c>
      <c r="I79" s="322">
        <f t="shared" si="54"/>
        <v>5164.6532330769242</v>
      </c>
      <c r="J79" s="322">
        <f t="shared" si="54"/>
        <v>0</v>
      </c>
      <c r="K79" s="322">
        <f t="shared" si="54"/>
        <v>6437.6948770555773</v>
      </c>
      <c r="L79" s="322">
        <f t="shared" si="54"/>
        <v>643.76948770555771</v>
      </c>
      <c r="M79" s="322">
        <f t="shared" si="54"/>
        <v>0</v>
      </c>
      <c r="N79" s="322">
        <f t="shared" si="54"/>
        <v>643.76948770555771</v>
      </c>
      <c r="O79" s="322">
        <f t="shared" si="54"/>
        <v>643.76948770555771</v>
      </c>
      <c r="P79" s="322">
        <f t="shared" si="54"/>
        <v>0</v>
      </c>
      <c r="Q79" s="322">
        <f t="shared" si="54"/>
        <v>0</v>
      </c>
      <c r="R79" s="322">
        <f>R80+R92</f>
        <v>62821.771042538938</v>
      </c>
      <c r="S79" s="322">
        <f t="shared" ref="S79:T79" si="55">S80+S92</f>
        <v>0</v>
      </c>
      <c r="T79" s="322">
        <f t="shared" si="55"/>
        <v>58320.366070542703</v>
      </c>
    </row>
    <row r="80" spans="1:26" ht="27.75" customHeight="1">
      <c r="A80" s="303" t="s">
        <v>481</v>
      </c>
      <c r="B80" s="323" t="s">
        <v>482</v>
      </c>
      <c r="C80" s="320" t="s">
        <v>488</v>
      </c>
      <c r="D80" s="307">
        <f>D81+D84+D87+D88+D89</f>
        <v>57657.117809462012</v>
      </c>
      <c r="E80" s="307">
        <f t="shared" ref="E80:Q80" si="56">E81+E84+E87+E88+E89</f>
        <v>53831.067145367895</v>
      </c>
      <c r="F80" s="307">
        <f t="shared" si="56"/>
        <v>0</v>
      </c>
      <c r="G80" s="307">
        <f t="shared" si="56"/>
        <v>3826.0506640941171</v>
      </c>
      <c r="H80" s="307">
        <f t="shared" si="56"/>
        <v>51219.422932406436</v>
      </c>
      <c r="I80" s="307">
        <f t="shared" si="56"/>
        <v>0</v>
      </c>
      <c r="J80" s="307">
        <f t="shared" si="56"/>
        <v>0</v>
      </c>
      <c r="K80" s="307">
        <f t="shared" si="56"/>
        <v>6437.6948770555773</v>
      </c>
      <c r="L80" s="307">
        <f t="shared" si="56"/>
        <v>643.76948770555771</v>
      </c>
      <c r="M80" s="307">
        <f t="shared" si="56"/>
        <v>0</v>
      </c>
      <c r="N80" s="307">
        <f t="shared" si="56"/>
        <v>643.76948770555771</v>
      </c>
      <c r="O80" s="307">
        <f t="shared" si="56"/>
        <v>643.76948770555771</v>
      </c>
      <c r="P80" s="307">
        <f t="shared" si="56"/>
        <v>0</v>
      </c>
      <c r="Q80" s="307">
        <f t="shared" si="56"/>
        <v>0</v>
      </c>
      <c r="R80" s="307">
        <f>R81+R84+R87+R88+R89</f>
        <v>57657.117809462012</v>
      </c>
      <c r="S80" s="307">
        <f t="shared" ref="S80:T80" si="57">S81+S84+S87+S88+S89</f>
        <v>0</v>
      </c>
      <c r="T80" s="307">
        <f t="shared" si="57"/>
        <v>53155.712837465777</v>
      </c>
    </row>
    <row r="81" spans="1:20" ht="27.75" customHeight="1">
      <c r="A81" s="325" t="s">
        <v>438</v>
      </c>
      <c r="B81" s="164" t="s">
        <v>277</v>
      </c>
      <c r="C81" s="320" t="s">
        <v>488</v>
      </c>
      <c r="D81" s="306">
        <f t="shared" ref="D81:D87" si="58">SUM(E81:G81)</f>
        <v>43627.206969981591</v>
      </c>
      <c r="E81" s="306">
        <f>SUM(E82:E83)</f>
        <v>40375.063905501593</v>
      </c>
      <c r="F81" s="306">
        <f>SUM(F82:F83)</f>
        <v>0</v>
      </c>
      <c r="G81" s="306">
        <f>SUM(G82:G83)</f>
        <v>3252.1430644799993</v>
      </c>
      <c r="H81" s="307">
        <f t="shared" ref="H81:H88" si="59">D81</f>
        <v>43627.206969981591</v>
      </c>
      <c r="I81" s="309"/>
      <c r="J81" s="309"/>
      <c r="K81" s="309"/>
      <c r="L81" s="309">
        <f>K81*10%</f>
        <v>0</v>
      </c>
      <c r="M81" s="309"/>
      <c r="N81" s="309">
        <f>L81+M81</f>
        <v>0</v>
      </c>
      <c r="O81" s="309">
        <f>L81-P81</f>
        <v>0</v>
      </c>
      <c r="P81" s="309">
        <f>N81</f>
        <v>0</v>
      </c>
      <c r="Q81" s="309">
        <f>M81</f>
        <v>0</v>
      </c>
      <c r="R81" s="307">
        <f>SUM(R82:R83)</f>
        <v>43627.206969981591</v>
      </c>
      <c r="S81" s="307">
        <f t="shared" ref="S81:T81" si="60">SUM(S82:S83)</f>
        <v>0</v>
      </c>
      <c r="T81" s="307">
        <f t="shared" si="60"/>
        <v>43627.206969981591</v>
      </c>
    </row>
    <row r="82" spans="1:20" ht="27.75" customHeight="1">
      <c r="A82" s="325" t="s">
        <v>489</v>
      </c>
      <c r="B82" s="164" t="s">
        <v>490</v>
      </c>
      <c r="C82" s="320" t="s">
        <v>444</v>
      </c>
      <c r="D82" s="306">
        <f t="shared" si="58"/>
        <v>40375.063905501593</v>
      </c>
      <c r="E82" s="306">
        <f t="shared" ref="E82:G83" si="61">E101+E120+E139+E158+E177+E196+E215+E234+E253+E272</f>
        <v>40375.063905501593</v>
      </c>
      <c r="F82" s="306">
        <f t="shared" si="61"/>
        <v>0</v>
      </c>
      <c r="G82" s="306">
        <f t="shared" si="61"/>
        <v>0</v>
      </c>
      <c r="H82" s="307">
        <f t="shared" si="59"/>
        <v>40375.063905501593</v>
      </c>
      <c r="I82" s="309"/>
      <c r="J82" s="309"/>
      <c r="K82" s="309"/>
      <c r="L82" s="309"/>
      <c r="M82" s="309"/>
      <c r="N82" s="309"/>
      <c r="O82" s="309"/>
      <c r="P82" s="309"/>
      <c r="Q82" s="309"/>
      <c r="R82" s="307">
        <f>D82-N82</f>
        <v>40375.063905501593</v>
      </c>
      <c r="S82" s="306">
        <f t="shared" ref="S82:T82" si="62">S101+S120+S139+S158+S177+S196+S215+S234+S253+S272</f>
        <v>-981.53</v>
      </c>
      <c r="T82" s="307">
        <f t="shared" si="62"/>
        <v>39393.533905501594</v>
      </c>
    </row>
    <row r="83" spans="1:20" ht="27.75" customHeight="1">
      <c r="A83" s="325" t="s">
        <v>489</v>
      </c>
      <c r="B83" s="164" t="s">
        <v>305</v>
      </c>
      <c r="C83" s="320" t="s">
        <v>478</v>
      </c>
      <c r="D83" s="306">
        <f t="shared" si="58"/>
        <v>3252.1430644799993</v>
      </c>
      <c r="E83" s="306">
        <f t="shared" si="61"/>
        <v>0</v>
      </c>
      <c r="F83" s="306">
        <f t="shared" si="61"/>
        <v>0</v>
      </c>
      <c r="G83" s="306">
        <f t="shared" si="61"/>
        <v>3252.1430644799993</v>
      </c>
      <c r="H83" s="307">
        <f t="shared" si="59"/>
        <v>3252.1430644799993</v>
      </c>
      <c r="I83" s="309"/>
      <c r="J83" s="309"/>
      <c r="K83" s="309"/>
      <c r="L83" s="309"/>
      <c r="M83" s="309"/>
      <c r="N83" s="309"/>
      <c r="O83" s="309"/>
      <c r="P83" s="309"/>
      <c r="Q83" s="309"/>
      <c r="R83" s="307">
        <f>D83-N83</f>
        <v>3252.1430644799993</v>
      </c>
      <c r="S83" s="306">
        <f t="shared" ref="S83:T83" si="63">S102+S121+S140+S159+S178+S197+S216+S235+S254+S273</f>
        <v>981.53</v>
      </c>
      <c r="T83" s="307">
        <f t="shared" si="63"/>
        <v>4233.67306448</v>
      </c>
    </row>
    <row r="84" spans="1:20" ht="27.75" customHeight="1">
      <c r="A84" s="304" t="s">
        <v>438</v>
      </c>
      <c r="B84" s="166" t="s">
        <v>278</v>
      </c>
      <c r="C84" s="320" t="s">
        <v>444</v>
      </c>
      <c r="D84" s="306">
        <f t="shared" si="58"/>
        <v>9076.8014501304024</v>
      </c>
      <c r="E84" s="306">
        <f>SUM(E85:E86)</f>
        <v>9076.8014501304024</v>
      </c>
      <c r="F84" s="306">
        <f>SUM(F85:F86)</f>
        <v>0</v>
      </c>
      <c r="G84" s="306">
        <f>SUM(G85:G86)</f>
        <v>0</v>
      </c>
      <c r="H84" s="307">
        <f t="shared" si="59"/>
        <v>9076.8014501304024</v>
      </c>
      <c r="I84" s="309"/>
      <c r="J84" s="309"/>
      <c r="K84" s="309"/>
      <c r="L84" s="309">
        <f>K84*10%</f>
        <v>0</v>
      </c>
      <c r="M84" s="309"/>
      <c r="N84" s="309">
        <f>L84+M84</f>
        <v>0</v>
      </c>
      <c r="O84" s="309">
        <f>L84-P84</f>
        <v>0</v>
      </c>
      <c r="P84" s="309">
        <f>N84</f>
        <v>0</v>
      </c>
      <c r="Q84" s="309">
        <f>M84</f>
        <v>0</v>
      </c>
      <c r="R84" s="307">
        <f>SUM(R85:R86)</f>
        <v>9076.8014501304024</v>
      </c>
      <c r="S84" s="307">
        <f t="shared" ref="S84:T84" si="64">SUM(S85:S86)</f>
        <v>0</v>
      </c>
      <c r="T84" s="307">
        <f t="shared" si="64"/>
        <v>9076.8014501304006</v>
      </c>
    </row>
    <row r="85" spans="1:20" ht="27.75" customHeight="1">
      <c r="A85" s="325" t="s">
        <v>489</v>
      </c>
      <c r="B85" s="166" t="s">
        <v>491</v>
      </c>
      <c r="C85" s="320" t="s">
        <v>444</v>
      </c>
      <c r="D85" s="306">
        <f t="shared" si="58"/>
        <v>8400.1810810104016</v>
      </c>
      <c r="E85" s="306">
        <f>E104+E123+E142+E161+E180+E199+E218+E237+E256+E275</f>
        <v>8400.1810810104016</v>
      </c>
      <c r="F85" s="306"/>
      <c r="G85" s="306"/>
      <c r="H85" s="307">
        <f t="shared" si="59"/>
        <v>8400.1810810104016</v>
      </c>
      <c r="I85" s="309"/>
      <c r="J85" s="309"/>
      <c r="K85" s="309"/>
      <c r="L85" s="309"/>
      <c r="M85" s="309"/>
      <c r="N85" s="309"/>
      <c r="O85" s="309"/>
      <c r="P85" s="309"/>
      <c r="Q85" s="309"/>
      <c r="R85" s="307">
        <f>D85-N85</f>
        <v>8400.1810810104016</v>
      </c>
      <c r="S85" s="306">
        <f t="shared" ref="S85:T85" si="65">S104+S123+S142+S161+S180+S199+S218+S237+S256+S275</f>
        <v>-204.20999999999998</v>
      </c>
      <c r="T85" s="307">
        <f t="shared" si="65"/>
        <v>8195.9710810104007</v>
      </c>
    </row>
    <row r="86" spans="1:20" ht="27.75" customHeight="1">
      <c r="A86" s="325" t="s">
        <v>489</v>
      </c>
      <c r="B86" s="164" t="s">
        <v>492</v>
      </c>
      <c r="C86" s="320" t="s">
        <v>444</v>
      </c>
      <c r="D86" s="306">
        <f t="shared" si="58"/>
        <v>676.62036912000008</v>
      </c>
      <c r="E86" s="306">
        <f>E105+E124+E143+E162+E181+E200+E219+E238+E257+E276</f>
        <v>676.62036912000008</v>
      </c>
      <c r="F86" s="306"/>
      <c r="G86" s="306"/>
      <c r="H86" s="307">
        <f t="shared" si="59"/>
        <v>676.62036912000008</v>
      </c>
      <c r="I86" s="309"/>
      <c r="J86" s="309"/>
      <c r="K86" s="309"/>
      <c r="L86" s="309"/>
      <c r="M86" s="309"/>
      <c r="N86" s="309"/>
      <c r="O86" s="309"/>
      <c r="P86" s="309"/>
      <c r="Q86" s="309"/>
      <c r="R86" s="307">
        <f>D86-N86</f>
        <v>676.62036912000008</v>
      </c>
      <c r="S86" s="306">
        <f t="shared" ref="S86:T86" si="66">S105+S124+S143+S162+S181+S200+S219+S238+S257+S276</f>
        <v>204.20999999999998</v>
      </c>
      <c r="T86" s="307">
        <f t="shared" si="66"/>
        <v>880.83036912000011</v>
      </c>
    </row>
    <row r="87" spans="1:20" ht="27.75" customHeight="1">
      <c r="A87" s="325" t="s">
        <v>438</v>
      </c>
      <c r="B87" s="164" t="s">
        <v>483</v>
      </c>
      <c r="C87" s="320"/>
      <c r="D87" s="306">
        <f t="shared" si="58"/>
        <v>-840.81600000000003</v>
      </c>
      <c r="E87" s="306">
        <f>E106+E125+E144+E163+E182+E201+E220+E239+E258+E277</f>
        <v>-840.81600000000003</v>
      </c>
      <c r="F87" s="306"/>
      <c r="G87" s="306"/>
      <c r="H87" s="307">
        <f t="shared" si="59"/>
        <v>-840.81600000000003</v>
      </c>
      <c r="I87" s="309"/>
      <c r="J87" s="309"/>
      <c r="K87" s="309"/>
      <c r="L87" s="309"/>
      <c r="M87" s="309"/>
      <c r="N87" s="309"/>
      <c r="O87" s="309"/>
      <c r="P87" s="309"/>
      <c r="Q87" s="309"/>
      <c r="R87" s="307">
        <f>D87-N87</f>
        <v>-840.81600000000003</v>
      </c>
      <c r="S87" s="307"/>
      <c r="T87" s="307">
        <f>T106+T125+T144+T163+T182+T201+T220+T239+T258+T277</f>
        <v>-840.81600000000003</v>
      </c>
    </row>
    <row r="88" spans="1:20" s="311" customFormat="1" ht="27.75" customHeight="1">
      <c r="A88" s="304" t="s">
        <v>438</v>
      </c>
      <c r="B88" s="166" t="s">
        <v>452</v>
      </c>
      <c r="C88" s="320" t="s">
        <v>488</v>
      </c>
      <c r="D88" s="306">
        <f>E88+G88</f>
        <v>-643.76948770555771</v>
      </c>
      <c r="E88" s="306">
        <f>-L89</f>
        <v>-643.76948770555771</v>
      </c>
      <c r="F88" s="306"/>
      <c r="G88" s="306"/>
      <c r="H88" s="307">
        <f t="shared" si="59"/>
        <v>-643.76948770555771</v>
      </c>
      <c r="I88" s="308"/>
      <c r="J88" s="308"/>
      <c r="K88" s="308"/>
      <c r="L88" s="309">
        <f>K88*10%</f>
        <v>0</v>
      </c>
      <c r="M88" s="309"/>
      <c r="N88" s="309">
        <f>L88+M88</f>
        <v>0</v>
      </c>
      <c r="O88" s="309">
        <f>L88-P88</f>
        <v>0</v>
      </c>
      <c r="P88" s="309">
        <f>N88</f>
        <v>0</v>
      </c>
      <c r="Q88" s="309">
        <f>M88</f>
        <v>0</v>
      </c>
      <c r="R88" s="307"/>
      <c r="S88" s="306"/>
      <c r="T88" s="307"/>
    </row>
    <row r="89" spans="1:20" ht="26.25" customHeight="1">
      <c r="A89" s="304" t="s">
        <v>438</v>
      </c>
      <c r="B89" s="166" t="s">
        <v>412</v>
      </c>
      <c r="C89" s="320" t="s">
        <v>488</v>
      </c>
      <c r="D89" s="306">
        <f>SUM(E89:G89)</f>
        <v>6437.6948770555773</v>
      </c>
      <c r="E89" s="306">
        <f>SUM(E90:E91)</f>
        <v>5863.78727744146</v>
      </c>
      <c r="F89" s="306">
        <f>SUM(F90:F91)</f>
        <v>0</v>
      </c>
      <c r="G89" s="306">
        <f>SUM(G90:G91)</f>
        <v>573.90759961411777</v>
      </c>
      <c r="H89" s="309"/>
      <c r="I89" s="309"/>
      <c r="J89" s="309"/>
      <c r="K89" s="309">
        <f>SUM(K90:K91)</f>
        <v>6437.6948770555773</v>
      </c>
      <c r="L89" s="309">
        <f>SUM(L90:L91)</f>
        <v>643.76948770555771</v>
      </c>
      <c r="M89" s="309"/>
      <c r="N89" s="309">
        <f>L89+M89</f>
        <v>643.76948770555771</v>
      </c>
      <c r="O89" s="309">
        <f>N89</f>
        <v>643.76948770555771</v>
      </c>
      <c r="P89" s="309">
        <f>N89-O89</f>
        <v>0</v>
      </c>
      <c r="Q89" s="309">
        <f>M89</f>
        <v>0</v>
      </c>
      <c r="R89" s="307">
        <f>D89-N89</f>
        <v>5793.9253893500199</v>
      </c>
      <c r="S89" s="307">
        <f>SUM(S90:S91)</f>
        <v>0</v>
      </c>
      <c r="T89" s="307">
        <f>SUM(T90:T91)</f>
        <v>1292.5204173537886</v>
      </c>
    </row>
    <row r="90" spans="1:20" ht="31.5">
      <c r="A90" s="325" t="s">
        <v>489</v>
      </c>
      <c r="B90" s="166" t="s">
        <v>493</v>
      </c>
      <c r="C90" s="320" t="s">
        <v>444</v>
      </c>
      <c r="D90" s="306">
        <f>SUM(E90:G90)</f>
        <v>5863.78727744146</v>
      </c>
      <c r="E90" s="306">
        <f t="shared" ref="E90:G91" si="67">E109+E128+E147+E166+E185+E204+E223+E242+E261+E280</f>
        <v>5863.78727744146</v>
      </c>
      <c r="F90" s="306">
        <f t="shared" si="67"/>
        <v>0</v>
      </c>
      <c r="G90" s="306">
        <f t="shared" si="67"/>
        <v>0</v>
      </c>
      <c r="H90" s="309"/>
      <c r="I90" s="309"/>
      <c r="J90" s="309"/>
      <c r="K90" s="309">
        <f>D90</f>
        <v>5863.78727744146</v>
      </c>
      <c r="L90" s="309">
        <f>K90*10%</f>
        <v>586.37872774414598</v>
      </c>
      <c r="M90" s="309"/>
      <c r="N90" s="309"/>
      <c r="O90" s="309"/>
      <c r="P90" s="309"/>
      <c r="Q90" s="309"/>
      <c r="R90" s="307"/>
      <c r="S90" s="306">
        <f t="shared" ref="S90:T90" si="68">S109+S128+S147+S166+S185+S204+S223+S242+S261+S280</f>
        <v>-173.2</v>
      </c>
      <c r="T90" s="307">
        <f t="shared" si="68"/>
        <v>1194.3786803184944</v>
      </c>
    </row>
    <row r="91" spans="1:20" ht="33" customHeight="1">
      <c r="A91" s="325" t="s">
        <v>489</v>
      </c>
      <c r="B91" s="164" t="s">
        <v>494</v>
      </c>
      <c r="C91" s="320" t="s">
        <v>478</v>
      </c>
      <c r="D91" s="306">
        <f>SUM(E91:G91)</f>
        <v>573.90759961411777</v>
      </c>
      <c r="E91" s="306">
        <f t="shared" si="67"/>
        <v>0</v>
      </c>
      <c r="F91" s="306">
        <f t="shared" si="67"/>
        <v>0</v>
      </c>
      <c r="G91" s="306">
        <f t="shared" si="67"/>
        <v>573.90759961411777</v>
      </c>
      <c r="H91" s="309"/>
      <c r="I91" s="309"/>
      <c r="J91" s="309"/>
      <c r="K91" s="309">
        <f>D91</f>
        <v>573.90759961411777</v>
      </c>
      <c r="L91" s="309">
        <f>K91*10%</f>
        <v>57.390759961411781</v>
      </c>
      <c r="M91" s="309"/>
      <c r="N91" s="309"/>
      <c r="O91" s="309"/>
      <c r="P91" s="309"/>
      <c r="Q91" s="309"/>
      <c r="R91" s="307"/>
      <c r="S91" s="306">
        <f t="shared" ref="S91:T91" si="69">S110+S129+S148+S167+S186+S205+S224+S243+S262+S281</f>
        <v>173.2</v>
      </c>
      <c r="T91" s="307">
        <f t="shared" si="69"/>
        <v>98.141737035294113</v>
      </c>
    </row>
    <row r="92" spans="1:20" ht="30" customHeight="1">
      <c r="A92" s="303" t="s">
        <v>481</v>
      </c>
      <c r="B92" s="326" t="s">
        <v>485</v>
      </c>
      <c r="C92" s="320" t="s">
        <v>488</v>
      </c>
      <c r="D92" s="307">
        <f>E92+G92+F92</f>
        <v>5164.6532330769242</v>
      </c>
      <c r="E92" s="307">
        <f t="shared" ref="E92:T92" si="70">SUM(E93:E97)</f>
        <v>4780.6400000000012</v>
      </c>
      <c r="F92" s="307">
        <f t="shared" si="70"/>
        <v>0</v>
      </c>
      <c r="G92" s="307">
        <f t="shared" si="70"/>
        <v>384.01323307692314</v>
      </c>
      <c r="H92" s="307">
        <f t="shared" si="70"/>
        <v>0</v>
      </c>
      <c r="I92" s="307">
        <f t="shared" si="70"/>
        <v>5164.6532330769242</v>
      </c>
      <c r="J92" s="307">
        <f t="shared" si="70"/>
        <v>0</v>
      </c>
      <c r="K92" s="307">
        <f t="shared" si="70"/>
        <v>0</v>
      </c>
      <c r="L92" s="307">
        <f t="shared" si="70"/>
        <v>0</v>
      </c>
      <c r="M92" s="307">
        <f t="shared" si="70"/>
        <v>0</v>
      </c>
      <c r="N92" s="307">
        <f t="shared" si="70"/>
        <v>0</v>
      </c>
      <c r="O92" s="307">
        <f t="shared" si="70"/>
        <v>0</v>
      </c>
      <c r="P92" s="307">
        <f t="shared" si="70"/>
        <v>0</v>
      </c>
      <c r="Q92" s="307">
        <f t="shared" si="70"/>
        <v>0</v>
      </c>
      <c r="R92" s="307">
        <f t="shared" si="70"/>
        <v>5164.6532330769242</v>
      </c>
      <c r="S92" s="307">
        <f t="shared" si="70"/>
        <v>0</v>
      </c>
      <c r="T92" s="307">
        <f t="shared" si="70"/>
        <v>5164.6532330769232</v>
      </c>
    </row>
    <row r="93" spans="1:20" ht="30" customHeight="1">
      <c r="A93" s="325" t="s">
        <v>438</v>
      </c>
      <c r="B93" s="166" t="s">
        <v>280</v>
      </c>
      <c r="C93" s="320" t="s">
        <v>444</v>
      </c>
      <c r="D93" s="306">
        <f>E93+G93</f>
        <v>887.04000000000019</v>
      </c>
      <c r="E93" s="306">
        <f t="shared" ref="E93:G97" si="71">E112+E131+E150+E169+E188+E207+E226+E245+E264+E283</f>
        <v>887.04000000000019</v>
      </c>
      <c r="F93" s="306">
        <f t="shared" si="71"/>
        <v>0</v>
      </c>
      <c r="G93" s="306">
        <f t="shared" si="71"/>
        <v>0</v>
      </c>
      <c r="H93" s="309"/>
      <c r="I93" s="309">
        <f>D93</f>
        <v>887.04000000000019</v>
      </c>
      <c r="J93" s="309"/>
      <c r="K93" s="309"/>
      <c r="L93" s="309">
        <f>K93*10%</f>
        <v>0</v>
      </c>
      <c r="M93" s="309"/>
      <c r="N93" s="309">
        <f>L93+M93</f>
        <v>0</v>
      </c>
      <c r="O93" s="309">
        <f>N93</f>
        <v>0</v>
      </c>
      <c r="P93" s="309">
        <f>N93-O93</f>
        <v>0</v>
      </c>
      <c r="Q93" s="309">
        <f>M93</f>
        <v>0</v>
      </c>
      <c r="R93" s="307">
        <f>D93-N93</f>
        <v>887.04000000000019</v>
      </c>
      <c r="S93" s="306">
        <f t="shared" ref="S93:T93" si="72">S112+S131+S150+S169+S188+S207+S226+S245+S264+S283</f>
        <v>0</v>
      </c>
      <c r="T93" s="307">
        <f t="shared" si="72"/>
        <v>887.04000000000019</v>
      </c>
    </row>
    <row r="94" spans="1:20" ht="30" customHeight="1">
      <c r="A94" s="325" t="s">
        <v>438</v>
      </c>
      <c r="B94" s="166" t="s">
        <v>287</v>
      </c>
      <c r="C94" s="320" t="s">
        <v>488</v>
      </c>
      <c r="D94" s="306">
        <f>E94+G94+F94</f>
        <v>4230.7200000000012</v>
      </c>
      <c r="E94" s="306">
        <f t="shared" si="71"/>
        <v>3874.7200000000012</v>
      </c>
      <c r="F94" s="306">
        <f t="shared" si="71"/>
        <v>0</v>
      </c>
      <c r="G94" s="306">
        <f t="shared" si="71"/>
        <v>356.00000000000006</v>
      </c>
      <c r="H94" s="309"/>
      <c r="I94" s="309">
        <f>D94</f>
        <v>4230.7200000000012</v>
      </c>
      <c r="J94" s="309"/>
      <c r="K94" s="309"/>
      <c r="L94" s="309">
        <f>K94*10%</f>
        <v>0</v>
      </c>
      <c r="M94" s="309"/>
      <c r="N94" s="309">
        <f>L94+M94</f>
        <v>0</v>
      </c>
      <c r="O94" s="309">
        <f>N94</f>
        <v>0</v>
      </c>
      <c r="P94" s="309">
        <f>N94-O94</f>
        <v>0</v>
      </c>
      <c r="Q94" s="309">
        <f>M94</f>
        <v>0</v>
      </c>
      <c r="R94" s="307">
        <f>D94-N94</f>
        <v>4230.7200000000012</v>
      </c>
      <c r="S94" s="306">
        <f t="shared" ref="S94:T94" si="73">S113+S132+S151+S170+S189+S208+S227+S246+S265+S284</f>
        <v>0</v>
      </c>
      <c r="T94" s="307">
        <f t="shared" si="73"/>
        <v>4230.72</v>
      </c>
    </row>
    <row r="95" spans="1:20" ht="39" customHeight="1">
      <c r="A95" s="325" t="s">
        <v>438</v>
      </c>
      <c r="B95" s="166" t="s">
        <v>308</v>
      </c>
      <c r="C95" s="320" t="s">
        <v>488</v>
      </c>
      <c r="D95" s="306">
        <f>E95+G95</f>
        <v>25.92</v>
      </c>
      <c r="E95" s="306">
        <f t="shared" si="71"/>
        <v>18.880000000000003</v>
      </c>
      <c r="F95" s="306">
        <f t="shared" si="71"/>
        <v>0</v>
      </c>
      <c r="G95" s="306">
        <f t="shared" si="71"/>
        <v>7.04</v>
      </c>
      <c r="H95" s="309"/>
      <c r="I95" s="309">
        <f>D95</f>
        <v>25.92</v>
      </c>
      <c r="J95" s="309"/>
      <c r="K95" s="309"/>
      <c r="L95" s="309">
        <f>K95*10%</f>
        <v>0</v>
      </c>
      <c r="M95" s="309"/>
      <c r="N95" s="309">
        <f>L95+M95</f>
        <v>0</v>
      </c>
      <c r="O95" s="309">
        <f>N95</f>
        <v>0</v>
      </c>
      <c r="P95" s="309">
        <f>N95-O95</f>
        <v>0</v>
      </c>
      <c r="Q95" s="309">
        <f>M95</f>
        <v>0</v>
      </c>
      <c r="R95" s="307">
        <f>D95-N95</f>
        <v>25.92</v>
      </c>
      <c r="S95" s="306">
        <f t="shared" ref="S95:T95" si="74">S114+S133+S152+S171+S190+S209+S228+S247+S266+S285</f>
        <v>0</v>
      </c>
      <c r="T95" s="307">
        <f t="shared" si="74"/>
        <v>25.92</v>
      </c>
    </row>
    <row r="96" spans="1:20" ht="36" customHeight="1">
      <c r="A96" s="325" t="s">
        <v>438</v>
      </c>
      <c r="B96" s="166" t="s">
        <v>495</v>
      </c>
      <c r="C96" s="320" t="s">
        <v>488</v>
      </c>
      <c r="D96" s="306">
        <f>E96+G96</f>
        <v>0</v>
      </c>
      <c r="E96" s="306">
        <f t="shared" si="71"/>
        <v>0</v>
      </c>
      <c r="F96" s="306">
        <f t="shared" si="71"/>
        <v>0</v>
      </c>
      <c r="G96" s="306">
        <f t="shared" si="71"/>
        <v>0</v>
      </c>
      <c r="H96" s="309"/>
      <c r="I96" s="309">
        <f>D96</f>
        <v>0</v>
      </c>
      <c r="J96" s="309"/>
      <c r="K96" s="309"/>
      <c r="L96" s="309">
        <f>K96*10%</f>
        <v>0</v>
      </c>
      <c r="M96" s="309"/>
      <c r="N96" s="309">
        <f>L96+M96</f>
        <v>0</v>
      </c>
      <c r="O96" s="309">
        <f>N96</f>
        <v>0</v>
      </c>
      <c r="P96" s="309">
        <f>N96-O96</f>
        <v>0</v>
      </c>
      <c r="Q96" s="309">
        <f>M96</f>
        <v>0</v>
      </c>
      <c r="R96" s="307">
        <f>D96-N96</f>
        <v>0</v>
      </c>
      <c r="S96" s="306">
        <f t="shared" ref="S96:T96" si="75">S115+S134+S153+S172+S191+S210+S229+S248+S267+S286</f>
        <v>0</v>
      </c>
      <c r="T96" s="307">
        <f t="shared" si="75"/>
        <v>0</v>
      </c>
    </row>
    <row r="97" spans="1:20" ht="26.25" customHeight="1">
      <c r="A97" s="325" t="s">
        <v>438</v>
      </c>
      <c r="B97" s="166" t="s">
        <v>309</v>
      </c>
      <c r="C97" s="320" t="s">
        <v>478</v>
      </c>
      <c r="D97" s="306">
        <f>E97+G97</f>
        <v>20.97323307692308</v>
      </c>
      <c r="E97" s="306">
        <f t="shared" si="71"/>
        <v>0</v>
      </c>
      <c r="F97" s="306">
        <f t="shared" si="71"/>
        <v>0</v>
      </c>
      <c r="G97" s="306">
        <f t="shared" si="71"/>
        <v>20.97323307692308</v>
      </c>
      <c r="H97" s="309"/>
      <c r="I97" s="309">
        <f>D97</f>
        <v>20.97323307692308</v>
      </c>
      <c r="J97" s="309"/>
      <c r="K97" s="309"/>
      <c r="L97" s="309">
        <f>K97*10%</f>
        <v>0</v>
      </c>
      <c r="M97" s="309"/>
      <c r="N97" s="309">
        <f>L97+M97</f>
        <v>0</v>
      </c>
      <c r="O97" s="309">
        <f>N97</f>
        <v>0</v>
      </c>
      <c r="P97" s="309">
        <f>N97-O97</f>
        <v>0</v>
      </c>
      <c r="Q97" s="309">
        <f>M97</f>
        <v>0</v>
      </c>
      <c r="R97" s="307">
        <f>D97-N97</f>
        <v>20.97323307692308</v>
      </c>
      <c r="S97" s="306">
        <f t="shared" ref="S97:T97" si="76">S116+S135+S154+S173+S192+S211+S230+S249+S268+S287</f>
        <v>0</v>
      </c>
      <c r="T97" s="307">
        <f t="shared" si="76"/>
        <v>20.97323307692308</v>
      </c>
    </row>
    <row r="98" spans="1:20" s="328" customFormat="1" ht="27.75" customHeight="1">
      <c r="A98" s="320">
        <v>1</v>
      </c>
      <c r="B98" s="321" t="s">
        <v>497</v>
      </c>
      <c r="C98" s="320" t="s">
        <v>488</v>
      </c>
      <c r="D98" s="322">
        <f>D99+D111</f>
        <v>7811.9993232052902</v>
      </c>
      <c r="E98" s="322">
        <f t="shared" ref="E98:Q98" si="77">E99+E111</f>
        <v>7583.8937962876435</v>
      </c>
      <c r="F98" s="322">
        <f t="shared" si="77"/>
        <v>0</v>
      </c>
      <c r="G98" s="322">
        <f t="shared" si="77"/>
        <v>228.10552691764707</v>
      </c>
      <c r="H98" s="322">
        <f t="shared" si="77"/>
        <v>6679.7593351994083</v>
      </c>
      <c r="I98" s="322">
        <f t="shared" si="77"/>
        <v>331.65</v>
      </c>
      <c r="J98" s="322">
        <f t="shared" si="77"/>
        <v>0</v>
      </c>
      <c r="K98" s="322">
        <f t="shared" si="77"/>
        <v>800.58998800588222</v>
      </c>
      <c r="L98" s="322">
        <f t="shared" si="77"/>
        <v>80.058998800588228</v>
      </c>
      <c r="M98" s="322">
        <f t="shared" si="77"/>
        <v>0</v>
      </c>
      <c r="N98" s="322">
        <f t="shared" si="77"/>
        <v>80.058998800588228</v>
      </c>
      <c r="O98" s="322">
        <f t="shared" si="77"/>
        <v>80.058998800588228</v>
      </c>
      <c r="P98" s="322">
        <f t="shared" si="77"/>
        <v>0</v>
      </c>
      <c r="Q98" s="322">
        <f t="shared" si="77"/>
        <v>0</v>
      </c>
      <c r="R98" s="322">
        <f>R99+R111</f>
        <v>7811.9993232052902</v>
      </c>
      <c r="S98" s="322">
        <f t="shared" ref="S98" si="78">S99+S111</f>
        <v>0</v>
      </c>
      <c r="T98" s="322">
        <f>T99+T111</f>
        <v>7811.9993232052902</v>
      </c>
    </row>
    <row r="99" spans="1:20" ht="27.75" customHeight="1">
      <c r="A99" s="303" t="s">
        <v>481</v>
      </c>
      <c r="B99" s="323" t="s">
        <v>482</v>
      </c>
      <c r="C99" s="320" t="s">
        <v>488</v>
      </c>
      <c r="D99" s="307">
        <f>D100+D103+D106+D107+D108</f>
        <v>7480.3493232052906</v>
      </c>
      <c r="E99" s="307">
        <f t="shared" ref="E99:Q99" si="79">E100+E103+E106+E107+E108</f>
        <v>7270.5537962876433</v>
      </c>
      <c r="F99" s="307">
        <f t="shared" si="79"/>
        <v>0</v>
      </c>
      <c r="G99" s="307">
        <f t="shared" si="79"/>
        <v>209.79552691764707</v>
      </c>
      <c r="H99" s="307">
        <f t="shared" si="79"/>
        <v>6679.7593351994083</v>
      </c>
      <c r="I99" s="307">
        <f t="shared" si="79"/>
        <v>0</v>
      </c>
      <c r="J99" s="307">
        <f t="shared" si="79"/>
        <v>0</v>
      </c>
      <c r="K99" s="307">
        <f t="shared" si="79"/>
        <v>800.58998800588222</v>
      </c>
      <c r="L99" s="307">
        <f t="shared" si="79"/>
        <v>80.058998800588228</v>
      </c>
      <c r="M99" s="307">
        <f t="shared" si="79"/>
        <v>0</v>
      </c>
      <c r="N99" s="307">
        <f t="shared" si="79"/>
        <v>80.058998800588228</v>
      </c>
      <c r="O99" s="307">
        <f t="shared" si="79"/>
        <v>80.058998800588228</v>
      </c>
      <c r="P99" s="307">
        <f t="shared" si="79"/>
        <v>0</v>
      </c>
      <c r="Q99" s="307">
        <f t="shared" si="79"/>
        <v>0</v>
      </c>
      <c r="R99" s="307">
        <f>R100+R103+R106+R107+R108</f>
        <v>7480.3493232052906</v>
      </c>
      <c r="S99" s="307">
        <f t="shared" ref="S99:T99" si="80">S100+S103+S106+S107+S108</f>
        <v>0</v>
      </c>
      <c r="T99" s="307">
        <f t="shared" si="80"/>
        <v>7480.3493232052906</v>
      </c>
    </row>
    <row r="100" spans="1:20" ht="27.75" customHeight="1">
      <c r="A100" s="325" t="s">
        <v>438</v>
      </c>
      <c r="B100" s="164" t="s">
        <v>277</v>
      </c>
      <c r="C100" s="320" t="s">
        <v>488</v>
      </c>
      <c r="D100" s="306">
        <f t="shared" ref="D100:D106" si="81">SUM(E100:G100)</f>
        <v>5709.8805986999969</v>
      </c>
      <c r="E100" s="306">
        <f>SUM(E101:E102)</f>
        <v>5531.5544008199968</v>
      </c>
      <c r="F100" s="306">
        <f>SUM(F101:F102)</f>
        <v>0</v>
      </c>
      <c r="G100" s="306">
        <f>SUM(G101:G102)</f>
        <v>178.32619788</v>
      </c>
      <c r="H100" s="307">
        <f>D100</f>
        <v>5709.8805986999969</v>
      </c>
      <c r="I100" s="309"/>
      <c r="J100" s="309"/>
      <c r="K100" s="309"/>
      <c r="L100" s="309">
        <f>K100*10%</f>
        <v>0</v>
      </c>
      <c r="M100" s="309"/>
      <c r="N100" s="309">
        <f>L100+M100</f>
        <v>0</v>
      </c>
      <c r="O100" s="309">
        <f>L100-P100</f>
        <v>0</v>
      </c>
      <c r="P100" s="309">
        <f>N100</f>
        <v>0</v>
      </c>
      <c r="Q100" s="309">
        <f>M100</f>
        <v>0</v>
      </c>
      <c r="R100" s="307">
        <f>SUM(R101:R102)</f>
        <v>5709.8805986999969</v>
      </c>
      <c r="S100" s="307">
        <f t="shared" ref="S100:T100" si="82">SUM(S101:S102)</f>
        <v>0</v>
      </c>
      <c r="T100" s="307">
        <f t="shared" si="82"/>
        <v>5709.8805986999969</v>
      </c>
    </row>
    <row r="101" spans="1:20" ht="27.75" customHeight="1">
      <c r="A101" s="325" t="s">
        <v>489</v>
      </c>
      <c r="B101" s="164" t="s">
        <v>490</v>
      </c>
      <c r="C101" s="320" t="s">
        <v>444</v>
      </c>
      <c r="D101" s="306">
        <f t="shared" si="81"/>
        <v>5531.5544008199968</v>
      </c>
      <c r="E101" s="306">
        <f>'[2] TL giao BC '!T11</f>
        <v>5531.5544008199968</v>
      </c>
      <c r="F101" s="306"/>
      <c r="G101" s="306"/>
      <c r="H101" s="307">
        <f t="shared" ref="H101:H107" si="83">D101</f>
        <v>5531.5544008199968</v>
      </c>
      <c r="I101" s="309"/>
      <c r="J101" s="309"/>
      <c r="K101" s="309"/>
      <c r="L101" s="309"/>
      <c r="M101" s="309"/>
      <c r="N101" s="309"/>
      <c r="O101" s="309"/>
      <c r="P101" s="309"/>
      <c r="Q101" s="309"/>
      <c r="R101" s="307">
        <f>D101-N101</f>
        <v>5531.5544008199968</v>
      </c>
      <c r="S101" s="307">
        <v>104.24</v>
      </c>
      <c r="T101" s="307">
        <f>R101+S101</f>
        <v>5635.7944008199966</v>
      </c>
    </row>
    <row r="102" spans="1:20" ht="27.75" customHeight="1">
      <c r="A102" s="325" t="s">
        <v>489</v>
      </c>
      <c r="B102" s="164" t="s">
        <v>305</v>
      </c>
      <c r="C102" s="320" t="s">
        <v>478</v>
      </c>
      <c r="D102" s="306">
        <f t="shared" si="81"/>
        <v>178.32619788</v>
      </c>
      <c r="E102" s="306"/>
      <c r="F102" s="306"/>
      <c r="G102" s="306">
        <f>'[2] TL giao BC tăng thêm'!T10</f>
        <v>178.32619788</v>
      </c>
      <c r="H102" s="307">
        <f t="shared" si="83"/>
        <v>178.32619788</v>
      </c>
      <c r="I102" s="309"/>
      <c r="J102" s="309"/>
      <c r="K102" s="309"/>
      <c r="L102" s="309"/>
      <c r="M102" s="309"/>
      <c r="N102" s="309"/>
      <c r="O102" s="309"/>
      <c r="P102" s="309"/>
      <c r="Q102" s="309"/>
      <c r="R102" s="307">
        <f>D102-N102</f>
        <v>178.32619788</v>
      </c>
      <c r="S102" s="307">
        <v>-104.24</v>
      </c>
      <c r="T102" s="307">
        <f>R102+S102</f>
        <v>74.08619788</v>
      </c>
    </row>
    <row r="103" spans="1:20" ht="27.75" customHeight="1">
      <c r="A103" s="304" t="s">
        <v>438</v>
      </c>
      <c r="B103" s="166" t="s">
        <v>278</v>
      </c>
      <c r="C103" s="320" t="s">
        <v>444</v>
      </c>
      <c r="D103" s="306">
        <f t="shared" si="81"/>
        <v>1187.9617353000001</v>
      </c>
      <c r="E103" s="306">
        <f>SUM(E104:E105)</f>
        <v>1187.9617353000001</v>
      </c>
      <c r="F103" s="306">
        <f>SUM(F104:F105)</f>
        <v>0</v>
      </c>
      <c r="G103" s="306">
        <f>SUM(G104:G105)</f>
        <v>0</v>
      </c>
      <c r="H103" s="307">
        <f t="shared" si="83"/>
        <v>1187.9617353000001</v>
      </c>
      <c r="I103" s="309"/>
      <c r="J103" s="309"/>
      <c r="K103" s="309"/>
      <c r="L103" s="309">
        <f>K103*10%</f>
        <v>0</v>
      </c>
      <c r="M103" s="309"/>
      <c r="N103" s="309">
        <f>L103+M103</f>
        <v>0</v>
      </c>
      <c r="O103" s="309">
        <f>L103-P103</f>
        <v>0</v>
      </c>
      <c r="P103" s="309">
        <f>N103</f>
        <v>0</v>
      </c>
      <c r="Q103" s="309">
        <f>M103</f>
        <v>0</v>
      </c>
      <c r="R103" s="307">
        <f>SUM(R104:R105)</f>
        <v>1187.9617353000001</v>
      </c>
      <c r="S103" s="307">
        <f>SUM(S104:S105)</f>
        <v>0</v>
      </c>
      <c r="T103" s="307">
        <f t="shared" ref="T103" si="84">SUM(T104:T105)</f>
        <v>1187.9617353000001</v>
      </c>
    </row>
    <row r="104" spans="1:20" ht="27.75" customHeight="1">
      <c r="A104" s="325" t="s">
        <v>489</v>
      </c>
      <c r="B104" s="166" t="s">
        <v>491</v>
      </c>
      <c r="C104" s="320" t="s">
        <v>444</v>
      </c>
      <c r="D104" s="306">
        <f t="shared" si="81"/>
        <v>1150.8603115800001</v>
      </c>
      <c r="E104" s="306">
        <f>'[2] TL giao BC '!U11</f>
        <v>1150.8603115800001</v>
      </c>
      <c r="F104" s="306"/>
      <c r="G104" s="306"/>
      <c r="H104" s="307">
        <f t="shared" si="83"/>
        <v>1150.8603115800001</v>
      </c>
      <c r="I104" s="309"/>
      <c r="J104" s="309"/>
      <c r="K104" s="309"/>
      <c r="L104" s="309"/>
      <c r="M104" s="309"/>
      <c r="N104" s="309"/>
      <c r="O104" s="309"/>
      <c r="P104" s="309"/>
      <c r="Q104" s="309"/>
      <c r="R104" s="307">
        <f>D104-N104</f>
        <v>1150.8603115800001</v>
      </c>
      <c r="S104" s="307">
        <v>21.69</v>
      </c>
      <c r="T104" s="307">
        <f t="shared" ref="T104:T106" si="85">R104+S104</f>
        <v>1172.5503115800002</v>
      </c>
    </row>
    <row r="105" spans="1:20" ht="27.75" customHeight="1">
      <c r="A105" s="325" t="s">
        <v>489</v>
      </c>
      <c r="B105" s="164" t="s">
        <v>492</v>
      </c>
      <c r="C105" s="320" t="s">
        <v>444</v>
      </c>
      <c r="D105" s="306">
        <f t="shared" si="81"/>
        <v>37.10142372</v>
      </c>
      <c r="E105" s="306">
        <f>'[2] TL giao BC tăng thêm'!U10</f>
        <v>37.10142372</v>
      </c>
      <c r="F105" s="306"/>
      <c r="G105" s="306"/>
      <c r="H105" s="307">
        <f>D105</f>
        <v>37.10142372</v>
      </c>
      <c r="I105" s="309"/>
      <c r="J105" s="309"/>
      <c r="K105" s="309"/>
      <c r="L105" s="309"/>
      <c r="M105" s="309"/>
      <c r="N105" s="309"/>
      <c r="O105" s="309"/>
      <c r="P105" s="309"/>
      <c r="Q105" s="309"/>
      <c r="R105" s="307">
        <f>D105-N105</f>
        <v>37.10142372</v>
      </c>
      <c r="S105" s="307">
        <v>-21.69</v>
      </c>
      <c r="T105" s="307">
        <f t="shared" si="85"/>
        <v>15.411423719999998</v>
      </c>
    </row>
    <row r="106" spans="1:20" ht="27.75" customHeight="1">
      <c r="A106" s="325" t="s">
        <v>438</v>
      </c>
      <c r="B106" s="164" t="s">
        <v>483</v>
      </c>
      <c r="C106" s="320"/>
      <c r="D106" s="306">
        <f t="shared" si="81"/>
        <v>-138.02400000000003</v>
      </c>
      <c r="E106" s="306">
        <f>-'[2]Biểu Thu '!AB5-'[2]Biểu Thu '!P5</f>
        <v>-138.02400000000003</v>
      </c>
      <c r="F106" s="306"/>
      <c r="G106" s="306"/>
      <c r="H106" s="307">
        <f>D106</f>
        <v>-138.02400000000003</v>
      </c>
      <c r="I106" s="309"/>
      <c r="J106" s="309"/>
      <c r="K106" s="309"/>
      <c r="L106" s="309"/>
      <c r="M106" s="309"/>
      <c r="N106" s="309"/>
      <c r="O106" s="309"/>
      <c r="P106" s="309"/>
      <c r="Q106" s="309"/>
      <c r="R106" s="307">
        <f>D106-N106</f>
        <v>-138.02400000000003</v>
      </c>
      <c r="S106" s="307"/>
      <c r="T106" s="307">
        <f t="shared" si="85"/>
        <v>-138.02400000000003</v>
      </c>
    </row>
    <row r="107" spans="1:20" s="311" customFormat="1" ht="27.75" customHeight="1">
      <c r="A107" s="304" t="s">
        <v>438</v>
      </c>
      <c r="B107" s="166" t="s">
        <v>452</v>
      </c>
      <c r="C107" s="320" t="s">
        <v>488</v>
      </c>
      <c r="D107" s="306">
        <f>E107+G107</f>
        <v>-80.058998800588228</v>
      </c>
      <c r="E107" s="306">
        <f>-L108</f>
        <v>-80.058998800588228</v>
      </c>
      <c r="F107" s="306"/>
      <c r="G107" s="306"/>
      <c r="H107" s="307">
        <f t="shared" si="83"/>
        <v>-80.058998800588228</v>
      </c>
      <c r="I107" s="308"/>
      <c r="J107" s="308"/>
      <c r="K107" s="308"/>
      <c r="L107" s="309">
        <f>K107*10%</f>
        <v>0</v>
      </c>
      <c r="M107" s="309"/>
      <c r="N107" s="309">
        <f>L107+M107</f>
        <v>0</v>
      </c>
      <c r="O107" s="309">
        <f>L107-P107</f>
        <v>0</v>
      </c>
      <c r="P107" s="309">
        <f>N107</f>
        <v>0</v>
      </c>
      <c r="Q107" s="309">
        <f>M107</f>
        <v>0</v>
      </c>
      <c r="R107" s="307"/>
      <c r="S107" s="306"/>
      <c r="T107" s="307"/>
    </row>
    <row r="108" spans="1:20" ht="26.25" customHeight="1">
      <c r="A108" s="304" t="s">
        <v>438</v>
      </c>
      <c r="B108" s="166" t="s">
        <v>412</v>
      </c>
      <c r="C108" s="320" t="s">
        <v>488</v>
      </c>
      <c r="D108" s="306">
        <f>SUM(E108:G108)</f>
        <v>800.58998800588222</v>
      </c>
      <c r="E108" s="306">
        <f>SUM(E109:E110)</f>
        <v>769.12065896823515</v>
      </c>
      <c r="F108" s="306">
        <f>SUM(F109:F110)</f>
        <v>0</v>
      </c>
      <c r="G108" s="306">
        <f>SUM(G109:G110)</f>
        <v>31.469329037647071</v>
      </c>
      <c r="H108" s="309"/>
      <c r="I108" s="309"/>
      <c r="J108" s="309"/>
      <c r="K108" s="309">
        <f>D108</f>
        <v>800.58998800588222</v>
      </c>
      <c r="L108" s="309">
        <f>SUM(L109:L110)</f>
        <v>80.058998800588228</v>
      </c>
      <c r="M108" s="309"/>
      <c r="N108" s="309">
        <f>L108+M108</f>
        <v>80.058998800588228</v>
      </c>
      <c r="O108" s="309">
        <f>N108</f>
        <v>80.058998800588228</v>
      </c>
      <c r="P108" s="309">
        <f>N108-O108</f>
        <v>0</v>
      </c>
      <c r="Q108" s="309">
        <f>M108</f>
        <v>0</v>
      </c>
      <c r="R108" s="307">
        <f>D108-N108</f>
        <v>720.53098920529396</v>
      </c>
      <c r="S108" s="307">
        <f>SUM(S109:S110)</f>
        <v>0</v>
      </c>
      <c r="T108" s="307">
        <f>R108+S108</f>
        <v>720.53098920529396</v>
      </c>
    </row>
    <row r="109" spans="1:20" ht="31.5">
      <c r="A109" s="325" t="s">
        <v>489</v>
      </c>
      <c r="B109" s="166" t="s">
        <v>498</v>
      </c>
      <c r="C109" s="320" t="s">
        <v>444</v>
      </c>
      <c r="D109" s="306">
        <f>SUM(E109:G109)</f>
        <v>769.12065896823515</v>
      </c>
      <c r="E109" s="306">
        <f>'[2] TL giao BC '!Z11</f>
        <v>769.12065896823515</v>
      </c>
      <c r="F109" s="306"/>
      <c r="G109" s="306"/>
      <c r="H109" s="309"/>
      <c r="I109" s="309"/>
      <c r="J109" s="309"/>
      <c r="K109" s="307">
        <f>D109</f>
        <v>769.12065896823515</v>
      </c>
      <c r="L109" s="307">
        <f>K109*10%</f>
        <v>76.91206589682352</v>
      </c>
      <c r="M109" s="309"/>
      <c r="N109" s="309"/>
      <c r="O109" s="309"/>
      <c r="P109" s="309"/>
      <c r="Q109" s="309"/>
      <c r="R109" s="307"/>
      <c r="S109" s="307">
        <v>18.399999999999999</v>
      </c>
      <c r="T109" s="307"/>
    </row>
    <row r="110" spans="1:20" ht="33" customHeight="1">
      <c r="A110" s="325" t="s">
        <v>489</v>
      </c>
      <c r="B110" s="164" t="s">
        <v>499</v>
      </c>
      <c r="C110" s="320" t="s">
        <v>478</v>
      </c>
      <c r="D110" s="306">
        <f>SUM(E110:G110)</f>
        <v>31.469329037647071</v>
      </c>
      <c r="E110" s="306"/>
      <c r="F110" s="306"/>
      <c r="G110" s="306">
        <f>'[2] TL giao BC tăng thêm'!X10</f>
        <v>31.469329037647071</v>
      </c>
      <c r="H110" s="309"/>
      <c r="I110" s="309"/>
      <c r="J110" s="309"/>
      <c r="K110" s="307">
        <f>D110</f>
        <v>31.469329037647071</v>
      </c>
      <c r="L110" s="307">
        <f>K110*10%</f>
        <v>3.1469329037647071</v>
      </c>
      <c r="M110" s="309"/>
      <c r="N110" s="309"/>
      <c r="O110" s="309"/>
      <c r="P110" s="309"/>
      <c r="Q110" s="309"/>
      <c r="R110" s="307"/>
      <c r="S110" s="307">
        <v>-18.399999999999999</v>
      </c>
      <c r="T110" s="307"/>
    </row>
    <row r="111" spans="1:20" ht="30" customHeight="1">
      <c r="A111" s="303" t="s">
        <v>481</v>
      </c>
      <c r="B111" s="326" t="s">
        <v>485</v>
      </c>
      <c r="C111" s="320" t="s">
        <v>488</v>
      </c>
      <c r="D111" s="307">
        <f>E111+G111+F111</f>
        <v>331.65000000000003</v>
      </c>
      <c r="E111" s="307">
        <f t="shared" ref="E111:T111" si="86">SUM(E112:E116)</f>
        <v>313.34000000000003</v>
      </c>
      <c r="F111" s="307">
        <f t="shared" si="86"/>
        <v>0</v>
      </c>
      <c r="G111" s="307">
        <f t="shared" si="86"/>
        <v>18.309999999999999</v>
      </c>
      <c r="H111" s="307">
        <f t="shared" si="86"/>
        <v>0</v>
      </c>
      <c r="I111" s="307">
        <f t="shared" si="86"/>
        <v>331.65</v>
      </c>
      <c r="J111" s="307">
        <f t="shared" si="86"/>
        <v>0</v>
      </c>
      <c r="K111" s="307">
        <f t="shared" si="86"/>
        <v>0</v>
      </c>
      <c r="L111" s="307">
        <f t="shared" si="86"/>
        <v>0</v>
      </c>
      <c r="M111" s="307">
        <f t="shared" si="86"/>
        <v>0</v>
      </c>
      <c r="N111" s="307">
        <f t="shared" si="86"/>
        <v>0</v>
      </c>
      <c r="O111" s="307">
        <f t="shared" si="86"/>
        <v>0</v>
      </c>
      <c r="P111" s="307">
        <f t="shared" si="86"/>
        <v>0</v>
      </c>
      <c r="Q111" s="307">
        <f t="shared" si="86"/>
        <v>0</v>
      </c>
      <c r="R111" s="307">
        <f t="shared" si="86"/>
        <v>331.65</v>
      </c>
      <c r="S111" s="307">
        <f t="shared" si="86"/>
        <v>0</v>
      </c>
      <c r="T111" s="307">
        <f t="shared" si="86"/>
        <v>331.65</v>
      </c>
    </row>
    <row r="112" spans="1:20" ht="30" customHeight="1">
      <c r="A112" s="325" t="s">
        <v>438</v>
      </c>
      <c r="B112" s="166" t="s">
        <v>280</v>
      </c>
      <c r="C112" s="320" t="s">
        <v>444</v>
      </c>
      <c r="D112" s="306">
        <f>E112+G112</f>
        <v>83.97</v>
      </c>
      <c r="E112" s="306">
        <f>'[2]CS giáo dục '!P5</f>
        <v>83.97</v>
      </c>
      <c r="F112" s="306"/>
      <c r="G112" s="306"/>
      <c r="H112" s="309"/>
      <c r="I112" s="309">
        <f>D112</f>
        <v>83.97</v>
      </c>
      <c r="J112" s="309"/>
      <c r="K112" s="309"/>
      <c r="L112" s="309">
        <f>K112*10%</f>
        <v>0</v>
      </c>
      <c r="M112" s="309"/>
      <c r="N112" s="309">
        <f>L112+M112</f>
        <v>0</v>
      </c>
      <c r="O112" s="309">
        <f>N112</f>
        <v>0</v>
      </c>
      <c r="P112" s="309">
        <f>N112-O112</f>
        <v>0</v>
      </c>
      <c r="Q112" s="309">
        <f>M112</f>
        <v>0</v>
      </c>
      <c r="R112" s="307">
        <f>D112-N112</f>
        <v>83.97</v>
      </c>
      <c r="S112" s="307"/>
      <c r="T112" s="307">
        <f>R112+S112</f>
        <v>83.97</v>
      </c>
    </row>
    <row r="113" spans="1:20" ht="30" customHeight="1">
      <c r="A113" s="325" t="s">
        <v>438</v>
      </c>
      <c r="B113" s="166" t="s">
        <v>287</v>
      </c>
      <c r="C113" s="320" t="s">
        <v>488</v>
      </c>
      <c r="D113" s="306">
        <f>E113+G113+F113</f>
        <v>247.68</v>
      </c>
      <c r="E113" s="306">
        <f>'[2]CS giáo dục '!U5</f>
        <v>229.37</v>
      </c>
      <c r="F113" s="306"/>
      <c r="G113" s="306">
        <f>'[2]CS giáo dục '!W5</f>
        <v>18.309999999999999</v>
      </c>
      <c r="H113" s="309"/>
      <c r="I113" s="309">
        <f>D113</f>
        <v>247.68</v>
      </c>
      <c r="J113" s="309"/>
      <c r="K113" s="309"/>
      <c r="L113" s="309">
        <f>K113*10%</f>
        <v>0</v>
      </c>
      <c r="M113" s="309"/>
      <c r="N113" s="309">
        <f>L113+M113</f>
        <v>0</v>
      </c>
      <c r="O113" s="309">
        <f>N113</f>
        <v>0</v>
      </c>
      <c r="P113" s="309">
        <f>N113-O113</f>
        <v>0</v>
      </c>
      <c r="Q113" s="309">
        <f>M113</f>
        <v>0</v>
      </c>
      <c r="R113" s="307">
        <f>D113-N113</f>
        <v>247.68</v>
      </c>
      <c r="S113" s="307"/>
      <c r="T113" s="307">
        <f t="shared" ref="T113:T116" si="87">R113+S113</f>
        <v>247.68</v>
      </c>
    </row>
    <row r="114" spans="1:20" ht="39" customHeight="1">
      <c r="A114" s="325" t="s">
        <v>438</v>
      </c>
      <c r="B114" s="166" t="s">
        <v>308</v>
      </c>
      <c r="C114" s="320" t="s">
        <v>488</v>
      </c>
      <c r="D114" s="306">
        <f>E114+G114</f>
        <v>0</v>
      </c>
      <c r="E114" s="306"/>
      <c r="F114" s="306"/>
      <c r="G114" s="306"/>
      <c r="H114" s="309"/>
      <c r="I114" s="309">
        <f>D114</f>
        <v>0</v>
      </c>
      <c r="J114" s="309"/>
      <c r="K114" s="309"/>
      <c r="L114" s="309">
        <f>K114*10%</f>
        <v>0</v>
      </c>
      <c r="M114" s="309"/>
      <c r="N114" s="309">
        <f>L114+M114</f>
        <v>0</v>
      </c>
      <c r="O114" s="309">
        <f>N114</f>
        <v>0</v>
      </c>
      <c r="P114" s="309">
        <f>N114-O114</f>
        <v>0</v>
      </c>
      <c r="Q114" s="309">
        <f>M114</f>
        <v>0</v>
      </c>
      <c r="R114" s="307">
        <f>D114-N114</f>
        <v>0</v>
      </c>
      <c r="S114" s="307"/>
      <c r="T114" s="307">
        <f t="shared" si="87"/>
        <v>0</v>
      </c>
    </row>
    <row r="115" spans="1:20" ht="36" customHeight="1">
      <c r="A115" s="325" t="s">
        <v>438</v>
      </c>
      <c r="B115" s="166" t="s">
        <v>495</v>
      </c>
      <c r="C115" s="320" t="s">
        <v>488</v>
      </c>
      <c r="D115" s="306">
        <f>E115+G115</f>
        <v>0</v>
      </c>
      <c r="E115" s="306"/>
      <c r="F115" s="306"/>
      <c r="G115" s="306"/>
      <c r="H115" s="309"/>
      <c r="I115" s="309">
        <f>D115</f>
        <v>0</v>
      </c>
      <c r="J115" s="309"/>
      <c r="K115" s="309"/>
      <c r="L115" s="309">
        <f>K115*10%</f>
        <v>0</v>
      </c>
      <c r="M115" s="309"/>
      <c r="N115" s="309">
        <f>L115+M115</f>
        <v>0</v>
      </c>
      <c r="O115" s="309">
        <f>N115</f>
        <v>0</v>
      </c>
      <c r="P115" s="309">
        <f>N115-O115</f>
        <v>0</v>
      </c>
      <c r="Q115" s="309">
        <f>M115</f>
        <v>0</v>
      </c>
      <c r="R115" s="307">
        <f>D115-N115</f>
        <v>0</v>
      </c>
      <c r="S115" s="307"/>
      <c r="T115" s="307">
        <f t="shared" si="87"/>
        <v>0</v>
      </c>
    </row>
    <row r="116" spans="1:20" ht="26.25" customHeight="1">
      <c r="A116" s="325" t="s">
        <v>438</v>
      </c>
      <c r="B116" s="166" t="s">
        <v>309</v>
      </c>
      <c r="C116" s="320" t="s">
        <v>478</v>
      </c>
      <c r="D116" s="306">
        <f>E116+G116</f>
        <v>0</v>
      </c>
      <c r="E116" s="306"/>
      <c r="F116" s="306"/>
      <c r="G116" s="306"/>
      <c r="H116" s="309"/>
      <c r="I116" s="309">
        <f>D116</f>
        <v>0</v>
      </c>
      <c r="J116" s="309"/>
      <c r="K116" s="309"/>
      <c r="L116" s="309">
        <f>K116*10%</f>
        <v>0</v>
      </c>
      <c r="M116" s="309"/>
      <c r="N116" s="309">
        <f>L116+M116</f>
        <v>0</v>
      </c>
      <c r="O116" s="309">
        <f>N116</f>
        <v>0</v>
      </c>
      <c r="P116" s="309">
        <f>N116-O116</f>
        <v>0</v>
      </c>
      <c r="Q116" s="309">
        <f>M116</f>
        <v>0</v>
      </c>
      <c r="R116" s="307">
        <f>D116-N116</f>
        <v>0</v>
      </c>
      <c r="S116" s="307"/>
      <c r="T116" s="307">
        <f t="shared" si="87"/>
        <v>0</v>
      </c>
    </row>
    <row r="117" spans="1:20" s="328" customFormat="1" ht="27.75" customHeight="1">
      <c r="A117" s="320">
        <v>2</v>
      </c>
      <c r="B117" s="321" t="s">
        <v>500</v>
      </c>
      <c r="C117" s="320" t="s">
        <v>488</v>
      </c>
      <c r="D117" s="322">
        <f>D118+D130</f>
        <v>3812.1889150821175</v>
      </c>
      <c r="E117" s="322">
        <f t="shared" ref="E117:Q117" si="88">E118+E130</f>
        <v>2930.1732275527052</v>
      </c>
      <c r="F117" s="322">
        <f t="shared" si="88"/>
        <v>0</v>
      </c>
      <c r="G117" s="322">
        <f t="shared" si="88"/>
        <v>882.01568752941171</v>
      </c>
      <c r="H117" s="322">
        <f t="shared" si="88"/>
        <v>3357.5395578797643</v>
      </c>
      <c r="I117" s="322">
        <f t="shared" si="88"/>
        <v>51.588000000000008</v>
      </c>
      <c r="J117" s="322">
        <f t="shared" si="88"/>
        <v>0</v>
      </c>
      <c r="K117" s="322">
        <f t="shared" si="88"/>
        <v>403.06135720235284</v>
      </c>
      <c r="L117" s="322">
        <f t="shared" si="88"/>
        <v>40.306135720235289</v>
      </c>
      <c r="M117" s="322">
        <f t="shared" si="88"/>
        <v>0</v>
      </c>
      <c r="N117" s="322">
        <f t="shared" si="88"/>
        <v>40.306135720235289</v>
      </c>
      <c r="O117" s="322">
        <f t="shared" si="88"/>
        <v>40.306135720235289</v>
      </c>
      <c r="P117" s="322">
        <f t="shared" si="88"/>
        <v>0</v>
      </c>
      <c r="Q117" s="322">
        <f t="shared" si="88"/>
        <v>0</v>
      </c>
      <c r="R117" s="322">
        <f>R118+R130</f>
        <v>3812.1889150821175</v>
      </c>
      <c r="S117" s="322">
        <f t="shared" ref="S117:T117" si="89">S118+S130</f>
        <v>0</v>
      </c>
      <c r="T117" s="322">
        <f t="shared" si="89"/>
        <v>3812.1889150821175</v>
      </c>
    </row>
    <row r="118" spans="1:20" ht="27.75" customHeight="1">
      <c r="A118" s="303" t="s">
        <v>481</v>
      </c>
      <c r="B118" s="323" t="s">
        <v>482</v>
      </c>
      <c r="C118" s="320" t="s">
        <v>488</v>
      </c>
      <c r="D118" s="307">
        <f>D119+D122+D125+D126+D127</f>
        <v>3760.6009150821174</v>
      </c>
      <c r="E118" s="307">
        <f t="shared" ref="E118:Q118" si="90">E119+E122+E125+E126+E127</f>
        <v>2881.6752275527051</v>
      </c>
      <c r="F118" s="307">
        <f t="shared" si="90"/>
        <v>0</v>
      </c>
      <c r="G118" s="307">
        <f t="shared" si="90"/>
        <v>878.92568752941168</v>
      </c>
      <c r="H118" s="307">
        <f t="shared" si="90"/>
        <v>3357.5395578797643</v>
      </c>
      <c r="I118" s="307">
        <f t="shared" si="90"/>
        <v>0</v>
      </c>
      <c r="J118" s="307">
        <f t="shared" si="90"/>
        <v>0</v>
      </c>
      <c r="K118" s="307">
        <f t="shared" si="90"/>
        <v>403.06135720235284</v>
      </c>
      <c r="L118" s="307">
        <f t="shared" si="90"/>
        <v>40.306135720235289</v>
      </c>
      <c r="M118" s="307">
        <f t="shared" si="90"/>
        <v>0</v>
      </c>
      <c r="N118" s="307">
        <f t="shared" si="90"/>
        <v>40.306135720235289</v>
      </c>
      <c r="O118" s="307">
        <f t="shared" si="90"/>
        <v>40.306135720235289</v>
      </c>
      <c r="P118" s="307">
        <f t="shared" si="90"/>
        <v>0</v>
      </c>
      <c r="Q118" s="307">
        <f t="shared" si="90"/>
        <v>0</v>
      </c>
      <c r="R118" s="307">
        <f>R119+R122+R125+R126+R127</f>
        <v>3760.6009150821174</v>
      </c>
      <c r="S118" s="307">
        <f t="shared" ref="S118:T118" si="91">S119+S122+S125+S126+S127</f>
        <v>0</v>
      </c>
      <c r="T118" s="307">
        <f t="shared" si="91"/>
        <v>3760.6009150821174</v>
      </c>
    </row>
    <row r="119" spans="1:20" ht="27.75" customHeight="1">
      <c r="A119" s="325" t="s">
        <v>438</v>
      </c>
      <c r="B119" s="164" t="s">
        <v>277</v>
      </c>
      <c r="C119" s="320" t="s">
        <v>488</v>
      </c>
      <c r="D119" s="306">
        <f t="shared" ref="D119:D125" si="92">SUM(E119:G119)</f>
        <v>2869.6983574799997</v>
      </c>
      <c r="E119" s="306">
        <f>SUM(E120:E121)</f>
        <v>2122.6115230799996</v>
      </c>
      <c r="F119" s="306">
        <f>SUM(F120:F121)</f>
        <v>0</v>
      </c>
      <c r="G119" s="306">
        <f>SUM(G120:G121)</f>
        <v>747.08683439999993</v>
      </c>
      <c r="H119" s="307">
        <f t="shared" ref="H119:H126" si="93">D119</f>
        <v>2869.6983574799997</v>
      </c>
      <c r="I119" s="309"/>
      <c r="J119" s="309"/>
      <c r="K119" s="309"/>
      <c r="L119" s="309">
        <f>K119*10%</f>
        <v>0</v>
      </c>
      <c r="M119" s="309"/>
      <c r="N119" s="309">
        <f>L119+M119</f>
        <v>0</v>
      </c>
      <c r="O119" s="309">
        <f>L119-P119</f>
        <v>0</v>
      </c>
      <c r="P119" s="309">
        <f>N119</f>
        <v>0</v>
      </c>
      <c r="Q119" s="309">
        <f>M119</f>
        <v>0</v>
      </c>
      <c r="R119" s="307">
        <f>SUM(R120:R121)</f>
        <v>2869.6983574799997</v>
      </c>
      <c r="S119" s="307">
        <f t="shared" ref="S119:T119" si="94">SUM(S120:S121)</f>
        <v>0</v>
      </c>
      <c r="T119" s="307">
        <f t="shared" si="94"/>
        <v>2869.6983574799997</v>
      </c>
    </row>
    <row r="120" spans="1:20" ht="27.75" customHeight="1">
      <c r="A120" s="325" t="s">
        <v>489</v>
      </c>
      <c r="B120" s="164" t="s">
        <v>490</v>
      </c>
      <c r="C120" s="320" t="s">
        <v>444</v>
      </c>
      <c r="D120" s="306">
        <f t="shared" si="92"/>
        <v>2122.6115230799996</v>
      </c>
      <c r="E120" s="306">
        <f>'[2] TL giao BC '!T60</f>
        <v>2122.6115230799996</v>
      </c>
      <c r="F120" s="306"/>
      <c r="G120" s="306"/>
      <c r="H120" s="307">
        <f t="shared" si="93"/>
        <v>2122.6115230799996</v>
      </c>
      <c r="I120" s="309"/>
      <c r="J120" s="309"/>
      <c r="K120" s="309"/>
      <c r="L120" s="309"/>
      <c r="M120" s="309"/>
      <c r="N120" s="309"/>
      <c r="O120" s="309"/>
      <c r="P120" s="309"/>
      <c r="Q120" s="309"/>
      <c r="R120" s="307">
        <f>D120-N120</f>
        <v>2122.6115230799996</v>
      </c>
      <c r="S120" s="307">
        <v>-255.89</v>
      </c>
      <c r="T120" s="307">
        <f>R120+S120</f>
        <v>1866.7215230799998</v>
      </c>
    </row>
    <row r="121" spans="1:20" ht="27.75" customHeight="1">
      <c r="A121" s="325" t="s">
        <v>489</v>
      </c>
      <c r="B121" s="164" t="s">
        <v>305</v>
      </c>
      <c r="C121" s="320" t="s">
        <v>478</v>
      </c>
      <c r="D121" s="306">
        <f t="shared" si="92"/>
        <v>747.08683439999993</v>
      </c>
      <c r="E121" s="306"/>
      <c r="F121" s="306"/>
      <c r="G121" s="306">
        <f>'[2] TL giao BC tăng thêm'!T12</f>
        <v>747.08683439999993</v>
      </c>
      <c r="H121" s="307">
        <f t="shared" si="93"/>
        <v>747.08683439999993</v>
      </c>
      <c r="I121" s="309"/>
      <c r="J121" s="309"/>
      <c r="K121" s="309"/>
      <c r="L121" s="309"/>
      <c r="M121" s="309"/>
      <c r="N121" s="309"/>
      <c r="O121" s="309"/>
      <c r="P121" s="309"/>
      <c r="Q121" s="309"/>
      <c r="R121" s="307">
        <f>D121-N121</f>
        <v>747.08683439999993</v>
      </c>
      <c r="S121" s="307">
        <v>255.89</v>
      </c>
      <c r="T121" s="307">
        <f>R121+S121</f>
        <v>1002.9768343999999</v>
      </c>
    </row>
    <row r="122" spans="1:20" ht="27.75" customHeight="1">
      <c r="A122" s="304" t="s">
        <v>438</v>
      </c>
      <c r="B122" s="166" t="s">
        <v>278</v>
      </c>
      <c r="C122" s="320" t="s">
        <v>444</v>
      </c>
      <c r="D122" s="306">
        <f t="shared" si="92"/>
        <v>597.05133611999997</v>
      </c>
      <c r="E122" s="306">
        <f>SUM(E123:E124)</f>
        <v>597.05133611999997</v>
      </c>
      <c r="F122" s="306">
        <f>SUM(F123:F124)</f>
        <v>0</v>
      </c>
      <c r="G122" s="306">
        <f>SUM(G123:G124)</f>
        <v>0</v>
      </c>
      <c r="H122" s="307">
        <f t="shared" si="93"/>
        <v>597.05133611999997</v>
      </c>
      <c r="I122" s="309"/>
      <c r="J122" s="309"/>
      <c r="K122" s="309"/>
      <c r="L122" s="309">
        <f>K122*10%</f>
        <v>0</v>
      </c>
      <c r="M122" s="309"/>
      <c r="N122" s="309">
        <f>L122+M122</f>
        <v>0</v>
      </c>
      <c r="O122" s="309">
        <f>L122-P122</f>
        <v>0</v>
      </c>
      <c r="P122" s="309">
        <f>N122</f>
        <v>0</v>
      </c>
      <c r="Q122" s="309">
        <f>M122</f>
        <v>0</v>
      </c>
      <c r="R122" s="307">
        <f>SUM(R123:R124)</f>
        <v>597.05133611999997</v>
      </c>
      <c r="S122" s="307">
        <f t="shared" ref="S122:T122" si="95">SUM(S123:S124)</f>
        <v>0</v>
      </c>
      <c r="T122" s="307">
        <f t="shared" si="95"/>
        <v>597.05133611999997</v>
      </c>
    </row>
    <row r="123" spans="1:20" ht="27.75" customHeight="1">
      <c r="A123" s="325" t="s">
        <v>489</v>
      </c>
      <c r="B123" s="166" t="s">
        <v>491</v>
      </c>
      <c r="C123" s="320" t="s">
        <v>444</v>
      </c>
      <c r="D123" s="306">
        <f t="shared" si="92"/>
        <v>441.61716251999997</v>
      </c>
      <c r="E123" s="306">
        <f>'[2] TL giao BC '!U60</f>
        <v>441.61716251999997</v>
      </c>
      <c r="F123" s="306"/>
      <c r="G123" s="306"/>
      <c r="H123" s="307">
        <f t="shared" si="93"/>
        <v>441.61716251999997</v>
      </c>
      <c r="I123" s="309"/>
      <c r="J123" s="309"/>
      <c r="K123" s="309"/>
      <c r="L123" s="309"/>
      <c r="M123" s="309"/>
      <c r="N123" s="309"/>
      <c r="O123" s="309"/>
      <c r="P123" s="309"/>
      <c r="Q123" s="309"/>
      <c r="R123" s="307">
        <f>D123-N123</f>
        <v>441.61716251999997</v>
      </c>
      <c r="S123" s="307">
        <v>-53.24</v>
      </c>
      <c r="T123" s="307">
        <f t="shared" ref="T123:T125" si="96">R123+S123</f>
        <v>388.37716251999996</v>
      </c>
    </row>
    <row r="124" spans="1:20" ht="27.75" customHeight="1">
      <c r="A124" s="325" t="s">
        <v>489</v>
      </c>
      <c r="B124" s="164" t="s">
        <v>492</v>
      </c>
      <c r="C124" s="320" t="s">
        <v>444</v>
      </c>
      <c r="D124" s="306">
        <f t="shared" si="92"/>
        <v>155.43417360000001</v>
      </c>
      <c r="E124" s="306">
        <f>'[2] TL giao BC tăng thêm'!U12</f>
        <v>155.43417360000001</v>
      </c>
      <c r="F124" s="306"/>
      <c r="G124" s="306"/>
      <c r="H124" s="307">
        <f t="shared" si="93"/>
        <v>155.43417360000001</v>
      </c>
      <c r="I124" s="309"/>
      <c r="J124" s="309"/>
      <c r="K124" s="309"/>
      <c r="L124" s="309"/>
      <c r="M124" s="309"/>
      <c r="N124" s="309"/>
      <c r="O124" s="309"/>
      <c r="P124" s="309"/>
      <c r="Q124" s="309"/>
      <c r="R124" s="307">
        <f>D124-N124</f>
        <v>155.43417360000001</v>
      </c>
      <c r="S124" s="307">
        <v>53.24</v>
      </c>
      <c r="T124" s="307">
        <f t="shared" si="96"/>
        <v>208.67417360000002</v>
      </c>
    </row>
    <row r="125" spans="1:20" ht="27.75" customHeight="1">
      <c r="A125" s="325" t="s">
        <v>438</v>
      </c>
      <c r="B125" s="164" t="s">
        <v>483</v>
      </c>
      <c r="C125" s="320"/>
      <c r="D125" s="306">
        <f t="shared" si="92"/>
        <v>-68.904000000000011</v>
      </c>
      <c r="E125" s="306">
        <f>-'[2]Biểu Thu '!AB6-'[2]Biểu Thu '!P6</f>
        <v>-68.904000000000011</v>
      </c>
      <c r="F125" s="306"/>
      <c r="G125" s="306"/>
      <c r="H125" s="307">
        <f t="shared" si="93"/>
        <v>-68.904000000000011</v>
      </c>
      <c r="I125" s="309"/>
      <c r="J125" s="309"/>
      <c r="K125" s="309"/>
      <c r="L125" s="309"/>
      <c r="M125" s="309"/>
      <c r="N125" s="309"/>
      <c r="O125" s="309"/>
      <c r="P125" s="309"/>
      <c r="Q125" s="309"/>
      <c r="R125" s="307">
        <f>D125-N125</f>
        <v>-68.904000000000011</v>
      </c>
      <c r="S125" s="307"/>
      <c r="T125" s="307">
        <f t="shared" si="96"/>
        <v>-68.904000000000011</v>
      </c>
    </row>
    <row r="126" spans="1:20" s="311" customFormat="1" ht="27.75" customHeight="1">
      <c r="A126" s="304" t="s">
        <v>438</v>
      </c>
      <c r="B126" s="166" t="s">
        <v>452</v>
      </c>
      <c r="C126" s="320" t="s">
        <v>488</v>
      </c>
      <c r="D126" s="306">
        <f>E126+G126</f>
        <v>-40.306135720235289</v>
      </c>
      <c r="E126" s="306">
        <f>-L127</f>
        <v>-40.306135720235289</v>
      </c>
      <c r="F126" s="306"/>
      <c r="G126" s="306"/>
      <c r="H126" s="307">
        <f t="shared" si="93"/>
        <v>-40.306135720235289</v>
      </c>
      <c r="I126" s="308"/>
      <c r="J126" s="308"/>
      <c r="K126" s="308"/>
      <c r="L126" s="309">
        <f>K126*10%</f>
        <v>0</v>
      </c>
      <c r="M126" s="309"/>
      <c r="N126" s="309">
        <f>L126+M126</f>
        <v>0</v>
      </c>
      <c r="O126" s="309">
        <f>L126-P126</f>
        <v>0</v>
      </c>
      <c r="P126" s="309">
        <f>N126</f>
        <v>0</v>
      </c>
      <c r="Q126" s="309">
        <f>M126</f>
        <v>0</v>
      </c>
      <c r="R126" s="307"/>
      <c r="S126" s="306"/>
      <c r="T126" s="307"/>
    </row>
    <row r="127" spans="1:20" ht="26.25" customHeight="1">
      <c r="A127" s="304" t="s">
        <v>438</v>
      </c>
      <c r="B127" s="166" t="s">
        <v>412</v>
      </c>
      <c r="C127" s="320" t="s">
        <v>488</v>
      </c>
      <c r="D127" s="306">
        <f>SUM(E127:G127)</f>
        <v>403.06135720235284</v>
      </c>
      <c r="E127" s="306">
        <f>SUM(E128:E129)</f>
        <v>271.22250407294109</v>
      </c>
      <c r="F127" s="306">
        <f>SUM(F128:F129)</f>
        <v>0</v>
      </c>
      <c r="G127" s="306">
        <f>SUM(G128:G129)</f>
        <v>131.83885312941175</v>
      </c>
      <c r="H127" s="309"/>
      <c r="I127" s="309"/>
      <c r="J127" s="309"/>
      <c r="K127" s="309">
        <f>SUM(K128:K129)</f>
        <v>403.06135720235284</v>
      </c>
      <c r="L127" s="309">
        <f>SUM(L128:L129)</f>
        <v>40.306135720235289</v>
      </c>
      <c r="M127" s="309"/>
      <c r="N127" s="309">
        <f>L127+M127</f>
        <v>40.306135720235289</v>
      </c>
      <c r="O127" s="309">
        <f>N127</f>
        <v>40.306135720235289</v>
      </c>
      <c r="P127" s="309">
        <f>N127-O127</f>
        <v>0</v>
      </c>
      <c r="Q127" s="309">
        <f>M127</f>
        <v>0</v>
      </c>
      <c r="R127" s="307">
        <f>D127-N127</f>
        <v>362.75522148211758</v>
      </c>
      <c r="S127" s="307">
        <f>SUM(S128:S129)</f>
        <v>0</v>
      </c>
      <c r="T127" s="307">
        <f>R127+S127</f>
        <v>362.75522148211758</v>
      </c>
    </row>
    <row r="128" spans="1:20" ht="39" customHeight="1">
      <c r="A128" s="325" t="s">
        <v>489</v>
      </c>
      <c r="B128" s="166" t="s">
        <v>501</v>
      </c>
      <c r="C128" s="320" t="s">
        <v>444</v>
      </c>
      <c r="D128" s="306">
        <f>SUM(E128:G128)</f>
        <v>271.22250407294109</v>
      </c>
      <c r="E128" s="306">
        <f>'[2] TL giao BC '!Z60</f>
        <v>271.22250407294109</v>
      </c>
      <c r="F128" s="306"/>
      <c r="G128" s="306"/>
      <c r="H128" s="309"/>
      <c r="I128" s="309"/>
      <c r="J128" s="309"/>
      <c r="K128" s="309">
        <f>D128</f>
        <v>271.22250407294109</v>
      </c>
      <c r="L128" s="309">
        <f>K128*10%</f>
        <v>27.122250407294111</v>
      </c>
      <c r="M128" s="309"/>
      <c r="N128" s="309"/>
      <c r="O128" s="309"/>
      <c r="P128" s="309"/>
      <c r="Q128" s="309"/>
      <c r="R128" s="307"/>
      <c r="S128" s="307">
        <v>-45.16</v>
      </c>
      <c r="T128" s="307"/>
    </row>
    <row r="129" spans="1:20" ht="33" customHeight="1">
      <c r="A129" s="325" t="s">
        <v>489</v>
      </c>
      <c r="B129" s="164" t="s">
        <v>502</v>
      </c>
      <c r="C129" s="320" t="s">
        <v>478</v>
      </c>
      <c r="D129" s="306">
        <f>SUM(E129:G129)</f>
        <v>131.83885312941175</v>
      </c>
      <c r="E129" s="306"/>
      <c r="F129" s="306"/>
      <c r="G129" s="306">
        <f>'[2] TL giao BC tăng thêm'!X12</f>
        <v>131.83885312941175</v>
      </c>
      <c r="H129" s="309"/>
      <c r="I129" s="309"/>
      <c r="J129" s="309"/>
      <c r="K129" s="309">
        <f>D129</f>
        <v>131.83885312941175</v>
      </c>
      <c r="L129" s="309">
        <f>K129*10%</f>
        <v>13.183885312941175</v>
      </c>
      <c r="M129" s="309"/>
      <c r="N129" s="309"/>
      <c r="O129" s="309"/>
      <c r="P129" s="309"/>
      <c r="Q129" s="309"/>
      <c r="R129" s="307"/>
      <c r="S129" s="307">
        <v>45.16</v>
      </c>
      <c r="T129" s="307"/>
    </row>
    <row r="130" spans="1:20" ht="30" customHeight="1">
      <c r="A130" s="303" t="s">
        <v>481</v>
      </c>
      <c r="B130" s="326" t="s">
        <v>485</v>
      </c>
      <c r="C130" s="320" t="s">
        <v>488</v>
      </c>
      <c r="D130" s="307">
        <f>E130+G130+F130</f>
        <v>51.588000000000008</v>
      </c>
      <c r="E130" s="307">
        <f t="shared" ref="E130:T130" si="97">SUM(E131:E135)</f>
        <v>48.498000000000005</v>
      </c>
      <c r="F130" s="307">
        <f t="shared" si="97"/>
        <v>0</v>
      </c>
      <c r="G130" s="307">
        <f t="shared" si="97"/>
        <v>3.09</v>
      </c>
      <c r="H130" s="307">
        <f t="shared" si="97"/>
        <v>0</v>
      </c>
      <c r="I130" s="307">
        <f t="shared" si="97"/>
        <v>51.588000000000008</v>
      </c>
      <c r="J130" s="307">
        <f t="shared" si="97"/>
        <v>0</v>
      </c>
      <c r="K130" s="307">
        <f t="shared" si="97"/>
        <v>0</v>
      </c>
      <c r="L130" s="307">
        <f t="shared" si="97"/>
        <v>0</v>
      </c>
      <c r="M130" s="307">
        <f t="shared" si="97"/>
        <v>0</v>
      </c>
      <c r="N130" s="307">
        <f t="shared" si="97"/>
        <v>0</v>
      </c>
      <c r="O130" s="307">
        <f t="shared" si="97"/>
        <v>0</v>
      </c>
      <c r="P130" s="307">
        <f t="shared" si="97"/>
        <v>0</v>
      </c>
      <c r="Q130" s="307">
        <f t="shared" si="97"/>
        <v>0</v>
      </c>
      <c r="R130" s="307">
        <f t="shared" si="97"/>
        <v>51.588000000000008</v>
      </c>
      <c r="S130" s="307">
        <f t="shared" si="97"/>
        <v>0</v>
      </c>
      <c r="T130" s="307">
        <f t="shared" si="97"/>
        <v>51.588000000000008</v>
      </c>
    </row>
    <row r="131" spans="1:20" ht="30" customHeight="1">
      <c r="A131" s="325" t="s">
        <v>438</v>
      </c>
      <c r="B131" s="166" t="s">
        <v>280</v>
      </c>
      <c r="C131" s="320" t="s">
        <v>444</v>
      </c>
      <c r="D131" s="306">
        <f>E131+G131</f>
        <v>9.8279999999999994</v>
      </c>
      <c r="E131" s="306">
        <f>'[2]CS giáo dục '!Q6</f>
        <v>9.8279999999999994</v>
      </c>
      <c r="F131" s="306"/>
      <c r="G131" s="306"/>
      <c r="H131" s="309"/>
      <c r="I131" s="309">
        <f>D131</f>
        <v>9.8279999999999994</v>
      </c>
      <c r="J131" s="309"/>
      <c r="K131" s="309"/>
      <c r="L131" s="309">
        <f>K131*10%</f>
        <v>0</v>
      </c>
      <c r="M131" s="309"/>
      <c r="N131" s="309">
        <f>L131+M131</f>
        <v>0</v>
      </c>
      <c r="O131" s="309">
        <f>N131</f>
        <v>0</v>
      </c>
      <c r="P131" s="309">
        <f>N131-O131</f>
        <v>0</v>
      </c>
      <c r="Q131" s="309">
        <f>M131</f>
        <v>0</v>
      </c>
      <c r="R131" s="307">
        <f>D131-N131</f>
        <v>9.8279999999999994</v>
      </c>
      <c r="S131" s="307"/>
      <c r="T131" s="307">
        <f>R131+S131</f>
        <v>9.8279999999999994</v>
      </c>
    </row>
    <row r="132" spans="1:20" ht="30" customHeight="1">
      <c r="A132" s="325" t="s">
        <v>438</v>
      </c>
      <c r="B132" s="166" t="s">
        <v>287</v>
      </c>
      <c r="C132" s="320" t="s">
        <v>488</v>
      </c>
      <c r="D132" s="306">
        <f>E132+G132+F132</f>
        <v>41.760000000000005</v>
      </c>
      <c r="E132" s="306">
        <f>'[2]CS giáo dục '!U6</f>
        <v>38.67</v>
      </c>
      <c r="F132" s="306"/>
      <c r="G132" s="306">
        <f>'[2]CS giáo dục '!W6</f>
        <v>3.09</v>
      </c>
      <c r="H132" s="309"/>
      <c r="I132" s="309">
        <f>D132</f>
        <v>41.760000000000005</v>
      </c>
      <c r="J132" s="309"/>
      <c r="K132" s="309"/>
      <c r="L132" s="309">
        <f>K132*10%</f>
        <v>0</v>
      </c>
      <c r="M132" s="309"/>
      <c r="N132" s="309">
        <f>L132+M132</f>
        <v>0</v>
      </c>
      <c r="O132" s="309">
        <f>N132</f>
        <v>0</v>
      </c>
      <c r="P132" s="309">
        <f>N132-O132</f>
        <v>0</v>
      </c>
      <c r="Q132" s="309">
        <f>M132</f>
        <v>0</v>
      </c>
      <c r="R132" s="307">
        <f>D132-N132</f>
        <v>41.760000000000005</v>
      </c>
      <c r="S132" s="307"/>
      <c r="T132" s="307">
        <f t="shared" ref="T132:T135" si="98">R132+S132</f>
        <v>41.760000000000005</v>
      </c>
    </row>
    <row r="133" spans="1:20" ht="39" customHeight="1">
      <c r="A133" s="325" t="s">
        <v>438</v>
      </c>
      <c r="B133" s="166" t="s">
        <v>308</v>
      </c>
      <c r="C133" s="320" t="s">
        <v>488</v>
      </c>
      <c r="D133" s="306">
        <f>E133+G133</f>
        <v>0</v>
      </c>
      <c r="E133" s="306"/>
      <c r="F133" s="306"/>
      <c r="G133" s="306"/>
      <c r="H133" s="309"/>
      <c r="I133" s="309">
        <f>D133</f>
        <v>0</v>
      </c>
      <c r="J133" s="309"/>
      <c r="K133" s="309"/>
      <c r="L133" s="309">
        <f>K133*10%</f>
        <v>0</v>
      </c>
      <c r="M133" s="309"/>
      <c r="N133" s="309">
        <f>L133+M133</f>
        <v>0</v>
      </c>
      <c r="O133" s="309">
        <f>N133</f>
        <v>0</v>
      </c>
      <c r="P133" s="309">
        <f>N133-O133</f>
        <v>0</v>
      </c>
      <c r="Q133" s="309">
        <f>M133</f>
        <v>0</v>
      </c>
      <c r="R133" s="307">
        <f>D133-N133</f>
        <v>0</v>
      </c>
      <c r="S133" s="307"/>
      <c r="T133" s="307">
        <f t="shared" si="98"/>
        <v>0</v>
      </c>
    </row>
    <row r="134" spans="1:20" ht="36" customHeight="1">
      <c r="A134" s="325" t="s">
        <v>438</v>
      </c>
      <c r="B134" s="166" t="s">
        <v>495</v>
      </c>
      <c r="C134" s="320" t="s">
        <v>488</v>
      </c>
      <c r="D134" s="306">
        <f>E134+G134</f>
        <v>0</v>
      </c>
      <c r="E134" s="306"/>
      <c r="F134" s="306"/>
      <c r="G134" s="306"/>
      <c r="H134" s="309"/>
      <c r="I134" s="309">
        <f>D134</f>
        <v>0</v>
      </c>
      <c r="J134" s="309"/>
      <c r="K134" s="309"/>
      <c r="L134" s="309">
        <f>K134*10%</f>
        <v>0</v>
      </c>
      <c r="M134" s="309"/>
      <c r="N134" s="309">
        <f>L134+M134</f>
        <v>0</v>
      </c>
      <c r="O134" s="309">
        <f>N134</f>
        <v>0</v>
      </c>
      <c r="P134" s="309">
        <f>N134-O134</f>
        <v>0</v>
      </c>
      <c r="Q134" s="309">
        <f>M134</f>
        <v>0</v>
      </c>
      <c r="R134" s="307">
        <f>D134-N134</f>
        <v>0</v>
      </c>
      <c r="S134" s="307"/>
      <c r="T134" s="307">
        <f>R134+S134</f>
        <v>0</v>
      </c>
    </row>
    <row r="135" spans="1:20" ht="26.25" customHeight="1">
      <c r="A135" s="325" t="s">
        <v>438</v>
      </c>
      <c r="B135" s="166" t="s">
        <v>309</v>
      </c>
      <c r="C135" s="320" t="s">
        <v>478</v>
      </c>
      <c r="D135" s="306">
        <f>E135+G135</f>
        <v>0</v>
      </c>
      <c r="E135" s="306"/>
      <c r="F135" s="306"/>
      <c r="G135" s="306"/>
      <c r="H135" s="309"/>
      <c r="I135" s="309">
        <f>D135</f>
        <v>0</v>
      </c>
      <c r="J135" s="309"/>
      <c r="K135" s="309"/>
      <c r="L135" s="309">
        <f>K135*10%</f>
        <v>0</v>
      </c>
      <c r="M135" s="309"/>
      <c r="N135" s="309">
        <f>L135+M135</f>
        <v>0</v>
      </c>
      <c r="O135" s="309">
        <f>N135</f>
        <v>0</v>
      </c>
      <c r="P135" s="309">
        <f>N135-O135</f>
        <v>0</v>
      </c>
      <c r="Q135" s="309">
        <f>M135</f>
        <v>0</v>
      </c>
      <c r="R135" s="307">
        <f>D135-N135</f>
        <v>0</v>
      </c>
      <c r="S135" s="307"/>
      <c r="T135" s="307">
        <f t="shared" si="98"/>
        <v>0</v>
      </c>
    </row>
    <row r="136" spans="1:20" s="328" customFormat="1" ht="27.75" customHeight="1">
      <c r="A136" s="320">
        <v>3</v>
      </c>
      <c r="B136" s="321" t="s">
        <v>503</v>
      </c>
      <c r="C136" s="320" t="s">
        <v>488</v>
      </c>
      <c r="D136" s="322">
        <f>D137+D149</f>
        <v>6047.5765816545863</v>
      </c>
      <c r="E136" s="322">
        <f t="shared" ref="E136:Q136" si="99">E137+E149</f>
        <v>6013.646581654586</v>
      </c>
      <c r="F136" s="322">
        <f t="shared" si="99"/>
        <v>0</v>
      </c>
      <c r="G136" s="322">
        <f t="shared" si="99"/>
        <v>33.93</v>
      </c>
      <c r="H136" s="322">
        <f t="shared" si="99"/>
        <v>4869.4689184828221</v>
      </c>
      <c r="I136" s="322">
        <f t="shared" si="99"/>
        <v>556.25400000000013</v>
      </c>
      <c r="J136" s="322">
        <f t="shared" si="99"/>
        <v>0</v>
      </c>
      <c r="K136" s="322">
        <f t="shared" si="99"/>
        <v>621.85366317176442</v>
      </c>
      <c r="L136" s="322">
        <f t="shared" si="99"/>
        <v>62.185366317176445</v>
      </c>
      <c r="M136" s="322">
        <f t="shared" si="99"/>
        <v>0</v>
      </c>
      <c r="N136" s="322">
        <f t="shared" si="99"/>
        <v>62.185366317176445</v>
      </c>
      <c r="O136" s="322">
        <f t="shared" si="99"/>
        <v>62.185366317176445</v>
      </c>
      <c r="P136" s="322">
        <f t="shared" si="99"/>
        <v>0</v>
      </c>
      <c r="Q136" s="322">
        <f t="shared" si="99"/>
        <v>0</v>
      </c>
      <c r="R136" s="322">
        <f>R137+R149</f>
        <v>6047.5765816545872</v>
      </c>
      <c r="S136" s="322">
        <f t="shared" ref="S136:T136" si="100">S137+S149</f>
        <v>0</v>
      </c>
      <c r="T136" s="322">
        <f t="shared" si="100"/>
        <v>6047.5765816545872</v>
      </c>
    </row>
    <row r="137" spans="1:20" ht="27.75" customHeight="1">
      <c r="A137" s="303" t="s">
        <v>481</v>
      </c>
      <c r="B137" s="323" t="s">
        <v>482</v>
      </c>
      <c r="C137" s="320" t="s">
        <v>488</v>
      </c>
      <c r="D137" s="307">
        <f>D138+D141+D144+D145+D146</f>
        <v>5491.3225816545864</v>
      </c>
      <c r="E137" s="307">
        <f t="shared" ref="E137:Q137" si="101">E138+E141+E144+E145+E146</f>
        <v>5491.3225816545864</v>
      </c>
      <c r="F137" s="307">
        <f t="shared" si="101"/>
        <v>0</v>
      </c>
      <c r="G137" s="307">
        <f t="shared" si="101"/>
        <v>0</v>
      </c>
      <c r="H137" s="307">
        <f t="shared" si="101"/>
        <v>4869.4689184828221</v>
      </c>
      <c r="I137" s="307">
        <f t="shared" si="101"/>
        <v>0</v>
      </c>
      <c r="J137" s="307">
        <f t="shared" si="101"/>
        <v>0</v>
      </c>
      <c r="K137" s="307">
        <f t="shared" si="101"/>
        <v>621.85366317176442</v>
      </c>
      <c r="L137" s="307">
        <f t="shared" si="101"/>
        <v>62.185366317176445</v>
      </c>
      <c r="M137" s="307">
        <f t="shared" si="101"/>
        <v>0</v>
      </c>
      <c r="N137" s="307">
        <f t="shared" si="101"/>
        <v>62.185366317176445</v>
      </c>
      <c r="O137" s="307">
        <f t="shared" si="101"/>
        <v>62.185366317176445</v>
      </c>
      <c r="P137" s="307">
        <f t="shared" si="101"/>
        <v>0</v>
      </c>
      <c r="Q137" s="307">
        <f t="shared" si="101"/>
        <v>0</v>
      </c>
      <c r="R137" s="307">
        <f>R138+R141+R144+R145+R146</f>
        <v>5491.3225816545873</v>
      </c>
      <c r="S137" s="307">
        <f t="shared" ref="S137:T137" si="102">S138+S141+S144+S145+S146</f>
        <v>0</v>
      </c>
      <c r="T137" s="307">
        <f t="shared" si="102"/>
        <v>5491.3225816545873</v>
      </c>
    </row>
    <row r="138" spans="1:20" ht="27.75" customHeight="1">
      <c r="A138" s="325" t="s">
        <v>438</v>
      </c>
      <c r="B138" s="164" t="s">
        <v>277</v>
      </c>
      <c r="C138" s="320" t="s">
        <v>488</v>
      </c>
      <c r="D138" s="306">
        <f t="shared" ref="D138:D144" si="103">SUM(E138:G138)</f>
        <v>4142.5694246399999</v>
      </c>
      <c r="E138" s="306">
        <f>SUM(E139:E140)</f>
        <v>4142.5694246399999</v>
      </c>
      <c r="F138" s="306">
        <f>SUM(F139:F140)</f>
        <v>0</v>
      </c>
      <c r="G138" s="306">
        <f>SUM(G139:G140)</f>
        <v>0</v>
      </c>
      <c r="H138" s="307">
        <f t="shared" ref="H138:H145" si="104">D138</f>
        <v>4142.5694246399999</v>
      </c>
      <c r="I138" s="309"/>
      <c r="J138" s="309"/>
      <c r="K138" s="309"/>
      <c r="L138" s="309">
        <f>K138*10%</f>
        <v>0</v>
      </c>
      <c r="M138" s="309"/>
      <c r="N138" s="309">
        <f>L138+M138</f>
        <v>0</v>
      </c>
      <c r="O138" s="309">
        <f>L138-P138</f>
        <v>0</v>
      </c>
      <c r="P138" s="309">
        <f>N138</f>
        <v>0</v>
      </c>
      <c r="Q138" s="309">
        <f>M138</f>
        <v>0</v>
      </c>
      <c r="R138" s="307">
        <f>SUM(R139:R140)</f>
        <v>4142.5694246399999</v>
      </c>
      <c r="S138" s="307">
        <f t="shared" ref="S138:T138" si="105">SUM(S139:S140)</f>
        <v>0</v>
      </c>
      <c r="T138" s="307">
        <f t="shared" si="105"/>
        <v>4142.5694246399999</v>
      </c>
    </row>
    <row r="139" spans="1:20" ht="27.75" customHeight="1">
      <c r="A139" s="325" t="s">
        <v>489</v>
      </c>
      <c r="B139" s="164" t="s">
        <v>490</v>
      </c>
      <c r="C139" s="320" t="s">
        <v>444</v>
      </c>
      <c r="D139" s="306">
        <f t="shared" si="103"/>
        <v>4142.5694246399999</v>
      </c>
      <c r="E139" s="306">
        <f>'[2] TL giao BC '!T79</f>
        <v>4142.5694246399999</v>
      </c>
      <c r="F139" s="306"/>
      <c r="G139" s="306"/>
      <c r="H139" s="307">
        <f t="shared" si="104"/>
        <v>4142.5694246399999</v>
      </c>
      <c r="I139" s="309"/>
      <c r="J139" s="309"/>
      <c r="K139" s="309"/>
      <c r="L139" s="309"/>
      <c r="M139" s="309"/>
      <c r="N139" s="309"/>
      <c r="O139" s="309"/>
      <c r="P139" s="309"/>
      <c r="Q139" s="309"/>
      <c r="R139" s="307">
        <f>D139-N139</f>
        <v>4142.5694246399999</v>
      </c>
      <c r="S139" s="307">
        <v>-270.61</v>
      </c>
      <c r="T139" s="307">
        <f>R139+S139</f>
        <v>3871.9594246399997</v>
      </c>
    </row>
    <row r="140" spans="1:20" ht="27.75" customHeight="1">
      <c r="A140" s="325" t="s">
        <v>489</v>
      </c>
      <c r="B140" s="164" t="s">
        <v>305</v>
      </c>
      <c r="C140" s="320" t="s">
        <v>478</v>
      </c>
      <c r="D140" s="306">
        <f t="shared" si="103"/>
        <v>0</v>
      </c>
      <c r="E140" s="306"/>
      <c r="F140" s="306"/>
      <c r="G140" s="306">
        <f>'[2] TL giao BC tăng thêm'!T16</f>
        <v>0</v>
      </c>
      <c r="H140" s="307">
        <f t="shared" si="104"/>
        <v>0</v>
      </c>
      <c r="I140" s="309"/>
      <c r="J140" s="309"/>
      <c r="K140" s="309"/>
      <c r="L140" s="309"/>
      <c r="M140" s="309"/>
      <c r="N140" s="309"/>
      <c r="O140" s="309"/>
      <c r="P140" s="309"/>
      <c r="Q140" s="309"/>
      <c r="R140" s="307">
        <f>D140-N140</f>
        <v>0</v>
      </c>
      <c r="S140" s="307">
        <v>270.61</v>
      </c>
      <c r="T140" s="307">
        <f>R140+S140</f>
        <v>270.61</v>
      </c>
    </row>
    <row r="141" spans="1:20" ht="27.75" customHeight="1">
      <c r="A141" s="304" t="s">
        <v>438</v>
      </c>
      <c r="B141" s="166" t="s">
        <v>278</v>
      </c>
      <c r="C141" s="320" t="s">
        <v>444</v>
      </c>
      <c r="D141" s="306">
        <f t="shared" si="103"/>
        <v>861.87686015999986</v>
      </c>
      <c r="E141" s="306">
        <f>SUM(E142:E143)</f>
        <v>861.87686015999986</v>
      </c>
      <c r="F141" s="306">
        <f>SUM(F142:F143)</f>
        <v>0</v>
      </c>
      <c r="G141" s="306">
        <f>SUM(G142:G143)</f>
        <v>0</v>
      </c>
      <c r="H141" s="307">
        <f t="shared" si="104"/>
        <v>861.87686015999986</v>
      </c>
      <c r="I141" s="309"/>
      <c r="J141" s="309"/>
      <c r="K141" s="309"/>
      <c r="L141" s="309">
        <f>K141*10%</f>
        <v>0</v>
      </c>
      <c r="M141" s="309"/>
      <c r="N141" s="309">
        <f>L141+M141</f>
        <v>0</v>
      </c>
      <c r="O141" s="309">
        <f>L141-P141</f>
        <v>0</v>
      </c>
      <c r="P141" s="309">
        <f>N141</f>
        <v>0</v>
      </c>
      <c r="Q141" s="309">
        <f>M141</f>
        <v>0</v>
      </c>
      <c r="R141" s="307">
        <f>SUM(R142:R143)</f>
        <v>861.87686015999986</v>
      </c>
      <c r="S141" s="307">
        <f t="shared" ref="S141:T141" si="106">SUM(S142:S143)</f>
        <v>0</v>
      </c>
      <c r="T141" s="307">
        <f t="shared" si="106"/>
        <v>861.87686015999986</v>
      </c>
    </row>
    <row r="142" spans="1:20" ht="27.75" customHeight="1">
      <c r="A142" s="325" t="s">
        <v>489</v>
      </c>
      <c r="B142" s="166" t="s">
        <v>491</v>
      </c>
      <c r="C142" s="320" t="s">
        <v>444</v>
      </c>
      <c r="D142" s="306">
        <f t="shared" si="103"/>
        <v>861.87686015999986</v>
      </c>
      <c r="E142" s="306">
        <f>'[2] TL giao BC '!U79</f>
        <v>861.87686015999986</v>
      </c>
      <c r="F142" s="306"/>
      <c r="G142" s="306"/>
      <c r="H142" s="307">
        <f t="shared" si="104"/>
        <v>861.87686015999986</v>
      </c>
      <c r="I142" s="309"/>
      <c r="J142" s="309"/>
      <c r="K142" s="309"/>
      <c r="L142" s="309"/>
      <c r="M142" s="309"/>
      <c r="N142" s="309"/>
      <c r="O142" s="309"/>
      <c r="P142" s="309"/>
      <c r="Q142" s="309"/>
      <c r="R142" s="307">
        <f>D142-N142</f>
        <v>861.87686015999986</v>
      </c>
      <c r="S142" s="307">
        <v>-56.3</v>
      </c>
      <c r="T142" s="307">
        <f t="shared" ref="T142:T144" si="107">R142+S142</f>
        <v>805.57686015999991</v>
      </c>
    </row>
    <row r="143" spans="1:20" ht="27.75" customHeight="1">
      <c r="A143" s="325" t="s">
        <v>489</v>
      </c>
      <c r="B143" s="164" t="s">
        <v>492</v>
      </c>
      <c r="C143" s="320" t="s">
        <v>444</v>
      </c>
      <c r="D143" s="306">
        <f t="shared" si="103"/>
        <v>0</v>
      </c>
      <c r="E143" s="306">
        <f>'[2] TL giao BC tăng thêm'!U16</f>
        <v>0</v>
      </c>
      <c r="F143" s="306"/>
      <c r="G143" s="306"/>
      <c r="H143" s="307">
        <f t="shared" si="104"/>
        <v>0</v>
      </c>
      <c r="I143" s="309"/>
      <c r="J143" s="309"/>
      <c r="K143" s="309"/>
      <c r="L143" s="309"/>
      <c r="M143" s="309"/>
      <c r="N143" s="309"/>
      <c r="O143" s="309"/>
      <c r="P143" s="309"/>
      <c r="Q143" s="309"/>
      <c r="R143" s="307">
        <f>D143-N143</f>
        <v>0</v>
      </c>
      <c r="S143" s="307">
        <v>56.3</v>
      </c>
      <c r="T143" s="307">
        <f t="shared" si="107"/>
        <v>56.3</v>
      </c>
    </row>
    <row r="144" spans="1:20" ht="27.75" customHeight="1">
      <c r="A144" s="325" t="s">
        <v>438</v>
      </c>
      <c r="B144" s="164" t="s">
        <v>483</v>
      </c>
      <c r="C144" s="320"/>
      <c r="D144" s="306">
        <f t="shared" si="103"/>
        <v>-72.792000000000016</v>
      </c>
      <c r="E144" s="306">
        <f>-'[2]Biểu Thu '!P7-'[2]Biểu Thu '!AB7</f>
        <v>-72.792000000000016</v>
      </c>
      <c r="F144" s="306"/>
      <c r="G144" s="306"/>
      <c r="H144" s="307">
        <f t="shared" si="104"/>
        <v>-72.792000000000016</v>
      </c>
      <c r="I144" s="309"/>
      <c r="J144" s="309"/>
      <c r="K144" s="309"/>
      <c r="L144" s="309"/>
      <c r="M144" s="309"/>
      <c r="N144" s="309"/>
      <c r="O144" s="309"/>
      <c r="P144" s="309"/>
      <c r="Q144" s="309"/>
      <c r="R144" s="307">
        <f>D144-N144</f>
        <v>-72.792000000000016</v>
      </c>
      <c r="S144" s="307"/>
      <c r="T144" s="307">
        <f t="shared" si="107"/>
        <v>-72.792000000000016</v>
      </c>
    </row>
    <row r="145" spans="1:20" s="311" customFormat="1" ht="27.75" customHeight="1">
      <c r="A145" s="304" t="s">
        <v>438</v>
      </c>
      <c r="B145" s="166" t="s">
        <v>452</v>
      </c>
      <c r="C145" s="320" t="s">
        <v>488</v>
      </c>
      <c r="D145" s="306">
        <f>E145+G145</f>
        <v>-62.185366317176445</v>
      </c>
      <c r="E145" s="306">
        <f>-L146</f>
        <v>-62.185366317176445</v>
      </c>
      <c r="F145" s="306"/>
      <c r="G145" s="306"/>
      <c r="H145" s="307">
        <f t="shared" si="104"/>
        <v>-62.185366317176445</v>
      </c>
      <c r="I145" s="308"/>
      <c r="J145" s="308"/>
      <c r="K145" s="308"/>
      <c r="L145" s="309">
        <f>K145*10%</f>
        <v>0</v>
      </c>
      <c r="M145" s="309"/>
      <c r="N145" s="309">
        <f>L145+M145</f>
        <v>0</v>
      </c>
      <c r="O145" s="309">
        <f>L145-P145</f>
        <v>0</v>
      </c>
      <c r="P145" s="309">
        <f>N145</f>
        <v>0</v>
      </c>
      <c r="Q145" s="309">
        <f>M145</f>
        <v>0</v>
      </c>
      <c r="R145" s="307"/>
      <c r="S145" s="306"/>
      <c r="T145" s="307"/>
    </row>
    <row r="146" spans="1:20" ht="26.25" customHeight="1">
      <c r="A146" s="304" t="s">
        <v>438</v>
      </c>
      <c r="B146" s="166" t="s">
        <v>412</v>
      </c>
      <c r="C146" s="320" t="s">
        <v>488</v>
      </c>
      <c r="D146" s="306">
        <f>SUM(E146:G146)</f>
        <v>621.85366317176442</v>
      </c>
      <c r="E146" s="306">
        <f>SUM(E147:E148)</f>
        <v>621.85366317176442</v>
      </c>
      <c r="F146" s="306">
        <f>SUM(F147:F148)</f>
        <v>0</v>
      </c>
      <c r="G146" s="306">
        <f>SUM(G147:G148)</f>
        <v>0</v>
      </c>
      <c r="H146" s="309"/>
      <c r="I146" s="309"/>
      <c r="J146" s="309"/>
      <c r="K146" s="309">
        <f>SUM(K147:K148)</f>
        <v>621.85366317176442</v>
      </c>
      <c r="L146" s="309">
        <f>SUM(L147:L148)</f>
        <v>62.185366317176445</v>
      </c>
      <c r="M146" s="309"/>
      <c r="N146" s="309">
        <f>L146+M146</f>
        <v>62.185366317176445</v>
      </c>
      <c r="O146" s="309">
        <f>N146</f>
        <v>62.185366317176445</v>
      </c>
      <c r="P146" s="309">
        <f>N146-O146</f>
        <v>0</v>
      </c>
      <c r="Q146" s="309">
        <f>M146</f>
        <v>0</v>
      </c>
      <c r="R146" s="307">
        <f>D146-N146</f>
        <v>559.66829685458799</v>
      </c>
      <c r="S146" s="307">
        <f t="shared" ref="S146" si="108">SUM(S147:S148)</f>
        <v>0</v>
      </c>
      <c r="T146" s="307">
        <f>R146+S146</f>
        <v>559.66829685458799</v>
      </c>
    </row>
    <row r="147" spans="1:20" ht="39" customHeight="1">
      <c r="A147" s="325" t="s">
        <v>489</v>
      </c>
      <c r="B147" s="166" t="s">
        <v>504</v>
      </c>
      <c r="C147" s="320" t="s">
        <v>444</v>
      </c>
      <c r="D147" s="306">
        <f>SUM(E147:G147)</f>
        <v>621.85366317176442</v>
      </c>
      <c r="E147" s="306">
        <f>'[2] TL giao BC '!Z79</f>
        <v>621.85366317176442</v>
      </c>
      <c r="F147" s="306"/>
      <c r="G147" s="306"/>
      <c r="H147" s="309"/>
      <c r="I147" s="309"/>
      <c r="J147" s="309"/>
      <c r="K147" s="309">
        <f>D147</f>
        <v>621.85366317176442</v>
      </c>
      <c r="L147" s="309">
        <f>K147*10%</f>
        <v>62.185366317176445</v>
      </c>
      <c r="M147" s="309"/>
      <c r="N147" s="309"/>
      <c r="O147" s="309"/>
      <c r="P147" s="309"/>
      <c r="Q147" s="309"/>
      <c r="R147" s="307"/>
      <c r="S147" s="307">
        <v>-47.75</v>
      </c>
      <c r="T147" s="307"/>
    </row>
    <row r="148" spans="1:20" ht="33" customHeight="1">
      <c r="A148" s="325" t="s">
        <v>489</v>
      </c>
      <c r="B148" s="164" t="s">
        <v>505</v>
      </c>
      <c r="C148" s="320" t="s">
        <v>478</v>
      </c>
      <c r="D148" s="306">
        <f>SUM(E148:G148)</f>
        <v>0</v>
      </c>
      <c r="E148" s="306"/>
      <c r="F148" s="306"/>
      <c r="G148" s="306">
        <f>'[2] TL giao BC tăng thêm'!X16</f>
        <v>0</v>
      </c>
      <c r="H148" s="309"/>
      <c r="I148" s="309"/>
      <c r="J148" s="309"/>
      <c r="K148" s="309">
        <f>D148</f>
        <v>0</v>
      </c>
      <c r="L148" s="309">
        <f>K148*10%</f>
        <v>0</v>
      </c>
      <c r="M148" s="309"/>
      <c r="N148" s="309"/>
      <c r="O148" s="309"/>
      <c r="P148" s="309"/>
      <c r="Q148" s="309"/>
      <c r="R148" s="307"/>
      <c r="S148" s="307">
        <v>47.75</v>
      </c>
      <c r="T148" s="307"/>
    </row>
    <row r="149" spans="1:20" ht="30" customHeight="1">
      <c r="A149" s="303" t="s">
        <v>481</v>
      </c>
      <c r="B149" s="326" t="s">
        <v>485</v>
      </c>
      <c r="C149" s="320" t="s">
        <v>488</v>
      </c>
      <c r="D149" s="307">
        <f>E149+G149+F149</f>
        <v>556.25400000000002</v>
      </c>
      <c r="E149" s="307">
        <f t="shared" ref="E149:T149" si="109">SUM(E150:E154)</f>
        <v>522.32400000000007</v>
      </c>
      <c r="F149" s="307">
        <f t="shared" si="109"/>
        <v>0</v>
      </c>
      <c r="G149" s="307">
        <f t="shared" si="109"/>
        <v>33.93</v>
      </c>
      <c r="H149" s="307">
        <f t="shared" si="109"/>
        <v>0</v>
      </c>
      <c r="I149" s="307">
        <f t="shared" si="109"/>
        <v>556.25400000000013</v>
      </c>
      <c r="J149" s="307">
        <f t="shared" si="109"/>
        <v>0</v>
      </c>
      <c r="K149" s="307">
        <f t="shared" si="109"/>
        <v>0</v>
      </c>
      <c r="L149" s="307">
        <f t="shared" si="109"/>
        <v>0</v>
      </c>
      <c r="M149" s="307">
        <f t="shared" si="109"/>
        <v>0</v>
      </c>
      <c r="N149" s="307">
        <f t="shared" si="109"/>
        <v>0</v>
      </c>
      <c r="O149" s="307">
        <f t="shared" si="109"/>
        <v>0</v>
      </c>
      <c r="P149" s="307">
        <f t="shared" si="109"/>
        <v>0</v>
      </c>
      <c r="Q149" s="307">
        <f t="shared" si="109"/>
        <v>0</v>
      </c>
      <c r="R149" s="307">
        <f t="shared" si="109"/>
        <v>556.25400000000013</v>
      </c>
      <c r="S149" s="307">
        <f t="shared" si="109"/>
        <v>0</v>
      </c>
      <c r="T149" s="307">
        <f t="shared" si="109"/>
        <v>556.25400000000013</v>
      </c>
    </row>
    <row r="150" spans="1:20" ht="30" customHeight="1">
      <c r="A150" s="325" t="s">
        <v>438</v>
      </c>
      <c r="B150" s="166" t="s">
        <v>280</v>
      </c>
      <c r="C150" s="320" t="s">
        <v>444</v>
      </c>
      <c r="D150" s="306">
        <f>E150+G150</f>
        <v>97.254000000000019</v>
      </c>
      <c r="E150" s="306">
        <f>'[2]CS giáo dục '!Q7</f>
        <v>97.254000000000019</v>
      </c>
      <c r="F150" s="306"/>
      <c r="G150" s="306"/>
      <c r="H150" s="309"/>
      <c r="I150" s="309">
        <f>D150</f>
        <v>97.254000000000019</v>
      </c>
      <c r="J150" s="309"/>
      <c r="K150" s="309"/>
      <c r="L150" s="309">
        <f>K150*10%</f>
        <v>0</v>
      </c>
      <c r="M150" s="309"/>
      <c r="N150" s="309">
        <f>L150+M150</f>
        <v>0</v>
      </c>
      <c r="O150" s="309">
        <f>N150</f>
        <v>0</v>
      </c>
      <c r="P150" s="309">
        <f>N150-O150</f>
        <v>0</v>
      </c>
      <c r="Q150" s="309">
        <f>M150</f>
        <v>0</v>
      </c>
      <c r="R150" s="307">
        <f>D150-N150</f>
        <v>97.254000000000019</v>
      </c>
      <c r="S150" s="307"/>
      <c r="T150" s="307">
        <f>R150+S150</f>
        <v>97.254000000000019</v>
      </c>
    </row>
    <row r="151" spans="1:20" ht="30" customHeight="1">
      <c r="A151" s="325" t="s">
        <v>438</v>
      </c>
      <c r="B151" s="166" t="s">
        <v>287</v>
      </c>
      <c r="C151" s="320" t="s">
        <v>488</v>
      </c>
      <c r="D151" s="306">
        <f>E151+G151+F151</f>
        <v>459.00000000000006</v>
      </c>
      <c r="E151" s="306">
        <f>'[2]CS giáo dục '!U7</f>
        <v>425.07000000000005</v>
      </c>
      <c r="F151" s="306"/>
      <c r="G151" s="306">
        <f>'[2]CS giáo dục '!W7</f>
        <v>33.93</v>
      </c>
      <c r="H151" s="309"/>
      <c r="I151" s="309">
        <f>D151</f>
        <v>459.00000000000006</v>
      </c>
      <c r="J151" s="309"/>
      <c r="K151" s="309"/>
      <c r="L151" s="309">
        <f>K151*10%</f>
        <v>0</v>
      </c>
      <c r="M151" s="309"/>
      <c r="N151" s="309">
        <f>L151+M151</f>
        <v>0</v>
      </c>
      <c r="O151" s="309">
        <f>N151</f>
        <v>0</v>
      </c>
      <c r="P151" s="309">
        <f>N151-O151</f>
        <v>0</v>
      </c>
      <c r="Q151" s="309">
        <f>M151</f>
        <v>0</v>
      </c>
      <c r="R151" s="307">
        <f>D151-N151</f>
        <v>459.00000000000006</v>
      </c>
      <c r="S151" s="307"/>
      <c r="T151" s="307">
        <f t="shared" ref="T151:T154" si="110">R151+S151</f>
        <v>459.00000000000006</v>
      </c>
    </row>
    <row r="152" spans="1:20" ht="39" customHeight="1">
      <c r="A152" s="325" t="s">
        <v>438</v>
      </c>
      <c r="B152" s="166" t="s">
        <v>308</v>
      </c>
      <c r="C152" s="320" t="s">
        <v>488</v>
      </c>
      <c r="D152" s="306">
        <f>E152+G152</f>
        <v>0</v>
      </c>
      <c r="E152" s="306"/>
      <c r="F152" s="306"/>
      <c r="G152" s="306"/>
      <c r="H152" s="309"/>
      <c r="I152" s="309">
        <f>D152</f>
        <v>0</v>
      </c>
      <c r="J152" s="309"/>
      <c r="K152" s="309"/>
      <c r="L152" s="309">
        <f>K152*10%</f>
        <v>0</v>
      </c>
      <c r="M152" s="309"/>
      <c r="N152" s="309">
        <f>L152+M152</f>
        <v>0</v>
      </c>
      <c r="O152" s="309">
        <f>N152</f>
        <v>0</v>
      </c>
      <c r="P152" s="309">
        <f>N152-O152</f>
        <v>0</v>
      </c>
      <c r="Q152" s="309">
        <f>M152</f>
        <v>0</v>
      </c>
      <c r="R152" s="307">
        <f>D152-N152</f>
        <v>0</v>
      </c>
      <c r="S152" s="307"/>
      <c r="T152" s="307">
        <f t="shared" si="110"/>
        <v>0</v>
      </c>
    </row>
    <row r="153" spans="1:20" ht="36" customHeight="1">
      <c r="A153" s="325" t="s">
        <v>438</v>
      </c>
      <c r="B153" s="166" t="s">
        <v>495</v>
      </c>
      <c r="C153" s="320" t="s">
        <v>488</v>
      </c>
      <c r="D153" s="306">
        <f>E153+G153</f>
        <v>0</v>
      </c>
      <c r="E153" s="306"/>
      <c r="F153" s="306"/>
      <c r="G153" s="306"/>
      <c r="H153" s="309"/>
      <c r="I153" s="309">
        <f>D153</f>
        <v>0</v>
      </c>
      <c r="J153" s="309"/>
      <c r="K153" s="309"/>
      <c r="L153" s="309">
        <f>K153*10%</f>
        <v>0</v>
      </c>
      <c r="M153" s="309"/>
      <c r="N153" s="309">
        <f>L153+M153</f>
        <v>0</v>
      </c>
      <c r="O153" s="309">
        <f>N153</f>
        <v>0</v>
      </c>
      <c r="P153" s="309">
        <f>N153-O153</f>
        <v>0</v>
      </c>
      <c r="Q153" s="309">
        <f>M153</f>
        <v>0</v>
      </c>
      <c r="R153" s="307">
        <f>D153-N153</f>
        <v>0</v>
      </c>
      <c r="S153" s="307"/>
      <c r="T153" s="307">
        <f t="shared" si="110"/>
        <v>0</v>
      </c>
    </row>
    <row r="154" spans="1:20" ht="26.25" customHeight="1">
      <c r="A154" s="325" t="s">
        <v>438</v>
      </c>
      <c r="B154" s="166" t="s">
        <v>309</v>
      </c>
      <c r="C154" s="320" t="s">
        <v>478</v>
      </c>
      <c r="D154" s="306">
        <f>E154+G154</f>
        <v>0</v>
      </c>
      <c r="E154" s="306"/>
      <c r="F154" s="306"/>
      <c r="G154" s="306"/>
      <c r="H154" s="309"/>
      <c r="I154" s="309">
        <f>D154</f>
        <v>0</v>
      </c>
      <c r="J154" s="309"/>
      <c r="K154" s="309"/>
      <c r="L154" s="309">
        <f>K154*10%</f>
        <v>0</v>
      </c>
      <c r="M154" s="309"/>
      <c r="N154" s="309">
        <f>L154+M154</f>
        <v>0</v>
      </c>
      <c r="O154" s="309">
        <f>N154</f>
        <v>0</v>
      </c>
      <c r="P154" s="309">
        <f>N154-O154</f>
        <v>0</v>
      </c>
      <c r="Q154" s="309">
        <f>M154</f>
        <v>0</v>
      </c>
      <c r="R154" s="307">
        <f>D154-N154</f>
        <v>0</v>
      </c>
      <c r="S154" s="307"/>
      <c r="T154" s="307">
        <f t="shared" si="110"/>
        <v>0</v>
      </c>
    </row>
    <row r="155" spans="1:20" s="328" customFormat="1" ht="27.75" customHeight="1">
      <c r="A155" s="320">
        <v>4</v>
      </c>
      <c r="B155" s="321" t="s">
        <v>506</v>
      </c>
      <c r="C155" s="320" t="s">
        <v>488</v>
      </c>
      <c r="D155" s="322">
        <f>D156+D168</f>
        <v>5565.307074915665</v>
      </c>
      <c r="E155" s="322">
        <f>E156+E168+0.003</f>
        <v>5270.7352432867046</v>
      </c>
      <c r="F155" s="322">
        <f t="shared" ref="F155:Q155" si="111">F156+F168</f>
        <v>0</v>
      </c>
      <c r="G155" s="322">
        <f t="shared" si="111"/>
        <v>294.57483162895926</v>
      </c>
      <c r="H155" s="322">
        <f t="shared" si="111"/>
        <v>4281.6534440008236</v>
      </c>
      <c r="I155" s="322">
        <f t="shared" si="111"/>
        <v>731.03418692307696</v>
      </c>
      <c r="J155" s="322">
        <f t="shared" si="111"/>
        <v>0</v>
      </c>
      <c r="K155" s="322">
        <f t="shared" si="111"/>
        <v>552.61944399176457</v>
      </c>
      <c r="L155" s="322">
        <f t="shared" si="111"/>
        <v>55.261944399176457</v>
      </c>
      <c r="M155" s="322">
        <f t="shared" si="111"/>
        <v>0</v>
      </c>
      <c r="N155" s="322">
        <f t="shared" si="111"/>
        <v>55.261944399176457</v>
      </c>
      <c r="O155" s="322">
        <f t="shared" si="111"/>
        <v>55.261944399176457</v>
      </c>
      <c r="P155" s="322">
        <f t="shared" si="111"/>
        <v>0</v>
      </c>
      <c r="Q155" s="322">
        <f t="shared" si="111"/>
        <v>0</v>
      </c>
      <c r="R155" s="322">
        <f>R156+R168</f>
        <v>5565.307074915665</v>
      </c>
      <c r="S155" s="322">
        <f t="shared" ref="S155:T155" si="112">S156+S168</f>
        <v>0</v>
      </c>
      <c r="T155" s="322">
        <f t="shared" si="112"/>
        <v>5565.307074915665</v>
      </c>
    </row>
    <row r="156" spans="1:20" ht="27.75" customHeight="1">
      <c r="A156" s="303" t="s">
        <v>481</v>
      </c>
      <c r="B156" s="323" t="s">
        <v>482</v>
      </c>
      <c r="C156" s="320" t="s">
        <v>488</v>
      </c>
      <c r="D156" s="307">
        <f>D157+D160+D163+D164+D165</f>
        <v>4834.272887992588</v>
      </c>
      <c r="E156" s="307">
        <f>E157+E160+E163+E164+E165</f>
        <v>4590.4822432867049</v>
      </c>
      <c r="F156" s="307">
        <f t="shared" ref="F156:Q156" si="113">F157+F160+F163+F164+F165</f>
        <v>0</v>
      </c>
      <c r="G156" s="307">
        <f t="shared" si="113"/>
        <v>243.79064470588233</v>
      </c>
      <c r="H156" s="307">
        <f t="shared" si="113"/>
        <v>4281.6534440008236</v>
      </c>
      <c r="I156" s="307">
        <f t="shared" si="113"/>
        <v>0</v>
      </c>
      <c r="J156" s="307">
        <f t="shared" si="113"/>
        <v>0</v>
      </c>
      <c r="K156" s="307">
        <f t="shared" si="113"/>
        <v>552.61944399176457</v>
      </c>
      <c r="L156" s="307">
        <f t="shared" si="113"/>
        <v>55.261944399176457</v>
      </c>
      <c r="M156" s="307">
        <f t="shared" si="113"/>
        <v>0</v>
      </c>
      <c r="N156" s="307">
        <f t="shared" si="113"/>
        <v>55.261944399176457</v>
      </c>
      <c r="O156" s="307">
        <f t="shared" si="113"/>
        <v>55.261944399176457</v>
      </c>
      <c r="P156" s="307">
        <f t="shared" si="113"/>
        <v>0</v>
      </c>
      <c r="Q156" s="307">
        <f t="shared" si="113"/>
        <v>0</v>
      </c>
      <c r="R156" s="307">
        <f>R157+R160+R163+R164+R165</f>
        <v>4834.272887992588</v>
      </c>
      <c r="S156" s="307">
        <f t="shared" ref="S156:T156" si="114">S157+S160+S163+S164+S165</f>
        <v>0</v>
      </c>
      <c r="T156" s="307">
        <f t="shared" si="114"/>
        <v>4834.272887992588</v>
      </c>
    </row>
    <row r="157" spans="1:20" ht="27.75" customHeight="1">
      <c r="A157" s="325" t="s">
        <v>438</v>
      </c>
      <c r="B157" s="164" t="s">
        <v>277</v>
      </c>
      <c r="C157" s="320" t="s">
        <v>488</v>
      </c>
      <c r="D157" s="306">
        <f t="shared" ref="D157:D163" si="115">SUM(E157:G157)</f>
        <v>3639.4701826199998</v>
      </c>
      <c r="E157" s="306">
        <f>SUM(E158:E159)</f>
        <v>3432.2481346199997</v>
      </c>
      <c r="F157" s="306">
        <f>SUM(F158:F159)</f>
        <v>0</v>
      </c>
      <c r="G157" s="306">
        <f>SUM(G158:G159)</f>
        <v>207.22204799999997</v>
      </c>
      <c r="H157" s="307">
        <f t="shared" ref="H157:H164" si="116">D157</f>
        <v>3639.4701826199998</v>
      </c>
      <c r="I157" s="309"/>
      <c r="J157" s="309"/>
      <c r="K157" s="309"/>
      <c r="L157" s="309">
        <f>K157*10%</f>
        <v>0</v>
      </c>
      <c r="M157" s="309"/>
      <c r="N157" s="309">
        <f>L157+M157</f>
        <v>0</v>
      </c>
      <c r="O157" s="309">
        <f>L157-P157</f>
        <v>0</v>
      </c>
      <c r="P157" s="309">
        <f>N157</f>
        <v>0</v>
      </c>
      <c r="Q157" s="309">
        <f>M157</f>
        <v>0</v>
      </c>
      <c r="R157" s="307">
        <f>SUM(R158:R159)</f>
        <v>3639.4701826199998</v>
      </c>
      <c r="S157" s="307">
        <f t="shared" ref="S157:T157" si="117">SUM(S158:S159)</f>
        <v>0</v>
      </c>
      <c r="T157" s="307">
        <f t="shared" si="117"/>
        <v>3639.4701826199998</v>
      </c>
    </row>
    <row r="158" spans="1:20" ht="27.75" customHeight="1">
      <c r="A158" s="325" t="s">
        <v>489</v>
      </c>
      <c r="B158" s="164" t="s">
        <v>490</v>
      </c>
      <c r="C158" s="320" t="s">
        <v>444</v>
      </c>
      <c r="D158" s="306">
        <f t="shared" si="115"/>
        <v>3432.2481346199997</v>
      </c>
      <c r="E158" s="306">
        <f>'[2] TL giao BC '!T113</f>
        <v>3432.2481346199997</v>
      </c>
      <c r="F158" s="306"/>
      <c r="G158" s="306"/>
      <c r="H158" s="307">
        <f t="shared" si="116"/>
        <v>3432.2481346199997</v>
      </c>
      <c r="I158" s="309"/>
      <c r="J158" s="309"/>
      <c r="K158" s="309"/>
      <c r="L158" s="309"/>
      <c r="M158" s="309"/>
      <c r="N158" s="309"/>
      <c r="O158" s="309"/>
      <c r="P158" s="309"/>
      <c r="Q158" s="309"/>
      <c r="R158" s="307">
        <f>D158-N158</f>
        <v>3432.2481346199997</v>
      </c>
      <c r="S158" s="307">
        <v>-145.58000000000001</v>
      </c>
      <c r="T158" s="307">
        <f>R158+S158</f>
        <v>3286.6681346199998</v>
      </c>
    </row>
    <row r="159" spans="1:20" ht="27.75" customHeight="1">
      <c r="A159" s="325" t="s">
        <v>489</v>
      </c>
      <c r="B159" s="164" t="s">
        <v>305</v>
      </c>
      <c r="C159" s="320" t="s">
        <v>478</v>
      </c>
      <c r="D159" s="306">
        <f t="shared" si="115"/>
        <v>207.22204799999997</v>
      </c>
      <c r="E159" s="306"/>
      <c r="F159" s="306"/>
      <c r="G159" s="306">
        <f>'[2] TL giao BC tăng thêm'!T50</f>
        <v>207.22204799999997</v>
      </c>
      <c r="H159" s="307">
        <f t="shared" si="116"/>
        <v>207.22204799999997</v>
      </c>
      <c r="I159" s="309"/>
      <c r="J159" s="309"/>
      <c r="K159" s="309"/>
      <c r="L159" s="309"/>
      <c r="M159" s="309"/>
      <c r="N159" s="309"/>
      <c r="O159" s="309"/>
      <c r="P159" s="309"/>
      <c r="Q159" s="309"/>
      <c r="R159" s="307">
        <f>D159-N159</f>
        <v>207.22204799999997</v>
      </c>
      <c r="S159" s="307">
        <v>145.58000000000001</v>
      </c>
      <c r="T159" s="307">
        <f>R159+S159</f>
        <v>352.80204800000001</v>
      </c>
    </row>
    <row r="160" spans="1:20" ht="27.75" customHeight="1">
      <c r="A160" s="304" t="s">
        <v>438</v>
      </c>
      <c r="B160" s="166" t="s">
        <v>278</v>
      </c>
      <c r="C160" s="320" t="s">
        <v>444</v>
      </c>
      <c r="D160" s="306">
        <f t="shared" si="115"/>
        <v>757.20520577999991</v>
      </c>
      <c r="E160" s="306">
        <f>SUM(E161:E162)</f>
        <v>757.20520577999991</v>
      </c>
      <c r="F160" s="306">
        <f>SUM(F161:F162)</f>
        <v>0</v>
      </c>
      <c r="G160" s="306">
        <f>SUM(G161:G162)</f>
        <v>0</v>
      </c>
      <c r="H160" s="307">
        <f t="shared" si="116"/>
        <v>757.20520577999991</v>
      </c>
      <c r="I160" s="309"/>
      <c r="J160" s="309"/>
      <c r="K160" s="309"/>
      <c r="L160" s="309">
        <f>K160*10%</f>
        <v>0</v>
      </c>
      <c r="M160" s="309"/>
      <c r="N160" s="309">
        <f>L160+M160</f>
        <v>0</v>
      </c>
      <c r="O160" s="309">
        <f>L160-P160</f>
        <v>0</v>
      </c>
      <c r="P160" s="309">
        <f>N160</f>
        <v>0</v>
      </c>
      <c r="Q160" s="309">
        <f>M160</f>
        <v>0</v>
      </c>
      <c r="R160" s="307">
        <f>SUM(R161:R162)</f>
        <v>757.20520577999991</v>
      </c>
      <c r="S160" s="307">
        <f t="shared" ref="S160:T160" si="118">SUM(S161:S162)</f>
        <v>0</v>
      </c>
      <c r="T160" s="307">
        <f t="shared" si="118"/>
        <v>757.20520578000003</v>
      </c>
    </row>
    <row r="161" spans="1:20" ht="27.75" customHeight="1">
      <c r="A161" s="325" t="s">
        <v>489</v>
      </c>
      <c r="B161" s="166" t="s">
        <v>491</v>
      </c>
      <c r="C161" s="320" t="s">
        <v>444</v>
      </c>
      <c r="D161" s="306">
        <f t="shared" si="115"/>
        <v>714.09189377999996</v>
      </c>
      <c r="E161" s="306">
        <f>'[2] TL giao BC '!U113</f>
        <v>714.09189377999996</v>
      </c>
      <c r="F161" s="306"/>
      <c r="G161" s="306"/>
      <c r="H161" s="307">
        <f t="shared" si="116"/>
        <v>714.09189377999996</v>
      </c>
      <c r="I161" s="309"/>
      <c r="J161" s="309"/>
      <c r="K161" s="309"/>
      <c r="L161" s="309"/>
      <c r="M161" s="309"/>
      <c r="N161" s="309"/>
      <c r="O161" s="309"/>
      <c r="P161" s="309"/>
      <c r="Q161" s="309"/>
      <c r="R161" s="307">
        <f>D161-N161</f>
        <v>714.09189377999996</v>
      </c>
      <c r="S161" s="307">
        <v>-30.29</v>
      </c>
      <c r="T161" s="307">
        <f>R161+S161</f>
        <v>683.80189378</v>
      </c>
    </row>
    <row r="162" spans="1:20" ht="27.75" customHeight="1">
      <c r="A162" s="325" t="s">
        <v>489</v>
      </c>
      <c r="B162" s="164" t="s">
        <v>492</v>
      </c>
      <c r="C162" s="320" t="s">
        <v>444</v>
      </c>
      <c r="D162" s="306">
        <f t="shared" si="115"/>
        <v>43.113312000000001</v>
      </c>
      <c r="E162" s="306">
        <f>'[2] TL giao BC tăng thêm'!U50</f>
        <v>43.113312000000001</v>
      </c>
      <c r="F162" s="306"/>
      <c r="G162" s="306"/>
      <c r="H162" s="307">
        <f t="shared" si="116"/>
        <v>43.113312000000001</v>
      </c>
      <c r="I162" s="309"/>
      <c r="J162" s="309"/>
      <c r="K162" s="309"/>
      <c r="L162" s="309"/>
      <c r="M162" s="309"/>
      <c r="N162" s="309"/>
      <c r="O162" s="309"/>
      <c r="P162" s="309"/>
      <c r="Q162" s="309"/>
      <c r="R162" s="307">
        <f>D162-N162</f>
        <v>43.113312000000001</v>
      </c>
      <c r="S162" s="307">
        <v>30.29</v>
      </c>
      <c r="T162" s="307">
        <f>R162+S162</f>
        <v>73.403312</v>
      </c>
    </row>
    <row r="163" spans="1:20" ht="27.75" customHeight="1">
      <c r="A163" s="325" t="s">
        <v>438</v>
      </c>
      <c r="B163" s="164" t="s">
        <v>483</v>
      </c>
      <c r="C163" s="320"/>
      <c r="D163" s="306">
        <f t="shared" si="115"/>
        <v>-59.760000000000005</v>
      </c>
      <c r="E163" s="306">
        <f>-'[2]Biểu Thu '!P8-'[2]Biểu Thu '!AB8</f>
        <v>-59.760000000000005</v>
      </c>
      <c r="F163" s="306"/>
      <c r="G163" s="306"/>
      <c r="H163" s="307">
        <f t="shared" si="116"/>
        <v>-59.760000000000005</v>
      </c>
      <c r="I163" s="309"/>
      <c r="J163" s="309"/>
      <c r="K163" s="309"/>
      <c r="L163" s="309"/>
      <c r="M163" s="309"/>
      <c r="N163" s="309"/>
      <c r="O163" s="309"/>
      <c r="P163" s="309"/>
      <c r="Q163" s="309"/>
      <c r="R163" s="307">
        <f>D163-N163</f>
        <v>-59.760000000000005</v>
      </c>
      <c r="S163" s="307"/>
      <c r="T163" s="307">
        <f>R163+S163</f>
        <v>-59.760000000000005</v>
      </c>
    </row>
    <row r="164" spans="1:20" s="311" customFormat="1" ht="27.75" customHeight="1">
      <c r="A164" s="304" t="s">
        <v>438</v>
      </c>
      <c r="B164" s="166" t="s">
        <v>452</v>
      </c>
      <c r="C164" s="320" t="s">
        <v>488</v>
      </c>
      <c r="D164" s="306">
        <f>E164+G164</f>
        <v>-55.261944399176457</v>
      </c>
      <c r="E164" s="306">
        <f>-L165</f>
        <v>-55.261944399176457</v>
      </c>
      <c r="F164" s="306"/>
      <c r="G164" s="306"/>
      <c r="H164" s="307">
        <f t="shared" si="116"/>
        <v>-55.261944399176457</v>
      </c>
      <c r="I164" s="308"/>
      <c r="J164" s="308"/>
      <c r="K164" s="308"/>
      <c r="L164" s="309">
        <f>K164*10%</f>
        <v>0</v>
      </c>
      <c r="M164" s="309"/>
      <c r="N164" s="309">
        <f>L164+M164</f>
        <v>0</v>
      </c>
      <c r="O164" s="309">
        <f>L164-P164</f>
        <v>0</v>
      </c>
      <c r="P164" s="309">
        <f>N164</f>
        <v>0</v>
      </c>
      <c r="Q164" s="309">
        <f>M164</f>
        <v>0</v>
      </c>
      <c r="R164" s="307"/>
      <c r="S164" s="306"/>
      <c r="T164" s="307"/>
    </row>
    <row r="165" spans="1:20" ht="26.25" customHeight="1">
      <c r="A165" s="304" t="s">
        <v>438</v>
      </c>
      <c r="B165" s="166" t="s">
        <v>412</v>
      </c>
      <c r="C165" s="320" t="s">
        <v>488</v>
      </c>
      <c r="D165" s="306">
        <f>SUM(E165:G165)</f>
        <v>552.61944399176457</v>
      </c>
      <c r="E165" s="306">
        <f>SUM(E166:E167)</f>
        <v>516.05084728588224</v>
      </c>
      <c r="F165" s="306">
        <f>SUM(F166:F167)</f>
        <v>0</v>
      </c>
      <c r="G165" s="306">
        <f>SUM(G166:G167)</f>
        <v>36.568596705882356</v>
      </c>
      <c r="H165" s="309"/>
      <c r="I165" s="309"/>
      <c r="J165" s="309"/>
      <c r="K165" s="309">
        <f>SUM(K166:K167)</f>
        <v>552.61944399176457</v>
      </c>
      <c r="L165" s="309">
        <f>SUM(L166:L167)</f>
        <v>55.261944399176457</v>
      </c>
      <c r="M165" s="309"/>
      <c r="N165" s="309">
        <f>L165+M165</f>
        <v>55.261944399176457</v>
      </c>
      <c r="O165" s="309">
        <f>N165</f>
        <v>55.261944399176457</v>
      </c>
      <c r="P165" s="309">
        <f>N165-O165</f>
        <v>0</v>
      </c>
      <c r="Q165" s="309">
        <f>M165</f>
        <v>0</v>
      </c>
      <c r="R165" s="307">
        <f>D165-N165</f>
        <v>497.35749959258811</v>
      </c>
      <c r="S165" s="307">
        <f t="shared" ref="S165" si="119">SUM(S166:S167)</f>
        <v>0</v>
      </c>
      <c r="T165" s="307">
        <f t="shared" ref="T165" si="120">SUM(T166:T167)</f>
        <v>497.35749959258817</v>
      </c>
    </row>
    <row r="166" spans="1:20" ht="39" customHeight="1">
      <c r="A166" s="325" t="s">
        <v>489</v>
      </c>
      <c r="B166" s="166" t="s">
        <v>507</v>
      </c>
      <c r="C166" s="320" t="s">
        <v>444</v>
      </c>
      <c r="D166" s="306">
        <f>SUM(E166:G166)</f>
        <v>516.05084728588224</v>
      </c>
      <c r="E166" s="306">
        <f>'[2] TL giao BC '!Z113</f>
        <v>516.05084728588224</v>
      </c>
      <c r="F166" s="306"/>
      <c r="G166" s="306"/>
      <c r="H166" s="309"/>
      <c r="I166" s="309"/>
      <c r="J166" s="309"/>
      <c r="K166" s="309">
        <f>D166</f>
        <v>516.05084728588224</v>
      </c>
      <c r="L166" s="309">
        <f>K166*10%</f>
        <v>51.605084728588224</v>
      </c>
      <c r="M166" s="309"/>
      <c r="N166" s="309"/>
      <c r="O166" s="309"/>
      <c r="P166" s="309"/>
      <c r="Q166" s="309"/>
      <c r="R166" s="307"/>
      <c r="S166" s="307">
        <v>-25.69</v>
      </c>
      <c r="T166" s="307">
        <f>K166-L166+R166+S166</f>
        <v>438.75576255729402</v>
      </c>
    </row>
    <row r="167" spans="1:20" ht="33" customHeight="1">
      <c r="A167" s="325" t="s">
        <v>489</v>
      </c>
      <c r="B167" s="164" t="s">
        <v>508</v>
      </c>
      <c r="C167" s="320" t="s">
        <v>478</v>
      </c>
      <c r="D167" s="306">
        <f>SUM(E167:G167)</f>
        <v>36.568596705882356</v>
      </c>
      <c r="E167" s="306"/>
      <c r="F167" s="306"/>
      <c r="G167" s="306">
        <f>'[2] TL giao BC tăng thêm'!X50</f>
        <v>36.568596705882356</v>
      </c>
      <c r="H167" s="309"/>
      <c r="I167" s="309"/>
      <c r="J167" s="309"/>
      <c r="K167" s="309">
        <f>D167</f>
        <v>36.568596705882356</v>
      </c>
      <c r="L167" s="309">
        <f>K167*10%</f>
        <v>3.6568596705882359</v>
      </c>
      <c r="M167" s="309"/>
      <c r="N167" s="309"/>
      <c r="O167" s="309"/>
      <c r="P167" s="309"/>
      <c r="Q167" s="309"/>
      <c r="R167" s="307"/>
      <c r="S167" s="307">
        <v>25.69</v>
      </c>
      <c r="T167" s="307">
        <f>K167-L167+R167+S167</f>
        <v>58.601737035294121</v>
      </c>
    </row>
    <row r="168" spans="1:20" ht="30" customHeight="1">
      <c r="A168" s="303" t="s">
        <v>481</v>
      </c>
      <c r="B168" s="326" t="s">
        <v>485</v>
      </c>
      <c r="C168" s="320" t="s">
        <v>488</v>
      </c>
      <c r="D168" s="307">
        <f>E168+G168+F168</f>
        <v>731.03418692307707</v>
      </c>
      <c r="E168" s="307">
        <f t="shared" ref="E168:T168" si="121">SUM(E169:E173)</f>
        <v>680.25000000000011</v>
      </c>
      <c r="F168" s="307">
        <f t="shared" si="121"/>
        <v>0</v>
      </c>
      <c r="G168" s="307">
        <f t="shared" si="121"/>
        <v>50.784186923076923</v>
      </c>
      <c r="H168" s="307">
        <f t="shared" si="121"/>
        <v>0</v>
      </c>
      <c r="I168" s="307">
        <f t="shared" si="121"/>
        <v>731.03418692307696</v>
      </c>
      <c r="J168" s="307">
        <f t="shared" si="121"/>
        <v>0</v>
      </c>
      <c r="K168" s="307">
        <f t="shared" si="121"/>
        <v>0</v>
      </c>
      <c r="L168" s="307">
        <f t="shared" si="121"/>
        <v>0</v>
      </c>
      <c r="M168" s="307">
        <f t="shared" si="121"/>
        <v>0</v>
      </c>
      <c r="N168" s="307">
        <f t="shared" si="121"/>
        <v>0</v>
      </c>
      <c r="O168" s="307">
        <f t="shared" si="121"/>
        <v>0</v>
      </c>
      <c r="P168" s="307">
        <f t="shared" si="121"/>
        <v>0</v>
      </c>
      <c r="Q168" s="307">
        <f t="shared" si="121"/>
        <v>0</v>
      </c>
      <c r="R168" s="307">
        <f t="shared" si="121"/>
        <v>731.03418692307696</v>
      </c>
      <c r="S168" s="307">
        <f t="shared" si="121"/>
        <v>0</v>
      </c>
      <c r="T168" s="307">
        <f t="shared" si="121"/>
        <v>731.03418692307696</v>
      </c>
    </row>
    <row r="169" spans="1:20" ht="30" customHeight="1">
      <c r="A169" s="325" t="s">
        <v>438</v>
      </c>
      <c r="B169" s="166" t="s">
        <v>280</v>
      </c>
      <c r="C169" s="320" t="s">
        <v>444</v>
      </c>
      <c r="D169" s="306">
        <f>E169+G169</f>
        <v>117.72</v>
      </c>
      <c r="E169" s="306">
        <f>'[2]CS giáo dục '!Q8</f>
        <v>117.72</v>
      </c>
      <c r="F169" s="306"/>
      <c r="G169" s="306"/>
      <c r="H169" s="309"/>
      <c r="I169" s="309">
        <f>D169</f>
        <v>117.72</v>
      </c>
      <c r="J169" s="309"/>
      <c r="K169" s="309"/>
      <c r="L169" s="309">
        <f>K169*10%</f>
        <v>0</v>
      </c>
      <c r="M169" s="309"/>
      <c r="N169" s="309">
        <f>L169+M169</f>
        <v>0</v>
      </c>
      <c r="O169" s="309">
        <f>N169</f>
        <v>0</v>
      </c>
      <c r="P169" s="309">
        <f>N169-O169</f>
        <v>0</v>
      </c>
      <c r="Q169" s="309">
        <f>M169</f>
        <v>0</v>
      </c>
      <c r="R169" s="307">
        <f>D169-N169</f>
        <v>117.72</v>
      </c>
      <c r="S169" s="307"/>
      <c r="T169" s="307">
        <f>R169+S169</f>
        <v>117.72</v>
      </c>
    </row>
    <row r="170" spans="1:20" ht="30" customHeight="1">
      <c r="A170" s="325" t="s">
        <v>438</v>
      </c>
      <c r="B170" s="166" t="s">
        <v>287</v>
      </c>
      <c r="C170" s="320" t="s">
        <v>488</v>
      </c>
      <c r="D170" s="306">
        <f>E170+G170+F170</f>
        <v>597.24</v>
      </c>
      <c r="E170" s="306">
        <f>'[2]CS giáo dục '!U8</f>
        <v>553.09</v>
      </c>
      <c r="F170" s="306"/>
      <c r="G170" s="306">
        <f>'[2]CS giáo dục '!W8</f>
        <v>44.15</v>
      </c>
      <c r="H170" s="309"/>
      <c r="I170" s="309">
        <f>D170</f>
        <v>597.24</v>
      </c>
      <c r="J170" s="309"/>
      <c r="K170" s="309"/>
      <c r="L170" s="309">
        <f>K170*10%</f>
        <v>0</v>
      </c>
      <c r="M170" s="309"/>
      <c r="N170" s="309">
        <f>L170+M170</f>
        <v>0</v>
      </c>
      <c r="O170" s="309">
        <f>N170</f>
        <v>0</v>
      </c>
      <c r="P170" s="309">
        <f>N170-O170</f>
        <v>0</v>
      </c>
      <c r="Q170" s="309">
        <f>M170</f>
        <v>0</v>
      </c>
      <c r="R170" s="307">
        <f>D170-N170</f>
        <v>597.24</v>
      </c>
      <c r="S170" s="307"/>
      <c r="T170" s="307">
        <f t="shared" ref="T170:T172" si="122">R170+S170</f>
        <v>597.24</v>
      </c>
    </row>
    <row r="171" spans="1:20" ht="39" customHeight="1">
      <c r="A171" s="325" t="s">
        <v>438</v>
      </c>
      <c r="B171" s="166" t="s">
        <v>308</v>
      </c>
      <c r="C171" s="320" t="s">
        <v>488</v>
      </c>
      <c r="D171" s="306">
        <f>E171+G171</f>
        <v>12.96</v>
      </c>
      <c r="E171" s="306">
        <f>'[2]CS giáo dục '!AQ8</f>
        <v>9.4400000000000013</v>
      </c>
      <c r="F171" s="306"/>
      <c r="G171" s="306">
        <f>'[2]CS giáo dục '!AS8</f>
        <v>3.52</v>
      </c>
      <c r="H171" s="309"/>
      <c r="I171" s="309">
        <f>D171</f>
        <v>12.96</v>
      </c>
      <c r="J171" s="309"/>
      <c r="K171" s="309"/>
      <c r="L171" s="309">
        <f>K171*10%</f>
        <v>0</v>
      </c>
      <c r="M171" s="309"/>
      <c r="N171" s="309">
        <f>L171+M171</f>
        <v>0</v>
      </c>
      <c r="O171" s="309">
        <f>N171</f>
        <v>0</v>
      </c>
      <c r="P171" s="309">
        <f>N171-O171</f>
        <v>0</v>
      </c>
      <c r="Q171" s="309">
        <f>M171</f>
        <v>0</v>
      </c>
      <c r="R171" s="307">
        <f>D171-N171</f>
        <v>12.96</v>
      </c>
      <c r="S171" s="307"/>
      <c r="T171" s="307">
        <f t="shared" si="122"/>
        <v>12.96</v>
      </c>
    </row>
    <row r="172" spans="1:20" ht="36" customHeight="1">
      <c r="A172" s="325" t="s">
        <v>438</v>
      </c>
      <c r="B172" s="166" t="s">
        <v>495</v>
      </c>
      <c r="C172" s="320" t="s">
        <v>488</v>
      </c>
      <c r="D172" s="306">
        <f>E172+G172</f>
        <v>0</v>
      </c>
      <c r="E172" s="306"/>
      <c r="F172" s="306"/>
      <c r="G172" s="306"/>
      <c r="H172" s="309"/>
      <c r="I172" s="309">
        <f>D172</f>
        <v>0</v>
      </c>
      <c r="J172" s="309"/>
      <c r="K172" s="309"/>
      <c r="L172" s="309">
        <f>K172*10%</f>
        <v>0</v>
      </c>
      <c r="M172" s="309"/>
      <c r="N172" s="309">
        <f>L172+M172</f>
        <v>0</v>
      </c>
      <c r="O172" s="309">
        <f>N172</f>
        <v>0</v>
      </c>
      <c r="P172" s="309">
        <f>N172-O172</f>
        <v>0</v>
      </c>
      <c r="Q172" s="309">
        <f>M172</f>
        <v>0</v>
      </c>
      <c r="R172" s="307">
        <f>D172-N172</f>
        <v>0</v>
      </c>
      <c r="S172" s="307"/>
      <c r="T172" s="307">
        <f t="shared" si="122"/>
        <v>0</v>
      </c>
    </row>
    <row r="173" spans="1:20" ht="26.25" customHeight="1">
      <c r="A173" s="325" t="s">
        <v>438</v>
      </c>
      <c r="B173" s="166" t="s">
        <v>309</v>
      </c>
      <c r="C173" s="320" t="s">
        <v>478</v>
      </c>
      <c r="D173" s="306">
        <f>E173+G173</f>
        <v>3.1141869230769235</v>
      </c>
      <c r="E173" s="306"/>
      <c r="F173" s="306"/>
      <c r="G173" s="306">
        <f>'[2]CS GV dạy trẻ khuyết tật'!S9</f>
        <v>3.1141869230769235</v>
      </c>
      <c r="H173" s="309"/>
      <c r="I173" s="309">
        <f>D173</f>
        <v>3.1141869230769235</v>
      </c>
      <c r="J173" s="309"/>
      <c r="K173" s="309"/>
      <c r="L173" s="309">
        <f>K173*10%</f>
        <v>0</v>
      </c>
      <c r="M173" s="309"/>
      <c r="N173" s="309">
        <f>L173+M173</f>
        <v>0</v>
      </c>
      <c r="O173" s="309">
        <f>N173</f>
        <v>0</v>
      </c>
      <c r="P173" s="309">
        <f>N173-O173</f>
        <v>0</v>
      </c>
      <c r="Q173" s="309">
        <f>M173</f>
        <v>0</v>
      </c>
      <c r="R173" s="307">
        <f>D173-N173</f>
        <v>3.1141869230769235</v>
      </c>
      <c r="S173" s="307"/>
      <c r="T173" s="307">
        <f>R173+S173</f>
        <v>3.1141869230769235</v>
      </c>
    </row>
    <row r="174" spans="1:20" s="328" customFormat="1" ht="27.75" customHeight="1">
      <c r="A174" s="320">
        <v>5</v>
      </c>
      <c r="B174" s="321" t="s">
        <v>509</v>
      </c>
      <c r="C174" s="320" t="s">
        <v>488</v>
      </c>
      <c r="D174" s="322">
        <f>D175+D187</f>
        <v>7639.686225332448</v>
      </c>
      <c r="E174" s="322">
        <f t="shared" ref="E174:Q174" si="123">E175+E187</f>
        <v>7290.7416328437594</v>
      </c>
      <c r="F174" s="322">
        <f t="shared" si="123"/>
        <v>0</v>
      </c>
      <c r="G174" s="322">
        <f>G175+G187+0.001</f>
        <v>348.94559248868779</v>
      </c>
      <c r="H174" s="322">
        <f t="shared" si="123"/>
        <v>5894.5354702738305</v>
      </c>
      <c r="I174" s="322">
        <f t="shared" si="123"/>
        <v>990.0344630769232</v>
      </c>
      <c r="J174" s="322">
        <f t="shared" si="123"/>
        <v>0</v>
      </c>
      <c r="K174" s="322">
        <f t="shared" si="123"/>
        <v>755.11629198169419</v>
      </c>
      <c r="L174" s="322">
        <f t="shared" si="123"/>
        <v>75.511629198169416</v>
      </c>
      <c r="M174" s="322">
        <f t="shared" si="123"/>
        <v>0</v>
      </c>
      <c r="N174" s="322">
        <f t="shared" si="123"/>
        <v>75.511629198169416</v>
      </c>
      <c r="O174" s="322">
        <f t="shared" si="123"/>
        <v>75.511629198169416</v>
      </c>
      <c r="P174" s="322">
        <f t="shared" si="123"/>
        <v>0</v>
      </c>
      <c r="Q174" s="322">
        <f t="shared" si="123"/>
        <v>0</v>
      </c>
      <c r="R174" s="322">
        <f>R175+R187</f>
        <v>7639.686225332448</v>
      </c>
      <c r="S174" s="322">
        <f t="shared" ref="S174:T174" si="124">S175+S187</f>
        <v>0</v>
      </c>
      <c r="T174" s="322">
        <f t="shared" si="124"/>
        <v>7639.686225332448</v>
      </c>
    </row>
    <row r="175" spans="1:20" ht="27.75" customHeight="1">
      <c r="A175" s="303" t="s">
        <v>481</v>
      </c>
      <c r="B175" s="323" t="s">
        <v>482</v>
      </c>
      <c r="C175" s="320" t="s">
        <v>488</v>
      </c>
      <c r="D175" s="307">
        <f>D176+D179+D182+D183+D184</f>
        <v>6649.6517622555248</v>
      </c>
      <c r="E175" s="307">
        <f t="shared" ref="E175:Q175" si="125">E176+E179+E182+E183+E184</f>
        <v>6418.3266328437594</v>
      </c>
      <c r="F175" s="307">
        <f t="shared" si="125"/>
        <v>0</v>
      </c>
      <c r="G175" s="307">
        <f t="shared" si="125"/>
        <v>231.32512941176472</v>
      </c>
      <c r="H175" s="307">
        <f t="shared" si="125"/>
        <v>5894.5354702738305</v>
      </c>
      <c r="I175" s="307">
        <f t="shared" si="125"/>
        <v>0</v>
      </c>
      <c r="J175" s="307">
        <f t="shared" si="125"/>
        <v>0</v>
      </c>
      <c r="K175" s="307">
        <f t="shared" si="125"/>
        <v>755.11629198169419</v>
      </c>
      <c r="L175" s="307">
        <f t="shared" si="125"/>
        <v>75.511629198169416</v>
      </c>
      <c r="M175" s="307">
        <f t="shared" si="125"/>
        <v>0</v>
      </c>
      <c r="N175" s="307">
        <f t="shared" si="125"/>
        <v>75.511629198169416</v>
      </c>
      <c r="O175" s="307">
        <f t="shared" si="125"/>
        <v>75.511629198169416</v>
      </c>
      <c r="P175" s="307">
        <f t="shared" si="125"/>
        <v>0</v>
      </c>
      <c r="Q175" s="307">
        <f t="shared" si="125"/>
        <v>0</v>
      </c>
      <c r="R175" s="307">
        <f>R176+R179+R182+R183+R184</f>
        <v>6649.6517622555248</v>
      </c>
      <c r="S175" s="307">
        <f t="shared" ref="S175:T175" si="126">S176+S179+S182+S183+S184</f>
        <v>0</v>
      </c>
      <c r="T175" s="307">
        <f t="shared" si="126"/>
        <v>6649.6517622555248</v>
      </c>
    </row>
    <row r="176" spans="1:20" ht="27.75" customHeight="1">
      <c r="A176" s="325" t="s">
        <v>438</v>
      </c>
      <c r="B176" s="164" t="s">
        <v>277</v>
      </c>
      <c r="C176" s="320" t="s">
        <v>488</v>
      </c>
      <c r="D176" s="306">
        <f t="shared" ref="D176:D182" si="127">SUM(E176:G176)</f>
        <v>5013.3923212295995</v>
      </c>
      <c r="E176" s="306">
        <f>SUM(E177:E178)</f>
        <v>4816.7659612295993</v>
      </c>
      <c r="F176" s="306">
        <f>SUM(F177:F178)</f>
        <v>0</v>
      </c>
      <c r="G176" s="306">
        <f>SUM(G177:G178)</f>
        <v>196.62636000000001</v>
      </c>
      <c r="H176" s="307">
        <f t="shared" ref="H176:H183" si="128">D176</f>
        <v>5013.3923212295995</v>
      </c>
      <c r="I176" s="309"/>
      <c r="J176" s="309"/>
      <c r="K176" s="309"/>
      <c r="L176" s="309">
        <f>K176*10%</f>
        <v>0</v>
      </c>
      <c r="M176" s="309"/>
      <c r="N176" s="309">
        <f>L176+M176</f>
        <v>0</v>
      </c>
      <c r="O176" s="309">
        <f>L176-P176</f>
        <v>0</v>
      </c>
      <c r="P176" s="309">
        <f>N176</f>
        <v>0</v>
      </c>
      <c r="Q176" s="309">
        <f>M176</f>
        <v>0</v>
      </c>
      <c r="R176" s="307">
        <f>SUM(R177:R178)</f>
        <v>5013.3923212295995</v>
      </c>
      <c r="S176" s="307">
        <f t="shared" ref="S176:T176" si="129">SUM(S177:S178)</f>
        <v>0</v>
      </c>
      <c r="T176" s="307">
        <f t="shared" si="129"/>
        <v>5013.3923212295995</v>
      </c>
    </row>
    <row r="177" spans="1:20" ht="27.75" customHeight="1">
      <c r="A177" s="325" t="s">
        <v>489</v>
      </c>
      <c r="B177" s="164" t="s">
        <v>490</v>
      </c>
      <c r="C177" s="320" t="s">
        <v>444</v>
      </c>
      <c r="D177" s="306">
        <f t="shared" si="127"/>
        <v>4816.7659612295993</v>
      </c>
      <c r="E177" s="306">
        <f>'[2] TL giao BC '!T141</f>
        <v>4816.7659612295993</v>
      </c>
      <c r="F177" s="306"/>
      <c r="G177" s="306"/>
      <c r="H177" s="307">
        <f t="shared" si="128"/>
        <v>4816.7659612295993</v>
      </c>
      <c r="I177" s="309"/>
      <c r="J177" s="309"/>
      <c r="K177" s="309"/>
      <c r="L177" s="309"/>
      <c r="M177" s="309"/>
      <c r="N177" s="309"/>
      <c r="O177" s="309"/>
      <c r="P177" s="309"/>
      <c r="Q177" s="309"/>
      <c r="R177" s="307">
        <f>D177-N177</f>
        <v>4816.7659612295993</v>
      </c>
      <c r="S177" s="307">
        <v>-152.34</v>
      </c>
      <c r="T177" s="307">
        <f>R177+S177</f>
        <v>4664.4259612295991</v>
      </c>
    </row>
    <row r="178" spans="1:20" ht="27.75" customHeight="1">
      <c r="A178" s="325" t="s">
        <v>489</v>
      </c>
      <c r="B178" s="164" t="s">
        <v>305</v>
      </c>
      <c r="C178" s="320" t="s">
        <v>478</v>
      </c>
      <c r="D178" s="306">
        <f t="shared" si="127"/>
        <v>196.62636000000001</v>
      </c>
      <c r="E178" s="306"/>
      <c r="F178" s="306"/>
      <c r="G178" s="306">
        <f>'[2] TL giao BC tăng thêm'!T53</f>
        <v>196.62636000000001</v>
      </c>
      <c r="H178" s="307">
        <f t="shared" si="128"/>
        <v>196.62636000000001</v>
      </c>
      <c r="I178" s="309"/>
      <c r="J178" s="309"/>
      <c r="K178" s="309"/>
      <c r="L178" s="309"/>
      <c r="M178" s="309"/>
      <c r="N178" s="309"/>
      <c r="O178" s="309"/>
      <c r="P178" s="309"/>
      <c r="Q178" s="309"/>
      <c r="R178" s="307">
        <f>D178-N178</f>
        <v>196.62636000000001</v>
      </c>
      <c r="S178" s="307">
        <v>152.34</v>
      </c>
      <c r="T178" s="307">
        <f>R178+S178</f>
        <v>348.96636000000001</v>
      </c>
    </row>
    <row r="179" spans="1:20" ht="27.75" customHeight="1">
      <c r="A179" s="304" t="s">
        <v>438</v>
      </c>
      <c r="B179" s="166" t="s">
        <v>278</v>
      </c>
      <c r="C179" s="320" t="s">
        <v>444</v>
      </c>
      <c r="D179" s="306">
        <f t="shared" si="127"/>
        <v>1043.0547782424001</v>
      </c>
      <c r="E179" s="306">
        <f>SUM(E180:E181)</f>
        <v>1043.0547782424001</v>
      </c>
      <c r="F179" s="306">
        <f>SUM(F180:F181)</f>
        <v>0</v>
      </c>
      <c r="G179" s="306">
        <f>SUM(G180:G181)</f>
        <v>0</v>
      </c>
      <c r="H179" s="307">
        <f t="shared" si="128"/>
        <v>1043.0547782424001</v>
      </c>
      <c r="I179" s="309"/>
      <c r="J179" s="309"/>
      <c r="K179" s="309"/>
      <c r="L179" s="309">
        <f>K179*10%</f>
        <v>0</v>
      </c>
      <c r="M179" s="309"/>
      <c r="N179" s="309">
        <f>L179+M179</f>
        <v>0</v>
      </c>
      <c r="O179" s="309">
        <f>L179-P179</f>
        <v>0</v>
      </c>
      <c r="P179" s="309">
        <f>N179</f>
        <v>0</v>
      </c>
      <c r="Q179" s="309">
        <f>M179</f>
        <v>0</v>
      </c>
      <c r="R179" s="307">
        <f>SUM(R180:R181)</f>
        <v>1043.0547782424001</v>
      </c>
      <c r="S179" s="307">
        <f t="shared" ref="S179:T179" si="130">SUM(S180:S181)</f>
        <v>0</v>
      </c>
      <c r="T179" s="307">
        <f t="shared" si="130"/>
        <v>1043.0547782424001</v>
      </c>
    </row>
    <row r="180" spans="1:20" ht="27.75" customHeight="1">
      <c r="A180" s="325" t="s">
        <v>489</v>
      </c>
      <c r="B180" s="166" t="s">
        <v>491</v>
      </c>
      <c r="C180" s="320" t="s">
        <v>444</v>
      </c>
      <c r="D180" s="306">
        <f t="shared" si="127"/>
        <v>1002.1459382424001</v>
      </c>
      <c r="E180" s="306">
        <f>'[2] TL giao BC '!U141</f>
        <v>1002.1459382424001</v>
      </c>
      <c r="F180" s="306"/>
      <c r="G180" s="306"/>
      <c r="H180" s="307">
        <f t="shared" si="128"/>
        <v>1002.1459382424001</v>
      </c>
      <c r="I180" s="309"/>
      <c r="J180" s="309"/>
      <c r="K180" s="309"/>
      <c r="L180" s="309"/>
      <c r="M180" s="309"/>
      <c r="N180" s="309"/>
      <c r="O180" s="309"/>
      <c r="P180" s="309"/>
      <c r="Q180" s="309"/>
      <c r="R180" s="307">
        <f>D180-N180</f>
        <v>1002.1459382424001</v>
      </c>
      <c r="S180" s="307">
        <v>-31.69</v>
      </c>
      <c r="T180" s="307">
        <f t="shared" ref="T180:T182" si="131">R180+S180</f>
        <v>970.45593824240007</v>
      </c>
    </row>
    <row r="181" spans="1:20" ht="27.75" customHeight="1">
      <c r="A181" s="325" t="s">
        <v>489</v>
      </c>
      <c r="B181" s="164" t="s">
        <v>492</v>
      </c>
      <c r="C181" s="320" t="s">
        <v>444</v>
      </c>
      <c r="D181" s="306">
        <f t="shared" si="127"/>
        <v>40.908839999999998</v>
      </c>
      <c r="E181" s="306">
        <f>'[2] TL giao BC tăng thêm'!U53</f>
        <v>40.908839999999998</v>
      </c>
      <c r="F181" s="306"/>
      <c r="G181" s="306"/>
      <c r="H181" s="307">
        <f t="shared" si="128"/>
        <v>40.908839999999998</v>
      </c>
      <c r="I181" s="309"/>
      <c r="J181" s="309"/>
      <c r="K181" s="309"/>
      <c r="L181" s="309"/>
      <c r="M181" s="309"/>
      <c r="N181" s="309"/>
      <c r="O181" s="309"/>
      <c r="P181" s="309"/>
      <c r="Q181" s="309"/>
      <c r="R181" s="307">
        <f>D181-N181</f>
        <v>40.908839999999998</v>
      </c>
      <c r="S181" s="307">
        <v>31.69</v>
      </c>
      <c r="T181" s="307">
        <f t="shared" si="131"/>
        <v>72.598839999999996</v>
      </c>
    </row>
    <row r="182" spans="1:20" ht="27.75" customHeight="1">
      <c r="A182" s="325" t="s">
        <v>438</v>
      </c>
      <c r="B182" s="164" t="s">
        <v>483</v>
      </c>
      <c r="C182" s="320"/>
      <c r="D182" s="306">
        <f t="shared" si="127"/>
        <v>-86.4</v>
      </c>
      <c r="E182" s="306">
        <f>-'[2]Biểu Thu '!P9-'[2]Biểu Thu '!AB9</f>
        <v>-86.4</v>
      </c>
      <c r="F182" s="306"/>
      <c r="G182" s="306"/>
      <c r="H182" s="307">
        <f t="shared" si="128"/>
        <v>-86.4</v>
      </c>
      <c r="I182" s="309"/>
      <c r="J182" s="309"/>
      <c r="K182" s="309"/>
      <c r="L182" s="309"/>
      <c r="M182" s="309"/>
      <c r="N182" s="309"/>
      <c r="O182" s="309"/>
      <c r="P182" s="309"/>
      <c r="Q182" s="309"/>
      <c r="R182" s="307">
        <f>D182-N182</f>
        <v>-86.4</v>
      </c>
      <c r="S182" s="307"/>
      <c r="T182" s="307">
        <f t="shared" si="131"/>
        <v>-86.4</v>
      </c>
    </row>
    <row r="183" spans="1:20" s="311" customFormat="1" ht="27.75" customHeight="1">
      <c r="A183" s="304" t="s">
        <v>438</v>
      </c>
      <c r="B183" s="166" t="s">
        <v>452</v>
      </c>
      <c r="C183" s="320" t="s">
        <v>488</v>
      </c>
      <c r="D183" s="306">
        <f>E183+G183</f>
        <v>-75.511629198169416</v>
      </c>
      <c r="E183" s="306">
        <f>-L184</f>
        <v>-75.511629198169416</v>
      </c>
      <c r="F183" s="306"/>
      <c r="G183" s="306"/>
      <c r="H183" s="307">
        <f t="shared" si="128"/>
        <v>-75.511629198169416</v>
      </c>
      <c r="I183" s="308"/>
      <c r="J183" s="308"/>
      <c r="K183" s="308"/>
      <c r="L183" s="309">
        <f>K183*10%</f>
        <v>0</v>
      </c>
      <c r="M183" s="309"/>
      <c r="N183" s="309">
        <f>L183+M183</f>
        <v>0</v>
      </c>
      <c r="O183" s="309">
        <f>L183-P183</f>
        <v>0</v>
      </c>
      <c r="P183" s="309">
        <f>N183</f>
        <v>0</v>
      </c>
      <c r="Q183" s="309">
        <f>M183</f>
        <v>0</v>
      </c>
      <c r="R183" s="307"/>
      <c r="S183" s="306"/>
      <c r="T183" s="307"/>
    </row>
    <row r="184" spans="1:20" ht="26.25" customHeight="1">
      <c r="A184" s="304" t="s">
        <v>438</v>
      </c>
      <c r="B184" s="166" t="s">
        <v>412</v>
      </c>
      <c r="C184" s="320" t="s">
        <v>488</v>
      </c>
      <c r="D184" s="306">
        <f>SUM(E184:G184)</f>
        <v>755.11629198169419</v>
      </c>
      <c r="E184" s="306">
        <f>SUM(E185:E186)</f>
        <v>720.41752256992947</v>
      </c>
      <c r="F184" s="306">
        <f>SUM(F185:F186)</f>
        <v>0</v>
      </c>
      <c r="G184" s="306">
        <f>SUM(G185:G186)</f>
        <v>34.698769411764715</v>
      </c>
      <c r="H184" s="309"/>
      <c r="I184" s="309"/>
      <c r="J184" s="309"/>
      <c r="K184" s="309">
        <f>SUM(K185:K186)</f>
        <v>755.11629198169419</v>
      </c>
      <c r="L184" s="309">
        <f>SUM(L185:L186)</f>
        <v>75.511629198169416</v>
      </c>
      <c r="M184" s="309"/>
      <c r="N184" s="309">
        <f>L184+M184</f>
        <v>75.511629198169416</v>
      </c>
      <c r="O184" s="309">
        <f>N184</f>
        <v>75.511629198169416</v>
      </c>
      <c r="P184" s="309">
        <f>N184-O184</f>
        <v>0</v>
      </c>
      <c r="Q184" s="309">
        <f>M184</f>
        <v>0</v>
      </c>
      <c r="R184" s="307">
        <f>D184-N184</f>
        <v>679.60466278352476</v>
      </c>
      <c r="S184" s="307">
        <f>SUM(S185:S186)</f>
        <v>0</v>
      </c>
      <c r="T184" s="307">
        <f>R184+S184</f>
        <v>679.60466278352476</v>
      </c>
    </row>
    <row r="185" spans="1:20" ht="39" customHeight="1">
      <c r="A185" s="325" t="s">
        <v>489</v>
      </c>
      <c r="B185" s="166" t="s">
        <v>504</v>
      </c>
      <c r="C185" s="320" t="s">
        <v>444</v>
      </c>
      <c r="D185" s="306">
        <f>SUM(E185:G185)</f>
        <v>720.41752256992947</v>
      </c>
      <c r="E185" s="306">
        <f>'[2] TL giao BC '!Z141</f>
        <v>720.41752256992947</v>
      </c>
      <c r="F185" s="306"/>
      <c r="G185" s="306"/>
      <c r="H185" s="309"/>
      <c r="I185" s="309"/>
      <c r="J185" s="309"/>
      <c r="K185" s="309">
        <f>D185</f>
        <v>720.41752256992947</v>
      </c>
      <c r="L185" s="309">
        <f>K185*10%</f>
        <v>72.04175225699295</v>
      </c>
      <c r="M185" s="309"/>
      <c r="N185" s="309"/>
      <c r="O185" s="309"/>
      <c r="P185" s="309"/>
      <c r="Q185" s="309"/>
      <c r="R185" s="307"/>
      <c r="S185" s="307">
        <v>-26.88</v>
      </c>
      <c r="T185" s="307"/>
    </row>
    <row r="186" spans="1:20" ht="33" customHeight="1">
      <c r="A186" s="325" t="s">
        <v>489</v>
      </c>
      <c r="B186" s="164" t="s">
        <v>508</v>
      </c>
      <c r="C186" s="320" t="s">
        <v>478</v>
      </c>
      <c r="D186" s="306">
        <f>SUM(E186:G186)</f>
        <v>34.698769411764715</v>
      </c>
      <c r="E186" s="306"/>
      <c r="F186" s="306"/>
      <c r="G186" s="306">
        <f>'[2] TL giao BC tăng thêm'!X53</f>
        <v>34.698769411764715</v>
      </c>
      <c r="H186" s="309"/>
      <c r="I186" s="309"/>
      <c r="J186" s="309"/>
      <c r="K186" s="309">
        <f>D186</f>
        <v>34.698769411764715</v>
      </c>
      <c r="L186" s="309">
        <f>K186*10%</f>
        <v>3.4698769411764716</v>
      </c>
      <c r="M186" s="309"/>
      <c r="N186" s="309"/>
      <c r="O186" s="309"/>
      <c r="P186" s="309"/>
      <c r="Q186" s="309"/>
      <c r="R186" s="307"/>
      <c r="S186" s="307">
        <v>26.88</v>
      </c>
      <c r="T186" s="307"/>
    </row>
    <row r="187" spans="1:20" ht="30" customHeight="1">
      <c r="A187" s="303" t="s">
        <v>481</v>
      </c>
      <c r="B187" s="326" t="s">
        <v>485</v>
      </c>
      <c r="C187" s="320" t="s">
        <v>488</v>
      </c>
      <c r="D187" s="307">
        <f>E187+G187+F187</f>
        <v>990.0344630769232</v>
      </c>
      <c r="E187" s="307">
        <f t="shared" ref="E187:T187" si="132">SUM(E188:E192)</f>
        <v>872.41500000000019</v>
      </c>
      <c r="F187" s="307">
        <f t="shared" si="132"/>
        <v>0</v>
      </c>
      <c r="G187" s="307">
        <f t="shared" si="132"/>
        <v>117.61946307692307</v>
      </c>
      <c r="H187" s="307">
        <f t="shared" si="132"/>
        <v>0</v>
      </c>
      <c r="I187" s="307">
        <f t="shared" si="132"/>
        <v>990.0344630769232</v>
      </c>
      <c r="J187" s="307">
        <f t="shared" si="132"/>
        <v>0</v>
      </c>
      <c r="K187" s="307">
        <f t="shared" si="132"/>
        <v>0</v>
      </c>
      <c r="L187" s="307">
        <f t="shared" si="132"/>
        <v>0</v>
      </c>
      <c r="M187" s="307">
        <f t="shared" si="132"/>
        <v>0</v>
      </c>
      <c r="N187" s="307">
        <f t="shared" si="132"/>
        <v>0</v>
      </c>
      <c r="O187" s="307">
        <f t="shared" si="132"/>
        <v>0</v>
      </c>
      <c r="P187" s="307">
        <f t="shared" si="132"/>
        <v>0</v>
      </c>
      <c r="Q187" s="307">
        <f t="shared" si="132"/>
        <v>0</v>
      </c>
      <c r="R187" s="307">
        <f t="shared" si="132"/>
        <v>990.0344630769232</v>
      </c>
      <c r="S187" s="307">
        <f t="shared" si="132"/>
        <v>0</v>
      </c>
      <c r="T187" s="307">
        <f t="shared" si="132"/>
        <v>990.0344630769232</v>
      </c>
    </row>
    <row r="188" spans="1:20" ht="30" customHeight="1">
      <c r="A188" s="325" t="s">
        <v>438</v>
      </c>
      <c r="B188" s="166" t="s">
        <v>280</v>
      </c>
      <c r="C188" s="320" t="s">
        <v>444</v>
      </c>
      <c r="D188" s="306">
        <f>E188+G188</f>
        <v>164.20500000000001</v>
      </c>
      <c r="E188" s="306">
        <f>'[2]CS giáo dục '!Q9</f>
        <v>164.20500000000001</v>
      </c>
      <c r="F188" s="306"/>
      <c r="G188" s="306"/>
      <c r="H188" s="309"/>
      <c r="I188" s="309">
        <f>D188</f>
        <v>164.20500000000001</v>
      </c>
      <c r="J188" s="309"/>
      <c r="K188" s="309"/>
      <c r="L188" s="309">
        <f>K188*10%</f>
        <v>0</v>
      </c>
      <c r="M188" s="309"/>
      <c r="N188" s="309">
        <f>L188+M188</f>
        <v>0</v>
      </c>
      <c r="O188" s="309">
        <f>N188</f>
        <v>0</v>
      </c>
      <c r="P188" s="309">
        <f>N188-O188</f>
        <v>0</v>
      </c>
      <c r="Q188" s="309">
        <f>M188</f>
        <v>0</v>
      </c>
      <c r="R188" s="307">
        <f>D188-N188</f>
        <v>164.20500000000001</v>
      </c>
      <c r="S188" s="307"/>
      <c r="T188" s="307">
        <f>R188+S188</f>
        <v>164.20500000000001</v>
      </c>
    </row>
    <row r="189" spans="1:20" ht="30" customHeight="1">
      <c r="A189" s="325" t="s">
        <v>438</v>
      </c>
      <c r="B189" s="166" t="s">
        <v>287</v>
      </c>
      <c r="C189" s="320" t="s">
        <v>488</v>
      </c>
      <c r="D189" s="306">
        <f>E189+G189+F189</f>
        <v>801.2700000000001</v>
      </c>
      <c r="E189" s="306">
        <f>'[2]CS giáo dục '!U9</f>
        <v>698.7700000000001</v>
      </c>
      <c r="F189" s="306"/>
      <c r="G189" s="306">
        <f>'[2]CS giáo dục '!W9</f>
        <v>102.5</v>
      </c>
      <c r="H189" s="309"/>
      <c r="I189" s="309">
        <f>D189</f>
        <v>801.2700000000001</v>
      </c>
      <c r="J189" s="309"/>
      <c r="K189" s="309"/>
      <c r="L189" s="309">
        <f>K189*10%</f>
        <v>0</v>
      </c>
      <c r="M189" s="309"/>
      <c r="N189" s="309">
        <f>L189+M189</f>
        <v>0</v>
      </c>
      <c r="O189" s="309">
        <f>N189</f>
        <v>0</v>
      </c>
      <c r="P189" s="309">
        <f>N189-O189</f>
        <v>0</v>
      </c>
      <c r="Q189" s="309">
        <f>M189</f>
        <v>0</v>
      </c>
      <c r="R189" s="307">
        <f>D189-N189</f>
        <v>801.2700000000001</v>
      </c>
      <c r="S189" s="307"/>
      <c r="T189" s="307">
        <f t="shared" ref="T189:T192" si="133">R189+S189</f>
        <v>801.2700000000001</v>
      </c>
    </row>
    <row r="190" spans="1:20" ht="39" customHeight="1">
      <c r="A190" s="325" t="s">
        <v>438</v>
      </c>
      <c r="B190" s="166" t="s">
        <v>308</v>
      </c>
      <c r="C190" s="320" t="s">
        <v>488</v>
      </c>
      <c r="D190" s="306">
        <f>E190+G190</f>
        <v>12.96</v>
      </c>
      <c r="E190" s="306">
        <f>'[2]CS giáo dục '!AQ9</f>
        <v>9.4400000000000013</v>
      </c>
      <c r="F190" s="306"/>
      <c r="G190" s="306">
        <f>'[2]CS giáo dục '!AS9</f>
        <v>3.52</v>
      </c>
      <c r="H190" s="309"/>
      <c r="I190" s="309">
        <f>D190</f>
        <v>12.96</v>
      </c>
      <c r="J190" s="309"/>
      <c r="K190" s="309"/>
      <c r="L190" s="309">
        <f>K190*10%</f>
        <v>0</v>
      </c>
      <c r="M190" s="309"/>
      <c r="N190" s="309">
        <f>L190+M190</f>
        <v>0</v>
      </c>
      <c r="O190" s="309">
        <f>N190</f>
        <v>0</v>
      </c>
      <c r="P190" s="309">
        <f>N190-O190</f>
        <v>0</v>
      </c>
      <c r="Q190" s="309">
        <f>M190</f>
        <v>0</v>
      </c>
      <c r="R190" s="307">
        <f>D190-N190</f>
        <v>12.96</v>
      </c>
      <c r="S190" s="307"/>
      <c r="T190" s="307">
        <f t="shared" si="133"/>
        <v>12.96</v>
      </c>
    </row>
    <row r="191" spans="1:20" ht="36" customHeight="1">
      <c r="A191" s="325" t="s">
        <v>438</v>
      </c>
      <c r="B191" s="166" t="s">
        <v>495</v>
      </c>
      <c r="C191" s="320" t="s">
        <v>488</v>
      </c>
      <c r="D191" s="306">
        <f>E191+G191</f>
        <v>0</v>
      </c>
      <c r="E191" s="306"/>
      <c r="F191" s="306"/>
      <c r="G191" s="306"/>
      <c r="H191" s="309"/>
      <c r="I191" s="309">
        <f>D191</f>
        <v>0</v>
      </c>
      <c r="J191" s="309"/>
      <c r="K191" s="309"/>
      <c r="L191" s="309">
        <f>K191*10%</f>
        <v>0</v>
      </c>
      <c r="M191" s="309"/>
      <c r="N191" s="309">
        <f>L191+M191</f>
        <v>0</v>
      </c>
      <c r="O191" s="309">
        <f>N191</f>
        <v>0</v>
      </c>
      <c r="P191" s="309">
        <f>N191-O191</f>
        <v>0</v>
      </c>
      <c r="Q191" s="309">
        <f>M191</f>
        <v>0</v>
      </c>
      <c r="R191" s="307">
        <f>D191-N191</f>
        <v>0</v>
      </c>
      <c r="S191" s="307"/>
      <c r="T191" s="307">
        <f>R191+S191</f>
        <v>0</v>
      </c>
    </row>
    <row r="192" spans="1:20" ht="26.25" customHeight="1">
      <c r="A192" s="325" t="s">
        <v>438</v>
      </c>
      <c r="B192" s="166" t="s">
        <v>309</v>
      </c>
      <c r="C192" s="320" t="s">
        <v>478</v>
      </c>
      <c r="D192" s="306">
        <f>E192+G192</f>
        <v>11.599463076923078</v>
      </c>
      <c r="E192" s="306"/>
      <c r="F192" s="306"/>
      <c r="G192" s="306">
        <f>'[2]CS GV dạy trẻ khuyết tật'!S15</f>
        <v>11.599463076923078</v>
      </c>
      <c r="H192" s="309"/>
      <c r="I192" s="309">
        <f>D192</f>
        <v>11.599463076923078</v>
      </c>
      <c r="J192" s="309"/>
      <c r="K192" s="309"/>
      <c r="L192" s="309">
        <f>K192*10%</f>
        <v>0</v>
      </c>
      <c r="M192" s="309"/>
      <c r="N192" s="309">
        <f>L192+M192</f>
        <v>0</v>
      </c>
      <c r="O192" s="309">
        <f>N192</f>
        <v>0</v>
      </c>
      <c r="P192" s="309">
        <f>N192-O192</f>
        <v>0</v>
      </c>
      <c r="Q192" s="309">
        <f>M192</f>
        <v>0</v>
      </c>
      <c r="R192" s="307">
        <f>D192-N192</f>
        <v>11.599463076923078</v>
      </c>
      <c r="S192" s="307"/>
      <c r="T192" s="307">
        <f t="shared" si="133"/>
        <v>11.599463076923078</v>
      </c>
    </row>
    <row r="193" spans="1:20" s="328" customFormat="1" ht="27.75" customHeight="1">
      <c r="A193" s="320">
        <v>6</v>
      </c>
      <c r="B193" s="321" t="s">
        <v>510</v>
      </c>
      <c r="C193" s="320" t="s">
        <v>488</v>
      </c>
      <c r="D193" s="322">
        <f>D194+D206</f>
        <v>8760.6122244012004</v>
      </c>
      <c r="E193" s="322">
        <f t="shared" ref="E193:Q193" si="134">E194+E206</f>
        <v>8693.9677844012003</v>
      </c>
      <c r="F193" s="322">
        <f t="shared" si="134"/>
        <v>0</v>
      </c>
      <c r="G193" s="322">
        <f t="shared" si="134"/>
        <v>66.644440000000003</v>
      </c>
      <c r="H193" s="322">
        <f t="shared" si="134"/>
        <v>6834.0684313332004</v>
      </c>
      <c r="I193" s="322">
        <f t="shared" si="134"/>
        <v>1043.02944</v>
      </c>
      <c r="J193" s="322">
        <f t="shared" si="134"/>
        <v>0</v>
      </c>
      <c r="K193" s="322">
        <f t="shared" si="134"/>
        <v>883.51435306800022</v>
      </c>
      <c r="L193" s="322">
        <f t="shared" si="134"/>
        <v>88.351435306800028</v>
      </c>
      <c r="M193" s="322">
        <f t="shared" si="134"/>
        <v>0</v>
      </c>
      <c r="N193" s="322">
        <f t="shared" si="134"/>
        <v>88.351435306800028</v>
      </c>
      <c r="O193" s="322">
        <f t="shared" si="134"/>
        <v>88.351435306800028</v>
      </c>
      <c r="P193" s="322">
        <f t="shared" si="134"/>
        <v>0</v>
      </c>
      <c r="Q193" s="322">
        <f t="shared" si="134"/>
        <v>0</v>
      </c>
      <c r="R193" s="322">
        <f>R194+R206</f>
        <v>8760.6122244012004</v>
      </c>
      <c r="S193" s="322">
        <f t="shared" ref="S193:T193" si="135">S194+S206</f>
        <v>0</v>
      </c>
      <c r="T193" s="322">
        <f t="shared" si="135"/>
        <v>8760.6122244012004</v>
      </c>
    </row>
    <row r="194" spans="1:20" ht="27.75" customHeight="1">
      <c r="A194" s="303" t="s">
        <v>481</v>
      </c>
      <c r="B194" s="323" t="s">
        <v>482</v>
      </c>
      <c r="C194" s="320" t="s">
        <v>488</v>
      </c>
      <c r="D194" s="307">
        <f>D195+D198+D201+D202+D203</f>
        <v>7717.5827844012001</v>
      </c>
      <c r="E194" s="307">
        <f t="shared" ref="E194:Q194" si="136">E195+E198+E201+E202+E203</f>
        <v>7717.5827844012001</v>
      </c>
      <c r="F194" s="307">
        <f t="shared" si="136"/>
        <v>0</v>
      </c>
      <c r="G194" s="307">
        <f t="shared" si="136"/>
        <v>0</v>
      </c>
      <c r="H194" s="307">
        <f t="shared" si="136"/>
        <v>6834.0684313332004</v>
      </c>
      <c r="I194" s="307">
        <f t="shared" si="136"/>
        <v>0</v>
      </c>
      <c r="J194" s="307">
        <f t="shared" si="136"/>
        <v>0</v>
      </c>
      <c r="K194" s="307">
        <f t="shared" si="136"/>
        <v>883.51435306800022</v>
      </c>
      <c r="L194" s="307">
        <f t="shared" si="136"/>
        <v>88.351435306800028</v>
      </c>
      <c r="M194" s="307">
        <f t="shared" si="136"/>
        <v>0</v>
      </c>
      <c r="N194" s="307">
        <f t="shared" si="136"/>
        <v>88.351435306800028</v>
      </c>
      <c r="O194" s="307">
        <f t="shared" si="136"/>
        <v>88.351435306800028</v>
      </c>
      <c r="P194" s="307">
        <f t="shared" si="136"/>
        <v>0</v>
      </c>
      <c r="Q194" s="307">
        <f t="shared" si="136"/>
        <v>0</v>
      </c>
      <c r="R194" s="307">
        <f>R195+R198+R201+R202+R203</f>
        <v>7717.582784401201</v>
      </c>
      <c r="S194" s="307">
        <f t="shared" ref="S194:T194" si="137">S195+S198+S201+S202+S203</f>
        <v>0</v>
      </c>
      <c r="T194" s="307">
        <f t="shared" si="137"/>
        <v>7717.582784401201</v>
      </c>
    </row>
    <row r="195" spans="1:20" ht="27.75" customHeight="1">
      <c r="A195" s="325" t="s">
        <v>438</v>
      </c>
      <c r="B195" s="164" t="s">
        <v>277</v>
      </c>
      <c r="C195" s="320" t="s">
        <v>488</v>
      </c>
      <c r="D195" s="306">
        <f t="shared" ref="D195:D201" si="138">SUM(E195:G195)</f>
        <v>5808.3013340520001</v>
      </c>
      <c r="E195" s="306">
        <f>SUM(E196:E197)</f>
        <v>5808.3013340520001</v>
      </c>
      <c r="F195" s="306">
        <f>SUM(F196:F197)</f>
        <v>0</v>
      </c>
      <c r="G195" s="306">
        <f>SUM(G196:G197)</f>
        <v>0</v>
      </c>
      <c r="H195" s="307">
        <f t="shared" ref="H195:H202" si="139">D195</f>
        <v>5808.3013340520001</v>
      </c>
      <c r="I195" s="309"/>
      <c r="J195" s="309"/>
      <c r="K195" s="309"/>
      <c r="L195" s="309">
        <f>K195*10%</f>
        <v>0</v>
      </c>
      <c r="M195" s="309"/>
      <c r="N195" s="309">
        <f>L195+M195</f>
        <v>0</v>
      </c>
      <c r="O195" s="309">
        <f>L195-P195</f>
        <v>0</v>
      </c>
      <c r="P195" s="309">
        <f>N195</f>
        <v>0</v>
      </c>
      <c r="Q195" s="309">
        <f>M195</f>
        <v>0</v>
      </c>
      <c r="R195" s="307">
        <f>SUM(R196:R197)</f>
        <v>5808.3013340520001</v>
      </c>
      <c r="S195" s="307">
        <f t="shared" ref="S195:T195" si="140">SUM(S196:S197)</f>
        <v>0</v>
      </c>
      <c r="T195" s="307">
        <f t="shared" si="140"/>
        <v>5808.3013340520001</v>
      </c>
    </row>
    <row r="196" spans="1:20" ht="27.75" customHeight="1">
      <c r="A196" s="325" t="s">
        <v>489</v>
      </c>
      <c r="B196" s="164" t="s">
        <v>490</v>
      </c>
      <c r="C196" s="320" t="s">
        <v>444</v>
      </c>
      <c r="D196" s="306">
        <f t="shared" si="138"/>
        <v>5808.3013340520001</v>
      </c>
      <c r="E196" s="306">
        <f>'[2] TL giao BC '!T175</f>
        <v>5808.3013340520001</v>
      </c>
      <c r="F196" s="306"/>
      <c r="G196" s="306"/>
      <c r="H196" s="307">
        <f t="shared" si="139"/>
        <v>5808.3013340520001</v>
      </c>
      <c r="I196" s="309"/>
      <c r="J196" s="309"/>
      <c r="K196" s="309"/>
      <c r="L196" s="309"/>
      <c r="M196" s="309"/>
      <c r="N196" s="309"/>
      <c r="O196" s="309"/>
      <c r="P196" s="309"/>
      <c r="Q196" s="309"/>
      <c r="R196" s="307">
        <f>D196-N196</f>
        <v>5808.3013340520001</v>
      </c>
      <c r="S196" s="307">
        <v>-224.07</v>
      </c>
      <c r="T196" s="307">
        <f>R196+S196</f>
        <v>5584.2313340520004</v>
      </c>
    </row>
    <row r="197" spans="1:20" ht="27.75" customHeight="1">
      <c r="A197" s="325" t="s">
        <v>489</v>
      </c>
      <c r="B197" s="164" t="s">
        <v>305</v>
      </c>
      <c r="C197" s="320" t="s">
        <v>478</v>
      </c>
      <c r="D197" s="306">
        <f t="shared" si="138"/>
        <v>0</v>
      </c>
      <c r="E197" s="306"/>
      <c r="F197" s="306"/>
      <c r="G197" s="306">
        <f>'[2] TL giao BC tăng thêm'!T56</f>
        <v>0</v>
      </c>
      <c r="H197" s="307">
        <f t="shared" si="139"/>
        <v>0</v>
      </c>
      <c r="I197" s="309"/>
      <c r="J197" s="309"/>
      <c r="K197" s="309"/>
      <c r="L197" s="309"/>
      <c r="M197" s="309"/>
      <c r="N197" s="309"/>
      <c r="O197" s="309"/>
      <c r="P197" s="309"/>
      <c r="Q197" s="309"/>
      <c r="R197" s="307">
        <f>D197-N197</f>
        <v>0</v>
      </c>
      <c r="S197" s="307">
        <v>224.07</v>
      </c>
      <c r="T197" s="307">
        <f>R197+S197</f>
        <v>224.07</v>
      </c>
    </row>
    <row r="198" spans="1:20" ht="27.75" customHeight="1">
      <c r="A198" s="304" t="s">
        <v>438</v>
      </c>
      <c r="B198" s="166" t="s">
        <v>278</v>
      </c>
      <c r="C198" s="320" t="s">
        <v>444</v>
      </c>
      <c r="D198" s="306">
        <f t="shared" si="138"/>
        <v>1208.438532588</v>
      </c>
      <c r="E198" s="306">
        <f>SUM(E199:E200)</f>
        <v>1208.438532588</v>
      </c>
      <c r="F198" s="306">
        <f>SUM(F199:F200)</f>
        <v>0</v>
      </c>
      <c r="G198" s="306">
        <f>SUM(G199:G200)</f>
        <v>0</v>
      </c>
      <c r="H198" s="307">
        <f t="shared" si="139"/>
        <v>1208.438532588</v>
      </c>
      <c r="I198" s="309"/>
      <c r="J198" s="309"/>
      <c r="K198" s="309"/>
      <c r="L198" s="309">
        <f>K198*10%</f>
        <v>0</v>
      </c>
      <c r="M198" s="309"/>
      <c r="N198" s="309">
        <f>L198+M198</f>
        <v>0</v>
      </c>
      <c r="O198" s="309">
        <f>L198-P198</f>
        <v>0</v>
      </c>
      <c r="P198" s="309">
        <f>N198</f>
        <v>0</v>
      </c>
      <c r="Q198" s="309">
        <f>M198</f>
        <v>0</v>
      </c>
      <c r="R198" s="307">
        <f>SUM(R199:R200)</f>
        <v>1208.438532588</v>
      </c>
      <c r="S198" s="307">
        <f t="shared" ref="S198:T198" si="141">SUM(S199:S200)</f>
        <v>0</v>
      </c>
      <c r="T198" s="307">
        <f t="shared" si="141"/>
        <v>1208.438532588</v>
      </c>
    </row>
    <row r="199" spans="1:20" ht="27.75" customHeight="1">
      <c r="A199" s="325" t="s">
        <v>489</v>
      </c>
      <c r="B199" s="166" t="s">
        <v>491</v>
      </c>
      <c r="C199" s="320" t="s">
        <v>444</v>
      </c>
      <c r="D199" s="306">
        <f t="shared" si="138"/>
        <v>1208.438532588</v>
      </c>
      <c r="E199" s="306">
        <f>'[2] TL giao BC '!U175</f>
        <v>1208.438532588</v>
      </c>
      <c r="F199" s="306"/>
      <c r="G199" s="306"/>
      <c r="H199" s="307">
        <f t="shared" si="139"/>
        <v>1208.438532588</v>
      </c>
      <c r="I199" s="309"/>
      <c r="J199" s="309"/>
      <c r="K199" s="309"/>
      <c r="L199" s="309"/>
      <c r="M199" s="309"/>
      <c r="N199" s="309"/>
      <c r="O199" s="309"/>
      <c r="P199" s="309"/>
      <c r="Q199" s="309"/>
      <c r="R199" s="307">
        <f>D199-N199</f>
        <v>1208.438532588</v>
      </c>
      <c r="S199" s="307">
        <v>-46.62</v>
      </c>
      <c r="T199" s="307">
        <f>R199+S199</f>
        <v>1161.8185325880002</v>
      </c>
    </row>
    <row r="200" spans="1:20" ht="27.75" customHeight="1">
      <c r="A200" s="325" t="s">
        <v>489</v>
      </c>
      <c r="B200" s="164" t="s">
        <v>492</v>
      </c>
      <c r="C200" s="320" t="s">
        <v>444</v>
      </c>
      <c r="D200" s="306">
        <f t="shared" si="138"/>
        <v>0</v>
      </c>
      <c r="E200" s="306">
        <f>'[2] TL giao BC tăng thêm'!U56</f>
        <v>0</v>
      </c>
      <c r="F200" s="306"/>
      <c r="G200" s="306"/>
      <c r="H200" s="307">
        <f t="shared" si="139"/>
        <v>0</v>
      </c>
      <c r="I200" s="309"/>
      <c r="J200" s="309"/>
      <c r="K200" s="309"/>
      <c r="L200" s="309"/>
      <c r="M200" s="309"/>
      <c r="N200" s="309"/>
      <c r="O200" s="309"/>
      <c r="P200" s="309"/>
      <c r="Q200" s="309"/>
      <c r="R200" s="307">
        <f>D200-N200</f>
        <v>0</v>
      </c>
      <c r="S200" s="307">
        <v>46.62</v>
      </c>
      <c r="T200" s="307">
        <f>R200+S200</f>
        <v>46.62</v>
      </c>
    </row>
    <row r="201" spans="1:20" ht="27.75" customHeight="1">
      <c r="A201" s="325" t="s">
        <v>438</v>
      </c>
      <c r="B201" s="164" t="s">
        <v>483</v>
      </c>
      <c r="C201" s="320"/>
      <c r="D201" s="306">
        <f t="shared" si="138"/>
        <v>-94.320000000000022</v>
      </c>
      <c r="E201" s="306">
        <f>-'[2]Biểu Thu '!P10-'[2]Biểu Thu '!AB10</f>
        <v>-94.320000000000022</v>
      </c>
      <c r="F201" s="306"/>
      <c r="G201" s="306"/>
      <c r="H201" s="307">
        <f t="shared" si="139"/>
        <v>-94.320000000000022</v>
      </c>
      <c r="I201" s="309"/>
      <c r="J201" s="309"/>
      <c r="K201" s="309"/>
      <c r="L201" s="309"/>
      <c r="M201" s="309"/>
      <c r="N201" s="309"/>
      <c r="O201" s="309"/>
      <c r="P201" s="309"/>
      <c r="Q201" s="309"/>
      <c r="R201" s="307">
        <f>D201-N201</f>
        <v>-94.320000000000022</v>
      </c>
      <c r="S201" s="307"/>
      <c r="T201" s="307">
        <f>R201+S201</f>
        <v>-94.320000000000022</v>
      </c>
    </row>
    <row r="202" spans="1:20" s="311" customFormat="1" ht="27.75" customHeight="1">
      <c r="A202" s="304" t="s">
        <v>438</v>
      </c>
      <c r="B202" s="166" t="s">
        <v>452</v>
      </c>
      <c r="C202" s="320" t="s">
        <v>488</v>
      </c>
      <c r="D202" s="306">
        <f>E202+G202</f>
        <v>-88.351435306800028</v>
      </c>
      <c r="E202" s="306">
        <f>-L203</f>
        <v>-88.351435306800028</v>
      </c>
      <c r="F202" s="306"/>
      <c r="G202" s="306"/>
      <c r="H202" s="307">
        <f t="shared" si="139"/>
        <v>-88.351435306800028</v>
      </c>
      <c r="I202" s="308"/>
      <c r="J202" s="308"/>
      <c r="K202" s="308"/>
      <c r="L202" s="309">
        <f>K202*10%</f>
        <v>0</v>
      </c>
      <c r="M202" s="309"/>
      <c r="N202" s="309">
        <f>L202+M202</f>
        <v>0</v>
      </c>
      <c r="O202" s="309">
        <f>L202-P202</f>
        <v>0</v>
      </c>
      <c r="P202" s="309">
        <f>N202</f>
        <v>0</v>
      </c>
      <c r="Q202" s="309">
        <f>M202</f>
        <v>0</v>
      </c>
      <c r="R202" s="307"/>
      <c r="S202" s="306"/>
      <c r="T202" s="307"/>
    </row>
    <row r="203" spans="1:20" ht="26.25" customHeight="1">
      <c r="A203" s="304" t="s">
        <v>438</v>
      </c>
      <c r="B203" s="166" t="s">
        <v>412</v>
      </c>
      <c r="C203" s="320" t="s">
        <v>488</v>
      </c>
      <c r="D203" s="306">
        <f>SUM(E203:G203)</f>
        <v>883.51435306800022</v>
      </c>
      <c r="E203" s="306">
        <f>SUM(E204:E205)</f>
        <v>883.51435306800022</v>
      </c>
      <c r="F203" s="306">
        <f>SUM(F204:F205)</f>
        <v>0</v>
      </c>
      <c r="G203" s="306">
        <f>SUM(G204:G205)</f>
        <v>0</v>
      </c>
      <c r="H203" s="309"/>
      <c r="I203" s="309"/>
      <c r="J203" s="309"/>
      <c r="K203" s="309">
        <f>SUM(K204:K205)</f>
        <v>883.51435306800022</v>
      </c>
      <c r="L203" s="309">
        <f>SUM(L204:L205)</f>
        <v>88.351435306800028</v>
      </c>
      <c r="M203" s="309"/>
      <c r="N203" s="309">
        <f>L203+M203</f>
        <v>88.351435306800028</v>
      </c>
      <c r="O203" s="309">
        <f>N203</f>
        <v>88.351435306800028</v>
      </c>
      <c r="P203" s="309">
        <f>N203-O203</f>
        <v>0</v>
      </c>
      <c r="Q203" s="309">
        <f>M203</f>
        <v>0</v>
      </c>
      <c r="R203" s="307">
        <f>D203-N203</f>
        <v>795.16291776120022</v>
      </c>
      <c r="S203" s="307">
        <f>SUM(S204:S205)</f>
        <v>0</v>
      </c>
      <c r="T203" s="307">
        <f>SUM(T204:T205)</f>
        <v>795.16291776120022</v>
      </c>
    </row>
    <row r="204" spans="1:20" ht="39" customHeight="1">
      <c r="A204" s="325" t="s">
        <v>489</v>
      </c>
      <c r="B204" s="166" t="s">
        <v>511</v>
      </c>
      <c r="C204" s="320" t="s">
        <v>444</v>
      </c>
      <c r="D204" s="306">
        <f>SUM(E204:G204)</f>
        <v>883.51435306800022</v>
      </c>
      <c r="E204" s="306">
        <f>'[2] TL giao BC '!Z175</f>
        <v>883.51435306800022</v>
      </c>
      <c r="F204" s="306"/>
      <c r="G204" s="306"/>
      <c r="H204" s="309"/>
      <c r="I204" s="309"/>
      <c r="J204" s="309"/>
      <c r="K204" s="309">
        <f>D204</f>
        <v>883.51435306800022</v>
      </c>
      <c r="L204" s="309">
        <f>K204*10%</f>
        <v>88.351435306800028</v>
      </c>
      <c r="M204" s="309"/>
      <c r="N204" s="309"/>
      <c r="O204" s="309"/>
      <c r="P204" s="309"/>
      <c r="Q204" s="309"/>
      <c r="R204" s="307"/>
      <c r="S204" s="307">
        <v>-39.54</v>
      </c>
      <c r="T204" s="307">
        <f>K204-L204+S204</f>
        <v>755.62291776120026</v>
      </c>
    </row>
    <row r="205" spans="1:20" ht="33" customHeight="1">
      <c r="A205" s="325" t="s">
        <v>489</v>
      </c>
      <c r="B205" s="164" t="s">
        <v>505</v>
      </c>
      <c r="C205" s="320" t="s">
        <v>478</v>
      </c>
      <c r="D205" s="306">
        <f>SUM(E205:G205)</f>
        <v>0</v>
      </c>
      <c r="E205" s="306"/>
      <c r="F205" s="306"/>
      <c r="G205" s="306">
        <f>'[2] TL giao BC tăng thêm'!X56</f>
        <v>0</v>
      </c>
      <c r="H205" s="309"/>
      <c r="I205" s="309"/>
      <c r="J205" s="309"/>
      <c r="K205" s="309">
        <f>D205</f>
        <v>0</v>
      </c>
      <c r="L205" s="309">
        <f>K205*10%</f>
        <v>0</v>
      </c>
      <c r="M205" s="309"/>
      <c r="N205" s="309"/>
      <c r="O205" s="309"/>
      <c r="P205" s="309"/>
      <c r="Q205" s="309"/>
      <c r="R205" s="307"/>
      <c r="S205" s="307">
        <v>39.54</v>
      </c>
      <c r="T205" s="307">
        <f>K205-L205+S205</f>
        <v>39.54</v>
      </c>
    </row>
    <row r="206" spans="1:20" ht="30" customHeight="1">
      <c r="A206" s="303" t="s">
        <v>481</v>
      </c>
      <c r="B206" s="326" t="s">
        <v>485</v>
      </c>
      <c r="C206" s="320" t="s">
        <v>488</v>
      </c>
      <c r="D206" s="307">
        <f>E206+G206+F206</f>
        <v>1043.0294400000002</v>
      </c>
      <c r="E206" s="307">
        <f t="shared" ref="E206:T206" si="142">SUM(E207:E211)</f>
        <v>976.38500000000022</v>
      </c>
      <c r="F206" s="307">
        <f t="shared" si="142"/>
        <v>0</v>
      </c>
      <c r="G206" s="307">
        <f t="shared" si="142"/>
        <v>66.644440000000003</v>
      </c>
      <c r="H206" s="307">
        <f t="shared" si="142"/>
        <v>0</v>
      </c>
      <c r="I206" s="307">
        <f t="shared" si="142"/>
        <v>1043.02944</v>
      </c>
      <c r="J206" s="307">
        <f t="shared" si="142"/>
        <v>0</v>
      </c>
      <c r="K206" s="307">
        <f t="shared" si="142"/>
        <v>0</v>
      </c>
      <c r="L206" s="307">
        <f t="shared" si="142"/>
        <v>0</v>
      </c>
      <c r="M206" s="307">
        <f t="shared" si="142"/>
        <v>0</v>
      </c>
      <c r="N206" s="307">
        <f t="shared" si="142"/>
        <v>0</v>
      </c>
      <c r="O206" s="307">
        <f t="shared" si="142"/>
        <v>0</v>
      </c>
      <c r="P206" s="307">
        <f t="shared" si="142"/>
        <v>0</v>
      </c>
      <c r="Q206" s="307">
        <f t="shared" si="142"/>
        <v>0</v>
      </c>
      <c r="R206" s="307">
        <f t="shared" si="142"/>
        <v>1043.02944</v>
      </c>
      <c r="S206" s="307">
        <f t="shared" si="142"/>
        <v>0</v>
      </c>
      <c r="T206" s="307">
        <f t="shared" si="142"/>
        <v>1043.02944</v>
      </c>
    </row>
    <row r="207" spans="1:20" ht="30" customHeight="1">
      <c r="A207" s="325" t="s">
        <v>438</v>
      </c>
      <c r="B207" s="166" t="s">
        <v>280</v>
      </c>
      <c r="C207" s="320" t="s">
        <v>444</v>
      </c>
      <c r="D207" s="306">
        <f>E207+G207</f>
        <v>176.08500000000001</v>
      </c>
      <c r="E207" s="306">
        <f>'[2]CS giáo dục '!P10</f>
        <v>176.08500000000001</v>
      </c>
      <c r="F207" s="306"/>
      <c r="G207" s="306"/>
      <c r="H207" s="309"/>
      <c r="I207" s="309">
        <f>D207</f>
        <v>176.08500000000001</v>
      </c>
      <c r="J207" s="309"/>
      <c r="K207" s="309"/>
      <c r="L207" s="309">
        <f>K207*10%</f>
        <v>0</v>
      </c>
      <c r="M207" s="309"/>
      <c r="N207" s="309">
        <f>L207+M207</f>
        <v>0</v>
      </c>
      <c r="O207" s="309">
        <f>N207</f>
        <v>0</v>
      </c>
      <c r="P207" s="309">
        <f>N207-O207</f>
        <v>0</v>
      </c>
      <c r="Q207" s="309">
        <f>M207</f>
        <v>0</v>
      </c>
      <c r="R207" s="307">
        <f>D207-N207</f>
        <v>176.08500000000001</v>
      </c>
      <c r="S207" s="307"/>
      <c r="T207" s="307">
        <f>R207+S207</f>
        <v>176.08500000000001</v>
      </c>
    </row>
    <row r="208" spans="1:20" ht="30" customHeight="1">
      <c r="A208" s="325" t="s">
        <v>438</v>
      </c>
      <c r="B208" s="166" t="s">
        <v>287</v>
      </c>
      <c r="C208" s="320" t="s">
        <v>488</v>
      </c>
      <c r="D208" s="306">
        <f>E208+G208+F208</f>
        <v>864.18000000000018</v>
      </c>
      <c r="E208" s="306">
        <f>'[2]CS giáo dục '!U10</f>
        <v>800.30000000000018</v>
      </c>
      <c r="F208" s="306"/>
      <c r="G208" s="306">
        <f>'[2]CS giáo dục '!W10</f>
        <v>63.88</v>
      </c>
      <c r="H208" s="309"/>
      <c r="I208" s="309">
        <f>D208</f>
        <v>864.18000000000018</v>
      </c>
      <c r="J208" s="309"/>
      <c r="K208" s="309"/>
      <c r="L208" s="309">
        <f>K208*10%</f>
        <v>0</v>
      </c>
      <c r="M208" s="309"/>
      <c r="N208" s="309">
        <f>L208+M208</f>
        <v>0</v>
      </c>
      <c r="O208" s="309">
        <f>N208</f>
        <v>0</v>
      </c>
      <c r="P208" s="309">
        <f>N208-O208</f>
        <v>0</v>
      </c>
      <c r="Q208" s="309">
        <f>M208</f>
        <v>0</v>
      </c>
      <c r="R208" s="307">
        <f>D208-N208</f>
        <v>864.18000000000018</v>
      </c>
      <c r="S208" s="307"/>
      <c r="T208" s="307">
        <f t="shared" ref="T208:T211" si="143">R208+S208</f>
        <v>864.18000000000018</v>
      </c>
    </row>
    <row r="209" spans="1:20" ht="39" customHeight="1">
      <c r="A209" s="325" t="s">
        <v>438</v>
      </c>
      <c r="B209" s="166" t="s">
        <v>308</v>
      </c>
      <c r="C209" s="320" t="s">
        <v>488</v>
      </c>
      <c r="D209" s="306">
        <f>E209+G209</f>
        <v>0</v>
      </c>
      <c r="E209" s="306"/>
      <c r="F209" s="306"/>
      <c r="G209" s="306"/>
      <c r="H209" s="309"/>
      <c r="I209" s="309">
        <f>D209</f>
        <v>0</v>
      </c>
      <c r="J209" s="309"/>
      <c r="K209" s="309"/>
      <c r="L209" s="309">
        <f>K209*10%</f>
        <v>0</v>
      </c>
      <c r="M209" s="309"/>
      <c r="N209" s="309">
        <f>L209+M209</f>
        <v>0</v>
      </c>
      <c r="O209" s="309">
        <f>N209</f>
        <v>0</v>
      </c>
      <c r="P209" s="309">
        <f>N209-O209</f>
        <v>0</v>
      </c>
      <c r="Q209" s="309">
        <f>M209</f>
        <v>0</v>
      </c>
      <c r="R209" s="307">
        <f>D209-N209</f>
        <v>0</v>
      </c>
      <c r="S209" s="307"/>
      <c r="T209" s="307">
        <f t="shared" si="143"/>
        <v>0</v>
      </c>
    </row>
    <row r="210" spans="1:20" ht="36" customHeight="1">
      <c r="A210" s="325" t="s">
        <v>438</v>
      </c>
      <c r="B210" s="166" t="s">
        <v>495</v>
      </c>
      <c r="C210" s="320" t="s">
        <v>488</v>
      </c>
      <c r="D210" s="306">
        <f>E210+G210</f>
        <v>0</v>
      </c>
      <c r="E210" s="306"/>
      <c r="F210" s="306"/>
      <c r="G210" s="306"/>
      <c r="H210" s="309"/>
      <c r="I210" s="309">
        <f>D210</f>
        <v>0</v>
      </c>
      <c r="J210" s="309"/>
      <c r="K210" s="309"/>
      <c r="L210" s="309">
        <f>K210*10%</f>
        <v>0</v>
      </c>
      <c r="M210" s="309"/>
      <c r="N210" s="309">
        <f>L210+M210</f>
        <v>0</v>
      </c>
      <c r="O210" s="309">
        <f>N210</f>
        <v>0</v>
      </c>
      <c r="P210" s="309">
        <f>N210-O210</f>
        <v>0</v>
      </c>
      <c r="Q210" s="309">
        <f>M210</f>
        <v>0</v>
      </c>
      <c r="R210" s="307">
        <f>D210-N210</f>
        <v>0</v>
      </c>
      <c r="S210" s="307"/>
      <c r="T210" s="307">
        <f t="shared" si="143"/>
        <v>0</v>
      </c>
    </row>
    <row r="211" spans="1:20" ht="26.25" customHeight="1">
      <c r="A211" s="325" t="s">
        <v>438</v>
      </c>
      <c r="B211" s="166" t="s">
        <v>309</v>
      </c>
      <c r="C211" s="320" t="s">
        <v>478</v>
      </c>
      <c r="D211" s="306">
        <f>E211+G211</f>
        <v>2.7644400000000005</v>
      </c>
      <c r="E211" s="306"/>
      <c r="F211" s="306"/>
      <c r="G211" s="306">
        <f>'[2]CS GV dạy trẻ khuyết tật'!S12</f>
        <v>2.7644400000000005</v>
      </c>
      <c r="H211" s="309"/>
      <c r="I211" s="309">
        <f>D211</f>
        <v>2.7644400000000005</v>
      </c>
      <c r="J211" s="309"/>
      <c r="K211" s="309"/>
      <c r="L211" s="309">
        <f>K211*10%</f>
        <v>0</v>
      </c>
      <c r="M211" s="309"/>
      <c r="N211" s="309">
        <f>L211+M211</f>
        <v>0</v>
      </c>
      <c r="O211" s="309">
        <f>N211</f>
        <v>0</v>
      </c>
      <c r="P211" s="309">
        <f>N211-O211</f>
        <v>0</v>
      </c>
      <c r="Q211" s="309">
        <f>M211</f>
        <v>0</v>
      </c>
      <c r="R211" s="307">
        <f>D211-N211</f>
        <v>2.7644400000000005</v>
      </c>
      <c r="S211" s="307"/>
      <c r="T211" s="307">
        <f t="shared" si="143"/>
        <v>2.7644400000000005</v>
      </c>
    </row>
    <row r="212" spans="1:20" s="328" customFormat="1" ht="27.75" customHeight="1">
      <c r="A212" s="320">
        <v>7</v>
      </c>
      <c r="B212" s="321" t="s">
        <v>512</v>
      </c>
      <c r="C212" s="320" t="s">
        <v>488</v>
      </c>
      <c r="D212" s="322">
        <f>D213+D225</f>
        <v>5588.4055870350412</v>
      </c>
      <c r="E212" s="322">
        <f t="shared" ref="E212:Q212" si="144">E213+E225</f>
        <v>5411.9369380757653</v>
      </c>
      <c r="F212" s="322">
        <f t="shared" si="144"/>
        <v>0</v>
      </c>
      <c r="G212" s="322">
        <f>G213+G225+0.005</f>
        <v>176.47364895927603</v>
      </c>
      <c r="H212" s="322">
        <f t="shared" si="144"/>
        <v>4343.8661071157649</v>
      </c>
      <c r="I212" s="322">
        <f t="shared" si="144"/>
        <v>675.5251430769232</v>
      </c>
      <c r="J212" s="322">
        <f t="shared" si="144"/>
        <v>0</v>
      </c>
      <c r="K212" s="322">
        <f t="shared" si="144"/>
        <v>569.01433684235349</v>
      </c>
      <c r="L212" s="322">
        <f t="shared" si="144"/>
        <v>56.901433684235357</v>
      </c>
      <c r="M212" s="322">
        <f t="shared" si="144"/>
        <v>0</v>
      </c>
      <c r="N212" s="322">
        <f t="shared" si="144"/>
        <v>56.901433684235357</v>
      </c>
      <c r="O212" s="322">
        <f t="shared" si="144"/>
        <v>56.901433684235357</v>
      </c>
      <c r="P212" s="322">
        <f t="shared" si="144"/>
        <v>0</v>
      </c>
      <c r="Q212" s="322">
        <f t="shared" si="144"/>
        <v>0</v>
      </c>
      <c r="R212" s="322">
        <f>R213+R225</f>
        <v>5588.4055870350412</v>
      </c>
      <c r="S212" s="322">
        <f t="shared" ref="S212:T212" si="145">S213+S225</f>
        <v>0</v>
      </c>
      <c r="T212" s="322">
        <f t="shared" si="145"/>
        <v>5588.4055870350412</v>
      </c>
    </row>
    <row r="213" spans="1:20" ht="27.75" customHeight="1">
      <c r="A213" s="303" t="s">
        <v>481</v>
      </c>
      <c r="B213" s="323" t="s">
        <v>482</v>
      </c>
      <c r="C213" s="320" t="s">
        <v>488</v>
      </c>
      <c r="D213" s="307">
        <f>D214+D217+D220+D221+D222</f>
        <v>4912.8804439581181</v>
      </c>
      <c r="E213" s="307">
        <f t="shared" ref="E213:Q213" si="146">E214+E217+E220+E221+E222</f>
        <v>4781.756938075765</v>
      </c>
      <c r="F213" s="307">
        <f t="shared" si="146"/>
        <v>0</v>
      </c>
      <c r="G213" s="307">
        <f t="shared" si="146"/>
        <v>131.12350588235296</v>
      </c>
      <c r="H213" s="307">
        <f t="shared" si="146"/>
        <v>4343.8661071157649</v>
      </c>
      <c r="I213" s="307">
        <f t="shared" si="146"/>
        <v>0</v>
      </c>
      <c r="J213" s="307">
        <f t="shared" si="146"/>
        <v>0</v>
      </c>
      <c r="K213" s="307">
        <f t="shared" si="146"/>
        <v>569.01433684235349</v>
      </c>
      <c r="L213" s="307">
        <f t="shared" si="146"/>
        <v>56.901433684235357</v>
      </c>
      <c r="M213" s="307">
        <f t="shared" si="146"/>
        <v>0</v>
      </c>
      <c r="N213" s="307">
        <f t="shared" si="146"/>
        <v>56.901433684235357</v>
      </c>
      <c r="O213" s="307">
        <f t="shared" si="146"/>
        <v>56.901433684235357</v>
      </c>
      <c r="P213" s="307">
        <f t="shared" si="146"/>
        <v>0</v>
      </c>
      <c r="Q213" s="307">
        <f t="shared" si="146"/>
        <v>0</v>
      </c>
      <c r="R213" s="307">
        <f>R214+R217+R220+R221+R222</f>
        <v>4912.8804439581181</v>
      </c>
      <c r="S213" s="307">
        <f t="shared" ref="S213:T213" si="147">S214+S217+S220+S221+S222</f>
        <v>0</v>
      </c>
      <c r="T213" s="307">
        <f t="shared" si="147"/>
        <v>4912.8804439581181</v>
      </c>
    </row>
    <row r="214" spans="1:20" ht="27.75" customHeight="1">
      <c r="A214" s="325" t="s">
        <v>438</v>
      </c>
      <c r="B214" s="164" t="s">
        <v>277</v>
      </c>
      <c r="C214" s="320" t="s">
        <v>488</v>
      </c>
      <c r="D214" s="306">
        <f t="shared" ref="D214:D220" si="148">SUM(E214:G214)</f>
        <v>3688.0045754399998</v>
      </c>
      <c r="E214" s="306">
        <f>SUM(E215:E216)</f>
        <v>3576.5495954399998</v>
      </c>
      <c r="F214" s="306">
        <f>SUM(F215:F216)</f>
        <v>0</v>
      </c>
      <c r="G214" s="306">
        <f>SUM(G215:G216)</f>
        <v>111.45498000000001</v>
      </c>
      <c r="H214" s="307">
        <f t="shared" ref="H214:H221" si="149">D214</f>
        <v>3688.0045754399998</v>
      </c>
      <c r="I214" s="309"/>
      <c r="J214" s="309"/>
      <c r="K214" s="309"/>
      <c r="L214" s="309">
        <f>K214*10%</f>
        <v>0</v>
      </c>
      <c r="M214" s="309"/>
      <c r="N214" s="309">
        <f>L214+M214</f>
        <v>0</v>
      </c>
      <c r="O214" s="309">
        <f>L214-P214</f>
        <v>0</v>
      </c>
      <c r="P214" s="309">
        <f>N214</f>
        <v>0</v>
      </c>
      <c r="Q214" s="309">
        <f>M214</f>
        <v>0</v>
      </c>
      <c r="R214" s="307">
        <f>SUM(R215:R216)</f>
        <v>3688.0045754399998</v>
      </c>
      <c r="S214" s="307">
        <f t="shared" ref="S214:T214" si="150">SUM(S215:S216)</f>
        <v>0</v>
      </c>
      <c r="T214" s="307">
        <f t="shared" si="150"/>
        <v>3688.0045754399998</v>
      </c>
    </row>
    <row r="215" spans="1:20" ht="27.75" customHeight="1">
      <c r="A215" s="325" t="s">
        <v>489</v>
      </c>
      <c r="B215" s="164" t="s">
        <v>490</v>
      </c>
      <c r="C215" s="320" t="s">
        <v>444</v>
      </c>
      <c r="D215" s="306">
        <f t="shared" si="148"/>
        <v>3576.5495954399998</v>
      </c>
      <c r="E215" s="306">
        <f>'[2] TL giao BC '!T218</f>
        <v>3576.5495954399998</v>
      </c>
      <c r="F215" s="306"/>
      <c r="G215" s="306"/>
      <c r="H215" s="307">
        <f t="shared" si="149"/>
        <v>3576.5495954399998</v>
      </c>
      <c r="I215" s="309"/>
      <c r="J215" s="309"/>
      <c r="K215" s="309"/>
      <c r="L215" s="309"/>
      <c r="M215" s="309"/>
      <c r="N215" s="309"/>
      <c r="O215" s="309"/>
      <c r="P215" s="309"/>
      <c r="Q215" s="309"/>
      <c r="R215" s="307">
        <f>D215-N215</f>
        <v>3576.5495954399998</v>
      </c>
      <c r="S215" s="307">
        <v>-126.07</v>
      </c>
      <c r="T215" s="307">
        <f>R215+S215</f>
        <v>3450.4795954399997</v>
      </c>
    </row>
    <row r="216" spans="1:20" ht="27.75" customHeight="1">
      <c r="A216" s="325" t="s">
        <v>489</v>
      </c>
      <c r="B216" s="164" t="s">
        <v>305</v>
      </c>
      <c r="C216" s="320" t="s">
        <v>478</v>
      </c>
      <c r="D216" s="306">
        <f t="shared" si="148"/>
        <v>111.45498000000001</v>
      </c>
      <c r="E216" s="306"/>
      <c r="F216" s="306"/>
      <c r="G216" s="306">
        <f>'[2] TL giao BC tăng thêm'!T98</f>
        <v>111.45498000000001</v>
      </c>
      <c r="H216" s="307">
        <f t="shared" si="149"/>
        <v>111.45498000000001</v>
      </c>
      <c r="I216" s="309"/>
      <c r="J216" s="309"/>
      <c r="K216" s="309"/>
      <c r="L216" s="309"/>
      <c r="M216" s="309"/>
      <c r="N216" s="309"/>
      <c r="O216" s="309"/>
      <c r="P216" s="309"/>
      <c r="Q216" s="309"/>
      <c r="R216" s="307">
        <f>D216-N216</f>
        <v>111.45498000000001</v>
      </c>
      <c r="S216" s="307">
        <v>126.07</v>
      </c>
      <c r="T216" s="307">
        <f>R216+S216</f>
        <v>237.52498</v>
      </c>
    </row>
    <row r="217" spans="1:20" ht="27.75" customHeight="1">
      <c r="A217" s="304" t="s">
        <v>438</v>
      </c>
      <c r="B217" s="166" t="s">
        <v>278</v>
      </c>
      <c r="C217" s="320" t="s">
        <v>444</v>
      </c>
      <c r="D217" s="306">
        <f t="shared" si="148"/>
        <v>767.30296536000014</v>
      </c>
      <c r="E217" s="306">
        <f>SUM(E218:E219)</f>
        <v>767.30296536000014</v>
      </c>
      <c r="F217" s="306">
        <f>SUM(F218:F219)</f>
        <v>0</v>
      </c>
      <c r="G217" s="306">
        <f>SUM(G218:G219)</f>
        <v>0</v>
      </c>
      <c r="H217" s="307">
        <f t="shared" si="149"/>
        <v>767.30296536000014</v>
      </c>
      <c r="I217" s="309"/>
      <c r="J217" s="309"/>
      <c r="K217" s="309"/>
      <c r="L217" s="309">
        <f>K217*10%</f>
        <v>0</v>
      </c>
      <c r="M217" s="309"/>
      <c r="N217" s="309">
        <f>L217+M217</f>
        <v>0</v>
      </c>
      <c r="O217" s="309">
        <f>L217-P217</f>
        <v>0</v>
      </c>
      <c r="P217" s="309">
        <f>N217</f>
        <v>0</v>
      </c>
      <c r="Q217" s="309">
        <f>M217</f>
        <v>0</v>
      </c>
      <c r="R217" s="307">
        <f>SUM(R218:R219)</f>
        <v>767.30296536000014</v>
      </c>
      <c r="S217" s="307">
        <f t="shared" ref="S217:T217" si="151">SUM(S218:S219)</f>
        <v>0</v>
      </c>
      <c r="T217" s="307">
        <f t="shared" si="151"/>
        <v>767.30296536000014</v>
      </c>
    </row>
    <row r="218" spans="1:20" ht="27.75" customHeight="1">
      <c r="A218" s="325" t="s">
        <v>489</v>
      </c>
      <c r="B218" s="166" t="s">
        <v>491</v>
      </c>
      <c r="C218" s="320" t="s">
        <v>444</v>
      </c>
      <c r="D218" s="306">
        <f t="shared" si="148"/>
        <v>744.11434536000013</v>
      </c>
      <c r="E218" s="306">
        <f>'[2] TL giao BC '!U218</f>
        <v>744.11434536000013</v>
      </c>
      <c r="F218" s="306"/>
      <c r="G218" s="306"/>
      <c r="H218" s="307">
        <f t="shared" si="149"/>
        <v>744.11434536000013</v>
      </c>
      <c r="I218" s="309"/>
      <c r="J218" s="309"/>
      <c r="K218" s="309"/>
      <c r="L218" s="309"/>
      <c r="M218" s="309"/>
      <c r="N218" s="309"/>
      <c r="O218" s="309"/>
      <c r="P218" s="309"/>
      <c r="Q218" s="309"/>
      <c r="R218" s="307">
        <f>D218-N218</f>
        <v>744.11434536000013</v>
      </c>
      <c r="S218" s="307">
        <v>-26.23</v>
      </c>
      <c r="T218" s="307">
        <f>R218+S218</f>
        <v>717.88434536000011</v>
      </c>
    </row>
    <row r="219" spans="1:20" ht="27.75" customHeight="1">
      <c r="A219" s="325" t="s">
        <v>489</v>
      </c>
      <c r="B219" s="164" t="s">
        <v>492</v>
      </c>
      <c r="C219" s="320" t="s">
        <v>444</v>
      </c>
      <c r="D219" s="306">
        <f t="shared" si="148"/>
        <v>23.18862</v>
      </c>
      <c r="E219" s="306">
        <f>'[2] TL giao BC tăng thêm'!U98</f>
        <v>23.18862</v>
      </c>
      <c r="F219" s="306"/>
      <c r="G219" s="306"/>
      <c r="H219" s="307">
        <f t="shared" si="149"/>
        <v>23.18862</v>
      </c>
      <c r="I219" s="309"/>
      <c r="J219" s="309"/>
      <c r="K219" s="309"/>
      <c r="L219" s="309"/>
      <c r="M219" s="309"/>
      <c r="N219" s="309"/>
      <c r="O219" s="309"/>
      <c r="P219" s="309"/>
      <c r="Q219" s="309"/>
      <c r="R219" s="307">
        <f>D219-N219</f>
        <v>23.18862</v>
      </c>
      <c r="S219" s="307">
        <v>26.23</v>
      </c>
      <c r="T219" s="307">
        <f>R219+S219</f>
        <v>49.418620000000004</v>
      </c>
    </row>
    <row r="220" spans="1:20" ht="27.75" customHeight="1">
      <c r="A220" s="325" t="s">
        <v>438</v>
      </c>
      <c r="B220" s="164" t="s">
        <v>483</v>
      </c>
      <c r="C220" s="320"/>
      <c r="D220" s="306">
        <f t="shared" si="148"/>
        <v>-54.540000000000006</v>
      </c>
      <c r="E220" s="306">
        <f>-'[2]Biểu Thu '!P11-'[2]Biểu Thu '!AB11</f>
        <v>-54.540000000000006</v>
      </c>
      <c r="F220" s="306"/>
      <c r="G220" s="306"/>
      <c r="H220" s="307">
        <f t="shared" si="149"/>
        <v>-54.540000000000006</v>
      </c>
      <c r="I220" s="309"/>
      <c r="J220" s="309"/>
      <c r="K220" s="309"/>
      <c r="L220" s="309"/>
      <c r="M220" s="309"/>
      <c r="N220" s="309"/>
      <c r="O220" s="309"/>
      <c r="P220" s="309"/>
      <c r="Q220" s="309"/>
      <c r="R220" s="307">
        <f>D220-N220</f>
        <v>-54.540000000000006</v>
      </c>
      <c r="S220" s="307"/>
      <c r="T220" s="307">
        <f>R220+S220</f>
        <v>-54.540000000000006</v>
      </c>
    </row>
    <row r="221" spans="1:20" s="311" customFormat="1" ht="27.75" customHeight="1">
      <c r="A221" s="304" t="s">
        <v>438</v>
      </c>
      <c r="B221" s="166" t="s">
        <v>452</v>
      </c>
      <c r="C221" s="320" t="s">
        <v>488</v>
      </c>
      <c r="D221" s="306">
        <f>E221+G221</f>
        <v>-56.901433684235357</v>
      </c>
      <c r="E221" s="306">
        <f>-L222</f>
        <v>-56.901433684235357</v>
      </c>
      <c r="F221" s="306"/>
      <c r="G221" s="306"/>
      <c r="H221" s="307">
        <f t="shared" si="149"/>
        <v>-56.901433684235357</v>
      </c>
      <c r="I221" s="308"/>
      <c r="J221" s="308"/>
      <c r="K221" s="308"/>
      <c r="L221" s="309">
        <f>K221*10%</f>
        <v>0</v>
      </c>
      <c r="M221" s="309"/>
      <c r="N221" s="309">
        <f>L221+M221</f>
        <v>0</v>
      </c>
      <c r="O221" s="309">
        <f>L221-P221</f>
        <v>0</v>
      </c>
      <c r="P221" s="309">
        <f>N221</f>
        <v>0</v>
      </c>
      <c r="Q221" s="309">
        <f>M221</f>
        <v>0</v>
      </c>
      <c r="R221" s="307"/>
      <c r="S221" s="306"/>
      <c r="T221" s="307"/>
    </row>
    <row r="222" spans="1:20" ht="26.25" customHeight="1">
      <c r="A222" s="304" t="s">
        <v>438</v>
      </c>
      <c r="B222" s="166" t="s">
        <v>412</v>
      </c>
      <c r="C222" s="320" t="s">
        <v>488</v>
      </c>
      <c r="D222" s="306">
        <f>SUM(E222:G222)</f>
        <v>569.01433684235349</v>
      </c>
      <c r="E222" s="306">
        <f>SUM(E223:E224)</f>
        <v>549.34581096000056</v>
      </c>
      <c r="F222" s="306">
        <f>SUM(F223:F224)</f>
        <v>0</v>
      </c>
      <c r="G222" s="306">
        <f>SUM(G223:G224)</f>
        <v>19.668525882352952</v>
      </c>
      <c r="H222" s="309"/>
      <c r="I222" s="309"/>
      <c r="J222" s="309"/>
      <c r="K222" s="309">
        <f>SUM(K223:K224)</f>
        <v>569.01433684235349</v>
      </c>
      <c r="L222" s="309">
        <f>SUM(L223:L224)</f>
        <v>56.901433684235357</v>
      </c>
      <c r="M222" s="309"/>
      <c r="N222" s="309">
        <f>L222+M222</f>
        <v>56.901433684235357</v>
      </c>
      <c r="O222" s="309">
        <f>N222</f>
        <v>56.901433684235357</v>
      </c>
      <c r="P222" s="309">
        <f>N222-O222</f>
        <v>0</v>
      </c>
      <c r="Q222" s="309">
        <f>M222</f>
        <v>0</v>
      </c>
      <c r="R222" s="307">
        <f>D222-N222</f>
        <v>512.11290315811812</v>
      </c>
      <c r="S222" s="307">
        <f>SUM(S223:S224)</f>
        <v>0</v>
      </c>
      <c r="T222" s="307">
        <f>R222+S222</f>
        <v>512.11290315811812</v>
      </c>
    </row>
    <row r="223" spans="1:20" ht="39" customHeight="1">
      <c r="A223" s="325" t="s">
        <v>489</v>
      </c>
      <c r="B223" s="166" t="s">
        <v>513</v>
      </c>
      <c r="C223" s="320" t="s">
        <v>444</v>
      </c>
      <c r="D223" s="306">
        <f>SUM(E223:G223)</f>
        <v>549.34581096000056</v>
      </c>
      <c r="E223" s="306">
        <f>'[2] TL giao BC '!Z218</f>
        <v>549.34581096000056</v>
      </c>
      <c r="F223" s="306"/>
      <c r="G223" s="306"/>
      <c r="H223" s="309"/>
      <c r="I223" s="309"/>
      <c r="J223" s="309"/>
      <c r="K223" s="309">
        <f>D223</f>
        <v>549.34581096000056</v>
      </c>
      <c r="L223" s="309">
        <f>K223*10%</f>
        <v>54.934581096000059</v>
      </c>
      <c r="M223" s="309"/>
      <c r="N223" s="309"/>
      <c r="O223" s="309"/>
      <c r="P223" s="309"/>
      <c r="Q223" s="309"/>
      <c r="R223" s="307"/>
      <c r="S223" s="307">
        <v>-22.25</v>
      </c>
      <c r="T223" s="307"/>
    </row>
    <row r="224" spans="1:20" ht="33" customHeight="1">
      <c r="A224" s="325" t="s">
        <v>489</v>
      </c>
      <c r="B224" s="164" t="s">
        <v>499</v>
      </c>
      <c r="C224" s="320" t="s">
        <v>478</v>
      </c>
      <c r="D224" s="306">
        <f>SUM(E224:G224)</f>
        <v>19.668525882352952</v>
      </c>
      <c r="E224" s="306"/>
      <c r="F224" s="306"/>
      <c r="G224" s="306">
        <f>'[2] TL giao BC tăng thêm'!X98</f>
        <v>19.668525882352952</v>
      </c>
      <c r="H224" s="309"/>
      <c r="I224" s="309"/>
      <c r="J224" s="309"/>
      <c r="K224" s="309">
        <f>D224</f>
        <v>19.668525882352952</v>
      </c>
      <c r="L224" s="309">
        <f>K224*10%</f>
        <v>1.9668525882352954</v>
      </c>
      <c r="M224" s="309"/>
      <c r="N224" s="309"/>
      <c r="O224" s="309"/>
      <c r="P224" s="309"/>
      <c r="Q224" s="309"/>
      <c r="R224" s="307"/>
      <c r="S224" s="307">
        <v>22.25</v>
      </c>
      <c r="T224" s="307"/>
    </row>
    <row r="225" spans="1:20" ht="30" customHeight="1">
      <c r="A225" s="303" t="s">
        <v>481</v>
      </c>
      <c r="B225" s="326" t="s">
        <v>485</v>
      </c>
      <c r="C225" s="320" t="s">
        <v>488</v>
      </c>
      <c r="D225" s="307">
        <f>E225+G225+F225</f>
        <v>675.52514307692309</v>
      </c>
      <c r="E225" s="307">
        <f t="shared" ref="E225:T225" si="152">SUM(E226:E230)</f>
        <v>630.18000000000006</v>
      </c>
      <c r="F225" s="307">
        <f t="shared" si="152"/>
        <v>0</v>
      </c>
      <c r="G225" s="307">
        <f t="shared" si="152"/>
        <v>45.34514307692308</v>
      </c>
      <c r="H225" s="307">
        <f t="shared" si="152"/>
        <v>0</v>
      </c>
      <c r="I225" s="307">
        <f t="shared" si="152"/>
        <v>675.5251430769232</v>
      </c>
      <c r="J225" s="307">
        <f t="shared" si="152"/>
        <v>0</v>
      </c>
      <c r="K225" s="307">
        <f t="shared" si="152"/>
        <v>0</v>
      </c>
      <c r="L225" s="307">
        <f t="shared" si="152"/>
        <v>0</v>
      </c>
      <c r="M225" s="307">
        <f t="shared" si="152"/>
        <v>0</v>
      </c>
      <c r="N225" s="307">
        <f t="shared" si="152"/>
        <v>0</v>
      </c>
      <c r="O225" s="307">
        <f t="shared" si="152"/>
        <v>0</v>
      </c>
      <c r="P225" s="307">
        <f t="shared" si="152"/>
        <v>0</v>
      </c>
      <c r="Q225" s="307">
        <f t="shared" si="152"/>
        <v>0</v>
      </c>
      <c r="R225" s="307">
        <f t="shared" si="152"/>
        <v>675.5251430769232</v>
      </c>
      <c r="S225" s="307">
        <f t="shared" si="152"/>
        <v>0</v>
      </c>
      <c r="T225" s="307">
        <f t="shared" si="152"/>
        <v>675.5251430769232</v>
      </c>
    </row>
    <row r="226" spans="1:20" ht="30" customHeight="1">
      <c r="A226" s="325" t="s">
        <v>438</v>
      </c>
      <c r="B226" s="166" t="s">
        <v>280</v>
      </c>
      <c r="C226" s="320" t="s">
        <v>444</v>
      </c>
      <c r="D226" s="306">
        <f>E226+G226</f>
        <v>105.84</v>
      </c>
      <c r="E226" s="306">
        <f>'[2]CS giáo dục '!Q11</f>
        <v>105.84</v>
      </c>
      <c r="F226" s="306"/>
      <c r="G226" s="306"/>
      <c r="H226" s="309"/>
      <c r="I226" s="309">
        <f>D226</f>
        <v>105.84</v>
      </c>
      <c r="J226" s="309"/>
      <c r="K226" s="309"/>
      <c r="L226" s="309">
        <f>K226*10%</f>
        <v>0</v>
      </c>
      <c r="M226" s="309"/>
      <c r="N226" s="309">
        <f>L226+M226</f>
        <v>0</v>
      </c>
      <c r="O226" s="309">
        <f>N226</f>
        <v>0</v>
      </c>
      <c r="P226" s="309">
        <f>N226-O226</f>
        <v>0</v>
      </c>
      <c r="Q226" s="309">
        <f>M226</f>
        <v>0</v>
      </c>
      <c r="R226" s="307">
        <f>D226-N226</f>
        <v>105.84</v>
      </c>
      <c r="S226" s="307"/>
      <c r="T226" s="307">
        <f>R226+S226</f>
        <v>105.84</v>
      </c>
    </row>
    <row r="227" spans="1:20" ht="30" customHeight="1">
      <c r="A227" s="325" t="s">
        <v>438</v>
      </c>
      <c r="B227" s="166" t="s">
        <v>287</v>
      </c>
      <c r="C227" s="320" t="s">
        <v>488</v>
      </c>
      <c r="D227" s="306">
        <f>E227+G227+F227</f>
        <v>566.19000000000005</v>
      </c>
      <c r="E227" s="306">
        <f>'[2]CS giáo dục '!U11</f>
        <v>524.34</v>
      </c>
      <c r="F227" s="306"/>
      <c r="G227" s="306">
        <f>'[2]CS giáo dục '!W11</f>
        <v>41.85</v>
      </c>
      <c r="H227" s="309"/>
      <c r="I227" s="309">
        <f>D227</f>
        <v>566.19000000000005</v>
      </c>
      <c r="J227" s="309"/>
      <c r="K227" s="309"/>
      <c r="L227" s="309">
        <f>K227*10%</f>
        <v>0</v>
      </c>
      <c r="M227" s="309"/>
      <c r="N227" s="309">
        <f>L227+M227</f>
        <v>0</v>
      </c>
      <c r="O227" s="309">
        <f>N227</f>
        <v>0</v>
      </c>
      <c r="P227" s="309">
        <f>N227-O227</f>
        <v>0</v>
      </c>
      <c r="Q227" s="309">
        <f>M227</f>
        <v>0</v>
      </c>
      <c r="R227" s="307">
        <f>D227-N227</f>
        <v>566.19000000000005</v>
      </c>
      <c r="S227" s="307"/>
      <c r="T227" s="307">
        <f t="shared" ref="T227:T230" si="153">R227+S227</f>
        <v>566.19000000000005</v>
      </c>
    </row>
    <row r="228" spans="1:20" ht="39" customHeight="1">
      <c r="A228" s="325" t="s">
        <v>438</v>
      </c>
      <c r="B228" s="166" t="s">
        <v>308</v>
      </c>
      <c r="C228" s="320" t="s">
        <v>488</v>
      </c>
      <c r="D228" s="306">
        <f>E228+G228</f>
        <v>0</v>
      </c>
      <c r="E228" s="306"/>
      <c r="F228" s="306"/>
      <c r="G228" s="306"/>
      <c r="H228" s="309"/>
      <c r="I228" s="309">
        <f>D228</f>
        <v>0</v>
      </c>
      <c r="J228" s="309"/>
      <c r="K228" s="309"/>
      <c r="L228" s="309">
        <f>K228*10%</f>
        <v>0</v>
      </c>
      <c r="M228" s="309"/>
      <c r="N228" s="309">
        <f>L228+M228</f>
        <v>0</v>
      </c>
      <c r="O228" s="309">
        <f>N228</f>
        <v>0</v>
      </c>
      <c r="P228" s="309">
        <f>N228-O228</f>
        <v>0</v>
      </c>
      <c r="Q228" s="309">
        <f>M228</f>
        <v>0</v>
      </c>
      <c r="R228" s="307">
        <f>D228-N228</f>
        <v>0</v>
      </c>
      <c r="S228" s="307"/>
      <c r="T228" s="307">
        <f t="shared" si="153"/>
        <v>0</v>
      </c>
    </row>
    <row r="229" spans="1:20" ht="36" customHeight="1">
      <c r="A229" s="325" t="s">
        <v>438</v>
      </c>
      <c r="B229" s="166" t="s">
        <v>495</v>
      </c>
      <c r="C229" s="320" t="s">
        <v>488</v>
      </c>
      <c r="D229" s="306">
        <f>E229+G229</f>
        <v>0</v>
      </c>
      <c r="E229" s="306"/>
      <c r="F229" s="306"/>
      <c r="G229" s="306"/>
      <c r="H229" s="309"/>
      <c r="I229" s="309">
        <f>D229</f>
        <v>0</v>
      </c>
      <c r="J229" s="309"/>
      <c r="K229" s="309"/>
      <c r="L229" s="309">
        <f>K229*10%</f>
        <v>0</v>
      </c>
      <c r="M229" s="309"/>
      <c r="N229" s="309">
        <f>L229+M229</f>
        <v>0</v>
      </c>
      <c r="O229" s="309">
        <f>N229</f>
        <v>0</v>
      </c>
      <c r="P229" s="309">
        <f>N229-O229</f>
        <v>0</v>
      </c>
      <c r="Q229" s="309">
        <f>M229</f>
        <v>0</v>
      </c>
      <c r="R229" s="307">
        <f>D229-N229</f>
        <v>0</v>
      </c>
      <c r="S229" s="307"/>
      <c r="T229" s="307">
        <f t="shared" si="153"/>
        <v>0</v>
      </c>
    </row>
    <row r="230" spans="1:20" ht="26.25" customHeight="1">
      <c r="A230" s="325" t="s">
        <v>438</v>
      </c>
      <c r="B230" s="166" t="s">
        <v>309</v>
      </c>
      <c r="C230" s="320" t="s">
        <v>478</v>
      </c>
      <c r="D230" s="306">
        <f>E230+G230</f>
        <v>3.4951430769230774</v>
      </c>
      <c r="E230" s="306"/>
      <c r="F230" s="306"/>
      <c r="G230" s="306">
        <f>'[2]CS GV dạy trẻ khuyết tật'!S22</f>
        <v>3.4951430769230774</v>
      </c>
      <c r="H230" s="309"/>
      <c r="I230" s="309">
        <f>D230</f>
        <v>3.4951430769230774</v>
      </c>
      <c r="J230" s="309"/>
      <c r="K230" s="309"/>
      <c r="L230" s="309">
        <f>K230*10%</f>
        <v>0</v>
      </c>
      <c r="M230" s="309"/>
      <c r="N230" s="309">
        <f>L230+M230</f>
        <v>0</v>
      </c>
      <c r="O230" s="309">
        <f>N230</f>
        <v>0</v>
      </c>
      <c r="P230" s="309">
        <f>N230-O230</f>
        <v>0</v>
      </c>
      <c r="Q230" s="309">
        <f>M230</f>
        <v>0</v>
      </c>
      <c r="R230" s="307">
        <f>D230-N230</f>
        <v>3.4951430769230774</v>
      </c>
      <c r="S230" s="307"/>
      <c r="T230" s="307">
        <f t="shared" si="153"/>
        <v>3.4951430769230774</v>
      </c>
    </row>
    <row r="231" spans="1:20" s="328" customFormat="1" ht="27.75" customHeight="1">
      <c r="A231" s="320">
        <v>8</v>
      </c>
      <c r="B231" s="321" t="s">
        <v>514</v>
      </c>
      <c r="C231" s="320" t="s">
        <v>488</v>
      </c>
      <c r="D231" s="322">
        <f>D232+D244</f>
        <v>5682.4150703622354</v>
      </c>
      <c r="E231" s="322">
        <f t="shared" ref="E231:Q231" si="154">E232+E244</f>
        <v>5679.5450703622355</v>
      </c>
      <c r="F231" s="322">
        <f t="shared" si="154"/>
        <v>0</v>
      </c>
      <c r="G231" s="322">
        <f t="shared" si="154"/>
        <v>2.87</v>
      </c>
      <c r="H231" s="322">
        <f t="shared" si="154"/>
        <v>4995.0916397375295</v>
      </c>
      <c r="I231" s="322">
        <f t="shared" si="154"/>
        <v>49.518000000000001</v>
      </c>
      <c r="J231" s="322">
        <f t="shared" si="154"/>
        <v>0</v>
      </c>
      <c r="K231" s="322">
        <f t="shared" si="154"/>
        <v>637.8054306247061</v>
      </c>
      <c r="L231" s="322">
        <f t="shared" si="154"/>
        <v>63.780543062470613</v>
      </c>
      <c r="M231" s="322">
        <f t="shared" si="154"/>
        <v>0</v>
      </c>
      <c r="N231" s="322">
        <f t="shared" si="154"/>
        <v>63.780543062470613</v>
      </c>
      <c r="O231" s="322">
        <f t="shared" si="154"/>
        <v>63.780543062470613</v>
      </c>
      <c r="P231" s="322">
        <f t="shared" si="154"/>
        <v>0</v>
      </c>
      <c r="Q231" s="322">
        <f t="shared" si="154"/>
        <v>0</v>
      </c>
      <c r="R231" s="322">
        <f>R232+R244</f>
        <v>5682.4150703622354</v>
      </c>
      <c r="S231" s="322">
        <f t="shared" ref="S231:T231" si="155">S232+S244</f>
        <v>0</v>
      </c>
      <c r="T231" s="322">
        <f t="shared" si="155"/>
        <v>5682.4150703622354</v>
      </c>
    </row>
    <row r="232" spans="1:20" ht="27.75" customHeight="1">
      <c r="A232" s="303" t="s">
        <v>481</v>
      </c>
      <c r="B232" s="323" t="s">
        <v>482</v>
      </c>
      <c r="C232" s="320" t="s">
        <v>488</v>
      </c>
      <c r="D232" s="307">
        <f>D233+D236+D239+D240+D241</f>
        <v>5632.8970703622354</v>
      </c>
      <c r="E232" s="307">
        <f t="shared" ref="E232:Q232" si="156">E233+E236+E239+E240+E241</f>
        <v>5632.8970703622354</v>
      </c>
      <c r="F232" s="307">
        <f t="shared" si="156"/>
        <v>0</v>
      </c>
      <c r="G232" s="307">
        <f t="shared" si="156"/>
        <v>0</v>
      </c>
      <c r="H232" s="307">
        <f t="shared" si="156"/>
        <v>4995.0916397375295</v>
      </c>
      <c r="I232" s="307">
        <f t="shared" si="156"/>
        <v>0</v>
      </c>
      <c r="J232" s="307">
        <f t="shared" si="156"/>
        <v>0</v>
      </c>
      <c r="K232" s="307">
        <f t="shared" si="156"/>
        <v>637.8054306247061</v>
      </c>
      <c r="L232" s="307">
        <f t="shared" si="156"/>
        <v>63.780543062470613</v>
      </c>
      <c r="M232" s="307">
        <f t="shared" si="156"/>
        <v>0</v>
      </c>
      <c r="N232" s="307">
        <f t="shared" si="156"/>
        <v>63.780543062470613</v>
      </c>
      <c r="O232" s="307">
        <f t="shared" si="156"/>
        <v>63.780543062470613</v>
      </c>
      <c r="P232" s="307">
        <f t="shared" si="156"/>
        <v>0</v>
      </c>
      <c r="Q232" s="307">
        <f t="shared" si="156"/>
        <v>0</v>
      </c>
      <c r="R232" s="307">
        <f>R233+R236+R239+R240+R241</f>
        <v>5632.8970703622354</v>
      </c>
      <c r="S232" s="307">
        <f t="shared" ref="S232:T232" si="157">S233+S236+S239+S240+S241</f>
        <v>0</v>
      </c>
      <c r="T232" s="307">
        <f t="shared" si="157"/>
        <v>5632.8970703622354</v>
      </c>
    </row>
    <row r="233" spans="1:20" ht="27.75" customHeight="1">
      <c r="A233" s="325" t="s">
        <v>438</v>
      </c>
      <c r="B233" s="164" t="s">
        <v>277</v>
      </c>
      <c r="C233" s="320" t="s">
        <v>488</v>
      </c>
      <c r="D233" s="306">
        <f t="shared" ref="D233:D239" si="158">SUM(E233:G233)</f>
        <v>4249.4867735399994</v>
      </c>
      <c r="E233" s="306">
        <f>SUM(E234:E235)</f>
        <v>4249.4867735399994</v>
      </c>
      <c r="F233" s="306">
        <f>SUM(F234:F235)</f>
        <v>0</v>
      </c>
      <c r="G233" s="306">
        <f>SUM(G234:G235)</f>
        <v>0</v>
      </c>
      <c r="H233" s="307">
        <f t="shared" ref="H233:H240" si="159">D233</f>
        <v>4249.4867735399994</v>
      </c>
      <c r="I233" s="309"/>
      <c r="J233" s="309"/>
      <c r="K233" s="309"/>
      <c r="L233" s="309">
        <f>K233*10%</f>
        <v>0</v>
      </c>
      <c r="M233" s="309"/>
      <c r="N233" s="309">
        <f>L233+M233</f>
        <v>0</v>
      </c>
      <c r="O233" s="309">
        <f>L233-P233</f>
        <v>0</v>
      </c>
      <c r="P233" s="309">
        <f>N233</f>
        <v>0</v>
      </c>
      <c r="Q233" s="309">
        <f>M233</f>
        <v>0</v>
      </c>
      <c r="R233" s="307">
        <f>SUM(R234:R235)</f>
        <v>4249.4867735399994</v>
      </c>
      <c r="S233" s="307">
        <f t="shared" ref="S233:T233" si="160">SUM(S234:S235)</f>
        <v>0</v>
      </c>
      <c r="T233" s="307">
        <f t="shared" si="160"/>
        <v>4249.4867735399994</v>
      </c>
    </row>
    <row r="234" spans="1:20" ht="27.75" customHeight="1">
      <c r="A234" s="325" t="s">
        <v>489</v>
      </c>
      <c r="B234" s="164" t="s">
        <v>490</v>
      </c>
      <c r="C234" s="320" t="s">
        <v>444</v>
      </c>
      <c r="D234" s="306">
        <f t="shared" si="158"/>
        <v>4249.4867735399994</v>
      </c>
      <c r="E234" s="306">
        <f>'[2] TL giao BC '!T245</f>
        <v>4249.4867735399994</v>
      </c>
      <c r="F234" s="306"/>
      <c r="G234" s="306"/>
      <c r="H234" s="307">
        <f t="shared" si="159"/>
        <v>4249.4867735399994</v>
      </c>
      <c r="I234" s="309"/>
      <c r="J234" s="309"/>
      <c r="K234" s="309"/>
      <c r="L234" s="309"/>
      <c r="M234" s="309"/>
      <c r="N234" s="309"/>
      <c r="O234" s="309"/>
      <c r="P234" s="309"/>
      <c r="Q234" s="309"/>
      <c r="R234" s="307">
        <f>D234-N234</f>
        <v>4249.4867735399994</v>
      </c>
      <c r="S234" s="307"/>
      <c r="T234" s="307">
        <f>R234+S234</f>
        <v>4249.4867735399994</v>
      </c>
    </row>
    <row r="235" spans="1:20" ht="27.75" customHeight="1">
      <c r="A235" s="325" t="s">
        <v>489</v>
      </c>
      <c r="B235" s="164" t="s">
        <v>305</v>
      </c>
      <c r="C235" s="320" t="s">
        <v>478</v>
      </c>
      <c r="D235" s="306">
        <f t="shared" si="158"/>
        <v>0</v>
      </c>
      <c r="E235" s="306"/>
      <c r="F235" s="306"/>
      <c r="G235" s="306">
        <f>'[2] TL giao BC tăng thêm'!T100</f>
        <v>0</v>
      </c>
      <c r="H235" s="307">
        <f t="shared" si="159"/>
        <v>0</v>
      </c>
      <c r="I235" s="309"/>
      <c r="J235" s="309"/>
      <c r="K235" s="309"/>
      <c r="L235" s="309"/>
      <c r="M235" s="309"/>
      <c r="N235" s="309"/>
      <c r="O235" s="309"/>
      <c r="P235" s="309"/>
      <c r="Q235" s="309"/>
      <c r="R235" s="307">
        <f>D235-N235</f>
        <v>0</v>
      </c>
      <c r="S235" s="307"/>
      <c r="T235" s="307">
        <f>R235+S235</f>
        <v>0</v>
      </c>
    </row>
    <row r="236" spans="1:20" ht="27.75" customHeight="1">
      <c r="A236" s="304" t="s">
        <v>438</v>
      </c>
      <c r="B236" s="166" t="s">
        <v>278</v>
      </c>
      <c r="C236" s="320" t="s">
        <v>444</v>
      </c>
      <c r="D236" s="306">
        <f t="shared" si="158"/>
        <v>884.12140925999995</v>
      </c>
      <c r="E236" s="306">
        <f>SUM(E237:E238)</f>
        <v>884.12140925999995</v>
      </c>
      <c r="F236" s="306">
        <f>SUM(F237:F238)</f>
        <v>0</v>
      </c>
      <c r="G236" s="306">
        <f>SUM(G237:G238)</f>
        <v>0</v>
      </c>
      <c r="H236" s="307">
        <f t="shared" si="159"/>
        <v>884.12140925999995</v>
      </c>
      <c r="I236" s="309"/>
      <c r="J236" s="309"/>
      <c r="K236" s="309"/>
      <c r="L236" s="309">
        <f>K236*10%</f>
        <v>0</v>
      </c>
      <c r="M236" s="309"/>
      <c r="N236" s="309">
        <f>L236+M236</f>
        <v>0</v>
      </c>
      <c r="O236" s="309">
        <f>L236-P236</f>
        <v>0</v>
      </c>
      <c r="P236" s="309">
        <f>N236</f>
        <v>0</v>
      </c>
      <c r="Q236" s="309">
        <f>M236</f>
        <v>0</v>
      </c>
      <c r="R236" s="307">
        <f>SUM(R237:R238)</f>
        <v>884.12140925999995</v>
      </c>
      <c r="S236" s="307">
        <f t="shared" ref="S236:T236" si="161">SUM(S237:S238)</f>
        <v>0</v>
      </c>
      <c r="T236" s="307">
        <f t="shared" si="161"/>
        <v>884.12140925999995</v>
      </c>
    </row>
    <row r="237" spans="1:20" ht="27.75" customHeight="1">
      <c r="A237" s="325" t="s">
        <v>489</v>
      </c>
      <c r="B237" s="166" t="s">
        <v>491</v>
      </c>
      <c r="C237" s="320" t="s">
        <v>444</v>
      </c>
      <c r="D237" s="306">
        <f t="shared" si="158"/>
        <v>884.12140925999995</v>
      </c>
      <c r="E237" s="306">
        <f>'[2] TL giao BC '!U245</f>
        <v>884.12140925999995</v>
      </c>
      <c r="F237" s="306"/>
      <c r="G237" s="306"/>
      <c r="H237" s="307">
        <f t="shared" si="159"/>
        <v>884.12140925999995</v>
      </c>
      <c r="I237" s="309"/>
      <c r="J237" s="309"/>
      <c r="K237" s="309"/>
      <c r="L237" s="309"/>
      <c r="M237" s="309"/>
      <c r="N237" s="309"/>
      <c r="O237" s="309"/>
      <c r="P237" s="309"/>
      <c r="Q237" s="309"/>
      <c r="R237" s="307">
        <f>D237-N237</f>
        <v>884.12140925999995</v>
      </c>
      <c r="S237" s="307"/>
      <c r="T237" s="307">
        <f>R237+S237</f>
        <v>884.12140925999995</v>
      </c>
    </row>
    <row r="238" spans="1:20" ht="27.75" customHeight="1">
      <c r="A238" s="325" t="s">
        <v>489</v>
      </c>
      <c r="B238" s="164" t="s">
        <v>492</v>
      </c>
      <c r="C238" s="320" t="s">
        <v>444</v>
      </c>
      <c r="D238" s="306">
        <f t="shared" si="158"/>
        <v>0</v>
      </c>
      <c r="E238" s="306">
        <f>'[2] TL giao BC tăng thêm'!U100</f>
        <v>0</v>
      </c>
      <c r="F238" s="306"/>
      <c r="G238" s="306"/>
      <c r="H238" s="307">
        <f t="shared" si="159"/>
        <v>0</v>
      </c>
      <c r="I238" s="309"/>
      <c r="J238" s="309"/>
      <c r="K238" s="309"/>
      <c r="L238" s="309"/>
      <c r="M238" s="309"/>
      <c r="N238" s="309"/>
      <c r="O238" s="309"/>
      <c r="P238" s="309"/>
      <c r="Q238" s="309"/>
      <c r="R238" s="307">
        <f>D238-N238</f>
        <v>0</v>
      </c>
      <c r="S238" s="307"/>
      <c r="T238" s="307">
        <f>R238+S238</f>
        <v>0</v>
      </c>
    </row>
    <row r="239" spans="1:20" ht="27.75" customHeight="1">
      <c r="A239" s="325" t="s">
        <v>438</v>
      </c>
      <c r="B239" s="164" t="s">
        <v>483</v>
      </c>
      <c r="C239" s="320"/>
      <c r="D239" s="306">
        <f t="shared" si="158"/>
        <v>-74.736000000000004</v>
      </c>
      <c r="E239" s="306">
        <f>-'[2]Biểu Thu '!P12-'[2]Biểu Thu '!AB12</f>
        <v>-74.736000000000004</v>
      </c>
      <c r="F239" s="306"/>
      <c r="G239" s="306"/>
      <c r="H239" s="307">
        <f t="shared" si="159"/>
        <v>-74.736000000000004</v>
      </c>
      <c r="I239" s="309"/>
      <c r="J239" s="309"/>
      <c r="K239" s="309"/>
      <c r="L239" s="309"/>
      <c r="M239" s="309"/>
      <c r="N239" s="309"/>
      <c r="O239" s="309"/>
      <c r="P239" s="309"/>
      <c r="Q239" s="309"/>
      <c r="R239" s="307">
        <f>D239-N239</f>
        <v>-74.736000000000004</v>
      </c>
      <c r="S239" s="307"/>
      <c r="T239" s="307">
        <f>R239+S239</f>
        <v>-74.736000000000004</v>
      </c>
    </row>
    <row r="240" spans="1:20" s="311" customFormat="1" ht="27.75" customHeight="1">
      <c r="A240" s="304" t="s">
        <v>438</v>
      </c>
      <c r="B240" s="166" t="s">
        <v>452</v>
      </c>
      <c r="C240" s="320" t="s">
        <v>488</v>
      </c>
      <c r="D240" s="306">
        <f>E240+G240</f>
        <v>-63.780543062470613</v>
      </c>
      <c r="E240" s="306">
        <f>-L241</f>
        <v>-63.780543062470613</v>
      </c>
      <c r="F240" s="306"/>
      <c r="G240" s="306"/>
      <c r="H240" s="307">
        <f t="shared" si="159"/>
        <v>-63.780543062470613</v>
      </c>
      <c r="I240" s="308"/>
      <c r="J240" s="308"/>
      <c r="K240" s="308"/>
      <c r="L240" s="309">
        <f>K240*10%</f>
        <v>0</v>
      </c>
      <c r="M240" s="309"/>
      <c r="N240" s="309">
        <f>L240+M240</f>
        <v>0</v>
      </c>
      <c r="O240" s="309">
        <f>L240-P240</f>
        <v>0</v>
      </c>
      <c r="P240" s="309">
        <f>N240</f>
        <v>0</v>
      </c>
      <c r="Q240" s="309">
        <f>M240</f>
        <v>0</v>
      </c>
      <c r="R240" s="307"/>
      <c r="S240" s="306"/>
      <c r="T240" s="307"/>
    </row>
    <row r="241" spans="1:20" ht="26.25" customHeight="1">
      <c r="A241" s="304" t="s">
        <v>438</v>
      </c>
      <c r="B241" s="166" t="s">
        <v>412</v>
      </c>
      <c r="C241" s="320" t="s">
        <v>488</v>
      </c>
      <c r="D241" s="306">
        <f>SUM(E241:G241)</f>
        <v>637.8054306247061</v>
      </c>
      <c r="E241" s="306">
        <f>SUM(E242:E243)</f>
        <v>637.8054306247061</v>
      </c>
      <c r="F241" s="306">
        <f>SUM(F242:F243)</f>
        <v>0</v>
      </c>
      <c r="G241" s="306">
        <f>SUM(G242:G243)</f>
        <v>0</v>
      </c>
      <c r="H241" s="309"/>
      <c r="I241" s="309"/>
      <c r="J241" s="309"/>
      <c r="K241" s="309">
        <f>SUM(K242:K243)</f>
        <v>637.8054306247061</v>
      </c>
      <c r="L241" s="309">
        <f>SUM(L242:L243)</f>
        <v>63.780543062470613</v>
      </c>
      <c r="M241" s="309"/>
      <c r="N241" s="309">
        <f>L241+M241</f>
        <v>63.780543062470613</v>
      </c>
      <c r="O241" s="309">
        <f>N241</f>
        <v>63.780543062470613</v>
      </c>
      <c r="P241" s="309">
        <f>N241-O241</f>
        <v>0</v>
      </c>
      <c r="Q241" s="309">
        <f>M241</f>
        <v>0</v>
      </c>
      <c r="R241" s="307">
        <f>D241-N241</f>
        <v>574.02488756223545</v>
      </c>
      <c r="S241" s="307">
        <f>SUM(S242:S243)</f>
        <v>0</v>
      </c>
      <c r="T241" s="307">
        <f>R241+S241</f>
        <v>574.02488756223545</v>
      </c>
    </row>
    <row r="242" spans="1:20" ht="39" customHeight="1">
      <c r="A242" s="325" t="s">
        <v>489</v>
      </c>
      <c r="B242" s="166" t="s">
        <v>515</v>
      </c>
      <c r="C242" s="320" t="s">
        <v>444</v>
      </c>
      <c r="D242" s="306">
        <f>SUM(E242:G242)</f>
        <v>637.8054306247061</v>
      </c>
      <c r="E242" s="306">
        <f>'[2] TL giao BC '!Z245</f>
        <v>637.8054306247061</v>
      </c>
      <c r="F242" s="306"/>
      <c r="G242" s="306"/>
      <c r="H242" s="309"/>
      <c r="I242" s="309"/>
      <c r="J242" s="309"/>
      <c r="K242" s="309">
        <f>D242</f>
        <v>637.8054306247061</v>
      </c>
      <c r="L242" s="309">
        <f>K242*10%</f>
        <v>63.780543062470613</v>
      </c>
      <c r="M242" s="309"/>
      <c r="N242" s="309"/>
      <c r="O242" s="309"/>
      <c r="P242" s="309"/>
      <c r="Q242" s="309"/>
      <c r="R242" s="307"/>
      <c r="S242" s="307"/>
      <c r="T242" s="307"/>
    </row>
    <row r="243" spans="1:20" ht="33" customHeight="1">
      <c r="A243" s="325" t="s">
        <v>489</v>
      </c>
      <c r="B243" s="164" t="s">
        <v>505</v>
      </c>
      <c r="C243" s="320" t="s">
        <v>478</v>
      </c>
      <c r="D243" s="306">
        <f>SUM(E243:G243)</f>
        <v>0</v>
      </c>
      <c r="E243" s="306"/>
      <c r="F243" s="306"/>
      <c r="G243" s="306">
        <f>'[2] TL giao BC tăng thêm'!X100</f>
        <v>0</v>
      </c>
      <c r="H243" s="309"/>
      <c r="I243" s="309"/>
      <c r="J243" s="309"/>
      <c r="K243" s="309">
        <f>D243</f>
        <v>0</v>
      </c>
      <c r="L243" s="309">
        <f>K243*10%</f>
        <v>0</v>
      </c>
      <c r="M243" s="309"/>
      <c r="N243" s="309"/>
      <c r="O243" s="309"/>
      <c r="P243" s="309"/>
      <c r="Q243" s="309"/>
      <c r="R243" s="307"/>
      <c r="S243" s="307"/>
      <c r="T243" s="307"/>
    </row>
    <row r="244" spans="1:20" ht="30" customHeight="1">
      <c r="A244" s="303" t="s">
        <v>481</v>
      </c>
      <c r="B244" s="326" t="s">
        <v>485</v>
      </c>
      <c r="C244" s="320" t="s">
        <v>488</v>
      </c>
      <c r="D244" s="307">
        <f>E244+G244+F244</f>
        <v>49.518000000000001</v>
      </c>
      <c r="E244" s="307">
        <f t="shared" ref="E244:T244" si="162">SUM(E245:E249)</f>
        <v>46.648000000000003</v>
      </c>
      <c r="F244" s="307">
        <f t="shared" si="162"/>
        <v>0</v>
      </c>
      <c r="G244" s="307">
        <f t="shared" si="162"/>
        <v>2.87</v>
      </c>
      <c r="H244" s="307">
        <f t="shared" si="162"/>
        <v>0</v>
      </c>
      <c r="I244" s="307">
        <f t="shared" si="162"/>
        <v>49.518000000000001</v>
      </c>
      <c r="J244" s="307">
        <f t="shared" si="162"/>
        <v>0</v>
      </c>
      <c r="K244" s="307">
        <f t="shared" si="162"/>
        <v>0</v>
      </c>
      <c r="L244" s="307">
        <f t="shared" si="162"/>
        <v>0</v>
      </c>
      <c r="M244" s="307">
        <f t="shared" si="162"/>
        <v>0</v>
      </c>
      <c r="N244" s="307">
        <f t="shared" si="162"/>
        <v>0</v>
      </c>
      <c r="O244" s="307">
        <f t="shared" si="162"/>
        <v>0</v>
      </c>
      <c r="P244" s="307">
        <f t="shared" si="162"/>
        <v>0</v>
      </c>
      <c r="Q244" s="307">
        <f t="shared" si="162"/>
        <v>0</v>
      </c>
      <c r="R244" s="307">
        <f t="shared" si="162"/>
        <v>49.518000000000001</v>
      </c>
      <c r="S244" s="307">
        <f t="shared" si="162"/>
        <v>0</v>
      </c>
      <c r="T244" s="307">
        <f t="shared" si="162"/>
        <v>49.518000000000001</v>
      </c>
    </row>
    <row r="245" spans="1:20" ht="30" customHeight="1">
      <c r="A245" s="325" t="s">
        <v>438</v>
      </c>
      <c r="B245" s="166" t="s">
        <v>280</v>
      </c>
      <c r="C245" s="320" t="s">
        <v>444</v>
      </c>
      <c r="D245" s="306">
        <f>E245+G245</f>
        <v>10.638</v>
      </c>
      <c r="E245" s="306">
        <f>'[2]CS giáo dục '!Q12</f>
        <v>10.638</v>
      </c>
      <c r="F245" s="306"/>
      <c r="G245" s="306"/>
      <c r="H245" s="309"/>
      <c r="I245" s="309">
        <f>D245</f>
        <v>10.638</v>
      </c>
      <c r="J245" s="309"/>
      <c r="K245" s="309"/>
      <c r="L245" s="309">
        <f>K245*10%</f>
        <v>0</v>
      </c>
      <c r="M245" s="309"/>
      <c r="N245" s="309">
        <f>L245+M245</f>
        <v>0</v>
      </c>
      <c r="O245" s="309">
        <f>N245</f>
        <v>0</v>
      </c>
      <c r="P245" s="309">
        <f>N245-O245</f>
        <v>0</v>
      </c>
      <c r="Q245" s="309">
        <f>M245</f>
        <v>0</v>
      </c>
      <c r="R245" s="307">
        <f>D245-N245</f>
        <v>10.638</v>
      </c>
      <c r="S245" s="307"/>
      <c r="T245" s="307">
        <f>R245+S245</f>
        <v>10.638</v>
      </c>
    </row>
    <row r="246" spans="1:20" ht="30" customHeight="1">
      <c r="A246" s="325" t="s">
        <v>438</v>
      </c>
      <c r="B246" s="166" t="s">
        <v>287</v>
      </c>
      <c r="C246" s="320" t="s">
        <v>488</v>
      </c>
      <c r="D246" s="306">
        <f>E246+G246+F246</f>
        <v>38.880000000000003</v>
      </c>
      <c r="E246" s="306">
        <f>'[2]CS giáo dục '!U12</f>
        <v>36.010000000000005</v>
      </c>
      <c r="F246" s="306"/>
      <c r="G246" s="306">
        <f>'[2]CS giáo dục '!W12</f>
        <v>2.87</v>
      </c>
      <c r="H246" s="309"/>
      <c r="I246" s="309">
        <f>D246</f>
        <v>38.880000000000003</v>
      </c>
      <c r="J246" s="309"/>
      <c r="K246" s="309"/>
      <c r="L246" s="309">
        <f>K246*10%</f>
        <v>0</v>
      </c>
      <c r="M246" s="309"/>
      <c r="N246" s="309">
        <f>L246+M246</f>
        <v>0</v>
      </c>
      <c r="O246" s="309">
        <f>N246</f>
        <v>0</v>
      </c>
      <c r="P246" s="309">
        <f>N246-O246</f>
        <v>0</v>
      </c>
      <c r="Q246" s="309">
        <f>M246</f>
        <v>0</v>
      </c>
      <c r="R246" s="307">
        <f>D246-N246</f>
        <v>38.880000000000003</v>
      </c>
      <c r="S246" s="307"/>
      <c r="T246" s="307">
        <f t="shared" ref="T246:T249" si="163">R246+S246</f>
        <v>38.880000000000003</v>
      </c>
    </row>
    <row r="247" spans="1:20" ht="39" customHeight="1">
      <c r="A247" s="325" t="s">
        <v>438</v>
      </c>
      <c r="B247" s="166" t="s">
        <v>308</v>
      </c>
      <c r="C247" s="320" t="s">
        <v>488</v>
      </c>
      <c r="D247" s="306">
        <f>E247+G247</f>
        <v>0</v>
      </c>
      <c r="E247" s="306"/>
      <c r="F247" s="306"/>
      <c r="G247" s="306"/>
      <c r="H247" s="309"/>
      <c r="I247" s="309">
        <f>D247</f>
        <v>0</v>
      </c>
      <c r="J247" s="309"/>
      <c r="K247" s="309"/>
      <c r="L247" s="309">
        <f>K247*10%</f>
        <v>0</v>
      </c>
      <c r="M247" s="309"/>
      <c r="N247" s="309">
        <f>L247+M247</f>
        <v>0</v>
      </c>
      <c r="O247" s="309">
        <f>N247</f>
        <v>0</v>
      </c>
      <c r="P247" s="309">
        <f>N247-O247</f>
        <v>0</v>
      </c>
      <c r="Q247" s="309">
        <f>M247</f>
        <v>0</v>
      </c>
      <c r="R247" s="307">
        <f>D247-N247</f>
        <v>0</v>
      </c>
      <c r="S247" s="307"/>
      <c r="T247" s="307">
        <f t="shared" si="163"/>
        <v>0</v>
      </c>
    </row>
    <row r="248" spans="1:20" ht="36" customHeight="1">
      <c r="A248" s="325" t="s">
        <v>438</v>
      </c>
      <c r="B248" s="166" t="s">
        <v>495</v>
      </c>
      <c r="C248" s="320" t="s">
        <v>488</v>
      </c>
      <c r="D248" s="306">
        <f>E248+G248</f>
        <v>0</v>
      </c>
      <c r="E248" s="306"/>
      <c r="F248" s="306"/>
      <c r="G248" s="306"/>
      <c r="H248" s="309"/>
      <c r="I248" s="309">
        <f>D248</f>
        <v>0</v>
      </c>
      <c r="J248" s="309"/>
      <c r="K248" s="309"/>
      <c r="L248" s="309">
        <f>K248*10%</f>
        <v>0</v>
      </c>
      <c r="M248" s="309"/>
      <c r="N248" s="309">
        <f>L248+M248</f>
        <v>0</v>
      </c>
      <c r="O248" s="309">
        <f>N248</f>
        <v>0</v>
      </c>
      <c r="P248" s="309">
        <f>N248-O248</f>
        <v>0</v>
      </c>
      <c r="Q248" s="309">
        <f>M248</f>
        <v>0</v>
      </c>
      <c r="R248" s="307">
        <f>D248-N248</f>
        <v>0</v>
      </c>
      <c r="S248" s="307"/>
      <c r="T248" s="307">
        <f t="shared" si="163"/>
        <v>0</v>
      </c>
    </row>
    <row r="249" spans="1:20" ht="26.25" customHeight="1">
      <c r="A249" s="325" t="s">
        <v>438</v>
      </c>
      <c r="B249" s="166" t="s">
        <v>309</v>
      </c>
      <c r="C249" s="320" t="s">
        <v>478</v>
      </c>
      <c r="D249" s="306">
        <f>E249+G249</f>
        <v>0</v>
      </c>
      <c r="E249" s="306"/>
      <c r="F249" s="306"/>
      <c r="G249" s="306"/>
      <c r="H249" s="309"/>
      <c r="I249" s="309">
        <f>D249</f>
        <v>0</v>
      </c>
      <c r="J249" s="309"/>
      <c r="K249" s="309"/>
      <c r="L249" s="309">
        <f>K249*10%</f>
        <v>0</v>
      </c>
      <c r="M249" s="309"/>
      <c r="N249" s="309">
        <f>L249+M249</f>
        <v>0</v>
      </c>
      <c r="O249" s="309">
        <f>N249</f>
        <v>0</v>
      </c>
      <c r="P249" s="309">
        <f>N249-O249</f>
        <v>0</v>
      </c>
      <c r="Q249" s="309">
        <f>M249</f>
        <v>0</v>
      </c>
      <c r="R249" s="307">
        <f>D249-N249</f>
        <v>0</v>
      </c>
      <c r="S249" s="307"/>
      <c r="T249" s="307">
        <f t="shared" si="163"/>
        <v>0</v>
      </c>
    </row>
    <row r="250" spans="1:20" s="328" customFormat="1" ht="27.75" customHeight="1">
      <c r="A250" s="320">
        <v>9</v>
      </c>
      <c r="B250" s="321" t="s">
        <v>516</v>
      </c>
      <c r="C250" s="320" t="s">
        <v>488</v>
      </c>
      <c r="D250" s="322">
        <f>D251+D263</f>
        <v>6138.4504842264705</v>
      </c>
      <c r="E250" s="322">
        <f t="shared" ref="E250:Q250" si="164">E251+E263</f>
        <v>5841.007590108823</v>
      </c>
      <c r="F250" s="322">
        <f t="shared" si="164"/>
        <v>0</v>
      </c>
      <c r="G250" s="322">
        <f>G251+G263-0.001</f>
        <v>297.44189411764711</v>
      </c>
      <c r="H250" s="322">
        <f t="shared" si="164"/>
        <v>4806.7318461970581</v>
      </c>
      <c r="I250" s="322">
        <f t="shared" si="164"/>
        <v>703.98</v>
      </c>
      <c r="J250" s="322">
        <f t="shared" si="164"/>
        <v>0</v>
      </c>
      <c r="K250" s="322">
        <f t="shared" si="164"/>
        <v>627.73863802941219</v>
      </c>
      <c r="L250" s="322">
        <f t="shared" si="164"/>
        <v>62.773863802941221</v>
      </c>
      <c r="M250" s="322">
        <f t="shared" si="164"/>
        <v>0</v>
      </c>
      <c r="N250" s="322">
        <f t="shared" si="164"/>
        <v>62.773863802941221</v>
      </c>
      <c r="O250" s="322">
        <f t="shared" si="164"/>
        <v>62.773863802941221</v>
      </c>
      <c r="P250" s="322">
        <f t="shared" si="164"/>
        <v>0</v>
      </c>
      <c r="Q250" s="322">
        <f t="shared" si="164"/>
        <v>0</v>
      </c>
      <c r="R250" s="322">
        <f>R251+R263</f>
        <v>6138.4504842264705</v>
      </c>
      <c r="S250" s="322">
        <f t="shared" ref="S250:T250" si="165">S251+S263</f>
        <v>0</v>
      </c>
      <c r="T250" s="322">
        <f t="shared" si="165"/>
        <v>6138.4504842264705</v>
      </c>
    </row>
    <row r="251" spans="1:20" ht="27.75" customHeight="1">
      <c r="A251" s="303" t="s">
        <v>481</v>
      </c>
      <c r="B251" s="323" t="s">
        <v>482</v>
      </c>
      <c r="C251" s="320" t="s">
        <v>488</v>
      </c>
      <c r="D251" s="307">
        <f>D252+D255+D258+D259+D260</f>
        <v>5434.47048422647</v>
      </c>
      <c r="E251" s="307">
        <f t="shared" ref="E251:Q251" si="166">E252+E255+E258+E259+E260</f>
        <v>5180.6375901088231</v>
      </c>
      <c r="F251" s="307">
        <f t="shared" si="166"/>
        <v>0</v>
      </c>
      <c r="G251" s="307">
        <f t="shared" si="166"/>
        <v>253.83289411764707</v>
      </c>
      <c r="H251" s="307">
        <f t="shared" si="166"/>
        <v>4806.7318461970581</v>
      </c>
      <c r="I251" s="307">
        <f t="shared" si="166"/>
        <v>0</v>
      </c>
      <c r="J251" s="307">
        <f t="shared" si="166"/>
        <v>0</v>
      </c>
      <c r="K251" s="307">
        <f t="shared" si="166"/>
        <v>627.73863802941219</v>
      </c>
      <c r="L251" s="307">
        <f t="shared" si="166"/>
        <v>62.773863802941221</v>
      </c>
      <c r="M251" s="307">
        <f t="shared" si="166"/>
        <v>0</v>
      </c>
      <c r="N251" s="307">
        <f t="shared" si="166"/>
        <v>62.773863802941221</v>
      </c>
      <c r="O251" s="307">
        <f t="shared" si="166"/>
        <v>62.773863802941221</v>
      </c>
      <c r="P251" s="307">
        <f t="shared" si="166"/>
        <v>0</v>
      </c>
      <c r="Q251" s="307">
        <f t="shared" si="166"/>
        <v>0</v>
      </c>
      <c r="R251" s="307">
        <f>R252+R255+R258+R259+R260</f>
        <v>5434.47048422647</v>
      </c>
      <c r="S251" s="307">
        <f t="shared" ref="S251:T251" si="167">S252+S255+S258+S259+S260</f>
        <v>0</v>
      </c>
      <c r="T251" s="307">
        <f t="shared" si="167"/>
        <v>5434.47048422647</v>
      </c>
    </row>
    <row r="252" spans="1:20" ht="27.75" customHeight="1">
      <c r="A252" s="325" t="s">
        <v>438</v>
      </c>
      <c r="B252" s="164" t="s">
        <v>277</v>
      </c>
      <c r="C252" s="320" t="s">
        <v>488</v>
      </c>
      <c r="D252" s="306">
        <f t="shared" ref="D252:D257" si="168">SUM(E252:G252)</f>
        <v>4081.9756154999991</v>
      </c>
      <c r="E252" s="306">
        <f>SUM(E253:E254)</f>
        <v>3866.2176554999992</v>
      </c>
      <c r="F252" s="306">
        <f>SUM(F253:F254)</f>
        <v>0</v>
      </c>
      <c r="G252" s="306">
        <f>SUM(G253:G254)</f>
        <v>215.75796</v>
      </c>
      <c r="H252" s="307">
        <f t="shared" ref="H252:H259" si="169">D252</f>
        <v>4081.9756154999991</v>
      </c>
      <c r="I252" s="309"/>
      <c r="J252" s="309"/>
      <c r="K252" s="309"/>
      <c r="L252" s="309">
        <f>K252*10%</f>
        <v>0</v>
      </c>
      <c r="M252" s="309"/>
      <c r="N252" s="309">
        <f>L252+M252</f>
        <v>0</v>
      </c>
      <c r="O252" s="309">
        <f>L252-P252</f>
        <v>0</v>
      </c>
      <c r="P252" s="309">
        <f>N252</f>
        <v>0</v>
      </c>
      <c r="Q252" s="309">
        <f>M252</f>
        <v>0</v>
      </c>
      <c r="R252" s="307">
        <f>SUM(R253:R254)</f>
        <v>4081.9756154999991</v>
      </c>
      <c r="S252" s="307">
        <f t="shared" ref="S252:T252" si="170">SUM(S253:S254)</f>
        <v>0</v>
      </c>
      <c r="T252" s="307">
        <f t="shared" si="170"/>
        <v>4081.9756154999991</v>
      </c>
    </row>
    <row r="253" spans="1:20" ht="27.75" customHeight="1">
      <c r="A253" s="325" t="s">
        <v>489</v>
      </c>
      <c r="B253" s="164" t="s">
        <v>490</v>
      </c>
      <c r="C253" s="320" t="s">
        <v>444</v>
      </c>
      <c r="D253" s="306">
        <f t="shared" si="168"/>
        <v>3866.2176554999992</v>
      </c>
      <c r="E253" s="306">
        <f>'[2] TL giao BC '!T282</f>
        <v>3866.2176554999992</v>
      </c>
      <c r="F253" s="306"/>
      <c r="G253" s="306"/>
      <c r="H253" s="307">
        <f t="shared" si="169"/>
        <v>3866.2176554999992</v>
      </c>
      <c r="I253" s="309"/>
      <c r="J253" s="309"/>
      <c r="K253" s="309"/>
      <c r="L253" s="309"/>
      <c r="M253" s="309"/>
      <c r="N253" s="309"/>
      <c r="O253" s="309"/>
      <c r="P253" s="309"/>
      <c r="Q253" s="309"/>
      <c r="R253" s="307">
        <f>D253-N253</f>
        <v>3866.2176554999992</v>
      </c>
      <c r="S253" s="307">
        <v>-148.91999999999999</v>
      </c>
      <c r="T253" s="307">
        <f>R253+S253</f>
        <v>3717.2976554999991</v>
      </c>
    </row>
    <row r="254" spans="1:20" ht="27.75" customHeight="1">
      <c r="A254" s="325" t="s">
        <v>489</v>
      </c>
      <c r="B254" s="164" t="s">
        <v>305</v>
      </c>
      <c r="C254" s="320" t="s">
        <v>478</v>
      </c>
      <c r="D254" s="306">
        <f t="shared" si="168"/>
        <v>215.75796</v>
      </c>
      <c r="E254" s="306"/>
      <c r="F254" s="306"/>
      <c r="G254" s="306">
        <f>'[2] TL giao BC tăng thêm'!T137</f>
        <v>215.75796</v>
      </c>
      <c r="H254" s="307">
        <f t="shared" si="169"/>
        <v>215.75796</v>
      </c>
      <c r="I254" s="309"/>
      <c r="J254" s="309"/>
      <c r="K254" s="309"/>
      <c r="L254" s="309"/>
      <c r="M254" s="309"/>
      <c r="N254" s="309"/>
      <c r="O254" s="309"/>
      <c r="P254" s="309"/>
      <c r="Q254" s="309"/>
      <c r="R254" s="307">
        <f>D254-N254</f>
        <v>215.75796</v>
      </c>
      <c r="S254" s="307">
        <v>148.91999999999999</v>
      </c>
      <c r="T254" s="307">
        <f>R254+S254</f>
        <v>364.67795999999998</v>
      </c>
    </row>
    <row r="255" spans="1:20" ht="27.75" customHeight="1">
      <c r="A255" s="304" t="s">
        <v>438</v>
      </c>
      <c r="B255" s="166" t="s">
        <v>278</v>
      </c>
      <c r="C255" s="320" t="s">
        <v>444</v>
      </c>
      <c r="D255" s="306">
        <f t="shared" si="168"/>
        <v>849.27009449999991</v>
      </c>
      <c r="E255" s="306">
        <f>SUM(E256:E257)</f>
        <v>849.27009449999991</v>
      </c>
      <c r="F255" s="306">
        <f>SUM(F256:F257)</f>
        <v>0</v>
      </c>
      <c r="G255" s="306">
        <f>SUM(G256:G257)</f>
        <v>0</v>
      </c>
      <c r="H255" s="307">
        <f t="shared" si="169"/>
        <v>849.27009449999991</v>
      </c>
      <c r="I255" s="309"/>
      <c r="J255" s="309"/>
      <c r="K255" s="309"/>
      <c r="L255" s="309">
        <f>K255*10%</f>
        <v>0</v>
      </c>
      <c r="M255" s="309"/>
      <c r="N255" s="309">
        <f>L255+M255</f>
        <v>0</v>
      </c>
      <c r="O255" s="309">
        <f>L255-P255</f>
        <v>0</v>
      </c>
      <c r="P255" s="309">
        <f>N255</f>
        <v>0</v>
      </c>
      <c r="Q255" s="309">
        <f>M255</f>
        <v>0</v>
      </c>
      <c r="R255" s="307">
        <f>SUM(R256:R257)</f>
        <v>849.27009449999991</v>
      </c>
      <c r="S255" s="307">
        <f t="shared" ref="S255:T255" si="171">SUM(S256:S257)</f>
        <v>0</v>
      </c>
      <c r="T255" s="307">
        <f t="shared" si="171"/>
        <v>849.27009449999991</v>
      </c>
    </row>
    <row r="256" spans="1:20" ht="27.75" customHeight="1">
      <c r="A256" s="325" t="s">
        <v>489</v>
      </c>
      <c r="B256" s="166" t="s">
        <v>491</v>
      </c>
      <c r="C256" s="320" t="s">
        <v>444</v>
      </c>
      <c r="D256" s="306">
        <f t="shared" si="168"/>
        <v>804.38085449999994</v>
      </c>
      <c r="E256" s="306">
        <f>'[2] TL giao BC '!U282</f>
        <v>804.38085449999994</v>
      </c>
      <c r="F256" s="306"/>
      <c r="G256" s="306"/>
      <c r="H256" s="307">
        <f t="shared" si="169"/>
        <v>804.38085449999994</v>
      </c>
      <c r="I256" s="309"/>
      <c r="J256" s="309"/>
      <c r="K256" s="309"/>
      <c r="L256" s="309"/>
      <c r="M256" s="309"/>
      <c r="N256" s="309"/>
      <c r="O256" s="309"/>
      <c r="P256" s="309"/>
      <c r="Q256" s="309"/>
      <c r="R256" s="307">
        <f>D256-N256</f>
        <v>804.38085449999994</v>
      </c>
      <c r="S256" s="307">
        <v>-30.98</v>
      </c>
      <c r="T256" s="307">
        <f t="shared" ref="T256:T258" si="172">R256+S256</f>
        <v>773.40085449999992</v>
      </c>
    </row>
    <row r="257" spans="1:20" ht="27.75" customHeight="1">
      <c r="A257" s="325" t="s">
        <v>489</v>
      </c>
      <c r="B257" s="164" t="s">
        <v>492</v>
      </c>
      <c r="C257" s="320" t="s">
        <v>444</v>
      </c>
      <c r="D257" s="306">
        <f t="shared" si="168"/>
        <v>44.889240000000001</v>
      </c>
      <c r="E257" s="306">
        <f>'[2] TL giao BC tăng thêm'!U137</f>
        <v>44.889240000000001</v>
      </c>
      <c r="F257" s="306"/>
      <c r="G257" s="306"/>
      <c r="H257" s="307">
        <f t="shared" si="169"/>
        <v>44.889240000000001</v>
      </c>
      <c r="I257" s="309"/>
      <c r="J257" s="309"/>
      <c r="K257" s="309"/>
      <c r="L257" s="309"/>
      <c r="M257" s="309"/>
      <c r="N257" s="309"/>
      <c r="O257" s="309"/>
      <c r="P257" s="309"/>
      <c r="Q257" s="309"/>
      <c r="R257" s="307">
        <f>D257-N257</f>
        <v>44.889240000000001</v>
      </c>
      <c r="S257" s="307">
        <v>30.98</v>
      </c>
      <c r="T257" s="307">
        <f t="shared" si="172"/>
        <v>75.869240000000005</v>
      </c>
    </row>
    <row r="258" spans="1:20" ht="27.75" customHeight="1">
      <c r="A258" s="325" t="s">
        <v>438</v>
      </c>
      <c r="B258" s="164" t="s">
        <v>483</v>
      </c>
      <c r="C258" s="320"/>
      <c r="D258" s="306">
        <f>SUM(E258:G258)</f>
        <v>-61.74</v>
      </c>
      <c r="E258" s="306">
        <f>-'[2]Biểu Thu '!P13-'[2]Biểu Thu '!AB13</f>
        <v>-61.74</v>
      </c>
      <c r="F258" s="306"/>
      <c r="G258" s="306"/>
      <c r="H258" s="307">
        <f t="shared" si="169"/>
        <v>-61.74</v>
      </c>
      <c r="I258" s="309"/>
      <c r="J258" s="309"/>
      <c r="K258" s="309"/>
      <c r="L258" s="309"/>
      <c r="M258" s="309"/>
      <c r="N258" s="309"/>
      <c r="O258" s="309"/>
      <c r="P258" s="309"/>
      <c r="Q258" s="309"/>
      <c r="R258" s="307">
        <f>D258-N258</f>
        <v>-61.74</v>
      </c>
      <c r="S258" s="307"/>
      <c r="T258" s="307">
        <f t="shared" si="172"/>
        <v>-61.74</v>
      </c>
    </row>
    <row r="259" spans="1:20" s="311" customFormat="1" ht="27.75" customHeight="1">
      <c r="A259" s="304" t="s">
        <v>438</v>
      </c>
      <c r="B259" s="166" t="s">
        <v>452</v>
      </c>
      <c r="C259" s="320" t="s">
        <v>488</v>
      </c>
      <c r="D259" s="306">
        <f>E259+G259</f>
        <v>-62.773863802941221</v>
      </c>
      <c r="E259" s="306">
        <f>-L260</f>
        <v>-62.773863802941221</v>
      </c>
      <c r="F259" s="306"/>
      <c r="G259" s="306"/>
      <c r="H259" s="307">
        <f t="shared" si="169"/>
        <v>-62.773863802941221</v>
      </c>
      <c r="I259" s="308"/>
      <c r="J259" s="308"/>
      <c r="K259" s="308"/>
      <c r="L259" s="309">
        <f>K259*10%</f>
        <v>0</v>
      </c>
      <c r="M259" s="309"/>
      <c r="N259" s="309">
        <f>L259+M259</f>
        <v>0</v>
      </c>
      <c r="O259" s="309">
        <f>L259-P259</f>
        <v>0</v>
      </c>
      <c r="P259" s="309">
        <f>N259</f>
        <v>0</v>
      </c>
      <c r="Q259" s="309">
        <f>M259</f>
        <v>0</v>
      </c>
      <c r="R259" s="307"/>
      <c r="S259" s="306"/>
      <c r="T259" s="307"/>
    </row>
    <row r="260" spans="1:20" ht="26.25" customHeight="1">
      <c r="A260" s="304" t="s">
        <v>438</v>
      </c>
      <c r="B260" s="166" t="s">
        <v>412</v>
      </c>
      <c r="C260" s="320" t="s">
        <v>488</v>
      </c>
      <c r="D260" s="306">
        <f>SUM(E260:G260)</f>
        <v>627.73863802941219</v>
      </c>
      <c r="E260" s="306">
        <f>SUM(E261:E262)</f>
        <v>589.66370391176508</v>
      </c>
      <c r="F260" s="306">
        <f>SUM(F261:F262)</f>
        <v>0</v>
      </c>
      <c r="G260" s="306">
        <f>SUM(G261:G262)</f>
        <v>38.074934117647075</v>
      </c>
      <c r="H260" s="309"/>
      <c r="I260" s="309"/>
      <c r="J260" s="309"/>
      <c r="K260" s="309">
        <f>SUM(K261:K262)</f>
        <v>627.73863802941219</v>
      </c>
      <c r="L260" s="309">
        <f>SUM(L261:L262)</f>
        <v>62.773863802941221</v>
      </c>
      <c r="M260" s="309"/>
      <c r="N260" s="309">
        <f>L260+M260</f>
        <v>62.773863802941221</v>
      </c>
      <c r="O260" s="309">
        <f>N260</f>
        <v>62.773863802941221</v>
      </c>
      <c r="P260" s="309">
        <f>N260-O260</f>
        <v>0</v>
      </c>
      <c r="Q260" s="309">
        <f>M260</f>
        <v>0</v>
      </c>
      <c r="R260" s="307">
        <f>D260-N260</f>
        <v>564.96477422647092</v>
      </c>
      <c r="S260" s="307">
        <f>SUM(S261:S262)</f>
        <v>0</v>
      </c>
      <c r="T260" s="307">
        <f>R260+S260</f>
        <v>564.96477422647092</v>
      </c>
    </row>
    <row r="261" spans="1:20" ht="39" customHeight="1">
      <c r="A261" s="325" t="s">
        <v>489</v>
      </c>
      <c r="B261" s="166" t="s">
        <v>507</v>
      </c>
      <c r="C261" s="320" t="s">
        <v>444</v>
      </c>
      <c r="D261" s="306">
        <f>SUM(E261:G261)</f>
        <v>589.66370391176508</v>
      </c>
      <c r="E261" s="306">
        <f>'[2] TL giao BC '!Z282</f>
        <v>589.66370391176508</v>
      </c>
      <c r="F261" s="306"/>
      <c r="G261" s="306"/>
      <c r="H261" s="309"/>
      <c r="I261" s="309"/>
      <c r="J261" s="309"/>
      <c r="K261" s="309">
        <f>D261</f>
        <v>589.66370391176508</v>
      </c>
      <c r="L261" s="309">
        <f>K261*10%</f>
        <v>58.966370391176511</v>
      </c>
      <c r="M261" s="309"/>
      <c r="N261" s="309"/>
      <c r="O261" s="309"/>
      <c r="P261" s="309"/>
      <c r="Q261" s="309"/>
      <c r="R261" s="307"/>
      <c r="S261" s="307">
        <v>-26.28</v>
      </c>
      <c r="T261" s="307"/>
    </row>
    <row r="262" spans="1:20" ht="33" customHeight="1">
      <c r="A262" s="325" t="s">
        <v>489</v>
      </c>
      <c r="B262" s="164" t="s">
        <v>508</v>
      </c>
      <c r="C262" s="320" t="s">
        <v>478</v>
      </c>
      <c r="D262" s="306">
        <f>SUM(E262:G262)</f>
        <v>38.074934117647075</v>
      </c>
      <c r="E262" s="306"/>
      <c r="F262" s="306"/>
      <c r="G262" s="306">
        <f>'[2] TL giao BC tăng thêm'!X137</f>
        <v>38.074934117647075</v>
      </c>
      <c r="H262" s="309"/>
      <c r="I262" s="309"/>
      <c r="J262" s="309"/>
      <c r="K262" s="309">
        <f>D262</f>
        <v>38.074934117647075</v>
      </c>
      <c r="L262" s="309">
        <f>K262*10%</f>
        <v>3.8074934117647077</v>
      </c>
      <c r="M262" s="309"/>
      <c r="N262" s="309"/>
      <c r="O262" s="309"/>
      <c r="P262" s="309"/>
      <c r="Q262" s="309"/>
      <c r="R262" s="307"/>
      <c r="S262" s="307">
        <v>26.28</v>
      </c>
      <c r="T262" s="307"/>
    </row>
    <row r="263" spans="1:20" ht="30" customHeight="1">
      <c r="A263" s="303" t="s">
        <v>481</v>
      </c>
      <c r="B263" s="326" t="s">
        <v>485</v>
      </c>
      <c r="C263" s="320" t="s">
        <v>488</v>
      </c>
      <c r="D263" s="307">
        <f>E263+G263+F263</f>
        <v>703.98000000000013</v>
      </c>
      <c r="E263" s="307">
        <f t="shared" ref="E263:T263" si="173">SUM(E264:E268)</f>
        <v>660.37000000000012</v>
      </c>
      <c r="F263" s="307">
        <f t="shared" si="173"/>
        <v>0</v>
      </c>
      <c r="G263" s="307">
        <f t="shared" si="173"/>
        <v>43.61</v>
      </c>
      <c r="H263" s="307">
        <f t="shared" si="173"/>
        <v>0</v>
      </c>
      <c r="I263" s="307">
        <f t="shared" si="173"/>
        <v>703.98</v>
      </c>
      <c r="J263" s="307">
        <f t="shared" si="173"/>
        <v>0</v>
      </c>
      <c r="K263" s="307">
        <f t="shared" si="173"/>
        <v>0</v>
      </c>
      <c r="L263" s="307">
        <f t="shared" si="173"/>
        <v>0</v>
      </c>
      <c r="M263" s="307">
        <f t="shared" si="173"/>
        <v>0</v>
      </c>
      <c r="N263" s="307">
        <f t="shared" si="173"/>
        <v>0</v>
      </c>
      <c r="O263" s="307">
        <f t="shared" si="173"/>
        <v>0</v>
      </c>
      <c r="P263" s="307">
        <f t="shared" si="173"/>
        <v>0</v>
      </c>
      <c r="Q263" s="307">
        <f t="shared" si="173"/>
        <v>0</v>
      </c>
      <c r="R263" s="307">
        <f t="shared" si="173"/>
        <v>703.98</v>
      </c>
      <c r="S263" s="307">
        <f t="shared" si="173"/>
        <v>0</v>
      </c>
      <c r="T263" s="307">
        <f t="shared" si="173"/>
        <v>703.98</v>
      </c>
    </row>
    <row r="264" spans="1:20" ht="30" customHeight="1">
      <c r="A264" s="325" t="s">
        <v>438</v>
      </c>
      <c r="B264" s="166" t="s">
        <v>280</v>
      </c>
      <c r="C264" s="320" t="s">
        <v>444</v>
      </c>
      <c r="D264" s="306">
        <f>E264+G264</f>
        <v>113.94</v>
      </c>
      <c r="E264" s="306">
        <f>'[2]CS giáo dục '!Q13</f>
        <v>113.94</v>
      </c>
      <c r="F264" s="306"/>
      <c r="G264" s="306"/>
      <c r="H264" s="309"/>
      <c r="I264" s="309">
        <f>D264</f>
        <v>113.94</v>
      </c>
      <c r="J264" s="309"/>
      <c r="K264" s="309"/>
      <c r="L264" s="309">
        <f>K264*10%</f>
        <v>0</v>
      </c>
      <c r="M264" s="309"/>
      <c r="N264" s="309">
        <f>L264+M264</f>
        <v>0</v>
      </c>
      <c r="O264" s="309">
        <f>N264</f>
        <v>0</v>
      </c>
      <c r="P264" s="309">
        <f>N264-O264</f>
        <v>0</v>
      </c>
      <c r="Q264" s="309">
        <f>M264</f>
        <v>0</v>
      </c>
      <c r="R264" s="307">
        <f>D264-N264</f>
        <v>113.94</v>
      </c>
      <c r="S264" s="307"/>
      <c r="T264" s="307">
        <f>R264+S264</f>
        <v>113.94</v>
      </c>
    </row>
    <row r="265" spans="1:20" ht="30" customHeight="1">
      <c r="A265" s="325" t="s">
        <v>438</v>
      </c>
      <c r="B265" s="166" t="s">
        <v>287</v>
      </c>
      <c r="C265" s="320" t="s">
        <v>488</v>
      </c>
      <c r="D265" s="306">
        <f>E265+G265+F265</f>
        <v>590.04000000000008</v>
      </c>
      <c r="E265" s="306">
        <f>'[2]CS giáo dục '!U13</f>
        <v>546.43000000000006</v>
      </c>
      <c r="F265" s="306"/>
      <c r="G265" s="306">
        <f>'[2]CS giáo dục '!W13</f>
        <v>43.61</v>
      </c>
      <c r="H265" s="309"/>
      <c r="I265" s="309">
        <f>D265</f>
        <v>590.04000000000008</v>
      </c>
      <c r="J265" s="309"/>
      <c r="K265" s="309"/>
      <c r="L265" s="309">
        <f>K265*10%</f>
        <v>0</v>
      </c>
      <c r="M265" s="309"/>
      <c r="N265" s="309">
        <f>L265+M265</f>
        <v>0</v>
      </c>
      <c r="O265" s="309">
        <f>N265</f>
        <v>0</v>
      </c>
      <c r="P265" s="309">
        <f>N265-O265</f>
        <v>0</v>
      </c>
      <c r="Q265" s="309">
        <f>M265</f>
        <v>0</v>
      </c>
      <c r="R265" s="307">
        <f>D265-N265</f>
        <v>590.04000000000008</v>
      </c>
      <c r="S265" s="307"/>
      <c r="T265" s="307">
        <f t="shared" ref="T265:T268" si="174">R265+S265</f>
        <v>590.04000000000008</v>
      </c>
    </row>
    <row r="266" spans="1:20" ht="39" customHeight="1">
      <c r="A266" s="325" t="s">
        <v>438</v>
      </c>
      <c r="B266" s="166" t="s">
        <v>308</v>
      </c>
      <c r="C266" s="320" t="s">
        <v>488</v>
      </c>
      <c r="D266" s="306">
        <f>E266+G266</f>
        <v>0</v>
      </c>
      <c r="E266" s="306"/>
      <c r="F266" s="306"/>
      <c r="G266" s="306"/>
      <c r="H266" s="309"/>
      <c r="I266" s="309">
        <f>D266</f>
        <v>0</v>
      </c>
      <c r="J266" s="309"/>
      <c r="K266" s="309"/>
      <c r="L266" s="309">
        <f>K266*10%</f>
        <v>0</v>
      </c>
      <c r="M266" s="309"/>
      <c r="N266" s="309">
        <f>L266+M266</f>
        <v>0</v>
      </c>
      <c r="O266" s="309">
        <f>N266</f>
        <v>0</v>
      </c>
      <c r="P266" s="309">
        <f>N266-O266</f>
        <v>0</v>
      </c>
      <c r="Q266" s="309">
        <f>M266</f>
        <v>0</v>
      </c>
      <c r="R266" s="307">
        <f>D266-N266</f>
        <v>0</v>
      </c>
      <c r="S266" s="307"/>
      <c r="T266" s="307">
        <f t="shared" si="174"/>
        <v>0</v>
      </c>
    </row>
    <row r="267" spans="1:20" ht="36" customHeight="1">
      <c r="A267" s="325" t="s">
        <v>438</v>
      </c>
      <c r="B267" s="166" t="s">
        <v>495</v>
      </c>
      <c r="C267" s="320" t="s">
        <v>488</v>
      </c>
      <c r="D267" s="306">
        <f>E267+G267</f>
        <v>0</v>
      </c>
      <c r="E267" s="306"/>
      <c r="F267" s="306"/>
      <c r="G267" s="306"/>
      <c r="H267" s="309"/>
      <c r="I267" s="309">
        <f>D267</f>
        <v>0</v>
      </c>
      <c r="J267" s="309"/>
      <c r="K267" s="309"/>
      <c r="L267" s="309">
        <f>K267*10%</f>
        <v>0</v>
      </c>
      <c r="M267" s="309"/>
      <c r="N267" s="309">
        <f>L267+M267</f>
        <v>0</v>
      </c>
      <c r="O267" s="309">
        <f>N267</f>
        <v>0</v>
      </c>
      <c r="P267" s="309">
        <f>N267-O267</f>
        <v>0</v>
      </c>
      <c r="Q267" s="309">
        <f>M267</f>
        <v>0</v>
      </c>
      <c r="R267" s="307">
        <f>D267-N267</f>
        <v>0</v>
      </c>
      <c r="S267" s="307"/>
      <c r="T267" s="307">
        <f t="shared" si="174"/>
        <v>0</v>
      </c>
    </row>
    <row r="268" spans="1:20" ht="26.25" customHeight="1">
      <c r="A268" s="325" t="s">
        <v>438</v>
      </c>
      <c r="B268" s="166" t="s">
        <v>309</v>
      </c>
      <c r="C268" s="320" t="s">
        <v>478</v>
      </c>
      <c r="D268" s="306">
        <f>E268+G268</f>
        <v>0</v>
      </c>
      <c r="E268" s="306"/>
      <c r="F268" s="306"/>
      <c r="G268" s="306"/>
      <c r="H268" s="309"/>
      <c r="I268" s="309">
        <f>D268</f>
        <v>0</v>
      </c>
      <c r="J268" s="309"/>
      <c r="K268" s="309"/>
      <c r="L268" s="309">
        <f>K268*10%</f>
        <v>0</v>
      </c>
      <c r="M268" s="309"/>
      <c r="N268" s="309">
        <f>L268+M268</f>
        <v>0</v>
      </c>
      <c r="O268" s="309">
        <f>N268</f>
        <v>0</v>
      </c>
      <c r="P268" s="309">
        <f>N268-O268</f>
        <v>0</v>
      </c>
      <c r="Q268" s="309">
        <f>M268</f>
        <v>0</v>
      </c>
      <c r="R268" s="307">
        <f>D268-N268</f>
        <v>0</v>
      </c>
      <c r="S268" s="307"/>
      <c r="T268" s="307">
        <f t="shared" si="174"/>
        <v>0</v>
      </c>
    </row>
    <row r="269" spans="1:20" s="328" customFormat="1" ht="27.75" customHeight="1">
      <c r="A269" s="320">
        <v>10</v>
      </c>
      <c r="B269" s="321" t="s">
        <v>517</v>
      </c>
      <c r="C269" s="320" t="s">
        <v>488</v>
      </c>
      <c r="D269" s="322">
        <f>D270+D282</f>
        <v>5775.1295563238818</v>
      </c>
      <c r="E269" s="322">
        <f t="shared" ref="E269:Q269" si="175">E270+E282</f>
        <v>3896.0622807944706</v>
      </c>
      <c r="F269" s="322">
        <f t="shared" si="175"/>
        <v>0</v>
      </c>
      <c r="G269" s="322">
        <f t="shared" si="175"/>
        <v>1879.0672755294117</v>
      </c>
      <c r="H269" s="322">
        <f t="shared" si="175"/>
        <v>5156.7081821862348</v>
      </c>
      <c r="I269" s="322">
        <f t="shared" si="175"/>
        <v>32.04</v>
      </c>
      <c r="J269" s="322">
        <f t="shared" si="175"/>
        <v>0</v>
      </c>
      <c r="K269" s="322">
        <f t="shared" si="175"/>
        <v>586.38137413764719</v>
      </c>
      <c r="L269" s="322">
        <f t="shared" si="175"/>
        <v>58.638137413764724</v>
      </c>
      <c r="M269" s="322">
        <f t="shared" si="175"/>
        <v>0</v>
      </c>
      <c r="N269" s="322">
        <f t="shared" si="175"/>
        <v>58.638137413764724</v>
      </c>
      <c r="O269" s="322">
        <f t="shared" si="175"/>
        <v>58.638137413764724</v>
      </c>
      <c r="P269" s="322">
        <f t="shared" si="175"/>
        <v>0</v>
      </c>
      <c r="Q269" s="322">
        <f t="shared" si="175"/>
        <v>0</v>
      </c>
      <c r="R269" s="322">
        <f>R270+R282</f>
        <v>5775.1295563238818</v>
      </c>
      <c r="S269" s="322">
        <f t="shared" ref="S269:T269" si="176">S270+S282</f>
        <v>0</v>
      </c>
      <c r="T269" s="322">
        <f t="shared" si="176"/>
        <v>5775.1295563238818</v>
      </c>
    </row>
    <row r="270" spans="1:20" ht="27.75" customHeight="1">
      <c r="A270" s="303" t="s">
        <v>481</v>
      </c>
      <c r="B270" s="323" t="s">
        <v>482</v>
      </c>
      <c r="C270" s="320" t="s">
        <v>488</v>
      </c>
      <c r="D270" s="307">
        <f>D271+D274+D277+D278+D279</f>
        <v>5743.0895563238819</v>
      </c>
      <c r="E270" s="307">
        <f t="shared" ref="E270:Q270" si="177">E271+E274+E277+E278+E279</f>
        <v>3865.8322807944705</v>
      </c>
      <c r="F270" s="307">
        <f t="shared" si="177"/>
        <v>0</v>
      </c>
      <c r="G270" s="307">
        <f t="shared" si="177"/>
        <v>1877.2572755294118</v>
      </c>
      <c r="H270" s="307">
        <f t="shared" si="177"/>
        <v>5156.7081821862348</v>
      </c>
      <c r="I270" s="307">
        <f t="shared" si="177"/>
        <v>0</v>
      </c>
      <c r="J270" s="307">
        <f t="shared" si="177"/>
        <v>0</v>
      </c>
      <c r="K270" s="307">
        <f t="shared" si="177"/>
        <v>586.38137413764719</v>
      </c>
      <c r="L270" s="307">
        <f t="shared" si="177"/>
        <v>58.638137413764724</v>
      </c>
      <c r="M270" s="307">
        <f t="shared" si="177"/>
        <v>0</v>
      </c>
      <c r="N270" s="307">
        <f t="shared" si="177"/>
        <v>58.638137413764724</v>
      </c>
      <c r="O270" s="307">
        <f t="shared" si="177"/>
        <v>58.638137413764724</v>
      </c>
      <c r="P270" s="307">
        <f t="shared" si="177"/>
        <v>0</v>
      </c>
      <c r="Q270" s="307">
        <f t="shared" si="177"/>
        <v>0</v>
      </c>
      <c r="R270" s="307">
        <f>R271+R274+R277+R278+R279</f>
        <v>5743.0895563238819</v>
      </c>
      <c r="S270" s="307">
        <f t="shared" ref="S270:T270" si="178">S271+S274+S277+S278+S279</f>
        <v>0</v>
      </c>
      <c r="T270" s="307">
        <f t="shared" si="178"/>
        <v>5743.0895563238819</v>
      </c>
    </row>
    <row r="271" spans="1:20" ht="27.75" customHeight="1">
      <c r="A271" s="325" t="s">
        <v>438</v>
      </c>
      <c r="B271" s="164" t="s">
        <v>277</v>
      </c>
      <c r="C271" s="320" t="s">
        <v>488</v>
      </c>
      <c r="D271" s="306">
        <f t="shared" ref="D271:D277" si="179">SUM(E271:G271)</f>
        <v>4424.4277867799992</v>
      </c>
      <c r="E271" s="306">
        <f>SUM(E272:E273)</f>
        <v>2828.7591025799998</v>
      </c>
      <c r="F271" s="306">
        <f>SUM(F272:F273)</f>
        <v>0</v>
      </c>
      <c r="G271" s="306">
        <f>SUM(G272:G273)</f>
        <v>1595.6686841999999</v>
      </c>
      <c r="H271" s="307">
        <f t="shared" ref="H271:H278" si="180">D271</f>
        <v>4424.4277867799992</v>
      </c>
      <c r="I271" s="309"/>
      <c r="J271" s="309"/>
      <c r="K271" s="309"/>
      <c r="L271" s="309">
        <f>K271*10%</f>
        <v>0</v>
      </c>
      <c r="M271" s="309"/>
      <c r="N271" s="309">
        <f>L271+M271</f>
        <v>0</v>
      </c>
      <c r="O271" s="309">
        <f>L271-P271</f>
        <v>0</v>
      </c>
      <c r="P271" s="309">
        <f>N271</f>
        <v>0</v>
      </c>
      <c r="Q271" s="309">
        <f>M271</f>
        <v>0</v>
      </c>
      <c r="R271" s="307">
        <f>SUM(R272:R273)</f>
        <v>4424.4277867799992</v>
      </c>
      <c r="S271" s="307">
        <f t="shared" ref="S271:T271" si="181">SUM(S272:S273)</f>
        <v>0</v>
      </c>
      <c r="T271" s="307">
        <f t="shared" si="181"/>
        <v>4424.4277867799992</v>
      </c>
    </row>
    <row r="272" spans="1:20" ht="27.75" customHeight="1">
      <c r="A272" s="325" t="s">
        <v>489</v>
      </c>
      <c r="B272" s="164" t="s">
        <v>490</v>
      </c>
      <c r="C272" s="320" t="s">
        <v>444</v>
      </c>
      <c r="D272" s="306">
        <f t="shared" si="179"/>
        <v>2828.7591025799998</v>
      </c>
      <c r="E272" s="306">
        <f>'[2] TL giao BC '!T310</f>
        <v>2828.7591025799998</v>
      </c>
      <c r="F272" s="306"/>
      <c r="G272" s="306"/>
      <c r="H272" s="307">
        <f t="shared" si="180"/>
        <v>2828.7591025799998</v>
      </c>
      <c r="I272" s="309"/>
      <c r="J272" s="309"/>
      <c r="K272" s="309"/>
      <c r="L272" s="309"/>
      <c r="M272" s="309"/>
      <c r="N272" s="309"/>
      <c r="O272" s="309"/>
      <c r="P272" s="309"/>
      <c r="Q272" s="309"/>
      <c r="R272" s="307">
        <f>D272-N272</f>
        <v>2828.7591025799998</v>
      </c>
      <c r="S272" s="307">
        <v>237.71</v>
      </c>
      <c r="T272" s="307">
        <f>R272+S272</f>
        <v>3066.4691025799998</v>
      </c>
    </row>
    <row r="273" spans="1:20" ht="27.75" customHeight="1">
      <c r="A273" s="325" t="s">
        <v>489</v>
      </c>
      <c r="B273" s="164" t="s">
        <v>305</v>
      </c>
      <c r="C273" s="320" t="s">
        <v>478</v>
      </c>
      <c r="D273" s="306">
        <f t="shared" si="179"/>
        <v>1595.6686841999999</v>
      </c>
      <c r="E273" s="306"/>
      <c r="F273" s="306"/>
      <c r="G273" s="306">
        <f>'[2] TL giao BC tăng thêm'!T139</f>
        <v>1595.6686841999999</v>
      </c>
      <c r="H273" s="307">
        <f t="shared" si="180"/>
        <v>1595.6686841999999</v>
      </c>
      <c r="I273" s="309"/>
      <c r="J273" s="309"/>
      <c r="K273" s="309"/>
      <c r="L273" s="309"/>
      <c r="M273" s="309"/>
      <c r="N273" s="309"/>
      <c r="O273" s="309"/>
      <c r="P273" s="309"/>
      <c r="Q273" s="309"/>
      <c r="R273" s="307">
        <f>D273-N273</f>
        <v>1595.6686841999999</v>
      </c>
      <c r="S273" s="307">
        <v>-237.71</v>
      </c>
      <c r="T273" s="307">
        <f>R273+S273</f>
        <v>1357.9586841999999</v>
      </c>
    </row>
    <row r="274" spans="1:20" ht="27.75" customHeight="1">
      <c r="A274" s="304" t="s">
        <v>438</v>
      </c>
      <c r="B274" s="166" t="s">
        <v>278</v>
      </c>
      <c r="C274" s="320" t="s">
        <v>444</v>
      </c>
      <c r="D274" s="306">
        <f t="shared" si="179"/>
        <v>920.51853282000002</v>
      </c>
      <c r="E274" s="306">
        <f>SUM(E275:E276)</f>
        <v>920.51853282000002</v>
      </c>
      <c r="F274" s="306">
        <f>SUM(F275:F276)</f>
        <v>0</v>
      </c>
      <c r="G274" s="306">
        <f>SUM(G275:G276)</f>
        <v>0</v>
      </c>
      <c r="H274" s="307">
        <f t="shared" si="180"/>
        <v>920.51853282000002</v>
      </c>
      <c r="I274" s="309"/>
      <c r="J274" s="309"/>
      <c r="K274" s="309"/>
      <c r="L274" s="309">
        <f>K274*10%</f>
        <v>0</v>
      </c>
      <c r="M274" s="309"/>
      <c r="N274" s="309">
        <f>L274+M274</f>
        <v>0</v>
      </c>
      <c r="O274" s="309">
        <f>L274-P274</f>
        <v>0</v>
      </c>
      <c r="P274" s="309">
        <f>N274</f>
        <v>0</v>
      </c>
      <c r="Q274" s="309">
        <f>M274</f>
        <v>0</v>
      </c>
      <c r="R274" s="307">
        <f>SUM(R275:R276)</f>
        <v>920.51853282000002</v>
      </c>
      <c r="S274" s="307">
        <f t="shared" ref="S274:T274" si="182">SUM(S275:S276)</f>
        <v>0</v>
      </c>
      <c r="T274" s="307">
        <f t="shared" si="182"/>
        <v>920.51853282000002</v>
      </c>
    </row>
    <row r="275" spans="1:20" ht="27.75" customHeight="1">
      <c r="A275" s="325" t="s">
        <v>489</v>
      </c>
      <c r="B275" s="166" t="s">
        <v>491</v>
      </c>
      <c r="C275" s="320" t="s">
        <v>444</v>
      </c>
      <c r="D275" s="306">
        <f t="shared" si="179"/>
        <v>588.53377302000001</v>
      </c>
      <c r="E275" s="306">
        <f>'[2] TL giao BC '!U310</f>
        <v>588.53377302000001</v>
      </c>
      <c r="F275" s="306"/>
      <c r="G275" s="306"/>
      <c r="H275" s="307">
        <f t="shared" si="180"/>
        <v>588.53377302000001</v>
      </c>
      <c r="I275" s="309"/>
      <c r="J275" s="309"/>
      <c r="K275" s="309"/>
      <c r="L275" s="309"/>
      <c r="M275" s="309"/>
      <c r="N275" s="309"/>
      <c r="O275" s="309"/>
      <c r="P275" s="309"/>
      <c r="Q275" s="309"/>
      <c r="R275" s="307">
        <f>D275-N275</f>
        <v>588.53377302000001</v>
      </c>
      <c r="S275" s="307">
        <v>49.45</v>
      </c>
      <c r="T275" s="307">
        <f t="shared" ref="T275:T277" si="183">R275+S275</f>
        <v>637.98377302000006</v>
      </c>
    </row>
    <row r="276" spans="1:20" ht="27.75" customHeight="1">
      <c r="A276" s="325" t="s">
        <v>489</v>
      </c>
      <c r="B276" s="164" t="s">
        <v>492</v>
      </c>
      <c r="C276" s="320" t="s">
        <v>444</v>
      </c>
      <c r="D276" s="306">
        <f t="shared" si="179"/>
        <v>331.98475980000001</v>
      </c>
      <c r="E276" s="306">
        <f>'[2] TL giao BC tăng thêm'!U139</f>
        <v>331.98475980000001</v>
      </c>
      <c r="F276" s="306"/>
      <c r="G276" s="306"/>
      <c r="H276" s="307">
        <f t="shared" si="180"/>
        <v>331.98475980000001</v>
      </c>
      <c r="I276" s="309"/>
      <c r="J276" s="309"/>
      <c r="K276" s="309"/>
      <c r="L276" s="309"/>
      <c r="M276" s="309"/>
      <c r="N276" s="309"/>
      <c r="O276" s="309"/>
      <c r="P276" s="309"/>
      <c r="Q276" s="309"/>
      <c r="R276" s="307">
        <f>D276-N276</f>
        <v>331.98475980000001</v>
      </c>
      <c r="S276" s="307">
        <v>-49.45</v>
      </c>
      <c r="T276" s="307">
        <f t="shared" si="183"/>
        <v>282.53475980000002</v>
      </c>
    </row>
    <row r="277" spans="1:20" ht="27.75" customHeight="1">
      <c r="A277" s="325" t="s">
        <v>438</v>
      </c>
      <c r="B277" s="164" t="s">
        <v>483</v>
      </c>
      <c r="C277" s="320"/>
      <c r="D277" s="306">
        <f t="shared" si="179"/>
        <v>-129.59999999999997</v>
      </c>
      <c r="E277" s="306">
        <f>-'[2]Biểu Thu '!P14-'[2]Biểu Thu '!AB14</f>
        <v>-129.59999999999997</v>
      </c>
      <c r="F277" s="306"/>
      <c r="G277" s="306"/>
      <c r="H277" s="307">
        <f t="shared" si="180"/>
        <v>-129.59999999999997</v>
      </c>
      <c r="I277" s="309"/>
      <c r="J277" s="309"/>
      <c r="K277" s="309"/>
      <c r="L277" s="309"/>
      <c r="M277" s="309"/>
      <c r="N277" s="309"/>
      <c r="O277" s="309"/>
      <c r="P277" s="309"/>
      <c r="Q277" s="309"/>
      <c r="R277" s="307">
        <f>D277-N277</f>
        <v>-129.59999999999997</v>
      </c>
      <c r="S277" s="307"/>
      <c r="T277" s="307">
        <f t="shared" si="183"/>
        <v>-129.59999999999997</v>
      </c>
    </row>
    <row r="278" spans="1:20" s="311" customFormat="1" ht="27.75" customHeight="1">
      <c r="A278" s="304" t="s">
        <v>438</v>
      </c>
      <c r="B278" s="166" t="s">
        <v>452</v>
      </c>
      <c r="C278" s="320" t="s">
        <v>488</v>
      </c>
      <c r="D278" s="306">
        <f>E278+G278</f>
        <v>-58.638137413764724</v>
      </c>
      <c r="E278" s="306">
        <f>-L279</f>
        <v>-58.638137413764724</v>
      </c>
      <c r="F278" s="306"/>
      <c r="G278" s="306"/>
      <c r="H278" s="307">
        <f t="shared" si="180"/>
        <v>-58.638137413764724</v>
      </c>
      <c r="I278" s="308"/>
      <c r="J278" s="308"/>
      <c r="K278" s="308"/>
      <c r="L278" s="309">
        <f>K278*10%</f>
        <v>0</v>
      </c>
      <c r="M278" s="309"/>
      <c r="N278" s="309">
        <f>L278+M278</f>
        <v>0</v>
      </c>
      <c r="O278" s="309">
        <f>L278-P278</f>
        <v>0</v>
      </c>
      <c r="P278" s="309">
        <f>N278</f>
        <v>0</v>
      </c>
      <c r="Q278" s="309">
        <f>M278</f>
        <v>0</v>
      </c>
      <c r="R278" s="307"/>
      <c r="S278" s="306"/>
      <c r="T278" s="307"/>
    </row>
    <row r="279" spans="1:20" ht="26.25" customHeight="1">
      <c r="A279" s="304" t="s">
        <v>438</v>
      </c>
      <c r="B279" s="166" t="s">
        <v>412</v>
      </c>
      <c r="C279" s="320" t="s">
        <v>488</v>
      </c>
      <c r="D279" s="306">
        <f>SUM(E279:G279)</f>
        <v>586.38137413764719</v>
      </c>
      <c r="E279" s="306">
        <f>SUM(E280:E281)</f>
        <v>304.7927828082353</v>
      </c>
      <c r="F279" s="306">
        <f>SUM(F280:F281)</f>
        <v>0</v>
      </c>
      <c r="G279" s="306">
        <f>SUM(G280:G281)</f>
        <v>281.58859132941188</v>
      </c>
      <c r="H279" s="309"/>
      <c r="I279" s="309"/>
      <c r="J279" s="309"/>
      <c r="K279" s="309">
        <f>SUM(K280:K281)</f>
        <v>586.38137413764719</v>
      </c>
      <c r="L279" s="309">
        <f>SUM(L280:L281)</f>
        <v>58.638137413764724</v>
      </c>
      <c r="M279" s="309"/>
      <c r="N279" s="309">
        <f>L279+M279</f>
        <v>58.638137413764724</v>
      </c>
      <c r="O279" s="309">
        <f>N279</f>
        <v>58.638137413764724</v>
      </c>
      <c r="P279" s="309">
        <f>N279-O279</f>
        <v>0</v>
      </c>
      <c r="Q279" s="309">
        <f>M279</f>
        <v>0</v>
      </c>
      <c r="R279" s="307">
        <f>D279-N279</f>
        <v>527.74323672388243</v>
      </c>
      <c r="S279" s="307">
        <f>SUM(S280:S281)</f>
        <v>0</v>
      </c>
      <c r="T279" s="307">
        <f>R279+S279</f>
        <v>527.74323672388243</v>
      </c>
    </row>
    <row r="280" spans="1:20" ht="39" customHeight="1">
      <c r="A280" s="325" t="s">
        <v>489</v>
      </c>
      <c r="B280" s="166" t="s">
        <v>518</v>
      </c>
      <c r="C280" s="320" t="s">
        <v>444</v>
      </c>
      <c r="D280" s="306">
        <f>SUM(E280:G280)</f>
        <v>304.7927828082353</v>
      </c>
      <c r="E280" s="306">
        <f>'[2] TL giao BC '!Z310</f>
        <v>304.7927828082353</v>
      </c>
      <c r="F280" s="306"/>
      <c r="G280" s="306"/>
      <c r="H280" s="309"/>
      <c r="I280" s="309"/>
      <c r="J280" s="309"/>
      <c r="K280" s="309">
        <f>D280</f>
        <v>304.7927828082353</v>
      </c>
      <c r="L280" s="309">
        <f>K280*10%</f>
        <v>30.479278280823532</v>
      </c>
      <c r="M280" s="309"/>
      <c r="N280" s="309"/>
      <c r="O280" s="309"/>
      <c r="P280" s="309"/>
      <c r="Q280" s="309"/>
      <c r="R280" s="307"/>
      <c r="S280" s="307">
        <v>41.95</v>
      </c>
      <c r="T280" s="307"/>
    </row>
    <row r="281" spans="1:20" ht="33" customHeight="1">
      <c r="A281" s="325" t="s">
        <v>489</v>
      </c>
      <c r="B281" s="164" t="s">
        <v>519</v>
      </c>
      <c r="C281" s="320" t="s">
        <v>478</v>
      </c>
      <c r="D281" s="306">
        <f>SUM(E281:G281)</f>
        <v>281.58859132941188</v>
      </c>
      <c r="E281" s="306"/>
      <c r="F281" s="306"/>
      <c r="G281" s="306">
        <f>'[2] TL giao BC tăng thêm'!X139</f>
        <v>281.58859132941188</v>
      </c>
      <c r="H281" s="309"/>
      <c r="I281" s="309"/>
      <c r="J281" s="309"/>
      <c r="K281" s="309">
        <f>D281</f>
        <v>281.58859132941188</v>
      </c>
      <c r="L281" s="309">
        <f>K281*10%</f>
        <v>28.158859132941188</v>
      </c>
      <c r="M281" s="309"/>
      <c r="N281" s="309"/>
      <c r="O281" s="309"/>
      <c r="P281" s="309"/>
      <c r="Q281" s="309"/>
      <c r="R281" s="307"/>
      <c r="S281" s="307">
        <v>-41.95</v>
      </c>
      <c r="T281" s="307"/>
    </row>
    <row r="282" spans="1:20" ht="30" customHeight="1">
      <c r="A282" s="303" t="s">
        <v>481</v>
      </c>
      <c r="B282" s="326" t="s">
        <v>485</v>
      </c>
      <c r="C282" s="320" t="s">
        <v>488</v>
      </c>
      <c r="D282" s="307">
        <f>E282+G282+F282</f>
        <v>32.040000000000006</v>
      </c>
      <c r="E282" s="307">
        <f t="shared" ref="E282:T282" si="184">SUM(E283:E287)</f>
        <v>30.230000000000004</v>
      </c>
      <c r="F282" s="307">
        <f t="shared" si="184"/>
        <v>0</v>
      </c>
      <c r="G282" s="307">
        <f t="shared" si="184"/>
        <v>1.81</v>
      </c>
      <c r="H282" s="307">
        <f t="shared" si="184"/>
        <v>0</v>
      </c>
      <c r="I282" s="307">
        <f t="shared" si="184"/>
        <v>32.04</v>
      </c>
      <c r="J282" s="307">
        <f t="shared" si="184"/>
        <v>0</v>
      </c>
      <c r="K282" s="307">
        <f t="shared" si="184"/>
        <v>0</v>
      </c>
      <c r="L282" s="307">
        <f t="shared" si="184"/>
        <v>0</v>
      </c>
      <c r="M282" s="307">
        <f t="shared" si="184"/>
        <v>0</v>
      </c>
      <c r="N282" s="307">
        <f t="shared" si="184"/>
        <v>0</v>
      </c>
      <c r="O282" s="307">
        <f t="shared" si="184"/>
        <v>0</v>
      </c>
      <c r="P282" s="307">
        <f t="shared" si="184"/>
        <v>0</v>
      </c>
      <c r="Q282" s="307">
        <f t="shared" si="184"/>
        <v>0</v>
      </c>
      <c r="R282" s="307">
        <f t="shared" si="184"/>
        <v>32.04</v>
      </c>
      <c r="S282" s="307">
        <f t="shared" si="184"/>
        <v>0</v>
      </c>
      <c r="T282" s="307">
        <f t="shared" si="184"/>
        <v>32.04</v>
      </c>
    </row>
    <row r="283" spans="1:20" ht="30" customHeight="1">
      <c r="A283" s="325" t="s">
        <v>438</v>
      </c>
      <c r="B283" s="166" t="s">
        <v>280</v>
      </c>
      <c r="C283" s="320" t="s">
        <v>444</v>
      </c>
      <c r="D283" s="306">
        <f>E283+G283</f>
        <v>7.5600000000000005</v>
      </c>
      <c r="E283" s="306">
        <f>'[2]CS giáo dục '!Q14</f>
        <v>7.5600000000000005</v>
      </c>
      <c r="F283" s="306"/>
      <c r="G283" s="306"/>
      <c r="H283" s="309"/>
      <c r="I283" s="309">
        <f>D283</f>
        <v>7.5600000000000005</v>
      </c>
      <c r="J283" s="309"/>
      <c r="K283" s="309"/>
      <c r="L283" s="309">
        <f>K283*10%</f>
        <v>0</v>
      </c>
      <c r="M283" s="309"/>
      <c r="N283" s="309">
        <f>L283+M283</f>
        <v>0</v>
      </c>
      <c r="O283" s="309">
        <f>N283</f>
        <v>0</v>
      </c>
      <c r="P283" s="309">
        <f>N283-O283</f>
        <v>0</v>
      </c>
      <c r="Q283" s="309">
        <f>M283</f>
        <v>0</v>
      </c>
      <c r="R283" s="307">
        <f>D283-N283</f>
        <v>7.5600000000000005</v>
      </c>
      <c r="S283" s="307"/>
      <c r="T283" s="307">
        <f>R283+S283</f>
        <v>7.5600000000000005</v>
      </c>
    </row>
    <row r="284" spans="1:20" ht="30" customHeight="1">
      <c r="A284" s="325" t="s">
        <v>438</v>
      </c>
      <c r="B284" s="166" t="s">
        <v>287</v>
      </c>
      <c r="C284" s="320" t="s">
        <v>488</v>
      </c>
      <c r="D284" s="306">
        <f>E284+G284+F284</f>
        <v>24.48</v>
      </c>
      <c r="E284" s="306">
        <f>'[2]CS giáo dục '!U14</f>
        <v>22.67</v>
      </c>
      <c r="F284" s="306"/>
      <c r="G284" s="306">
        <f>'[2]CS giáo dục '!W14</f>
        <v>1.81</v>
      </c>
      <c r="H284" s="309"/>
      <c r="I284" s="309">
        <f>D284</f>
        <v>24.48</v>
      </c>
      <c r="J284" s="309"/>
      <c r="K284" s="309"/>
      <c r="L284" s="309">
        <f>K284*10%</f>
        <v>0</v>
      </c>
      <c r="M284" s="309"/>
      <c r="N284" s="309">
        <f>L284+M284</f>
        <v>0</v>
      </c>
      <c r="O284" s="309">
        <f>N284</f>
        <v>0</v>
      </c>
      <c r="P284" s="309">
        <f>N284-O284</f>
        <v>0</v>
      </c>
      <c r="Q284" s="309">
        <f>M284</f>
        <v>0</v>
      </c>
      <c r="R284" s="307">
        <f>D284-N284</f>
        <v>24.48</v>
      </c>
      <c r="S284" s="307"/>
      <c r="T284" s="307">
        <f t="shared" ref="T284:T287" si="185">R284+S284</f>
        <v>24.48</v>
      </c>
    </row>
    <row r="285" spans="1:20" ht="39" customHeight="1">
      <c r="A285" s="325" t="s">
        <v>438</v>
      </c>
      <c r="B285" s="166" t="s">
        <v>308</v>
      </c>
      <c r="C285" s="320" t="s">
        <v>488</v>
      </c>
      <c r="D285" s="306">
        <f>E285+G285</f>
        <v>0</v>
      </c>
      <c r="E285" s="306"/>
      <c r="F285" s="306"/>
      <c r="G285" s="306"/>
      <c r="H285" s="309"/>
      <c r="I285" s="309">
        <f>D285</f>
        <v>0</v>
      </c>
      <c r="J285" s="309"/>
      <c r="K285" s="309"/>
      <c r="L285" s="309">
        <f>K285*10%</f>
        <v>0</v>
      </c>
      <c r="M285" s="309"/>
      <c r="N285" s="309">
        <f>L285+M285</f>
        <v>0</v>
      </c>
      <c r="O285" s="309">
        <f>N285</f>
        <v>0</v>
      </c>
      <c r="P285" s="309">
        <f>N285-O285</f>
        <v>0</v>
      </c>
      <c r="Q285" s="309">
        <f>M285</f>
        <v>0</v>
      </c>
      <c r="R285" s="307">
        <f>D285-N285</f>
        <v>0</v>
      </c>
      <c r="S285" s="307"/>
      <c r="T285" s="307">
        <f t="shared" si="185"/>
        <v>0</v>
      </c>
    </row>
    <row r="286" spans="1:20" ht="36" customHeight="1">
      <c r="A286" s="325" t="s">
        <v>438</v>
      </c>
      <c r="B286" s="166" t="s">
        <v>495</v>
      </c>
      <c r="C286" s="320" t="s">
        <v>488</v>
      </c>
      <c r="D286" s="306">
        <f>E286+G286</f>
        <v>0</v>
      </c>
      <c r="E286" s="306"/>
      <c r="F286" s="306"/>
      <c r="G286" s="306"/>
      <c r="H286" s="309"/>
      <c r="I286" s="309">
        <f>D286</f>
        <v>0</v>
      </c>
      <c r="J286" s="309"/>
      <c r="K286" s="309"/>
      <c r="L286" s="309">
        <f>K286*10%</f>
        <v>0</v>
      </c>
      <c r="M286" s="309"/>
      <c r="N286" s="309">
        <f>L286+M286</f>
        <v>0</v>
      </c>
      <c r="O286" s="309">
        <f>N286</f>
        <v>0</v>
      </c>
      <c r="P286" s="309">
        <f>N286-O286</f>
        <v>0</v>
      </c>
      <c r="Q286" s="309">
        <f>M286</f>
        <v>0</v>
      </c>
      <c r="R286" s="307">
        <f>D286-N286</f>
        <v>0</v>
      </c>
      <c r="S286" s="307"/>
      <c r="T286" s="307">
        <f>R286+S286</f>
        <v>0</v>
      </c>
    </row>
    <row r="287" spans="1:20" ht="26.25" customHeight="1">
      <c r="A287" s="325" t="s">
        <v>438</v>
      </c>
      <c r="B287" s="166" t="s">
        <v>309</v>
      </c>
      <c r="C287" s="320" t="s">
        <v>478</v>
      </c>
      <c r="D287" s="306">
        <f>E287+G287</f>
        <v>0</v>
      </c>
      <c r="E287" s="306"/>
      <c r="F287" s="306"/>
      <c r="G287" s="306"/>
      <c r="H287" s="309"/>
      <c r="I287" s="309">
        <f>D287</f>
        <v>0</v>
      </c>
      <c r="J287" s="309"/>
      <c r="K287" s="309"/>
      <c r="L287" s="309">
        <f>K287*10%</f>
        <v>0</v>
      </c>
      <c r="M287" s="309"/>
      <c r="N287" s="309">
        <f>L287+M287</f>
        <v>0</v>
      </c>
      <c r="O287" s="309">
        <f>N287</f>
        <v>0</v>
      </c>
      <c r="P287" s="309">
        <f>N287-O287</f>
        <v>0</v>
      </c>
      <c r="Q287" s="309">
        <f>M287</f>
        <v>0</v>
      </c>
      <c r="R287" s="307">
        <f>D287-N287</f>
        <v>0</v>
      </c>
      <c r="S287" s="307"/>
      <c r="T287" s="307">
        <f t="shared" si="185"/>
        <v>0</v>
      </c>
    </row>
    <row r="288" spans="1:20" s="328" customFormat="1" ht="27.75" customHeight="1">
      <c r="A288" s="320" t="s">
        <v>42</v>
      </c>
      <c r="B288" s="321" t="s">
        <v>520</v>
      </c>
      <c r="C288" s="320" t="s">
        <v>488</v>
      </c>
      <c r="D288" s="322">
        <f>D289+D301</f>
        <v>90292.848215478618</v>
      </c>
      <c r="E288" s="322">
        <f t="shared" ref="E288:Q288" si="186">E289+E301</f>
        <v>86880.475044283274</v>
      </c>
      <c r="F288" s="322">
        <f t="shared" si="186"/>
        <v>0</v>
      </c>
      <c r="G288" s="322">
        <f t="shared" si="186"/>
        <v>3412.3731711953574</v>
      </c>
      <c r="H288" s="322">
        <f t="shared" si="186"/>
        <v>77732.985753077286</v>
      </c>
      <c r="I288" s="322">
        <f t="shared" si="186"/>
        <v>1036.4171562541808</v>
      </c>
      <c r="J288" s="322">
        <f t="shared" si="186"/>
        <v>0</v>
      </c>
      <c r="K288" s="322">
        <f t="shared" si="186"/>
        <v>11523.445306147165</v>
      </c>
      <c r="L288" s="322">
        <f t="shared" si="186"/>
        <v>1152.3445306147166</v>
      </c>
      <c r="M288" s="322">
        <f t="shared" si="186"/>
        <v>0</v>
      </c>
      <c r="N288" s="322">
        <f t="shared" si="186"/>
        <v>1152.3445306147166</v>
      </c>
      <c r="O288" s="322">
        <f t="shared" si="186"/>
        <v>1152.3445306147166</v>
      </c>
      <c r="P288" s="322">
        <f t="shared" si="186"/>
        <v>0</v>
      </c>
      <c r="Q288" s="322">
        <f t="shared" si="186"/>
        <v>0</v>
      </c>
      <c r="R288" s="322">
        <f>R289+R301</f>
        <v>90292.848215478632</v>
      </c>
      <c r="S288" s="322">
        <f t="shared" ref="S288:T288" si="187">S289+S301</f>
        <v>0</v>
      </c>
      <c r="T288" s="322">
        <f t="shared" si="187"/>
        <v>87240.628642239259</v>
      </c>
    </row>
    <row r="289" spans="1:20" ht="27.75" customHeight="1">
      <c r="A289" s="303" t="s">
        <v>481</v>
      </c>
      <c r="B289" s="323" t="s">
        <v>482</v>
      </c>
      <c r="C289" s="320" t="s">
        <v>488</v>
      </c>
      <c r="D289" s="307">
        <f>D290+D293+D296+D297+D298</f>
        <v>89256.431059224444</v>
      </c>
      <c r="E289" s="307">
        <f t="shared" ref="E289:Q289" si="188">E290+E293+E296+E297+E298</f>
        <v>86081.025044283277</v>
      </c>
      <c r="F289" s="307">
        <f t="shared" si="188"/>
        <v>0</v>
      </c>
      <c r="G289" s="307">
        <f t="shared" si="188"/>
        <v>3175.4060149411766</v>
      </c>
      <c r="H289" s="307">
        <f t="shared" si="188"/>
        <v>77732.985753077286</v>
      </c>
      <c r="I289" s="307">
        <f t="shared" si="188"/>
        <v>0</v>
      </c>
      <c r="J289" s="307">
        <f t="shared" si="188"/>
        <v>0</v>
      </c>
      <c r="K289" s="307">
        <f t="shared" si="188"/>
        <v>11523.445306147165</v>
      </c>
      <c r="L289" s="307">
        <f t="shared" si="188"/>
        <v>1152.3445306147166</v>
      </c>
      <c r="M289" s="307">
        <f t="shared" si="188"/>
        <v>0</v>
      </c>
      <c r="N289" s="307">
        <f t="shared" si="188"/>
        <v>1152.3445306147166</v>
      </c>
      <c r="O289" s="307">
        <f t="shared" si="188"/>
        <v>1152.3445306147166</v>
      </c>
      <c r="P289" s="307">
        <f t="shared" si="188"/>
        <v>0</v>
      </c>
      <c r="Q289" s="307">
        <f t="shared" si="188"/>
        <v>0</v>
      </c>
      <c r="R289" s="307">
        <f>R290+R293+R296+R297+R298</f>
        <v>89256.431059224458</v>
      </c>
      <c r="S289" s="307">
        <f t="shared" ref="S289:T289" si="189">S290+S293+S296+S297+S298</f>
        <v>0</v>
      </c>
      <c r="T289" s="307">
        <f t="shared" si="189"/>
        <v>86204.211485985084</v>
      </c>
    </row>
    <row r="290" spans="1:20" ht="27.75" customHeight="1">
      <c r="A290" s="325" t="s">
        <v>438</v>
      </c>
      <c r="B290" s="164" t="s">
        <v>277</v>
      </c>
      <c r="C290" s="320" t="s">
        <v>488</v>
      </c>
      <c r="D290" s="306">
        <f t="shared" ref="D290:D296" si="190">SUM(E290:G290)</f>
        <v>65299.523401500599</v>
      </c>
      <c r="E290" s="306">
        <f>SUM(E291:E292)</f>
        <v>62600.428288800598</v>
      </c>
      <c r="F290" s="306">
        <f>SUM(F291:F292)</f>
        <v>0</v>
      </c>
      <c r="G290" s="306">
        <f>SUM(G291:G292)</f>
        <v>2699.0951126999998</v>
      </c>
      <c r="H290" s="307">
        <f t="shared" ref="H290:H297" si="191">D290</f>
        <v>65299.523401500599</v>
      </c>
      <c r="I290" s="309"/>
      <c r="J290" s="309"/>
      <c r="K290" s="309"/>
      <c r="L290" s="309">
        <f>K290*10%</f>
        <v>0</v>
      </c>
      <c r="M290" s="309"/>
      <c r="N290" s="309">
        <f>L290+M290</f>
        <v>0</v>
      </c>
      <c r="O290" s="309">
        <f>L290-P290</f>
        <v>0</v>
      </c>
      <c r="P290" s="309">
        <f>N290</f>
        <v>0</v>
      </c>
      <c r="Q290" s="309">
        <f>M290</f>
        <v>0</v>
      </c>
      <c r="R290" s="307">
        <f>SUM(R291:R292)</f>
        <v>65299.523401500599</v>
      </c>
      <c r="S290" s="307">
        <f t="shared" ref="S290:T290" si="192">SUM(S291:S292)</f>
        <v>0</v>
      </c>
      <c r="T290" s="307">
        <f t="shared" si="192"/>
        <v>65299.523401500592</v>
      </c>
    </row>
    <row r="291" spans="1:20" ht="27.75" customHeight="1">
      <c r="A291" s="325" t="s">
        <v>489</v>
      </c>
      <c r="B291" s="164" t="s">
        <v>490</v>
      </c>
      <c r="C291" s="320" t="s">
        <v>444</v>
      </c>
      <c r="D291" s="306">
        <f t="shared" si="190"/>
        <v>62600.428288800598</v>
      </c>
      <c r="E291" s="306">
        <f t="shared" ref="E291:G292" si="193">E310+E329+E348+E367+E386+E405+E424+E443+E462+E481+E500+E519+E538</f>
        <v>62600.428288800598</v>
      </c>
      <c r="F291" s="306">
        <f t="shared" si="193"/>
        <v>0</v>
      </c>
      <c r="G291" s="306">
        <f t="shared" si="193"/>
        <v>0</v>
      </c>
      <c r="H291" s="307">
        <f t="shared" si="191"/>
        <v>62600.428288800598</v>
      </c>
      <c r="I291" s="309"/>
      <c r="J291" s="309"/>
      <c r="K291" s="309"/>
      <c r="L291" s="309"/>
      <c r="M291" s="309"/>
      <c r="N291" s="309"/>
      <c r="O291" s="309"/>
      <c r="P291" s="309"/>
      <c r="Q291" s="309"/>
      <c r="R291" s="307">
        <f>D291-N291</f>
        <v>62600.428288800598</v>
      </c>
      <c r="S291" s="306">
        <f t="shared" ref="S291:T291" si="194">S310+S329+S348+S367+S386+S405+S424+S443+S462+S481+S500+S519+S538</f>
        <v>-269.55</v>
      </c>
      <c r="T291" s="307">
        <f t="shared" si="194"/>
        <v>62330.878288800595</v>
      </c>
    </row>
    <row r="292" spans="1:20" ht="27.75" customHeight="1">
      <c r="A292" s="325" t="s">
        <v>489</v>
      </c>
      <c r="B292" s="164" t="s">
        <v>305</v>
      </c>
      <c r="C292" s="320" t="s">
        <v>478</v>
      </c>
      <c r="D292" s="306">
        <f t="shared" si="190"/>
        <v>2699.0951126999998</v>
      </c>
      <c r="E292" s="306">
        <f t="shared" si="193"/>
        <v>0</v>
      </c>
      <c r="F292" s="306">
        <f t="shared" si="193"/>
        <v>0</v>
      </c>
      <c r="G292" s="306">
        <f t="shared" si="193"/>
        <v>2699.0951126999998</v>
      </c>
      <c r="H292" s="307">
        <f t="shared" si="191"/>
        <v>2699.0951126999998</v>
      </c>
      <c r="I292" s="309"/>
      <c r="J292" s="309"/>
      <c r="K292" s="309"/>
      <c r="L292" s="309"/>
      <c r="M292" s="309"/>
      <c r="N292" s="309"/>
      <c r="O292" s="309"/>
      <c r="P292" s="309"/>
      <c r="Q292" s="309"/>
      <c r="R292" s="307">
        <f>D292-N292</f>
        <v>2699.0951126999998</v>
      </c>
      <c r="S292" s="306">
        <f t="shared" ref="S292:T292" si="195">S311+S330+S349+S368+S387+S406+S425+S444+S463+S482+S501+S520+S539</f>
        <v>269.55</v>
      </c>
      <c r="T292" s="307">
        <f t="shared" si="195"/>
        <v>2968.6451126999996</v>
      </c>
    </row>
    <row r="293" spans="1:20" ht="27.75" customHeight="1">
      <c r="A293" s="304" t="s">
        <v>438</v>
      </c>
      <c r="B293" s="166" t="s">
        <v>278</v>
      </c>
      <c r="C293" s="320" t="s">
        <v>444</v>
      </c>
      <c r="D293" s="306">
        <f t="shared" si="190"/>
        <v>13585.806882191402</v>
      </c>
      <c r="E293" s="306">
        <f>SUM(E294:E295)</f>
        <v>13585.806882191402</v>
      </c>
      <c r="F293" s="306">
        <f>SUM(F294:F295)</f>
        <v>0</v>
      </c>
      <c r="G293" s="306">
        <f>SUM(G294:G295)</f>
        <v>0</v>
      </c>
      <c r="H293" s="307">
        <f t="shared" si="191"/>
        <v>13585.806882191402</v>
      </c>
      <c r="I293" s="309"/>
      <c r="J293" s="309"/>
      <c r="K293" s="309"/>
      <c r="L293" s="309">
        <f>K293*10%</f>
        <v>0</v>
      </c>
      <c r="M293" s="309"/>
      <c r="N293" s="309">
        <f>L293+M293</f>
        <v>0</v>
      </c>
      <c r="O293" s="309">
        <f>L293-P293</f>
        <v>0</v>
      </c>
      <c r="P293" s="309">
        <f>N293</f>
        <v>0</v>
      </c>
      <c r="Q293" s="309">
        <f>M293</f>
        <v>0</v>
      </c>
      <c r="R293" s="307">
        <f>SUM(R294:R295)</f>
        <v>13585.806882191402</v>
      </c>
      <c r="S293" s="307">
        <f t="shared" ref="S293:T293" si="196">SUM(S294:S295)</f>
        <v>0</v>
      </c>
      <c r="T293" s="307">
        <f t="shared" si="196"/>
        <v>13585.806882191402</v>
      </c>
    </row>
    <row r="294" spans="1:20" ht="27.75" customHeight="1">
      <c r="A294" s="325" t="s">
        <v>489</v>
      </c>
      <c r="B294" s="166" t="s">
        <v>491</v>
      </c>
      <c r="C294" s="320" t="s">
        <v>444</v>
      </c>
      <c r="D294" s="306">
        <f t="shared" si="190"/>
        <v>13024.250180891402</v>
      </c>
      <c r="E294" s="306">
        <f>E313+E332+E351+E370+E389+E408+E427+E446+E465+E484+E503+E522+E541</f>
        <v>13024.250180891402</v>
      </c>
      <c r="F294" s="306"/>
      <c r="G294" s="306"/>
      <c r="H294" s="307">
        <f t="shared" si="191"/>
        <v>13024.250180891402</v>
      </c>
      <c r="I294" s="309"/>
      <c r="J294" s="309"/>
      <c r="K294" s="309"/>
      <c r="L294" s="309"/>
      <c r="M294" s="309"/>
      <c r="N294" s="309"/>
      <c r="O294" s="309"/>
      <c r="P294" s="309"/>
      <c r="Q294" s="309"/>
      <c r="R294" s="307">
        <f>D294-N294</f>
        <v>13024.250180891402</v>
      </c>
      <c r="S294" s="306">
        <f t="shared" ref="S294:T294" si="197">S313+S332+S351+S370+S389+S408+S427+S446+S465+S484+S503+S522+S541</f>
        <v>-56.050000000000011</v>
      </c>
      <c r="T294" s="307">
        <f t="shared" si="197"/>
        <v>12968.200180891403</v>
      </c>
    </row>
    <row r="295" spans="1:20" ht="27.75" customHeight="1">
      <c r="A295" s="325" t="s">
        <v>489</v>
      </c>
      <c r="B295" s="164" t="s">
        <v>492</v>
      </c>
      <c r="C295" s="320" t="s">
        <v>444</v>
      </c>
      <c r="D295" s="306">
        <f t="shared" si="190"/>
        <v>561.55670129999999</v>
      </c>
      <c r="E295" s="306">
        <f>E314+E333+E352+E371+E390+E409+E428+E447+E466+E485+E504+E523+E542</f>
        <v>561.55670129999999</v>
      </c>
      <c r="F295" s="306"/>
      <c r="G295" s="306"/>
      <c r="H295" s="307">
        <f t="shared" si="191"/>
        <v>561.55670129999999</v>
      </c>
      <c r="I295" s="309"/>
      <c r="J295" s="309"/>
      <c r="K295" s="309"/>
      <c r="L295" s="309"/>
      <c r="M295" s="309"/>
      <c r="N295" s="309"/>
      <c r="O295" s="309"/>
      <c r="P295" s="309"/>
      <c r="Q295" s="309"/>
      <c r="R295" s="307">
        <f>D295-N295</f>
        <v>561.55670129999999</v>
      </c>
      <c r="S295" s="306">
        <f t="shared" ref="S295:T295" si="198">S314+S333+S352+S371+S390+S409+S428+S447+S466+S485+S504+S523+S542</f>
        <v>56.050000000000011</v>
      </c>
      <c r="T295" s="307">
        <f t="shared" si="198"/>
        <v>617.60670129999994</v>
      </c>
    </row>
    <row r="296" spans="1:20" ht="27.75" customHeight="1">
      <c r="A296" s="325" t="s">
        <v>438</v>
      </c>
      <c r="B296" s="164" t="s">
        <v>483</v>
      </c>
      <c r="C296" s="320"/>
      <c r="D296" s="306">
        <f t="shared" si="190"/>
        <v>0</v>
      </c>
      <c r="E296" s="306">
        <f>E315+E334+E353+E372+E391+E410+E429+E448+E467+E486</f>
        <v>0</v>
      </c>
      <c r="F296" s="306"/>
      <c r="G296" s="306"/>
      <c r="H296" s="307">
        <f t="shared" si="191"/>
        <v>0</v>
      </c>
      <c r="I296" s="309"/>
      <c r="J296" s="309"/>
      <c r="K296" s="309"/>
      <c r="L296" s="309"/>
      <c r="M296" s="309"/>
      <c r="N296" s="309"/>
      <c r="O296" s="309"/>
      <c r="P296" s="309"/>
      <c r="Q296" s="309"/>
      <c r="R296" s="307">
        <f>D296-N296</f>
        <v>0</v>
      </c>
      <c r="S296" s="307"/>
      <c r="T296" s="307"/>
    </row>
    <row r="297" spans="1:20" s="311" customFormat="1" ht="27.75" customHeight="1">
      <c r="A297" s="304" t="s">
        <v>438</v>
      </c>
      <c r="B297" s="166" t="s">
        <v>452</v>
      </c>
      <c r="C297" s="320" t="s">
        <v>488</v>
      </c>
      <c r="D297" s="306">
        <f>E297+G297</f>
        <v>-1152.3445306147166</v>
      </c>
      <c r="E297" s="306">
        <f>-L298</f>
        <v>-1152.3445306147166</v>
      </c>
      <c r="F297" s="306"/>
      <c r="G297" s="306"/>
      <c r="H297" s="307">
        <f t="shared" si="191"/>
        <v>-1152.3445306147166</v>
      </c>
      <c r="I297" s="308"/>
      <c r="J297" s="308"/>
      <c r="K297" s="308"/>
      <c r="L297" s="309">
        <f>K297*10%</f>
        <v>0</v>
      </c>
      <c r="M297" s="309"/>
      <c r="N297" s="309">
        <f>L297+M297</f>
        <v>0</v>
      </c>
      <c r="O297" s="309">
        <f>L297-P297</f>
        <v>0</v>
      </c>
      <c r="P297" s="309">
        <f>N297</f>
        <v>0</v>
      </c>
      <c r="Q297" s="309">
        <f>M297</f>
        <v>0</v>
      </c>
      <c r="R297" s="307"/>
      <c r="S297" s="306"/>
      <c r="T297" s="307"/>
    </row>
    <row r="298" spans="1:20" ht="26.25" customHeight="1">
      <c r="A298" s="304" t="s">
        <v>438</v>
      </c>
      <c r="B298" s="166" t="s">
        <v>412</v>
      </c>
      <c r="C298" s="320" t="s">
        <v>488</v>
      </c>
      <c r="D298" s="306">
        <f>SUM(E298:G298)</f>
        <v>11523.445306147165</v>
      </c>
      <c r="E298" s="306">
        <f>SUM(E299:E300)</f>
        <v>11047.134403905988</v>
      </c>
      <c r="F298" s="306">
        <f>SUM(F299:F300)</f>
        <v>0</v>
      </c>
      <c r="G298" s="306">
        <f>SUM(G299:G300)</f>
        <v>476.31090224117668</v>
      </c>
      <c r="H298" s="309"/>
      <c r="I298" s="309"/>
      <c r="J298" s="309"/>
      <c r="K298" s="309">
        <f>SUM(K299:K300)</f>
        <v>11523.445306147165</v>
      </c>
      <c r="L298" s="309">
        <f>SUM(L299:L300)</f>
        <v>1152.3445306147166</v>
      </c>
      <c r="M298" s="309"/>
      <c r="N298" s="309">
        <f>L298+M298</f>
        <v>1152.3445306147166</v>
      </c>
      <c r="O298" s="309">
        <f>N298</f>
        <v>1152.3445306147166</v>
      </c>
      <c r="P298" s="309">
        <f>N298-O298</f>
        <v>0</v>
      </c>
      <c r="Q298" s="309">
        <f>M298</f>
        <v>0</v>
      </c>
      <c r="R298" s="307">
        <f>D298-N298</f>
        <v>10371.100775532448</v>
      </c>
      <c r="S298" s="307">
        <f>SUM(S299:S300)</f>
        <v>0</v>
      </c>
      <c r="T298" s="307">
        <f>SUM(T299:T300)</f>
        <v>7318.8812022930952</v>
      </c>
    </row>
    <row r="299" spans="1:20" ht="24" customHeight="1">
      <c r="A299" s="325" t="s">
        <v>489</v>
      </c>
      <c r="B299" s="166" t="s">
        <v>521</v>
      </c>
      <c r="C299" s="320" t="s">
        <v>444</v>
      </c>
      <c r="D299" s="306">
        <f>SUM(E299:G299)</f>
        <v>11047.134403905988</v>
      </c>
      <c r="E299" s="306">
        <f t="shared" ref="E299:G300" si="199">E318+E337+E356+E375+E394+E413+E432+E451+E470+E489+E508+E527+E546</f>
        <v>11047.134403905988</v>
      </c>
      <c r="F299" s="306">
        <f t="shared" si="199"/>
        <v>0</v>
      </c>
      <c r="G299" s="306">
        <f t="shared" si="199"/>
        <v>0</v>
      </c>
      <c r="H299" s="309"/>
      <c r="I299" s="309"/>
      <c r="J299" s="309"/>
      <c r="K299" s="309">
        <f>D299</f>
        <v>11047.134403905988</v>
      </c>
      <c r="L299" s="309">
        <f>K299*10%</f>
        <v>1104.7134403905989</v>
      </c>
      <c r="M299" s="309"/>
      <c r="N299" s="309"/>
      <c r="O299" s="309"/>
      <c r="P299" s="309"/>
      <c r="Q299" s="309"/>
      <c r="R299" s="307"/>
      <c r="S299" s="306">
        <f t="shared" ref="S299:T299" si="200">S318+S337+S356+S375+S394+S413+S432+S451+S470+S489+S508+S527+S546</f>
        <v>-47.550000000000004</v>
      </c>
      <c r="T299" s="307">
        <f t="shared" si="200"/>
        <v>6951.8042782054481</v>
      </c>
    </row>
    <row r="300" spans="1:20" ht="33" customHeight="1">
      <c r="A300" s="325" t="s">
        <v>489</v>
      </c>
      <c r="B300" s="164" t="s">
        <v>522</v>
      </c>
      <c r="C300" s="320" t="s">
        <v>478</v>
      </c>
      <c r="D300" s="306">
        <f>SUM(E300:G300)</f>
        <v>476.31090224117668</v>
      </c>
      <c r="E300" s="306">
        <f t="shared" si="199"/>
        <v>0</v>
      </c>
      <c r="F300" s="306">
        <f t="shared" si="199"/>
        <v>0</v>
      </c>
      <c r="G300" s="306">
        <f t="shared" si="199"/>
        <v>476.31090224117668</v>
      </c>
      <c r="H300" s="309"/>
      <c r="I300" s="309"/>
      <c r="J300" s="309"/>
      <c r="K300" s="309">
        <f>D300</f>
        <v>476.31090224117668</v>
      </c>
      <c r="L300" s="309">
        <f>K300*10%</f>
        <v>47.631090224117671</v>
      </c>
      <c r="M300" s="309"/>
      <c r="N300" s="309"/>
      <c r="O300" s="309"/>
      <c r="P300" s="309"/>
      <c r="Q300" s="309"/>
      <c r="R300" s="307"/>
      <c r="S300" s="306">
        <f t="shared" ref="S300:T300" si="201">S319+S338+S357+S376+S395+S414+S433+S452+S471+S490+S509+S528+S547</f>
        <v>47.550000000000004</v>
      </c>
      <c r="T300" s="307">
        <f t="shared" si="201"/>
        <v>367.07692408764717</v>
      </c>
    </row>
    <row r="301" spans="1:20" ht="30" customHeight="1">
      <c r="A301" s="303" t="s">
        <v>481</v>
      </c>
      <c r="B301" s="326" t="s">
        <v>485</v>
      </c>
      <c r="C301" s="320" t="s">
        <v>488</v>
      </c>
      <c r="D301" s="307">
        <f>E301+G301+F301</f>
        <v>1036.4171562541808</v>
      </c>
      <c r="E301" s="307">
        <f t="shared" ref="E301:T301" si="202">SUM(E302:E306)</f>
        <v>799.45000000000016</v>
      </c>
      <c r="F301" s="307">
        <f t="shared" si="202"/>
        <v>0</v>
      </c>
      <c r="G301" s="307">
        <f t="shared" si="202"/>
        <v>236.96715625418062</v>
      </c>
      <c r="H301" s="307">
        <f t="shared" si="202"/>
        <v>0</v>
      </c>
      <c r="I301" s="307">
        <f t="shared" si="202"/>
        <v>1036.4171562541808</v>
      </c>
      <c r="J301" s="307">
        <f t="shared" si="202"/>
        <v>0</v>
      </c>
      <c r="K301" s="307">
        <f t="shared" si="202"/>
        <v>0</v>
      </c>
      <c r="L301" s="307">
        <f t="shared" si="202"/>
        <v>0</v>
      </c>
      <c r="M301" s="307">
        <f t="shared" si="202"/>
        <v>0</v>
      </c>
      <c r="N301" s="307">
        <f t="shared" si="202"/>
        <v>0</v>
      </c>
      <c r="O301" s="307">
        <f t="shared" si="202"/>
        <v>0</v>
      </c>
      <c r="P301" s="307">
        <f t="shared" si="202"/>
        <v>0</v>
      </c>
      <c r="Q301" s="307">
        <f t="shared" si="202"/>
        <v>0</v>
      </c>
      <c r="R301" s="307">
        <f t="shared" si="202"/>
        <v>1036.4171562541808</v>
      </c>
      <c r="S301" s="307">
        <f t="shared" si="202"/>
        <v>0</v>
      </c>
      <c r="T301" s="307">
        <f t="shared" si="202"/>
        <v>1036.4171562541808</v>
      </c>
    </row>
    <row r="302" spans="1:20" ht="30" customHeight="1">
      <c r="A302" s="325" t="s">
        <v>438</v>
      </c>
      <c r="B302" s="166" t="s">
        <v>280</v>
      </c>
      <c r="C302" s="320" t="s">
        <v>444</v>
      </c>
      <c r="D302" s="306">
        <f>E302+G302</f>
        <v>0</v>
      </c>
      <c r="E302" s="306">
        <f t="shared" ref="E302:G306" si="203">E321+E340+E359+E378+E397+E416+E435+E454+E473+E492+E511+E530+E549</f>
        <v>0</v>
      </c>
      <c r="F302" s="306">
        <f t="shared" si="203"/>
        <v>0</v>
      </c>
      <c r="G302" s="306">
        <f t="shared" si="203"/>
        <v>0</v>
      </c>
      <c r="H302" s="309"/>
      <c r="I302" s="309">
        <f>D302</f>
        <v>0</v>
      </c>
      <c r="J302" s="309"/>
      <c r="K302" s="309"/>
      <c r="L302" s="309">
        <f>K302*10%</f>
        <v>0</v>
      </c>
      <c r="M302" s="309"/>
      <c r="N302" s="309">
        <f>L302+M302</f>
        <v>0</v>
      </c>
      <c r="O302" s="309">
        <f>N302</f>
        <v>0</v>
      </c>
      <c r="P302" s="309">
        <f>N302-O302</f>
        <v>0</v>
      </c>
      <c r="Q302" s="309">
        <f>M302</f>
        <v>0</v>
      </c>
      <c r="R302" s="307">
        <f>D302-N302</f>
        <v>0</v>
      </c>
      <c r="S302" s="306">
        <f t="shared" ref="S302:T302" si="204">S321+S340+S359+S378+S397+S416+S435+S454+S473+S492+S511+S530+S549</f>
        <v>0</v>
      </c>
      <c r="T302" s="307">
        <f t="shared" si="204"/>
        <v>0</v>
      </c>
    </row>
    <row r="303" spans="1:20" ht="30" customHeight="1">
      <c r="A303" s="325" t="s">
        <v>438</v>
      </c>
      <c r="B303" s="166" t="s">
        <v>287</v>
      </c>
      <c r="C303" s="320" t="s">
        <v>488</v>
      </c>
      <c r="D303" s="306">
        <f>E303+G303+F303</f>
        <v>0</v>
      </c>
      <c r="E303" s="306">
        <f t="shared" si="203"/>
        <v>0</v>
      </c>
      <c r="F303" s="306">
        <f t="shared" si="203"/>
        <v>0</v>
      </c>
      <c r="G303" s="306">
        <f t="shared" si="203"/>
        <v>0</v>
      </c>
      <c r="H303" s="309"/>
      <c r="I303" s="309">
        <f>D303</f>
        <v>0</v>
      </c>
      <c r="J303" s="309"/>
      <c r="K303" s="309"/>
      <c r="L303" s="309">
        <f>K303*10%</f>
        <v>0</v>
      </c>
      <c r="M303" s="309"/>
      <c r="N303" s="309">
        <f>L303+M303</f>
        <v>0</v>
      </c>
      <c r="O303" s="309">
        <f>N303</f>
        <v>0</v>
      </c>
      <c r="P303" s="309">
        <f>N303-O303</f>
        <v>0</v>
      </c>
      <c r="Q303" s="309">
        <f>M303</f>
        <v>0</v>
      </c>
      <c r="R303" s="307">
        <f>D303-N303</f>
        <v>0</v>
      </c>
      <c r="S303" s="306">
        <f t="shared" ref="S303:T303" si="205">S322+S341+S360+S379+S398+S417+S436+S455+S474+S493+S512+S531+S550</f>
        <v>0</v>
      </c>
      <c r="T303" s="307">
        <f t="shared" si="205"/>
        <v>0</v>
      </c>
    </row>
    <row r="304" spans="1:20" ht="39" customHeight="1">
      <c r="A304" s="325" t="s">
        <v>438</v>
      </c>
      <c r="B304" s="166" t="s">
        <v>308</v>
      </c>
      <c r="C304" s="320" t="s">
        <v>488</v>
      </c>
      <c r="D304" s="306">
        <f>E304+G304</f>
        <v>233.28000000000003</v>
      </c>
      <c r="E304" s="306">
        <f t="shared" si="203"/>
        <v>169.44000000000003</v>
      </c>
      <c r="F304" s="306">
        <f t="shared" si="203"/>
        <v>0</v>
      </c>
      <c r="G304" s="306">
        <f t="shared" si="203"/>
        <v>63.84</v>
      </c>
      <c r="H304" s="309"/>
      <c r="I304" s="309">
        <f>D304</f>
        <v>233.28000000000003</v>
      </c>
      <c r="J304" s="309"/>
      <c r="K304" s="309"/>
      <c r="L304" s="309">
        <f>K304*10%</f>
        <v>0</v>
      </c>
      <c r="M304" s="309"/>
      <c r="N304" s="309">
        <f>L304+M304</f>
        <v>0</v>
      </c>
      <c r="O304" s="309">
        <f>N304</f>
        <v>0</v>
      </c>
      <c r="P304" s="309">
        <f>N304-O304</f>
        <v>0</v>
      </c>
      <c r="Q304" s="309">
        <f>M304</f>
        <v>0</v>
      </c>
      <c r="R304" s="307">
        <f>D304-N304</f>
        <v>233.28000000000003</v>
      </c>
      <c r="S304" s="306">
        <f t="shared" ref="S304:T304" si="206">S323+S342+S361+S380+S399+S418+S437+S456+S475+S494+S513+S532+S551</f>
        <v>0</v>
      </c>
      <c r="T304" s="307">
        <f t="shared" si="206"/>
        <v>233.28000000000003</v>
      </c>
    </row>
    <row r="305" spans="1:20" ht="36" customHeight="1">
      <c r="A305" s="325" t="s">
        <v>438</v>
      </c>
      <c r="B305" s="166" t="s">
        <v>495</v>
      </c>
      <c r="C305" s="320" t="s">
        <v>488</v>
      </c>
      <c r="D305" s="306">
        <f>E305+G305</f>
        <v>680.40000000000009</v>
      </c>
      <c r="E305" s="306">
        <f t="shared" si="203"/>
        <v>630.0100000000001</v>
      </c>
      <c r="F305" s="306">
        <f t="shared" si="203"/>
        <v>0</v>
      </c>
      <c r="G305" s="306">
        <f t="shared" si="203"/>
        <v>50.39</v>
      </c>
      <c r="H305" s="309"/>
      <c r="I305" s="309">
        <f>D305</f>
        <v>680.40000000000009</v>
      </c>
      <c r="J305" s="309"/>
      <c r="K305" s="309"/>
      <c r="L305" s="309">
        <f>K305*10%</f>
        <v>0</v>
      </c>
      <c r="M305" s="309"/>
      <c r="N305" s="309">
        <f>L305+M305</f>
        <v>0</v>
      </c>
      <c r="O305" s="309">
        <f>N305</f>
        <v>0</v>
      </c>
      <c r="P305" s="309">
        <f>N305-O305</f>
        <v>0</v>
      </c>
      <c r="Q305" s="309">
        <f>M305</f>
        <v>0</v>
      </c>
      <c r="R305" s="307">
        <f>D305-N305</f>
        <v>680.40000000000009</v>
      </c>
      <c r="S305" s="306">
        <f t="shared" ref="S305:T305" si="207">S324+S343+S362+S381+S400+S419+S438+S457+S476+S495+S514+S533+S552</f>
        <v>0</v>
      </c>
      <c r="T305" s="307">
        <f t="shared" si="207"/>
        <v>680.40000000000009</v>
      </c>
    </row>
    <row r="306" spans="1:20" ht="26.25" customHeight="1">
      <c r="A306" s="325" t="s">
        <v>438</v>
      </c>
      <c r="B306" s="166" t="s">
        <v>309</v>
      </c>
      <c r="C306" s="320" t="s">
        <v>478</v>
      </c>
      <c r="D306" s="306">
        <f>E306+G306</f>
        <v>122.73715625418062</v>
      </c>
      <c r="E306" s="306">
        <f t="shared" si="203"/>
        <v>0</v>
      </c>
      <c r="F306" s="306">
        <f t="shared" si="203"/>
        <v>0</v>
      </c>
      <c r="G306" s="306">
        <f t="shared" si="203"/>
        <v>122.73715625418062</v>
      </c>
      <c r="H306" s="309"/>
      <c r="I306" s="309">
        <f>D306</f>
        <v>122.73715625418062</v>
      </c>
      <c r="J306" s="309"/>
      <c r="K306" s="309"/>
      <c r="L306" s="309">
        <f>K306*10%</f>
        <v>0</v>
      </c>
      <c r="M306" s="309"/>
      <c r="N306" s="309">
        <f>L306+M306</f>
        <v>0</v>
      </c>
      <c r="O306" s="309">
        <f>N306</f>
        <v>0</v>
      </c>
      <c r="P306" s="309">
        <f>N306-O306</f>
        <v>0</v>
      </c>
      <c r="Q306" s="309">
        <f>M306</f>
        <v>0</v>
      </c>
      <c r="R306" s="307">
        <f>D306-N306</f>
        <v>122.73715625418062</v>
      </c>
      <c r="S306" s="306">
        <f t="shared" ref="S306:T306" si="208">S325+S344+S363+S382+S401+S420+S439+S458+S477+S496+S515+S534+S553</f>
        <v>0</v>
      </c>
      <c r="T306" s="307">
        <f t="shared" si="208"/>
        <v>122.73715625418062</v>
      </c>
    </row>
    <row r="307" spans="1:20" s="328" customFormat="1" ht="27.75" customHeight="1">
      <c r="A307" s="320">
        <v>1</v>
      </c>
      <c r="B307" s="321" t="s">
        <v>523</v>
      </c>
      <c r="C307" s="320" t="s">
        <v>488</v>
      </c>
      <c r="D307" s="322">
        <f>D308+D320</f>
        <v>6585.5465989428285</v>
      </c>
      <c r="E307" s="322">
        <f>E308+E320+0.001</f>
        <v>6281.1192648251817</v>
      </c>
      <c r="F307" s="322">
        <f t="shared" ref="F307:Q307" si="209">F308+F320</f>
        <v>0</v>
      </c>
      <c r="G307" s="322">
        <f t="shared" si="209"/>
        <v>304.42833411764707</v>
      </c>
      <c r="H307" s="322">
        <f t="shared" si="209"/>
        <v>5453.1500620374636</v>
      </c>
      <c r="I307" s="322">
        <f t="shared" si="209"/>
        <v>324.00000000000006</v>
      </c>
      <c r="J307" s="322">
        <f t="shared" si="209"/>
        <v>0</v>
      </c>
      <c r="K307" s="322">
        <f t="shared" si="209"/>
        <v>808.39653690536454</v>
      </c>
      <c r="L307" s="322">
        <f t="shared" si="209"/>
        <v>80.839653690536466</v>
      </c>
      <c r="M307" s="322">
        <f t="shared" si="209"/>
        <v>0</v>
      </c>
      <c r="N307" s="322">
        <f t="shared" si="209"/>
        <v>80.839653690536466</v>
      </c>
      <c r="O307" s="322">
        <f t="shared" si="209"/>
        <v>80.839653690536466</v>
      </c>
      <c r="P307" s="322">
        <f t="shared" si="209"/>
        <v>0</v>
      </c>
      <c r="Q307" s="322">
        <f t="shared" si="209"/>
        <v>0</v>
      </c>
      <c r="R307" s="322">
        <f>R308+R320</f>
        <v>6585.5465989428285</v>
      </c>
      <c r="S307" s="322">
        <f t="shared" ref="S307:T307" si="210">S308+S320</f>
        <v>0</v>
      </c>
      <c r="T307" s="322">
        <f t="shared" si="210"/>
        <v>6585.5465989428285</v>
      </c>
    </row>
    <row r="308" spans="1:20" ht="27.75" customHeight="1">
      <c r="A308" s="303" t="s">
        <v>481</v>
      </c>
      <c r="B308" s="323" t="s">
        <v>482</v>
      </c>
      <c r="C308" s="320" t="s">
        <v>488</v>
      </c>
      <c r="D308" s="307">
        <f>D309+D312+D315+D316+D317</f>
        <v>6261.5465989428285</v>
      </c>
      <c r="E308" s="307">
        <f t="shared" ref="E308:Q308" si="211">E309+E312+E315+E316+E317</f>
        <v>5981.1082648251813</v>
      </c>
      <c r="F308" s="307">
        <f t="shared" si="211"/>
        <v>0</v>
      </c>
      <c r="G308" s="307">
        <f t="shared" si="211"/>
        <v>280.43833411764706</v>
      </c>
      <c r="H308" s="307">
        <f t="shared" si="211"/>
        <v>5453.1500620374636</v>
      </c>
      <c r="I308" s="307">
        <f t="shared" si="211"/>
        <v>0</v>
      </c>
      <c r="J308" s="307">
        <f t="shared" si="211"/>
        <v>0</v>
      </c>
      <c r="K308" s="307">
        <f t="shared" si="211"/>
        <v>808.39653690536454</v>
      </c>
      <c r="L308" s="307">
        <f t="shared" si="211"/>
        <v>80.839653690536466</v>
      </c>
      <c r="M308" s="307">
        <f t="shared" si="211"/>
        <v>0</v>
      </c>
      <c r="N308" s="307">
        <f t="shared" si="211"/>
        <v>80.839653690536466</v>
      </c>
      <c r="O308" s="307">
        <f t="shared" si="211"/>
        <v>80.839653690536466</v>
      </c>
      <c r="P308" s="307">
        <f t="shared" si="211"/>
        <v>0</v>
      </c>
      <c r="Q308" s="307">
        <f t="shared" si="211"/>
        <v>0</v>
      </c>
      <c r="R308" s="307">
        <f>R309+R312+R315+R316+R317</f>
        <v>6261.5465989428285</v>
      </c>
      <c r="S308" s="307">
        <f t="shared" ref="S308:T308" si="212">S309+S312+S315+S316+S317</f>
        <v>0</v>
      </c>
      <c r="T308" s="307">
        <f t="shared" si="212"/>
        <v>6261.5465989428285</v>
      </c>
    </row>
    <row r="309" spans="1:20" ht="27.75" customHeight="1">
      <c r="A309" s="325" t="s">
        <v>438</v>
      </c>
      <c r="B309" s="164" t="s">
        <v>277</v>
      </c>
      <c r="C309" s="320" t="s">
        <v>488</v>
      </c>
      <c r="D309" s="306">
        <f t="shared" ref="D309:D315" si="213">SUM(E309:G309)</f>
        <v>4580.9137091304001</v>
      </c>
      <c r="E309" s="306">
        <f>SUM(E310:E311)</f>
        <v>4342.5411251304004</v>
      </c>
      <c r="F309" s="306">
        <f>SUM(F310:F311)</f>
        <v>0</v>
      </c>
      <c r="G309" s="306">
        <f>SUM(G310:G311)</f>
        <v>238.37258399999999</v>
      </c>
      <c r="H309" s="307">
        <f t="shared" ref="H309:H316" si="214">D309</f>
        <v>4580.9137091304001</v>
      </c>
      <c r="I309" s="309"/>
      <c r="J309" s="309"/>
      <c r="K309" s="309"/>
      <c r="L309" s="309">
        <f>K309*10%</f>
        <v>0</v>
      </c>
      <c r="M309" s="309"/>
      <c r="N309" s="309">
        <f>L309+M309</f>
        <v>0</v>
      </c>
      <c r="O309" s="309">
        <f>L309-P309</f>
        <v>0</v>
      </c>
      <c r="P309" s="309">
        <f>N309</f>
        <v>0</v>
      </c>
      <c r="Q309" s="309">
        <f>M309</f>
        <v>0</v>
      </c>
      <c r="R309" s="307">
        <f>SUM(R310:R311)</f>
        <v>4580.9137091304001</v>
      </c>
      <c r="S309" s="307">
        <f t="shared" ref="S309:T309" si="215">SUM(S310:S311)</f>
        <v>0</v>
      </c>
      <c r="T309" s="307">
        <f t="shared" si="215"/>
        <v>4580.9137091304001</v>
      </c>
    </row>
    <row r="310" spans="1:20" ht="27.75" customHeight="1">
      <c r="A310" s="325" t="s">
        <v>489</v>
      </c>
      <c r="B310" s="164" t="s">
        <v>490</v>
      </c>
      <c r="C310" s="320" t="s">
        <v>444</v>
      </c>
      <c r="D310" s="306">
        <f t="shared" si="213"/>
        <v>4342.5411251304004</v>
      </c>
      <c r="E310" s="306">
        <f>'[2] TL giao BC '!T336</f>
        <v>4342.5411251304004</v>
      </c>
      <c r="F310" s="306"/>
      <c r="G310" s="306"/>
      <c r="H310" s="307">
        <f t="shared" si="214"/>
        <v>4342.5411251304004</v>
      </c>
      <c r="I310" s="309"/>
      <c r="J310" s="309"/>
      <c r="K310" s="309"/>
      <c r="L310" s="309"/>
      <c r="M310" s="309"/>
      <c r="N310" s="309"/>
      <c r="O310" s="309"/>
      <c r="P310" s="309"/>
      <c r="Q310" s="309"/>
      <c r="R310" s="307">
        <f>D310-N310</f>
        <v>4342.5411251304004</v>
      </c>
      <c r="S310" s="307"/>
      <c r="T310" s="307">
        <f>R310+S310</f>
        <v>4342.5411251304004</v>
      </c>
    </row>
    <row r="311" spans="1:20" ht="27.75" customHeight="1">
      <c r="A311" s="325" t="s">
        <v>489</v>
      </c>
      <c r="B311" s="164" t="s">
        <v>305</v>
      </c>
      <c r="C311" s="320" t="s">
        <v>478</v>
      </c>
      <c r="D311" s="306">
        <f t="shared" si="213"/>
        <v>238.37258399999999</v>
      </c>
      <c r="E311" s="306"/>
      <c r="F311" s="306"/>
      <c r="G311" s="306">
        <f>'[2] TL giao BC tăng thêm'!T147</f>
        <v>238.37258399999999</v>
      </c>
      <c r="H311" s="307">
        <f t="shared" si="214"/>
        <v>238.37258399999999</v>
      </c>
      <c r="I311" s="309"/>
      <c r="J311" s="309"/>
      <c r="K311" s="309"/>
      <c r="L311" s="309"/>
      <c r="M311" s="309"/>
      <c r="N311" s="309"/>
      <c r="O311" s="309"/>
      <c r="P311" s="309"/>
      <c r="Q311" s="309"/>
      <c r="R311" s="307">
        <f>D311-N311</f>
        <v>238.37258399999999</v>
      </c>
      <c r="S311" s="307"/>
      <c r="T311" s="307">
        <f>R311+S311</f>
        <v>238.37258399999999</v>
      </c>
    </row>
    <row r="312" spans="1:20" ht="27.75" customHeight="1">
      <c r="A312" s="304" t="s">
        <v>438</v>
      </c>
      <c r="B312" s="166" t="s">
        <v>278</v>
      </c>
      <c r="C312" s="320" t="s">
        <v>444</v>
      </c>
      <c r="D312" s="306">
        <f t="shared" si="213"/>
        <v>953.07600659759999</v>
      </c>
      <c r="E312" s="306">
        <f>SUM(E313:E314)</f>
        <v>953.07600659759999</v>
      </c>
      <c r="F312" s="306">
        <f>SUM(F313:F314)</f>
        <v>0</v>
      </c>
      <c r="G312" s="306">
        <f>SUM(G313:G314)</f>
        <v>0</v>
      </c>
      <c r="H312" s="307">
        <f t="shared" si="214"/>
        <v>953.07600659759999</v>
      </c>
      <c r="I312" s="309"/>
      <c r="J312" s="309"/>
      <c r="K312" s="309"/>
      <c r="L312" s="309">
        <f>K312*10%</f>
        <v>0</v>
      </c>
      <c r="M312" s="309"/>
      <c r="N312" s="309">
        <f>L312+M312</f>
        <v>0</v>
      </c>
      <c r="O312" s="309">
        <f>L312-P312</f>
        <v>0</v>
      </c>
      <c r="P312" s="309">
        <f>N312</f>
        <v>0</v>
      </c>
      <c r="Q312" s="309">
        <f>M312</f>
        <v>0</v>
      </c>
      <c r="R312" s="307">
        <f>SUM(R313:R314)</f>
        <v>953.07600659759999</v>
      </c>
      <c r="S312" s="307">
        <f t="shared" ref="S312:T312" si="216">SUM(S313:S314)</f>
        <v>0</v>
      </c>
      <c r="T312" s="307">
        <f t="shared" si="216"/>
        <v>953.07600659759999</v>
      </c>
    </row>
    <row r="313" spans="1:20" ht="27.75" customHeight="1">
      <c r="A313" s="325" t="s">
        <v>489</v>
      </c>
      <c r="B313" s="166" t="s">
        <v>491</v>
      </c>
      <c r="C313" s="320" t="s">
        <v>444</v>
      </c>
      <c r="D313" s="306">
        <f t="shared" si="213"/>
        <v>903.4817105976</v>
      </c>
      <c r="E313" s="306">
        <f>'[2] TL giao BC '!U336</f>
        <v>903.4817105976</v>
      </c>
      <c r="F313" s="306"/>
      <c r="G313" s="306"/>
      <c r="H313" s="307">
        <f t="shared" si="214"/>
        <v>903.4817105976</v>
      </c>
      <c r="I313" s="309"/>
      <c r="J313" s="309"/>
      <c r="K313" s="309"/>
      <c r="L313" s="309"/>
      <c r="M313" s="309"/>
      <c r="N313" s="309"/>
      <c r="O313" s="309"/>
      <c r="P313" s="309"/>
      <c r="Q313" s="309"/>
      <c r="R313" s="307">
        <f>D313-N313</f>
        <v>903.4817105976</v>
      </c>
      <c r="S313" s="307"/>
      <c r="T313" s="307">
        <f t="shared" ref="T313:T314" si="217">R313+S313</f>
        <v>903.4817105976</v>
      </c>
    </row>
    <row r="314" spans="1:20" ht="27.75" customHeight="1">
      <c r="A314" s="325" t="s">
        <v>489</v>
      </c>
      <c r="B314" s="164" t="s">
        <v>492</v>
      </c>
      <c r="C314" s="320" t="s">
        <v>444</v>
      </c>
      <c r="D314" s="306">
        <f t="shared" si="213"/>
        <v>49.594296</v>
      </c>
      <c r="E314" s="306">
        <f>'[2] TL giao BC tăng thêm'!U147</f>
        <v>49.594296</v>
      </c>
      <c r="F314" s="306"/>
      <c r="G314" s="306"/>
      <c r="H314" s="307">
        <f t="shared" si="214"/>
        <v>49.594296</v>
      </c>
      <c r="I314" s="309"/>
      <c r="J314" s="309"/>
      <c r="K314" s="309"/>
      <c r="L314" s="309"/>
      <c r="M314" s="309"/>
      <c r="N314" s="309"/>
      <c r="O314" s="309"/>
      <c r="P314" s="309"/>
      <c r="Q314" s="309"/>
      <c r="R314" s="307">
        <f>D314-N314</f>
        <v>49.594296</v>
      </c>
      <c r="S314" s="307"/>
      <c r="T314" s="307">
        <f t="shared" si="217"/>
        <v>49.594296</v>
      </c>
    </row>
    <row r="315" spans="1:20" ht="27.75" customHeight="1">
      <c r="A315" s="325" t="s">
        <v>438</v>
      </c>
      <c r="B315" s="164" t="s">
        <v>483</v>
      </c>
      <c r="C315" s="320"/>
      <c r="D315" s="306">
        <f t="shared" si="213"/>
        <v>0</v>
      </c>
      <c r="E315" s="306"/>
      <c r="F315" s="306"/>
      <c r="G315" s="306"/>
      <c r="H315" s="307">
        <f t="shared" si="214"/>
        <v>0</v>
      </c>
      <c r="I315" s="309"/>
      <c r="J315" s="309"/>
      <c r="K315" s="309"/>
      <c r="L315" s="309"/>
      <c r="M315" s="309"/>
      <c r="N315" s="309"/>
      <c r="O315" s="309"/>
      <c r="P315" s="309"/>
      <c r="Q315" s="309"/>
      <c r="R315" s="307">
        <f>D315-N315</f>
        <v>0</v>
      </c>
      <c r="S315" s="307"/>
      <c r="T315" s="307"/>
    </row>
    <row r="316" spans="1:20" s="311" customFormat="1" ht="27.75" customHeight="1">
      <c r="A316" s="304" t="s">
        <v>438</v>
      </c>
      <c r="B316" s="166" t="s">
        <v>452</v>
      </c>
      <c r="C316" s="320" t="s">
        <v>488</v>
      </c>
      <c r="D316" s="306">
        <f>E316+G316</f>
        <v>-80.839653690536466</v>
      </c>
      <c r="E316" s="306">
        <f>-L317</f>
        <v>-80.839653690536466</v>
      </c>
      <c r="F316" s="306"/>
      <c r="G316" s="306"/>
      <c r="H316" s="307">
        <f t="shared" si="214"/>
        <v>-80.839653690536466</v>
      </c>
      <c r="I316" s="308"/>
      <c r="J316" s="308"/>
      <c r="K316" s="308"/>
      <c r="L316" s="309">
        <f>K316*10%</f>
        <v>0</v>
      </c>
      <c r="M316" s="309"/>
      <c r="N316" s="309">
        <f>L316+M316</f>
        <v>0</v>
      </c>
      <c r="O316" s="309">
        <f>L316-P316</f>
        <v>0</v>
      </c>
      <c r="P316" s="309">
        <f>N316</f>
        <v>0</v>
      </c>
      <c r="Q316" s="309">
        <f>M316</f>
        <v>0</v>
      </c>
      <c r="R316" s="307"/>
      <c r="S316" s="306"/>
      <c r="T316" s="307"/>
    </row>
    <row r="317" spans="1:20" ht="26.25" customHeight="1">
      <c r="A317" s="304" t="s">
        <v>438</v>
      </c>
      <c r="B317" s="166" t="s">
        <v>412</v>
      </c>
      <c r="C317" s="320" t="s">
        <v>488</v>
      </c>
      <c r="D317" s="306">
        <f>SUM(E317:G317)</f>
        <v>808.39653690536454</v>
      </c>
      <c r="E317" s="306">
        <f>SUM(E318:E319)</f>
        <v>766.33078678771744</v>
      </c>
      <c r="F317" s="306">
        <f>SUM(F318:F319)</f>
        <v>0</v>
      </c>
      <c r="G317" s="306">
        <f>SUM(G318:G319)</f>
        <v>42.06575011764707</v>
      </c>
      <c r="H317" s="309"/>
      <c r="I317" s="309"/>
      <c r="J317" s="309"/>
      <c r="K317" s="309">
        <f>SUM(K318:K319)</f>
        <v>808.39653690536454</v>
      </c>
      <c r="L317" s="309">
        <f>SUM(L318:L319)</f>
        <v>80.839653690536466</v>
      </c>
      <c r="M317" s="309"/>
      <c r="N317" s="309">
        <f>L317+M317</f>
        <v>80.839653690536466</v>
      </c>
      <c r="O317" s="309">
        <f>N317</f>
        <v>80.839653690536466</v>
      </c>
      <c r="P317" s="309">
        <f>N317-O317</f>
        <v>0</v>
      </c>
      <c r="Q317" s="309">
        <f>M317</f>
        <v>0</v>
      </c>
      <c r="R317" s="307">
        <f>D317-N317</f>
        <v>727.55688321482808</v>
      </c>
      <c r="S317" s="307">
        <f>SUM(S318:S319)</f>
        <v>0</v>
      </c>
      <c r="T317" s="307">
        <f>SUM(T318:T319)</f>
        <v>727.55688321482808</v>
      </c>
    </row>
    <row r="318" spans="1:20">
      <c r="A318" s="325" t="s">
        <v>489</v>
      </c>
      <c r="B318" s="166" t="s">
        <v>524</v>
      </c>
      <c r="C318" s="320" t="s">
        <v>444</v>
      </c>
      <c r="D318" s="306">
        <f>SUM(E318:G318)</f>
        <v>766.33078678771744</v>
      </c>
      <c r="E318" s="306">
        <f>'[2] TL giao BC '!Z336</f>
        <v>766.33078678771744</v>
      </c>
      <c r="F318" s="306"/>
      <c r="G318" s="306"/>
      <c r="H318" s="309"/>
      <c r="I318" s="309"/>
      <c r="J318" s="309"/>
      <c r="K318" s="309">
        <f>D318</f>
        <v>766.33078678771744</v>
      </c>
      <c r="L318" s="309">
        <f>K318*10%</f>
        <v>76.633078678771753</v>
      </c>
      <c r="M318" s="309"/>
      <c r="N318" s="309"/>
      <c r="O318" s="309"/>
      <c r="P318" s="309"/>
      <c r="Q318" s="309"/>
      <c r="R318" s="307"/>
      <c r="S318" s="307"/>
      <c r="T318" s="307">
        <f>K318-L318</f>
        <v>689.69770810894568</v>
      </c>
    </row>
    <row r="319" spans="1:20" ht="33" customHeight="1">
      <c r="A319" s="325" t="s">
        <v>489</v>
      </c>
      <c r="B319" s="164" t="s">
        <v>508</v>
      </c>
      <c r="C319" s="320" t="s">
        <v>478</v>
      </c>
      <c r="D319" s="306">
        <f>SUM(E319:G319)</f>
        <v>42.06575011764707</v>
      </c>
      <c r="E319" s="306"/>
      <c r="F319" s="306"/>
      <c r="G319" s="306">
        <f>'[2] TL giao BC tăng thêm'!X147</f>
        <v>42.06575011764707</v>
      </c>
      <c r="H319" s="309"/>
      <c r="I319" s="309"/>
      <c r="J319" s="309"/>
      <c r="K319" s="309">
        <f>D319</f>
        <v>42.06575011764707</v>
      </c>
      <c r="L319" s="309">
        <f>K319*10%</f>
        <v>4.2065750117647074</v>
      </c>
      <c r="M319" s="309"/>
      <c r="N319" s="309"/>
      <c r="O319" s="309"/>
      <c r="P319" s="309"/>
      <c r="Q319" s="309"/>
      <c r="R319" s="307"/>
      <c r="S319" s="307"/>
      <c r="T319" s="307">
        <f>K319-L319</f>
        <v>37.859175105882365</v>
      </c>
    </row>
    <row r="320" spans="1:20" ht="30" customHeight="1">
      <c r="A320" s="303" t="s">
        <v>481</v>
      </c>
      <c r="B320" s="326" t="s">
        <v>485</v>
      </c>
      <c r="C320" s="320" t="s">
        <v>488</v>
      </c>
      <c r="D320" s="307">
        <f>E320+G320+F320</f>
        <v>324.00000000000006</v>
      </c>
      <c r="E320" s="307">
        <f t="shared" ref="E320:T320" si="218">SUM(E321:E325)</f>
        <v>300.01000000000005</v>
      </c>
      <c r="F320" s="307">
        <f t="shared" si="218"/>
        <v>0</v>
      </c>
      <c r="G320" s="307">
        <f t="shared" si="218"/>
        <v>23.99</v>
      </c>
      <c r="H320" s="307">
        <f t="shared" si="218"/>
        <v>0</v>
      </c>
      <c r="I320" s="307">
        <f t="shared" si="218"/>
        <v>324.00000000000006</v>
      </c>
      <c r="J320" s="307">
        <f t="shared" si="218"/>
        <v>0</v>
      </c>
      <c r="K320" s="307">
        <f t="shared" si="218"/>
        <v>0</v>
      </c>
      <c r="L320" s="307">
        <f t="shared" si="218"/>
        <v>0</v>
      </c>
      <c r="M320" s="307">
        <f t="shared" si="218"/>
        <v>0</v>
      </c>
      <c r="N320" s="307">
        <f t="shared" si="218"/>
        <v>0</v>
      </c>
      <c r="O320" s="307">
        <f t="shared" si="218"/>
        <v>0</v>
      </c>
      <c r="P320" s="307">
        <f t="shared" si="218"/>
        <v>0</v>
      </c>
      <c r="Q320" s="307">
        <f t="shared" si="218"/>
        <v>0</v>
      </c>
      <c r="R320" s="307">
        <f t="shared" si="218"/>
        <v>324.00000000000006</v>
      </c>
      <c r="S320" s="307">
        <f t="shared" si="218"/>
        <v>0</v>
      </c>
      <c r="T320" s="307">
        <f t="shared" si="218"/>
        <v>324.00000000000006</v>
      </c>
    </row>
    <row r="321" spans="1:20" ht="30" customHeight="1">
      <c r="A321" s="325" t="s">
        <v>438</v>
      </c>
      <c r="B321" s="166" t="s">
        <v>280</v>
      </c>
      <c r="C321" s="320" t="s">
        <v>444</v>
      </c>
      <c r="D321" s="306">
        <f>E321+G321</f>
        <v>0</v>
      </c>
      <c r="E321" s="306"/>
      <c r="F321" s="306"/>
      <c r="G321" s="306"/>
      <c r="H321" s="309"/>
      <c r="I321" s="309">
        <f>D321</f>
        <v>0</v>
      </c>
      <c r="J321" s="309"/>
      <c r="K321" s="309"/>
      <c r="L321" s="309">
        <f>K321*10%</f>
        <v>0</v>
      </c>
      <c r="M321" s="309"/>
      <c r="N321" s="309">
        <f>L321+M321</f>
        <v>0</v>
      </c>
      <c r="O321" s="309">
        <f>N321</f>
        <v>0</v>
      </c>
      <c r="P321" s="309">
        <f>N321-O321</f>
        <v>0</v>
      </c>
      <c r="Q321" s="309">
        <f>M321</f>
        <v>0</v>
      </c>
      <c r="R321" s="307">
        <f>D321-N321</f>
        <v>0</v>
      </c>
      <c r="S321" s="307"/>
      <c r="T321" s="307">
        <f>R321+S321</f>
        <v>0</v>
      </c>
    </row>
    <row r="322" spans="1:20" ht="30" customHeight="1">
      <c r="A322" s="325" t="s">
        <v>438</v>
      </c>
      <c r="B322" s="166" t="s">
        <v>287</v>
      </c>
      <c r="C322" s="320" t="s">
        <v>488</v>
      </c>
      <c r="D322" s="306">
        <f>E322+G322+F322</f>
        <v>0</v>
      </c>
      <c r="E322" s="306"/>
      <c r="F322" s="306"/>
      <c r="G322" s="306"/>
      <c r="H322" s="309"/>
      <c r="I322" s="309">
        <f>D322</f>
        <v>0</v>
      </c>
      <c r="J322" s="309"/>
      <c r="K322" s="309"/>
      <c r="L322" s="309">
        <f>K322*10%</f>
        <v>0</v>
      </c>
      <c r="M322" s="309"/>
      <c r="N322" s="309">
        <f>L322+M322</f>
        <v>0</v>
      </c>
      <c r="O322" s="309">
        <f>N322</f>
        <v>0</v>
      </c>
      <c r="P322" s="309">
        <f>N322-O322</f>
        <v>0</v>
      </c>
      <c r="Q322" s="309">
        <f>M322</f>
        <v>0</v>
      </c>
      <c r="R322" s="307">
        <f>D322-N322</f>
        <v>0</v>
      </c>
      <c r="S322" s="307"/>
      <c r="T322" s="307">
        <f t="shared" ref="T322:T325" si="219">R322+S322</f>
        <v>0</v>
      </c>
    </row>
    <row r="323" spans="1:20" ht="39" customHeight="1">
      <c r="A323" s="325" t="s">
        <v>438</v>
      </c>
      <c r="B323" s="166" t="s">
        <v>308</v>
      </c>
      <c r="C323" s="320" t="s">
        <v>488</v>
      </c>
      <c r="D323" s="306">
        <f>E323+G323</f>
        <v>0</v>
      </c>
      <c r="E323" s="306"/>
      <c r="F323" s="306"/>
      <c r="G323" s="306"/>
      <c r="H323" s="309"/>
      <c r="I323" s="309">
        <f>D323</f>
        <v>0</v>
      </c>
      <c r="J323" s="309"/>
      <c r="K323" s="309"/>
      <c r="L323" s="309">
        <f>K323*10%</f>
        <v>0</v>
      </c>
      <c r="M323" s="309"/>
      <c r="N323" s="309">
        <f>L323+M323</f>
        <v>0</v>
      </c>
      <c r="O323" s="309">
        <f>N323</f>
        <v>0</v>
      </c>
      <c r="P323" s="309">
        <f>N323-O323</f>
        <v>0</v>
      </c>
      <c r="Q323" s="309">
        <f>M323</f>
        <v>0</v>
      </c>
      <c r="R323" s="307">
        <f>D323-N323</f>
        <v>0</v>
      </c>
      <c r="S323" s="307"/>
      <c r="T323" s="307">
        <f t="shared" si="219"/>
        <v>0</v>
      </c>
    </row>
    <row r="324" spans="1:20" ht="36" customHeight="1">
      <c r="A324" s="325" t="s">
        <v>438</v>
      </c>
      <c r="B324" s="166" t="s">
        <v>495</v>
      </c>
      <c r="C324" s="320" t="s">
        <v>488</v>
      </c>
      <c r="D324" s="306">
        <f>E324+G324</f>
        <v>324.00000000000006</v>
      </c>
      <c r="E324" s="306">
        <f>'[2]CS giáo dục '!BG15</f>
        <v>300.01000000000005</v>
      </c>
      <c r="F324" s="306"/>
      <c r="G324" s="306">
        <f>'[2]CS giáo dục '!BI15</f>
        <v>23.99</v>
      </c>
      <c r="H324" s="309"/>
      <c r="I324" s="309">
        <f>D324</f>
        <v>324.00000000000006</v>
      </c>
      <c r="J324" s="309"/>
      <c r="K324" s="309"/>
      <c r="L324" s="309">
        <f>K324*10%</f>
        <v>0</v>
      </c>
      <c r="M324" s="309"/>
      <c r="N324" s="309">
        <f>L324+M324</f>
        <v>0</v>
      </c>
      <c r="O324" s="309">
        <f>N324</f>
        <v>0</v>
      </c>
      <c r="P324" s="309">
        <f>N324-O324</f>
        <v>0</v>
      </c>
      <c r="Q324" s="309">
        <f>M324</f>
        <v>0</v>
      </c>
      <c r="R324" s="307">
        <f>D324-N324</f>
        <v>324.00000000000006</v>
      </c>
      <c r="S324" s="307"/>
      <c r="T324" s="307">
        <f t="shared" si="219"/>
        <v>324.00000000000006</v>
      </c>
    </row>
    <row r="325" spans="1:20" ht="26.25" customHeight="1">
      <c r="A325" s="325" t="s">
        <v>438</v>
      </c>
      <c r="B325" s="166" t="s">
        <v>309</v>
      </c>
      <c r="C325" s="320" t="s">
        <v>478</v>
      </c>
      <c r="D325" s="306">
        <f>E325+G325</f>
        <v>0</v>
      </c>
      <c r="E325" s="306"/>
      <c r="F325" s="306"/>
      <c r="G325" s="306"/>
      <c r="H325" s="309"/>
      <c r="I325" s="309">
        <f>D325</f>
        <v>0</v>
      </c>
      <c r="J325" s="309"/>
      <c r="K325" s="309"/>
      <c r="L325" s="309">
        <f>K325*10%</f>
        <v>0</v>
      </c>
      <c r="M325" s="309"/>
      <c r="N325" s="309">
        <f>L325+M325</f>
        <v>0</v>
      </c>
      <c r="O325" s="309">
        <f>N325</f>
        <v>0</v>
      </c>
      <c r="P325" s="309">
        <f>N325-O325</f>
        <v>0</v>
      </c>
      <c r="Q325" s="309">
        <f>M325</f>
        <v>0</v>
      </c>
      <c r="R325" s="307">
        <f>D325-N325</f>
        <v>0</v>
      </c>
      <c r="S325" s="307"/>
      <c r="T325" s="307">
        <f t="shared" si="219"/>
        <v>0</v>
      </c>
    </row>
    <row r="326" spans="1:20" s="328" customFormat="1" ht="27.75" customHeight="1">
      <c r="A326" s="320">
        <v>2</v>
      </c>
      <c r="B326" s="321" t="s">
        <v>525</v>
      </c>
      <c r="C326" s="320" t="s">
        <v>488</v>
      </c>
      <c r="D326" s="322">
        <f>D327+D339</f>
        <v>5060.7689491683532</v>
      </c>
      <c r="E326" s="322">
        <f t="shared" ref="E326:Q326" si="220">E327+E339</f>
        <v>4868.9312738742356</v>
      </c>
      <c r="F326" s="322">
        <f t="shared" si="220"/>
        <v>0</v>
      </c>
      <c r="G326" s="322">
        <f t="shared" si="220"/>
        <v>191.83767529411767</v>
      </c>
      <c r="H326" s="322">
        <f t="shared" si="220"/>
        <v>4407.3987269812942</v>
      </c>
      <c r="I326" s="322">
        <f t="shared" si="220"/>
        <v>0</v>
      </c>
      <c r="J326" s="322">
        <f t="shared" si="220"/>
        <v>0</v>
      </c>
      <c r="K326" s="322">
        <f t="shared" si="220"/>
        <v>653.37022218705886</v>
      </c>
      <c r="L326" s="322">
        <f t="shared" si="220"/>
        <v>65.337022218705883</v>
      </c>
      <c r="M326" s="322">
        <f t="shared" si="220"/>
        <v>0</v>
      </c>
      <c r="N326" s="322">
        <f t="shared" si="220"/>
        <v>65.337022218705883</v>
      </c>
      <c r="O326" s="322">
        <f t="shared" si="220"/>
        <v>65.337022218705883</v>
      </c>
      <c r="P326" s="322">
        <f t="shared" si="220"/>
        <v>0</v>
      </c>
      <c r="Q326" s="322">
        <f t="shared" si="220"/>
        <v>0</v>
      </c>
      <c r="R326" s="322">
        <f>R327+R339</f>
        <v>5060.7689491683532</v>
      </c>
      <c r="S326" s="322">
        <f t="shared" ref="S326:T326" si="221">S327+S339</f>
        <v>0</v>
      </c>
      <c r="T326" s="322">
        <f t="shared" si="221"/>
        <v>5060.7689491683532</v>
      </c>
    </row>
    <row r="327" spans="1:20" ht="27.75" customHeight="1">
      <c r="A327" s="303" t="s">
        <v>481</v>
      </c>
      <c r="B327" s="323" t="s">
        <v>482</v>
      </c>
      <c r="C327" s="320" t="s">
        <v>488</v>
      </c>
      <c r="D327" s="307">
        <f>D328+D331+D334+D335+D336</f>
        <v>5060.7689491683532</v>
      </c>
      <c r="E327" s="307">
        <f t="shared" ref="E327:Q327" si="222">E328+E331+E334+E335+E336</f>
        <v>4868.9312738742356</v>
      </c>
      <c r="F327" s="307">
        <f t="shared" si="222"/>
        <v>0</v>
      </c>
      <c r="G327" s="307">
        <f t="shared" si="222"/>
        <v>191.83767529411767</v>
      </c>
      <c r="H327" s="307">
        <f t="shared" si="222"/>
        <v>4407.3987269812942</v>
      </c>
      <c r="I327" s="307">
        <f t="shared" si="222"/>
        <v>0</v>
      </c>
      <c r="J327" s="307">
        <f t="shared" si="222"/>
        <v>0</v>
      </c>
      <c r="K327" s="307">
        <f t="shared" si="222"/>
        <v>653.37022218705886</v>
      </c>
      <c r="L327" s="307">
        <f t="shared" si="222"/>
        <v>65.337022218705883</v>
      </c>
      <c r="M327" s="307">
        <f t="shared" si="222"/>
        <v>0</v>
      </c>
      <c r="N327" s="307">
        <f t="shared" si="222"/>
        <v>65.337022218705883</v>
      </c>
      <c r="O327" s="307">
        <f t="shared" si="222"/>
        <v>65.337022218705883</v>
      </c>
      <c r="P327" s="307">
        <f t="shared" si="222"/>
        <v>0</v>
      </c>
      <c r="Q327" s="307">
        <f t="shared" si="222"/>
        <v>0</v>
      </c>
      <c r="R327" s="307">
        <f>R328+R331+R334+R335+R336</f>
        <v>5060.7689491683532</v>
      </c>
      <c r="S327" s="307">
        <f t="shared" ref="S327:T327" si="223">S328+S331+S334+S335+S336</f>
        <v>0</v>
      </c>
      <c r="T327" s="307">
        <f t="shared" si="223"/>
        <v>5060.7689491683532</v>
      </c>
    </row>
    <row r="328" spans="1:20" ht="27.75" customHeight="1">
      <c r="A328" s="325" t="s">
        <v>438</v>
      </c>
      <c r="B328" s="164" t="s">
        <v>277</v>
      </c>
      <c r="C328" s="320" t="s">
        <v>488</v>
      </c>
      <c r="D328" s="306">
        <f t="shared" ref="D328:D334" si="224">SUM(E328:G328)</f>
        <v>3702.4312590600002</v>
      </c>
      <c r="E328" s="306">
        <f>SUM(E329:E330)</f>
        <v>3539.3692350600004</v>
      </c>
      <c r="F328" s="306">
        <f>SUM(F329:F330)</f>
        <v>0</v>
      </c>
      <c r="G328" s="306">
        <f>SUM(G329:G330)</f>
        <v>163.06202400000001</v>
      </c>
      <c r="H328" s="307">
        <f t="shared" ref="H328:H335" si="225">D328</f>
        <v>3702.4312590600002</v>
      </c>
      <c r="I328" s="309"/>
      <c r="J328" s="309"/>
      <c r="K328" s="309"/>
      <c r="L328" s="309">
        <f>K328*10%</f>
        <v>0</v>
      </c>
      <c r="M328" s="309"/>
      <c r="N328" s="309">
        <f>L328+M328</f>
        <v>0</v>
      </c>
      <c r="O328" s="309">
        <f>L328-P328</f>
        <v>0</v>
      </c>
      <c r="P328" s="309">
        <f>N328</f>
        <v>0</v>
      </c>
      <c r="Q328" s="309">
        <f>M328</f>
        <v>0</v>
      </c>
      <c r="R328" s="307">
        <f>SUM(R329:R330)</f>
        <v>3702.4312590600002</v>
      </c>
      <c r="S328" s="307">
        <f t="shared" ref="S328:T328" si="226">SUM(S329:S330)</f>
        <v>0</v>
      </c>
      <c r="T328" s="307">
        <f t="shared" si="226"/>
        <v>3702.4312590600002</v>
      </c>
    </row>
    <row r="329" spans="1:20" ht="27.75" customHeight="1">
      <c r="A329" s="325" t="s">
        <v>489</v>
      </c>
      <c r="B329" s="164" t="s">
        <v>490</v>
      </c>
      <c r="C329" s="320" t="s">
        <v>444</v>
      </c>
      <c r="D329" s="306">
        <f t="shared" si="224"/>
        <v>3539.3692350600004</v>
      </c>
      <c r="E329" s="306">
        <f>'[2] TL giao BC '!T364</f>
        <v>3539.3692350600004</v>
      </c>
      <c r="F329" s="306"/>
      <c r="G329" s="306"/>
      <c r="H329" s="307">
        <f t="shared" si="225"/>
        <v>3539.3692350600004</v>
      </c>
      <c r="I329" s="309"/>
      <c r="J329" s="309"/>
      <c r="K329" s="309"/>
      <c r="L329" s="309"/>
      <c r="M329" s="309"/>
      <c r="N329" s="309"/>
      <c r="O329" s="309"/>
      <c r="P329" s="309"/>
      <c r="Q329" s="309"/>
      <c r="R329" s="307">
        <f>D329-N329</f>
        <v>3539.3692350600004</v>
      </c>
      <c r="S329" s="307"/>
      <c r="T329" s="307">
        <f>R329+S329</f>
        <v>3539.3692350600004</v>
      </c>
    </row>
    <row r="330" spans="1:20" ht="27.75" customHeight="1">
      <c r="A330" s="325" t="s">
        <v>489</v>
      </c>
      <c r="B330" s="164" t="s">
        <v>305</v>
      </c>
      <c r="C330" s="320" t="s">
        <v>478</v>
      </c>
      <c r="D330" s="306">
        <f t="shared" si="224"/>
        <v>163.06202400000001</v>
      </c>
      <c r="E330" s="306"/>
      <c r="F330" s="306"/>
      <c r="G330" s="306">
        <f>'[2] TL giao BC tăng thêm'!T149</f>
        <v>163.06202400000001</v>
      </c>
      <c r="H330" s="307">
        <f t="shared" si="225"/>
        <v>163.06202400000001</v>
      </c>
      <c r="I330" s="309"/>
      <c r="J330" s="309"/>
      <c r="K330" s="309"/>
      <c r="L330" s="309"/>
      <c r="M330" s="309"/>
      <c r="N330" s="309"/>
      <c r="O330" s="309"/>
      <c r="P330" s="309"/>
      <c r="Q330" s="309"/>
      <c r="R330" s="307">
        <f>D330-N330</f>
        <v>163.06202400000001</v>
      </c>
      <c r="S330" s="307"/>
      <c r="T330" s="307">
        <f>R330+S330</f>
        <v>163.06202400000001</v>
      </c>
    </row>
    <row r="331" spans="1:20" ht="27.75" customHeight="1">
      <c r="A331" s="304" t="s">
        <v>438</v>
      </c>
      <c r="B331" s="166" t="s">
        <v>278</v>
      </c>
      <c r="C331" s="320" t="s">
        <v>444</v>
      </c>
      <c r="D331" s="306">
        <f t="shared" si="224"/>
        <v>770.3044901400001</v>
      </c>
      <c r="E331" s="306">
        <f>SUM(E332:E333)</f>
        <v>770.3044901400001</v>
      </c>
      <c r="F331" s="306">
        <f>SUM(F332:F333)</f>
        <v>0</v>
      </c>
      <c r="G331" s="306">
        <f>SUM(G332:G333)</f>
        <v>0</v>
      </c>
      <c r="H331" s="307">
        <f t="shared" si="225"/>
        <v>770.3044901400001</v>
      </c>
      <c r="I331" s="309"/>
      <c r="J331" s="309"/>
      <c r="K331" s="309"/>
      <c r="L331" s="309">
        <f>K331*10%</f>
        <v>0</v>
      </c>
      <c r="M331" s="309"/>
      <c r="N331" s="309">
        <f>L331+M331</f>
        <v>0</v>
      </c>
      <c r="O331" s="309">
        <f>L331-P331</f>
        <v>0</v>
      </c>
      <c r="P331" s="309">
        <f>N331</f>
        <v>0</v>
      </c>
      <c r="Q331" s="309">
        <f>M331</f>
        <v>0</v>
      </c>
      <c r="R331" s="307">
        <f>SUM(R332:R333)</f>
        <v>770.3044901400001</v>
      </c>
      <c r="S331" s="307">
        <f t="shared" ref="S331:T331" si="227">SUM(S332:S333)</f>
        <v>0</v>
      </c>
      <c r="T331" s="307">
        <f t="shared" si="227"/>
        <v>770.3044901400001</v>
      </c>
    </row>
    <row r="332" spans="1:20" ht="27.75" customHeight="1">
      <c r="A332" s="325" t="s">
        <v>489</v>
      </c>
      <c r="B332" s="166" t="s">
        <v>491</v>
      </c>
      <c r="C332" s="320" t="s">
        <v>444</v>
      </c>
      <c r="D332" s="306">
        <f t="shared" si="224"/>
        <v>736.37883414000009</v>
      </c>
      <c r="E332" s="306">
        <f>'[2] TL giao BC '!U364</f>
        <v>736.37883414000009</v>
      </c>
      <c r="F332" s="306"/>
      <c r="G332" s="306"/>
      <c r="H332" s="307">
        <f t="shared" si="225"/>
        <v>736.37883414000009</v>
      </c>
      <c r="I332" s="309"/>
      <c r="J332" s="309"/>
      <c r="K332" s="309"/>
      <c r="L332" s="309"/>
      <c r="M332" s="309"/>
      <c r="N332" s="309"/>
      <c r="O332" s="309"/>
      <c r="P332" s="309"/>
      <c r="Q332" s="309"/>
      <c r="R332" s="307">
        <f>D332-N332</f>
        <v>736.37883414000009</v>
      </c>
      <c r="S332" s="307"/>
      <c r="T332" s="307">
        <f>R332+S332</f>
        <v>736.37883414000009</v>
      </c>
    </row>
    <row r="333" spans="1:20" ht="27.75" customHeight="1">
      <c r="A333" s="325" t="s">
        <v>489</v>
      </c>
      <c r="B333" s="164" t="s">
        <v>492</v>
      </c>
      <c r="C333" s="320" t="s">
        <v>444</v>
      </c>
      <c r="D333" s="306">
        <f t="shared" si="224"/>
        <v>33.925655999999996</v>
      </c>
      <c r="E333" s="306">
        <f>'[2] TL giao BC tăng thêm'!U149</f>
        <v>33.925655999999996</v>
      </c>
      <c r="F333" s="306"/>
      <c r="G333" s="306"/>
      <c r="H333" s="307">
        <f t="shared" si="225"/>
        <v>33.925655999999996</v>
      </c>
      <c r="I333" s="309"/>
      <c r="J333" s="309"/>
      <c r="K333" s="309"/>
      <c r="L333" s="309"/>
      <c r="M333" s="309"/>
      <c r="N333" s="309"/>
      <c r="O333" s="309"/>
      <c r="P333" s="309"/>
      <c r="Q333" s="309"/>
      <c r="R333" s="307">
        <f>D333-N333</f>
        <v>33.925655999999996</v>
      </c>
      <c r="S333" s="307"/>
      <c r="T333" s="307">
        <f>R333+S333</f>
        <v>33.925655999999996</v>
      </c>
    </row>
    <row r="334" spans="1:20" ht="27.75" customHeight="1">
      <c r="A334" s="325" t="s">
        <v>438</v>
      </c>
      <c r="B334" s="164" t="s">
        <v>483</v>
      </c>
      <c r="C334" s="320"/>
      <c r="D334" s="306">
        <f t="shared" si="224"/>
        <v>0</v>
      </c>
      <c r="E334" s="306"/>
      <c r="F334" s="306"/>
      <c r="G334" s="306"/>
      <c r="H334" s="307">
        <f t="shared" si="225"/>
        <v>0</v>
      </c>
      <c r="I334" s="309"/>
      <c r="J334" s="309"/>
      <c r="K334" s="309"/>
      <c r="L334" s="309"/>
      <c r="M334" s="309"/>
      <c r="N334" s="309"/>
      <c r="O334" s="309"/>
      <c r="P334" s="309"/>
      <c r="Q334" s="309"/>
      <c r="R334" s="307">
        <f>D334-N334</f>
        <v>0</v>
      </c>
      <c r="S334" s="307"/>
      <c r="T334" s="307"/>
    </row>
    <row r="335" spans="1:20" s="311" customFormat="1" ht="27.75" customHeight="1">
      <c r="A335" s="304" t="s">
        <v>438</v>
      </c>
      <c r="B335" s="166" t="s">
        <v>452</v>
      </c>
      <c r="C335" s="320" t="s">
        <v>488</v>
      </c>
      <c r="D335" s="306">
        <f>E335+G335</f>
        <v>-65.337022218705883</v>
      </c>
      <c r="E335" s="306">
        <f>-L336</f>
        <v>-65.337022218705883</v>
      </c>
      <c r="F335" s="306"/>
      <c r="G335" s="306"/>
      <c r="H335" s="307">
        <f t="shared" si="225"/>
        <v>-65.337022218705883</v>
      </c>
      <c r="I335" s="308"/>
      <c r="J335" s="308"/>
      <c r="K335" s="308"/>
      <c r="L335" s="309">
        <f>K335*10%</f>
        <v>0</v>
      </c>
      <c r="M335" s="309"/>
      <c r="N335" s="309">
        <f>L335+M335</f>
        <v>0</v>
      </c>
      <c r="O335" s="309">
        <f>L335-P335</f>
        <v>0</v>
      </c>
      <c r="P335" s="309">
        <f>N335</f>
        <v>0</v>
      </c>
      <c r="Q335" s="309">
        <f>M335</f>
        <v>0</v>
      </c>
      <c r="R335" s="307"/>
      <c r="S335" s="306"/>
      <c r="T335" s="307"/>
    </row>
    <row r="336" spans="1:20" ht="26.25" customHeight="1">
      <c r="A336" s="304" t="s">
        <v>438</v>
      </c>
      <c r="B336" s="166" t="s">
        <v>412</v>
      </c>
      <c r="C336" s="320" t="s">
        <v>488</v>
      </c>
      <c r="D336" s="306">
        <f>SUM(E336:G336)</f>
        <v>653.37022218705886</v>
      </c>
      <c r="E336" s="306">
        <f>SUM(E337:E338)</f>
        <v>624.59457089294119</v>
      </c>
      <c r="F336" s="306">
        <f>SUM(F337:F338)</f>
        <v>0</v>
      </c>
      <c r="G336" s="306">
        <f>SUM(G337:G338)</f>
        <v>28.775651294117665</v>
      </c>
      <c r="H336" s="309"/>
      <c r="I336" s="309"/>
      <c r="J336" s="309"/>
      <c r="K336" s="309">
        <f>SUM(K337:K338)</f>
        <v>653.37022218705886</v>
      </c>
      <c r="L336" s="309">
        <f>SUM(L337:L338)</f>
        <v>65.337022218705883</v>
      </c>
      <c r="M336" s="309"/>
      <c r="N336" s="309">
        <f>L336+M336</f>
        <v>65.337022218705883</v>
      </c>
      <c r="O336" s="309">
        <f>N336</f>
        <v>65.337022218705883</v>
      </c>
      <c r="P336" s="309">
        <f>N336-O336</f>
        <v>0</v>
      </c>
      <c r="Q336" s="309">
        <f>M336</f>
        <v>0</v>
      </c>
      <c r="R336" s="307">
        <f>D336-N336</f>
        <v>588.03319996835296</v>
      </c>
      <c r="S336" s="307">
        <f>SUM(S337:S338)</f>
        <v>0</v>
      </c>
      <c r="T336" s="307">
        <f>SUM(T337:T338)</f>
        <v>588.03319996835296</v>
      </c>
    </row>
    <row r="337" spans="1:20" ht="39" customHeight="1">
      <c r="A337" s="325" t="s">
        <v>489</v>
      </c>
      <c r="B337" s="166" t="s">
        <v>526</v>
      </c>
      <c r="C337" s="320" t="s">
        <v>444</v>
      </c>
      <c r="D337" s="306">
        <f>SUM(E337:G337)</f>
        <v>624.59457089294119</v>
      </c>
      <c r="E337" s="306">
        <f>'[2] TL giao BC '!Z364</f>
        <v>624.59457089294119</v>
      </c>
      <c r="F337" s="306"/>
      <c r="G337" s="306"/>
      <c r="H337" s="309"/>
      <c r="I337" s="309"/>
      <c r="J337" s="309"/>
      <c r="K337" s="309">
        <f>D337</f>
        <v>624.59457089294119</v>
      </c>
      <c r="L337" s="309">
        <f>K337*10%</f>
        <v>62.459457089294119</v>
      </c>
      <c r="M337" s="309"/>
      <c r="N337" s="309"/>
      <c r="O337" s="309"/>
      <c r="P337" s="309"/>
      <c r="Q337" s="309"/>
      <c r="R337" s="307"/>
      <c r="S337" s="307"/>
      <c r="T337" s="307">
        <f>K337-L337</f>
        <v>562.13511380364707</v>
      </c>
    </row>
    <row r="338" spans="1:20" ht="33" customHeight="1">
      <c r="A338" s="325" t="s">
        <v>489</v>
      </c>
      <c r="B338" s="164" t="s">
        <v>508</v>
      </c>
      <c r="C338" s="320" t="s">
        <v>478</v>
      </c>
      <c r="D338" s="306">
        <f>SUM(E338:G338)</f>
        <v>28.775651294117665</v>
      </c>
      <c r="E338" s="306"/>
      <c r="F338" s="306"/>
      <c r="G338" s="306">
        <f>'[2] TL giao BC tăng thêm'!X149</f>
        <v>28.775651294117665</v>
      </c>
      <c r="H338" s="309"/>
      <c r="I338" s="309"/>
      <c r="J338" s="309"/>
      <c r="K338" s="309">
        <f>D338</f>
        <v>28.775651294117665</v>
      </c>
      <c r="L338" s="309">
        <f>K338*10%</f>
        <v>2.8775651294117668</v>
      </c>
      <c r="M338" s="309"/>
      <c r="N338" s="309"/>
      <c r="O338" s="309"/>
      <c r="P338" s="309"/>
      <c r="Q338" s="309"/>
      <c r="R338" s="307"/>
      <c r="S338" s="307"/>
      <c r="T338" s="307">
        <f>K338-L338</f>
        <v>25.898086164705898</v>
      </c>
    </row>
    <row r="339" spans="1:20" ht="30" customHeight="1">
      <c r="A339" s="303" t="s">
        <v>481</v>
      </c>
      <c r="B339" s="326" t="s">
        <v>485</v>
      </c>
      <c r="C339" s="320" t="s">
        <v>488</v>
      </c>
      <c r="D339" s="307">
        <f>E339+G339+F339</f>
        <v>0</v>
      </c>
      <c r="E339" s="307">
        <f t="shared" ref="E339:T339" si="228">SUM(E340:E344)</f>
        <v>0</v>
      </c>
      <c r="F339" s="307">
        <f t="shared" si="228"/>
        <v>0</v>
      </c>
      <c r="G339" s="307">
        <f t="shared" si="228"/>
        <v>0</v>
      </c>
      <c r="H339" s="307">
        <f t="shared" si="228"/>
        <v>0</v>
      </c>
      <c r="I339" s="307">
        <f t="shared" si="228"/>
        <v>0</v>
      </c>
      <c r="J339" s="307">
        <f t="shared" si="228"/>
        <v>0</v>
      </c>
      <c r="K339" s="307">
        <f t="shared" si="228"/>
        <v>0</v>
      </c>
      <c r="L339" s="307">
        <f t="shared" si="228"/>
        <v>0</v>
      </c>
      <c r="M339" s="307">
        <f t="shared" si="228"/>
        <v>0</v>
      </c>
      <c r="N339" s="307">
        <f t="shared" si="228"/>
        <v>0</v>
      </c>
      <c r="O339" s="307">
        <f t="shared" si="228"/>
        <v>0</v>
      </c>
      <c r="P339" s="307">
        <f t="shared" si="228"/>
        <v>0</v>
      </c>
      <c r="Q339" s="307">
        <f t="shared" si="228"/>
        <v>0</v>
      </c>
      <c r="R339" s="307">
        <f t="shared" si="228"/>
        <v>0</v>
      </c>
      <c r="S339" s="307">
        <f t="shared" si="228"/>
        <v>0</v>
      </c>
      <c r="T339" s="307">
        <f t="shared" si="228"/>
        <v>0</v>
      </c>
    </row>
    <row r="340" spans="1:20" ht="30" customHeight="1">
      <c r="A340" s="325" t="s">
        <v>438</v>
      </c>
      <c r="B340" s="166" t="s">
        <v>280</v>
      </c>
      <c r="C340" s="320" t="s">
        <v>444</v>
      </c>
      <c r="D340" s="306">
        <f>E340+G340</f>
        <v>0</v>
      </c>
      <c r="E340" s="306"/>
      <c r="F340" s="306"/>
      <c r="G340" s="306"/>
      <c r="H340" s="309"/>
      <c r="I340" s="309">
        <f>D340</f>
        <v>0</v>
      </c>
      <c r="J340" s="309"/>
      <c r="K340" s="309"/>
      <c r="L340" s="309">
        <f>K340*10%</f>
        <v>0</v>
      </c>
      <c r="M340" s="309"/>
      <c r="N340" s="309">
        <f>L340+M340</f>
        <v>0</v>
      </c>
      <c r="O340" s="309">
        <f>N340</f>
        <v>0</v>
      </c>
      <c r="P340" s="309">
        <f>N340-O340</f>
        <v>0</v>
      </c>
      <c r="Q340" s="309">
        <f>M340</f>
        <v>0</v>
      </c>
      <c r="R340" s="307">
        <f>D340-N340</f>
        <v>0</v>
      </c>
      <c r="S340" s="307"/>
      <c r="T340" s="307"/>
    </row>
    <row r="341" spans="1:20" ht="30" customHeight="1">
      <c r="A341" s="325" t="s">
        <v>438</v>
      </c>
      <c r="B341" s="166" t="s">
        <v>287</v>
      </c>
      <c r="C341" s="320" t="s">
        <v>488</v>
      </c>
      <c r="D341" s="306">
        <f>E341+G341+F341</f>
        <v>0</v>
      </c>
      <c r="E341" s="306"/>
      <c r="F341" s="306"/>
      <c r="G341" s="306"/>
      <c r="H341" s="309"/>
      <c r="I341" s="309">
        <f>D341</f>
        <v>0</v>
      </c>
      <c r="J341" s="309"/>
      <c r="K341" s="309"/>
      <c r="L341" s="309">
        <f>K341*10%</f>
        <v>0</v>
      </c>
      <c r="M341" s="309"/>
      <c r="N341" s="309">
        <f>L341+M341</f>
        <v>0</v>
      </c>
      <c r="O341" s="309">
        <f>N341</f>
        <v>0</v>
      </c>
      <c r="P341" s="309">
        <f>N341-O341</f>
        <v>0</v>
      </c>
      <c r="Q341" s="309">
        <f>M341</f>
        <v>0</v>
      </c>
      <c r="R341" s="307">
        <f>D341-N341</f>
        <v>0</v>
      </c>
      <c r="S341" s="307"/>
      <c r="T341" s="307"/>
    </row>
    <row r="342" spans="1:20" ht="39" customHeight="1">
      <c r="A342" s="325" t="s">
        <v>438</v>
      </c>
      <c r="B342" s="166" t="s">
        <v>308</v>
      </c>
      <c r="C342" s="320" t="s">
        <v>488</v>
      </c>
      <c r="D342" s="306">
        <f>E342+G342</f>
        <v>0</v>
      </c>
      <c r="E342" s="306"/>
      <c r="F342" s="306"/>
      <c r="G342" s="306"/>
      <c r="H342" s="309"/>
      <c r="I342" s="309">
        <f>D342</f>
        <v>0</v>
      </c>
      <c r="J342" s="309"/>
      <c r="K342" s="309"/>
      <c r="L342" s="309">
        <f>K342*10%</f>
        <v>0</v>
      </c>
      <c r="M342" s="309"/>
      <c r="N342" s="309">
        <f>L342+M342</f>
        <v>0</v>
      </c>
      <c r="O342" s="309">
        <f>N342</f>
        <v>0</v>
      </c>
      <c r="P342" s="309">
        <f>N342-O342</f>
        <v>0</v>
      </c>
      <c r="Q342" s="309">
        <f>M342</f>
        <v>0</v>
      </c>
      <c r="R342" s="307">
        <f>D342-N342</f>
        <v>0</v>
      </c>
      <c r="S342" s="307"/>
      <c r="T342" s="307"/>
    </row>
    <row r="343" spans="1:20" ht="36" customHeight="1">
      <c r="A343" s="325" t="s">
        <v>438</v>
      </c>
      <c r="B343" s="166" t="s">
        <v>495</v>
      </c>
      <c r="C343" s="320" t="s">
        <v>488</v>
      </c>
      <c r="D343" s="306">
        <f>E343+G343</f>
        <v>0</v>
      </c>
      <c r="E343" s="306"/>
      <c r="F343" s="306"/>
      <c r="G343" s="306"/>
      <c r="H343" s="309"/>
      <c r="I343" s="309">
        <f>D343</f>
        <v>0</v>
      </c>
      <c r="J343" s="309"/>
      <c r="K343" s="309"/>
      <c r="L343" s="309">
        <f>K343*10%</f>
        <v>0</v>
      </c>
      <c r="M343" s="309"/>
      <c r="N343" s="309">
        <f>L343+M343</f>
        <v>0</v>
      </c>
      <c r="O343" s="309">
        <f>N343</f>
        <v>0</v>
      </c>
      <c r="P343" s="309">
        <f>N343-O343</f>
        <v>0</v>
      </c>
      <c r="Q343" s="309">
        <f>M343</f>
        <v>0</v>
      </c>
      <c r="R343" s="307">
        <f>D343-N343</f>
        <v>0</v>
      </c>
      <c r="S343" s="307"/>
      <c r="T343" s="307"/>
    </row>
    <row r="344" spans="1:20" ht="26.25" customHeight="1">
      <c r="A344" s="325" t="s">
        <v>438</v>
      </c>
      <c r="B344" s="166" t="s">
        <v>309</v>
      </c>
      <c r="C344" s="320" t="s">
        <v>478</v>
      </c>
      <c r="D344" s="306">
        <f>E344+G344</f>
        <v>0</v>
      </c>
      <c r="E344" s="306"/>
      <c r="F344" s="306"/>
      <c r="G344" s="306"/>
      <c r="H344" s="309"/>
      <c r="I344" s="309">
        <f>D344</f>
        <v>0</v>
      </c>
      <c r="J344" s="309"/>
      <c r="K344" s="309"/>
      <c r="L344" s="309">
        <f>K344*10%</f>
        <v>0</v>
      </c>
      <c r="M344" s="309"/>
      <c r="N344" s="309">
        <f>L344+M344</f>
        <v>0</v>
      </c>
      <c r="O344" s="309">
        <f>N344</f>
        <v>0</v>
      </c>
      <c r="P344" s="309">
        <f>N344-O344</f>
        <v>0</v>
      </c>
      <c r="Q344" s="309">
        <f>M344</f>
        <v>0</v>
      </c>
      <c r="R344" s="307">
        <f>D344-N344</f>
        <v>0</v>
      </c>
      <c r="S344" s="307"/>
      <c r="T344" s="307"/>
    </row>
    <row r="345" spans="1:20" s="328" customFormat="1" ht="27.75" customHeight="1">
      <c r="A345" s="320">
        <v>3</v>
      </c>
      <c r="B345" s="321" t="s">
        <v>527</v>
      </c>
      <c r="C345" s="320" t="s">
        <v>488</v>
      </c>
      <c r="D345" s="322">
        <f>D346+D358</f>
        <v>9616.3188138169407</v>
      </c>
      <c r="E345" s="322">
        <f t="shared" ref="E345:Q345" si="229">E346+E358</f>
        <v>8883.627684405179</v>
      </c>
      <c r="F345" s="322">
        <f t="shared" si="229"/>
        <v>0</v>
      </c>
      <c r="G345" s="322">
        <f t="shared" si="229"/>
        <v>732.69112941176456</v>
      </c>
      <c r="H345" s="322">
        <f t="shared" si="229"/>
        <v>8340.9442437981179</v>
      </c>
      <c r="I345" s="322">
        <f t="shared" si="229"/>
        <v>38.880000000000003</v>
      </c>
      <c r="J345" s="322">
        <f t="shared" si="229"/>
        <v>0</v>
      </c>
      <c r="K345" s="322">
        <f t="shared" si="229"/>
        <v>1236.4945700188241</v>
      </c>
      <c r="L345" s="322">
        <f t="shared" si="229"/>
        <v>123.64945700188242</v>
      </c>
      <c r="M345" s="322">
        <f t="shared" si="229"/>
        <v>0</v>
      </c>
      <c r="N345" s="322">
        <f t="shared" si="229"/>
        <v>123.64945700188242</v>
      </c>
      <c r="O345" s="322">
        <f t="shared" si="229"/>
        <v>123.64945700188242</v>
      </c>
      <c r="P345" s="322">
        <f t="shared" si="229"/>
        <v>0</v>
      </c>
      <c r="Q345" s="322">
        <f t="shared" si="229"/>
        <v>0</v>
      </c>
      <c r="R345" s="322">
        <f>R346+R358</f>
        <v>9616.3188138169407</v>
      </c>
      <c r="S345" s="322">
        <f t="shared" ref="S345:T345" si="230">S346+S358</f>
        <v>0</v>
      </c>
      <c r="T345" s="322">
        <f t="shared" si="230"/>
        <v>9616.3188138169426</v>
      </c>
    </row>
    <row r="346" spans="1:20" ht="27.75" customHeight="1">
      <c r="A346" s="303" t="s">
        <v>481</v>
      </c>
      <c r="B346" s="323" t="s">
        <v>482</v>
      </c>
      <c r="C346" s="320" t="s">
        <v>488</v>
      </c>
      <c r="D346" s="307">
        <f>D347+D350+D353+D354+D355</f>
        <v>9577.4388138169415</v>
      </c>
      <c r="E346" s="307">
        <f t="shared" ref="E346:Q346" si="231">E347+E350+E353+E354+E355</f>
        <v>8855.3076844051793</v>
      </c>
      <c r="F346" s="307">
        <f t="shared" si="231"/>
        <v>0</v>
      </c>
      <c r="G346" s="307">
        <f t="shared" si="231"/>
        <v>722.13112941176462</v>
      </c>
      <c r="H346" s="307">
        <f t="shared" si="231"/>
        <v>8340.9442437981179</v>
      </c>
      <c r="I346" s="307">
        <f t="shared" si="231"/>
        <v>0</v>
      </c>
      <c r="J346" s="307">
        <f t="shared" si="231"/>
        <v>0</v>
      </c>
      <c r="K346" s="307">
        <f t="shared" si="231"/>
        <v>1236.4945700188241</v>
      </c>
      <c r="L346" s="307">
        <f t="shared" si="231"/>
        <v>123.64945700188242</v>
      </c>
      <c r="M346" s="307">
        <f t="shared" si="231"/>
        <v>0</v>
      </c>
      <c r="N346" s="307">
        <f t="shared" si="231"/>
        <v>123.64945700188242</v>
      </c>
      <c r="O346" s="307">
        <f t="shared" si="231"/>
        <v>123.64945700188242</v>
      </c>
      <c r="P346" s="307">
        <f t="shared" si="231"/>
        <v>0</v>
      </c>
      <c r="Q346" s="307">
        <f t="shared" si="231"/>
        <v>0</v>
      </c>
      <c r="R346" s="307">
        <f>R347+R350+R353+R354+R355</f>
        <v>9577.4388138169415</v>
      </c>
      <c r="S346" s="307">
        <f t="shared" ref="S346:T346" si="232">S347+S350+S353+S354+S355</f>
        <v>0</v>
      </c>
      <c r="T346" s="307">
        <f t="shared" si="232"/>
        <v>9577.4388138169434</v>
      </c>
    </row>
    <row r="347" spans="1:20" ht="27.75" customHeight="1">
      <c r="A347" s="325" t="s">
        <v>438</v>
      </c>
      <c r="B347" s="164" t="s">
        <v>277</v>
      </c>
      <c r="C347" s="320" t="s">
        <v>488</v>
      </c>
      <c r="D347" s="306">
        <f t="shared" ref="D347:D353" si="233">SUM(E347:G347)</f>
        <v>7006.802563440001</v>
      </c>
      <c r="E347" s="306">
        <f>SUM(E348:E349)</f>
        <v>6392.9911034400011</v>
      </c>
      <c r="F347" s="306">
        <f>SUM(F348:F349)</f>
        <v>0</v>
      </c>
      <c r="G347" s="306">
        <f>SUM(G348:G349)</f>
        <v>613.8114599999999</v>
      </c>
      <c r="H347" s="307">
        <f t="shared" ref="H347:H354" si="234">D347</f>
        <v>7006.802563440001</v>
      </c>
      <c r="I347" s="309"/>
      <c r="J347" s="309"/>
      <c r="K347" s="309"/>
      <c r="L347" s="309">
        <f>K347*10%</f>
        <v>0</v>
      </c>
      <c r="M347" s="309"/>
      <c r="N347" s="309">
        <f>L347+M347</f>
        <v>0</v>
      </c>
      <c r="O347" s="309">
        <f>L347-P347</f>
        <v>0</v>
      </c>
      <c r="P347" s="309">
        <f>N347</f>
        <v>0</v>
      </c>
      <c r="Q347" s="309">
        <f>M347</f>
        <v>0</v>
      </c>
      <c r="R347" s="307">
        <f>SUM(R348:R349)</f>
        <v>7006.802563440001</v>
      </c>
      <c r="S347" s="307">
        <f t="shared" ref="S347:T347" si="235">SUM(S348:S349)</f>
        <v>0</v>
      </c>
      <c r="T347" s="307">
        <f t="shared" si="235"/>
        <v>7006.802563440001</v>
      </c>
    </row>
    <row r="348" spans="1:20" ht="27.75" customHeight="1">
      <c r="A348" s="325" t="s">
        <v>489</v>
      </c>
      <c r="B348" s="164" t="s">
        <v>490</v>
      </c>
      <c r="C348" s="320" t="s">
        <v>444</v>
      </c>
      <c r="D348" s="306">
        <f t="shared" si="233"/>
        <v>6392.9911034400011</v>
      </c>
      <c r="E348" s="306">
        <f>'[2] TL giao BC '!T390</f>
        <v>6392.9911034400011</v>
      </c>
      <c r="F348" s="306"/>
      <c r="G348" s="306"/>
      <c r="H348" s="307">
        <f t="shared" si="234"/>
        <v>6392.9911034400011</v>
      </c>
      <c r="I348" s="309"/>
      <c r="J348" s="309"/>
      <c r="K348" s="309"/>
      <c r="L348" s="309"/>
      <c r="M348" s="309"/>
      <c r="N348" s="309"/>
      <c r="O348" s="309"/>
      <c r="P348" s="309"/>
      <c r="Q348" s="309"/>
      <c r="R348" s="307">
        <f>D348-N348</f>
        <v>6392.9911034400011</v>
      </c>
      <c r="S348" s="307">
        <v>-19.68</v>
      </c>
      <c r="T348" s="307">
        <f>R348+S348</f>
        <v>6373.3111034400008</v>
      </c>
    </row>
    <row r="349" spans="1:20" ht="27.75" customHeight="1">
      <c r="A349" s="325" t="s">
        <v>489</v>
      </c>
      <c r="B349" s="164" t="s">
        <v>305</v>
      </c>
      <c r="C349" s="320" t="s">
        <v>478</v>
      </c>
      <c r="D349" s="306">
        <f t="shared" si="233"/>
        <v>613.8114599999999</v>
      </c>
      <c r="E349" s="306"/>
      <c r="F349" s="306"/>
      <c r="G349" s="306">
        <f>'[2] TL giao BC tăng thêm'!T151</f>
        <v>613.8114599999999</v>
      </c>
      <c r="H349" s="307">
        <f t="shared" si="234"/>
        <v>613.8114599999999</v>
      </c>
      <c r="I349" s="309"/>
      <c r="J349" s="309"/>
      <c r="K349" s="309"/>
      <c r="L349" s="309"/>
      <c r="M349" s="309"/>
      <c r="N349" s="309"/>
      <c r="O349" s="309"/>
      <c r="P349" s="309"/>
      <c r="Q349" s="309"/>
      <c r="R349" s="307">
        <f>D349-N349</f>
        <v>613.8114599999999</v>
      </c>
      <c r="S349" s="307">
        <v>19.68</v>
      </c>
      <c r="T349" s="307">
        <f>R349+S349</f>
        <v>633.49145999999985</v>
      </c>
    </row>
    <row r="350" spans="1:20" ht="27.75" customHeight="1">
      <c r="A350" s="304" t="s">
        <v>438</v>
      </c>
      <c r="B350" s="166" t="s">
        <v>278</v>
      </c>
      <c r="C350" s="320" t="s">
        <v>444</v>
      </c>
      <c r="D350" s="306">
        <f t="shared" si="233"/>
        <v>1457.79113736</v>
      </c>
      <c r="E350" s="306">
        <f>SUM(E351:E352)</f>
        <v>1457.79113736</v>
      </c>
      <c r="F350" s="306">
        <f>SUM(F351:F352)</f>
        <v>0</v>
      </c>
      <c r="G350" s="306">
        <f>SUM(G351:G352)</f>
        <v>0</v>
      </c>
      <c r="H350" s="307">
        <f t="shared" si="234"/>
        <v>1457.79113736</v>
      </c>
      <c r="I350" s="309"/>
      <c r="J350" s="309"/>
      <c r="K350" s="309"/>
      <c r="L350" s="309">
        <f>K350*10%</f>
        <v>0</v>
      </c>
      <c r="M350" s="309"/>
      <c r="N350" s="309">
        <f>L350+M350</f>
        <v>0</v>
      </c>
      <c r="O350" s="309">
        <f>L350-P350</f>
        <v>0</v>
      </c>
      <c r="P350" s="309">
        <f>N350</f>
        <v>0</v>
      </c>
      <c r="Q350" s="309">
        <f>M350</f>
        <v>0</v>
      </c>
      <c r="R350" s="307">
        <f>SUM(R351:R352)</f>
        <v>1457.79113736</v>
      </c>
      <c r="S350" s="307">
        <f t="shared" ref="S350:T350" si="236">SUM(S351:S352)</f>
        <v>0</v>
      </c>
      <c r="T350" s="307">
        <f t="shared" si="236"/>
        <v>1457.7911373600002</v>
      </c>
    </row>
    <row r="351" spans="1:20" ht="27.75" customHeight="1">
      <c r="A351" s="325" t="s">
        <v>489</v>
      </c>
      <c r="B351" s="166" t="s">
        <v>491</v>
      </c>
      <c r="C351" s="320" t="s">
        <v>444</v>
      </c>
      <c r="D351" s="306">
        <f t="shared" si="233"/>
        <v>1330.0853973600001</v>
      </c>
      <c r="E351" s="306">
        <f>'[2] TL giao BC '!U390</f>
        <v>1330.0853973600001</v>
      </c>
      <c r="F351" s="306"/>
      <c r="G351" s="306"/>
      <c r="H351" s="307">
        <f t="shared" si="234"/>
        <v>1330.0853973600001</v>
      </c>
      <c r="I351" s="309"/>
      <c r="J351" s="309"/>
      <c r="K351" s="309"/>
      <c r="L351" s="309"/>
      <c r="M351" s="309"/>
      <c r="N351" s="309"/>
      <c r="O351" s="309"/>
      <c r="P351" s="309"/>
      <c r="Q351" s="309"/>
      <c r="R351" s="307">
        <f>D351-N351</f>
        <v>1330.0853973600001</v>
      </c>
      <c r="S351" s="307">
        <v>-4.09</v>
      </c>
      <c r="T351" s="307">
        <f t="shared" ref="T351:T352" si="237">R351+S351</f>
        <v>1325.9953973600002</v>
      </c>
    </row>
    <row r="352" spans="1:20" ht="27.75" customHeight="1">
      <c r="A352" s="325" t="s">
        <v>489</v>
      </c>
      <c r="B352" s="164" t="s">
        <v>492</v>
      </c>
      <c r="C352" s="320" t="s">
        <v>444</v>
      </c>
      <c r="D352" s="306">
        <f t="shared" si="233"/>
        <v>127.70573999999999</v>
      </c>
      <c r="E352" s="306">
        <f>'[2] TL giao BC tăng thêm'!U151</f>
        <v>127.70573999999999</v>
      </c>
      <c r="F352" s="306"/>
      <c r="G352" s="306"/>
      <c r="H352" s="307">
        <f t="shared" si="234"/>
        <v>127.70573999999999</v>
      </c>
      <c r="I352" s="309"/>
      <c r="J352" s="309"/>
      <c r="K352" s="309"/>
      <c r="L352" s="309"/>
      <c r="M352" s="309"/>
      <c r="N352" s="309"/>
      <c r="O352" s="309"/>
      <c r="P352" s="309"/>
      <c r="Q352" s="309"/>
      <c r="R352" s="307">
        <f>D352-N352</f>
        <v>127.70573999999999</v>
      </c>
      <c r="S352" s="307">
        <v>4.09</v>
      </c>
      <c r="T352" s="307">
        <f t="shared" si="237"/>
        <v>131.79574</v>
      </c>
    </row>
    <row r="353" spans="1:20" ht="27.75" customHeight="1">
      <c r="A353" s="325" t="s">
        <v>438</v>
      </c>
      <c r="B353" s="164" t="s">
        <v>483</v>
      </c>
      <c r="C353" s="320"/>
      <c r="D353" s="306">
        <f t="shared" si="233"/>
        <v>0</v>
      </c>
      <c r="E353" s="306"/>
      <c r="F353" s="306"/>
      <c r="G353" s="306"/>
      <c r="H353" s="307">
        <f t="shared" si="234"/>
        <v>0</v>
      </c>
      <c r="I353" s="309"/>
      <c r="J353" s="309"/>
      <c r="K353" s="309"/>
      <c r="L353" s="309"/>
      <c r="M353" s="309"/>
      <c r="N353" s="309"/>
      <c r="O353" s="309"/>
      <c r="P353" s="309"/>
      <c r="Q353" s="309"/>
      <c r="R353" s="307">
        <f>D353-N353</f>
        <v>0</v>
      </c>
      <c r="S353" s="307"/>
      <c r="T353" s="307"/>
    </row>
    <row r="354" spans="1:20" s="311" customFormat="1" ht="27.75" customHeight="1">
      <c r="A354" s="304" t="s">
        <v>438</v>
      </c>
      <c r="B354" s="166" t="s">
        <v>452</v>
      </c>
      <c r="C354" s="320" t="s">
        <v>488</v>
      </c>
      <c r="D354" s="306">
        <f>E354+G354</f>
        <v>-123.64945700188242</v>
      </c>
      <c r="E354" s="306">
        <f>-L355</f>
        <v>-123.64945700188242</v>
      </c>
      <c r="F354" s="306"/>
      <c r="G354" s="306"/>
      <c r="H354" s="307">
        <f t="shared" si="234"/>
        <v>-123.64945700188242</v>
      </c>
      <c r="I354" s="308"/>
      <c r="J354" s="308"/>
      <c r="K354" s="308"/>
      <c r="L354" s="309">
        <f>K354*10%</f>
        <v>0</v>
      </c>
      <c r="M354" s="309"/>
      <c r="N354" s="309">
        <f>L354+M354</f>
        <v>0</v>
      </c>
      <c r="O354" s="309">
        <f>L354-P354</f>
        <v>0</v>
      </c>
      <c r="P354" s="309">
        <f>N354</f>
        <v>0</v>
      </c>
      <c r="Q354" s="309">
        <f>M354</f>
        <v>0</v>
      </c>
      <c r="R354" s="307"/>
      <c r="S354" s="306"/>
      <c r="T354" s="307"/>
    </row>
    <row r="355" spans="1:20" ht="26.25" customHeight="1">
      <c r="A355" s="304" t="s">
        <v>438</v>
      </c>
      <c r="B355" s="166" t="s">
        <v>412</v>
      </c>
      <c r="C355" s="320" t="s">
        <v>488</v>
      </c>
      <c r="D355" s="306">
        <f>SUM(E355:G355)</f>
        <v>1236.4945700188241</v>
      </c>
      <c r="E355" s="306">
        <f>SUM(E356:E357)</f>
        <v>1128.1749006070595</v>
      </c>
      <c r="F355" s="306">
        <f>SUM(F356:F357)</f>
        <v>0</v>
      </c>
      <c r="G355" s="306">
        <f>SUM(G356:G357)</f>
        <v>108.31966941176472</v>
      </c>
      <c r="H355" s="309"/>
      <c r="I355" s="309"/>
      <c r="J355" s="309"/>
      <c r="K355" s="309">
        <f>SUM(K356:K357)</f>
        <v>1236.4945700188241</v>
      </c>
      <c r="L355" s="309">
        <f>SUM(L356:L357)</f>
        <v>123.64945700188242</v>
      </c>
      <c r="M355" s="309"/>
      <c r="N355" s="309">
        <f>L355+M355</f>
        <v>123.64945700188242</v>
      </c>
      <c r="O355" s="309">
        <f>N355</f>
        <v>123.64945700188242</v>
      </c>
      <c r="P355" s="309">
        <f>N355-O355</f>
        <v>0</v>
      </c>
      <c r="Q355" s="309">
        <f>M355</f>
        <v>0</v>
      </c>
      <c r="R355" s="307">
        <f>D355-N355</f>
        <v>1112.8451130169417</v>
      </c>
      <c r="S355" s="307">
        <f>SUM(S356:S357)</f>
        <v>0</v>
      </c>
      <c r="T355" s="307">
        <f>SUM(T356:T357)</f>
        <v>1112.8451130169417</v>
      </c>
    </row>
    <row r="356" spans="1:20" ht="39" customHeight="1">
      <c r="A356" s="325" t="s">
        <v>489</v>
      </c>
      <c r="B356" s="166" t="s">
        <v>528</v>
      </c>
      <c r="C356" s="320" t="s">
        <v>444</v>
      </c>
      <c r="D356" s="306">
        <f>SUM(E356:G356)</f>
        <v>1128.1749006070595</v>
      </c>
      <c r="E356" s="306">
        <f>'[2] TL giao BC '!Z390</f>
        <v>1128.1749006070595</v>
      </c>
      <c r="F356" s="306"/>
      <c r="G356" s="306"/>
      <c r="H356" s="309"/>
      <c r="I356" s="309"/>
      <c r="J356" s="309"/>
      <c r="K356" s="309">
        <f>D356</f>
        <v>1128.1749006070595</v>
      </c>
      <c r="L356" s="309">
        <f>K356*10%</f>
        <v>112.81749006070595</v>
      </c>
      <c r="M356" s="309"/>
      <c r="N356" s="309"/>
      <c r="O356" s="309"/>
      <c r="P356" s="309"/>
      <c r="Q356" s="309"/>
      <c r="R356" s="307"/>
      <c r="S356" s="307">
        <v>-3.47</v>
      </c>
      <c r="T356" s="307">
        <f>K356-L356+S356</f>
        <v>1011.8874105463535</v>
      </c>
    </row>
    <row r="357" spans="1:20" ht="33" customHeight="1">
      <c r="A357" s="325" t="s">
        <v>489</v>
      </c>
      <c r="B357" s="164" t="s">
        <v>529</v>
      </c>
      <c r="C357" s="320" t="s">
        <v>478</v>
      </c>
      <c r="D357" s="306">
        <f>SUM(E357:G357)</f>
        <v>108.31966941176472</v>
      </c>
      <c r="E357" s="306"/>
      <c r="F357" s="306"/>
      <c r="G357" s="306">
        <f>'[2] TL giao BC tăng thêm'!X151</f>
        <v>108.31966941176472</v>
      </c>
      <c r="H357" s="309"/>
      <c r="I357" s="309"/>
      <c r="J357" s="309"/>
      <c r="K357" s="309">
        <f>D357</f>
        <v>108.31966941176472</v>
      </c>
      <c r="L357" s="309">
        <f>K357*10%</f>
        <v>10.831966941176473</v>
      </c>
      <c r="M357" s="309"/>
      <c r="N357" s="309"/>
      <c r="O357" s="309"/>
      <c r="P357" s="309"/>
      <c r="Q357" s="309"/>
      <c r="R357" s="307"/>
      <c r="S357" s="307">
        <v>3.47</v>
      </c>
      <c r="T357" s="307">
        <f>K357-L357+S357</f>
        <v>100.95770247058825</v>
      </c>
    </row>
    <row r="358" spans="1:20" ht="30" customHeight="1">
      <c r="A358" s="303" t="s">
        <v>481</v>
      </c>
      <c r="B358" s="326" t="s">
        <v>485</v>
      </c>
      <c r="C358" s="320" t="s">
        <v>488</v>
      </c>
      <c r="D358" s="307">
        <f>E358+G358+F358</f>
        <v>38.880000000000003</v>
      </c>
      <c r="E358" s="307">
        <f t="shared" ref="E358:T358" si="238">SUM(E359:E363)</f>
        <v>28.32</v>
      </c>
      <c r="F358" s="307">
        <f t="shared" si="238"/>
        <v>0</v>
      </c>
      <c r="G358" s="307">
        <f t="shared" si="238"/>
        <v>10.56</v>
      </c>
      <c r="H358" s="307">
        <f t="shared" si="238"/>
        <v>0</v>
      </c>
      <c r="I358" s="307">
        <f t="shared" si="238"/>
        <v>38.880000000000003</v>
      </c>
      <c r="J358" s="307">
        <f t="shared" si="238"/>
        <v>0</v>
      </c>
      <c r="K358" s="307">
        <f t="shared" si="238"/>
        <v>0</v>
      </c>
      <c r="L358" s="307">
        <f t="shared" si="238"/>
        <v>0</v>
      </c>
      <c r="M358" s="307">
        <f t="shared" si="238"/>
        <v>0</v>
      </c>
      <c r="N358" s="307">
        <f t="shared" si="238"/>
        <v>0</v>
      </c>
      <c r="O358" s="307">
        <f t="shared" si="238"/>
        <v>0</v>
      </c>
      <c r="P358" s="307">
        <f t="shared" si="238"/>
        <v>0</v>
      </c>
      <c r="Q358" s="307">
        <f t="shared" si="238"/>
        <v>0</v>
      </c>
      <c r="R358" s="307">
        <f t="shared" si="238"/>
        <v>38.880000000000003</v>
      </c>
      <c r="S358" s="307">
        <f t="shared" si="238"/>
        <v>0</v>
      </c>
      <c r="T358" s="307">
        <f t="shared" si="238"/>
        <v>38.880000000000003</v>
      </c>
    </row>
    <row r="359" spans="1:20" ht="30" customHeight="1">
      <c r="A359" s="325" t="s">
        <v>438</v>
      </c>
      <c r="B359" s="166" t="s">
        <v>280</v>
      </c>
      <c r="C359" s="320" t="s">
        <v>444</v>
      </c>
      <c r="D359" s="306">
        <f>E359+G359</f>
        <v>0</v>
      </c>
      <c r="E359" s="306"/>
      <c r="F359" s="306"/>
      <c r="G359" s="306"/>
      <c r="H359" s="309"/>
      <c r="I359" s="309">
        <f>D359</f>
        <v>0</v>
      </c>
      <c r="J359" s="309"/>
      <c r="K359" s="309"/>
      <c r="L359" s="309">
        <f>K359*10%</f>
        <v>0</v>
      </c>
      <c r="M359" s="309"/>
      <c r="N359" s="309">
        <f>L359+M359</f>
        <v>0</v>
      </c>
      <c r="O359" s="309">
        <f>N359</f>
        <v>0</v>
      </c>
      <c r="P359" s="309">
        <f>N359-O359</f>
        <v>0</v>
      </c>
      <c r="Q359" s="309">
        <f>M359</f>
        <v>0</v>
      </c>
      <c r="R359" s="307">
        <f>D359-N359</f>
        <v>0</v>
      </c>
      <c r="S359" s="307"/>
      <c r="T359" s="307">
        <f>R359+S359</f>
        <v>0</v>
      </c>
    </row>
    <row r="360" spans="1:20" ht="30" customHeight="1">
      <c r="A360" s="325" t="s">
        <v>438</v>
      </c>
      <c r="B360" s="166" t="s">
        <v>287</v>
      </c>
      <c r="C360" s="320" t="s">
        <v>488</v>
      </c>
      <c r="D360" s="306">
        <f>E360+G360+F360</f>
        <v>0</v>
      </c>
      <c r="E360" s="306"/>
      <c r="F360" s="306"/>
      <c r="G360" s="306"/>
      <c r="H360" s="309"/>
      <c r="I360" s="309">
        <f>D360</f>
        <v>0</v>
      </c>
      <c r="J360" s="309"/>
      <c r="K360" s="309"/>
      <c r="L360" s="309">
        <f>K360*10%</f>
        <v>0</v>
      </c>
      <c r="M360" s="309"/>
      <c r="N360" s="309">
        <f>L360+M360</f>
        <v>0</v>
      </c>
      <c r="O360" s="309">
        <f>N360</f>
        <v>0</v>
      </c>
      <c r="P360" s="309">
        <f>N360-O360</f>
        <v>0</v>
      </c>
      <c r="Q360" s="309">
        <f>M360</f>
        <v>0</v>
      </c>
      <c r="R360" s="307">
        <f>D360-N360</f>
        <v>0</v>
      </c>
      <c r="S360" s="307"/>
      <c r="T360" s="307">
        <f t="shared" ref="T360:T363" si="239">R360+S360</f>
        <v>0</v>
      </c>
    </row>
    <row r="361" spans="1:20" ht="39" customHeight="1">
      <c r="A361" s="325" t="s">
        <v>438</v>
      </c>
      <c r="B361" s="166" t="s">
        <v>308</v>
      </c>
      <c r="C361" s="320" t="s">
        <v>488</v>
      </c>
      <c r="D361" s="306">
        <f>E361+G361</f>
        <v>38.880000000000003</v>
      </c>
      <c r="E361" s="306">
        <f>'[2]CS giáo dục '!AQ17</f>
        <v>28.32</v>
      </c>
      <c r="F361" s="306"/>
      <c r="G361" s="306">
        <f>'[2]CS giáo dục '!AS17</f>
        <v>10.56</v>
      </c>
      <c r="H361" s="309"/>
      <c r="I361" s="309">
        <f>D361</f>
        <v>38.880000000000003</v>
      </c>
      <c r="J361" s="309"/>
      <c r="K361" s="309"/>
      <c r="L361" s="309">
        <f>K361*10%</f>
        <v>0</v>
      </c>
      <c r="M361" s="309"/>
      <c r="N361" s="309">
        <f>L361+M361</f>
        <v>0</v>
      </c>
      <c r="O361" s="309">
        <f>N361</f>
        <v>0</v>
      </c>
      <c r="P361" s="309">
        <f>N361-O361</f>
        <v>0</v>
      </c>
      <c r="Q361" s="309">
        <f>M361</f>
        <v>0</v>
      </c>
      <c r="R361" s="307">
        <f>D361-N361</f>
        <v>38.880000000000003</v>
      </c>
      <c r="S361" s="307"/>
      <c r="T361" s="307">
        <f t="shared" si="239"/>
        <v>38.880000000000003</v>
      </c>
    </row>
    <row r="362" spans="1:20" ht="36" customHeight="1">
      <c r="A362" s="325" t="s">
        <v>438</v>
      </c>
      <c r="B362" s="166" t="s">
        <v>495</v>
      </c>
      <c r="C362" s="320" t="s">
        <v>488</v>
      </c>
      <c r="D362" s="306">
        <f>E362+G362</f>
        <v>0</v>
      </c>
      <c r="E362" s="306"/>
      <c r="F362" s="306"/>
      <c r="G362" s="306"/>
      <c r="H362" s="309"/>
      <c r="I362" s="309">
        <f>D362</f>
        <v>0</v>
      </c>
      <c r="J362" s="309"/>
      <c r="K362" s="309"/>
      <c r="L362" s="309">
        <f>K362*10%</f>
        <v>0</v>
      </c>
      <c r="M362" s="309"/>
      <c r="N362" s="309">
        <f>L362+M362</f>
        <v>0</v>
      </c>
      <c r="O362" s="309">
        <f>N362</f>
        <v>0</v>
      </c>
      <c r="P362" s="309">
        <f>N362-O362</f>
        <v>0</v>
      </c>
      <c r="Q362" s="309">
        <f>M362</f>
        <v>0</v>
      </c>
      <c r="R362" s="307">
        <f>D362-N362</f>
        <v>0</v>
      </c>
      <c r="S362" s="307"/>
      <c r="T362" s="307">
        <f t="shared" si="239"/>
        <v>0</v>
      </c>
    </row>
    <row r="363" spans="1:20" ht="26.25" customHeight="1">
      <c r="A363" s="325" t="s">
        <v>438</v>
      </c>
      <c r="B363" s="166" t="s">
        <v>309</v>
      </c>
      <c r="C363" s="320" t="s">
        <v>478</v>
      </c>
      <c r="D363" s="306">
        <f>E363+G363</f>
        <v>0</v>
      </c>
      <c r="E363" s="306"/>
      <c r="F363" s="306"/>
      <c r="G363" s="306"/>
      <c r="H363" s="309"/>
      <c r="I363" s="309">
        <f>D363</f>
        <v>0</v>
      </c>
      <c r="J363" s="309"/>
      <c r="K363" s="309"/>
      <c r="L363" s="309">
        <f>K363*10%</f>
        <v>0</v>
      </c>
      <c r="M363" s="309"/>
      <c r="N363" s="309">
        <f>L363+M363</f>
        <v>0</v>
      </c>
      <c r="O363" s="309">
        <f>N363</f>
        <v>0</v>
      </c>
      <c r="P363" s="309">
        <f>N363-O363</f>
        <v>0</v>
      </c>
      <c r="Q363" s="309">
        <f>M363</f>
        <v>0</v>
      </c>
      <c r="R363" s="307">
        <f>D363-N363</f>
        <v>0</v>
      </c>
      <c r="S363" s="307"/>
      <c r="T363" s="307">
        <f t="shared" si="239"/>
        <v>0</v>
      </c>
    </row>
    <row r="364" spans="1:20" s="328" customFormat="1" ht="27.75" customHeight="1">
      <c r="A364" s="320">
        <v>4</v>
      </c>
      <c r="B364" s="321" t="s">
        <v>530</v>
      </c>
      <c r="C364" s="320" t="s">
        <v>488</v>
      </c>
      <c r="D364" s="322">
        <f>D365+D377</f>
        <v>9967.2954765799241</v>
      </c>
      <c r="E364" s="322">
        <f t="shared" ref="E364:Q364" si="240">E365+E377</f>
        <v>9466.6582780027056</v>
      </c>
      <c r="F364" s="322">
        <f t="shared" si="240"/>
        <v>0</v>
      </c>
      <c r="G364" s="322">
        <f t="shared" si="240"/>
        <v>500.63719857721816</v>
      </c>
      <c r="H364" s="322">
        <f t="shared" si="240"/>
        <v>8644.4138727709415</v>
      </c>
      <c r="I364" s="322">
        <f t="shared" si="240"/>
        <v>41.399495518394659</v>
      </c>
      <c r="J364" s="322">
        <f t="shared" si="240"/>
        <v>0</v>
      </c>
      <c r="K364" s="322">
        <f t="shared" si="240"/>
        <v>1281.482108290588</v>
      </c>
      <c r="L364" s="322">
        <f t="shared" si="240"/>
        <v>128.1482108290588</v>
      </c>
      <c r="M364" s="322">
        <f t="shared" si="240"/>
        <v>0</v>
      </c>
      <c r="N364" s="322">
        <f t="shared" si="240"/>
        <v>128.1482108290588</v>
      </c>
      <c r="O364" s="322">
        <f t="shared" si="240"/>
        <v>128.1482108290588</v>
      </c>
      <c r="P364" s="322">
        <f t="shared" si="240"/>
        <v>0</v>
      </c>
      <c r="Q364" s="322">
        <f t="shared" si="240"/>
        <v>0</v>
      </c>
      <c r="R364" s="322">
        <f>R365+R377</f>
        <v>9967.2954765799241</v>
      </c>
      <c r="S364" s="322">
        <f t="shared" ref="S364:T364" si="241">S365+S377</f>
        <v>0</v>
      </c>
      <c r="T364" s="322">
        <f t="shared" si="241"/>
        <v>9967.2954765799241</v>
      </c>
    </row>
    <row r="365" spans="1:20" ht="27.75" customHeight="1">
      <c r="A365" s="303" t="s">
        <v>481</v>
      </c>
      <c r="B365" s="323" t="s">
        <v>482</v>
      </c>
      <c r="C365" s="320" t="s">
        <v>488</v>
      </c>
      <c r="D365" s="307">
        <f>D366+D369+D372+D373+D374</f>
        <v>9925.8959810615288</v>
      </c>
      <c r="E365" s="307">
        <f t="shared" ref="E365:Q365" si="242">E366+E369+E372+E373+E374</f>
        <v>9466.6582780027056</v>
      </c>
      <c r="F365" s="307">
        <f t="shared" si="242"/>
        <v>0</v>
      </c>
      <c r="G365" s="307">
        <f t="shared" si="242"/>
        <v>459.23770305882351</v>
      </c>
      <c r="H365" s="307">
        <f t="shared" si="242"/>
        <v>8644.4138727709415</v>
      </c>
      <c r="I365" s="307">
        <f t="shared" si="242"/>
        <v>0</v>
      </c>
      <c r="J365" s="307">
        <f t="shared" si="242"/>
        <v>0</v>
      </c>
      <c r="K365" s="307">
        <f t="shared" si="242"/>
        <v>1281.482108290588</v>
      </c>
      <c r="L365" s="307">
        <f t="shared" si="242"/>
        <v>128.1482108290588</v>
      </c>
      <c r="M365" s="307">
        <f t="shared" si="242"/>
        <v>0</v>
      </c>
      <c r="N365" s="307">
        <f t="shared" si="242"/>
        <v>128.1482108290588</v>
      </c>
      <c r="O365" s="307">
        <f t="shared" si="242"/>
        <v>128.1482108290588</v>
      </c>
      <c r="P365" s="307">
        <f t="shared" si="242"/>
        <v>0</v>
      </c>
      <c r="Q365" s="307">
        <f t="shared" si="242"/>
        <v>0</v>
      </c>
      <c r="R365" s="307">
        <f>R366+R369+R372+R373+R374</f>
        <v>9925.8959810615288</v>
      </c>
      <c r="S365" s="307">
        <f t="shared" ref="S365:T365" si="243">S366+S369+S372+S373+S374</f>
        <v>0</v>
      </c>
      <c r="T365" s="307">
        <f t="shared" si="243"/>
        <v>9925.8959810615288</v>
      </c>
    </row>
    <row r="366" spans="1:20" ht="27.75" customHeight="1">
      <c r="A366" s="325" t="s">
        <v>438</v>
      </c>
      <c r="B366" s="164" t="s">
        <v>277</v>
      </c>
      <c r="C366" s="320" t="s">
        <v>488</v>
      </c>
      <c r="D366" s="306">
        <f t="shared" ref="D366:D372" si="244">SUM(E366:G366)</f>
        <v>7261.7319469800004</v>
      </c>
      <c r="E366" s="306">
        <f>SUM(E367:E368)</f>
        <v>6871.3798993800001</v>
      </c>
      <c r="F366" s="306">
        <f>SUM(F367:F368)</f>
        <v>0</v>
      </c>
      <c r="G366" s="306">
        <f>SUM(G367:G368)</f>
        <v>390.35204759999999</v>
      </c>
      <c r="H366" s="307">
        <f t="shared" ref="H366:H373" si="245">D366</f>
        <v>7261.7319469800004</v>
      </c>
      <c r="I366" s="309"/>
      <c r="J366" s="309"/>
      <c r="K366" s="309"/>
      <c r="L366" s="309">
        <f>K366*10%</f>
        <v>0</v>
      </c>
      <c r="M366" s="309"/>
      <c r="N366" s="309">
        <f>L366+M366</f>
        <v>0</v>
      </c>
      <c r="O366" s="309">
        <f>L366-P366</f>
        <v>0</v>
      </c>
      <c r="P366" s="309">
        <f>N366</f>
        <v>0</v>
      </c>
      <c r="Q366" s="309">
        <f>M366</f>
        <v>0</v>
      </c>
      <c r="R366" s="307">
        <f>SUM(R367:R368)</f>
        <v>7261.7319469800004</v>
      </c>
      <c r="S366" s="307">
        <f t="shared" ref="S366:T366" si="246">SUM(S367:S368)</f>
        <v>0</v>
      </c>
      <c r="T366" s="307">
        <f t="shared" si="246"/>
        <v>7261.7319469800004</v>
      </c>
    </row>
    <row r="367" spans="1:20" ht="27.75" customHeight="1">
      <c r="A367" s="325" t="s">
        <v>489</v>
      </c>
      <c r="B367" s="164" t="s">
        <v>490</v>
      </c>
      <c r="C367" s="320" t="s">
        <v>444</v>
      </c>
      <c r="D367" s="306">
        <f t="shared" si="244"/>
        <v>6871.3798993800001</v>
      </c>
      <c r="E367" s="306">
        <f>'[2] TL giao BC '!T428</f>
        <v>6871.3798993800001</v>
      </c>
      <c r="F367" s="306"/>
      <c r="G367" s="306"/>
      <c r="H367" s="307">
        <f t="shared" si="245"/>
        <v>6871.3798993800001</v>
      </c>
      <c r="I367" s="309"/>
      <c r="J367" s="309"/>
      <c r="K367" s="309"/>
      <c r="L367" s="309"/>
      <c r="M367" s="309"/>
      <c r="N367" s="309"/>
      <c r="O367" s="309"/>
      <c r="P367" s="309"/>
      <c r="Q367" s="309"/>
      <c r="R367" s="307">
        <f>D367-N367</f>
        <v>6871.3798993800001</v>
      </c>
      <c r="S367" s="307">
        <v>390.35</v>
      </c>
      <c r="T367" s="307">
        <f>R367+S367</f>
        <v>7261.7298993800005</v>
      </c>
    </row>
    <row r="368" spans="1:20" ht="27.75" customHeight="1">
      <c r="A368" s="325" t="s">
        <v>489</v>
      </c>
      <c r="B368" s="164" t="s">
        <v>305</v>
      </c>
      <c r="C368" s="320" t="s">
        <v>478</v>
      </c>
      <c r="D368" s="306">
        <f t="shared" si="244"/>
        <v>390.35204759999999</v>
      </c>
      <c r="E368" s="306"/>
      <c r="F368" s="306"/>
      <c r="G368" s="306">
        <f>'[2] TL giao BC tăng thêm'!T153</f>
        <v>390.35204759999999</v>
      </c>
      <c r="H368" s="307">
        <f t="shared" si="245"/>
        <v>390.35204759999999</v>
      </c>
      <c r="I368" s="309"/>
      <c r="J368" s="309"/>
      <c r="K368" s="309"/>
      <c r="L368" s="309"/>
      <c r="M368" s="309"/>
      <c r="N368" s="309"/>
      <c r="O368" s="309"/>
      <c r="P368" s="309"/>
      <c r="Q368" s="309"/>
      <c r="R368" s="307">
        <f>D368-N368</f>
        <v>390.35204759999999</v>
      </c>
      <c r="S368" s="307">
        <v>-390.35</v>
      </c>
      <c r="T368" s="307">
        <f>R368+S368</f>
        <v>2.047599999968952E-3</v>
      </c>
    </row>
    <row r="369" spans="1:20" ht="27.75" customHeight="1">
      <c r="A369" s="304" t="s">
        <v>438</v>
      </c>
      <c r="B369" s="166" t="s">
        <v>278</v>
      </c>
      <c r="C369" s="320" t="s">
        <v>444</v>
      </c>
      <c r="D369" s="306">
        <f t="shared" si="244"/>
        <v>1510.8301366199996</v>
      </c>
      <c r="E369" s="306">
        <f>SUM(E370:E371)</f>
        <v>1510.8301366199996</v>
      </c>
      <c r="F369" s="306">
        <f>SUM(F370:F371)</f>
        <v>0</v>
      </c>
      <c r="G369" s="306">
        <f>SUM(G370:G371)</f>
        <v>0</v>
      </c>
      <c r="H369" s="307">
        <f t="shared" si="245"/>
        <v>1510.8301366199996</v>
      </c>
      <c r="I369" s="309"/>
      <c r="J369" s="309"/>
      <c r="K369" s="309"/>
      <c r="L369" s="309">
        <f>K369*10%</f>
        <v>0</v>
      </c>
      <c r="M369" s="309"/>
      <c r="N369" s="309">
        <f>L369+M369</f>
        <v>0</v>
      </c>
      <c r="O369" s="309">
        <f>L369-P369</f>
        <v>0</v>
      </c>
      <c r="P369" s="309">
        <f>N369</f>
        <v>0</v>
      </c>
      <c r="Q369" s="309">
        <f>M369</f>
        <v>0</v>
      </c>
      <c r="R369" s="307">
        <f>SUM(R370:R371)</f>
        <v>1510.8301366199996</v>
      </c>
      <c r="S369" s="307">
        <f t="shared" ref="S369:T369" si="247">SUM(S370:S371)</f>
        <v>0</v>
      </c>
      <c r="T369" s="307">
        <f t="shared" si="247"/>
        <v>1510.8301366199996</v>
      </c>
    </row>
    <row r="370" spans="1:20" ht="27.75" customHeight="1">
      <c r="A370" s="325" t="s">
        <v>489</v>
      </c>
      <c r="B370" s="166" t="s">
        <v>491</v>
      </c>
      <c r="C370" s="320" t="s">
        <v>444</v>
      </c>
      <c r="D370" s="306">
        <f t="shared" si="244"/>
        <v>1429.6159522199996</v>
      </c>
      <c r="E370" s="306">
        <f>'[2] TL giao BC '!U428</f>
        <v>1429.6159522199996</v>
      </c>
      <c r="F370" s="306"/>
      <c r="G370" s="306"/>
      <c r="H370" s="307">
        <f t="shared" si="245"/>
        <v>1429.6159522199996</v>
      </c>
      <c r="I370" s="309"/>
      <c r="J370" s="309"/>
      <c r="K370" s="309"/>
      <c r="L370" s="309"/>
      <c r="M370" s="309"/>
      <c r="N370" s="309"/>
      <c r="O370" s="309"/>
      <c r="P370" s="309"/>
      <c r="Q370" s="309"/>
      <c r="R370" s="307">
        <f>D370-N370</f>
        <v>1429.6159522199996</v>
      </c>
      <c r="S370" s="307">
        <v>81.209999999999994</v>
      </c>
      <c r="T370" s="307">
        <f>R370+S370</f>
        <v>1510.8259522199996</v>
      </c>
    </row>
    <row r="371" spans="1:20" ht="27.75" customHeight="1">
      <c r="A371" s="325" t="s">
        <v>489</v>
      </c>
      <c r="B371" s="164" t="s">
        <v>492</v>
      </c>
      <c r="C371" s="320" t="s">
        <v>444</v>
      </c>
      <c r="D371" s="306">
        <f t="shared" si="244"/>
        <v>81.214184399999994</v>
      </c>
      <c r="E371" s="306">
        <f>'[2] TL giao BC tăng thêm'!U153</f>
        <v>81.214184399999994</v>
      </c>
      <c r="F371" s="306"/>
      <c r="G371" s="306"/>
      <c r="H371" s="307">
        <f t="shared" si="245"/>
        <v>81.214184399999994</v>
      </c>
      <c r="I371" s="309"/>
      <c r="J371" s="309"/>
      <c r="K371" s="309"/>
      <c r="L371" s="309"/>
      <c r="M371" s="309"/>
      <c r="N371" s="309"/>
      <c r="O371" s="309"/>
      <c r="P371" s="309"/>
      <c r="Q371" s="309"/>
      <c r="R371" s="307">
        <f>D371-N371</f>
        <v>81.214184399999994</v>
      </c>
      <c r="S371" s="307">
        <v>-81.209999999999994</v>
      </c>
      <c r="T371" s="307">
        <f>R371+S371</f>
        <v>4.184399999999755E-3</v>
      </c>
    </row>
    <row r="372" spans="1:20" ht="27.75" customHeight="1">
      <c r="A372" s="325" t="s">
        <v>438</v>
      </c>
      <c r="B372" s="164" t="s">
        <v>483</v>
      </c>
      <c r="C372" s="320"/>
      <c r="D372" s="306">
        <f t="shared" si="244"/>
        <v>0</v>
      </c>
      <c r="E372" s="306"/>
      <c r="F372" s="306"/>
      <c r="G372" s="306"/>
      <c r="H372" s="307">
        <f t="shared" si="245"/>
        <v>0</v>
      </c>
      <c r="I372" s="309"/>
      <c r="J372" s="309"/>
      <c r="K372" s="309"/>
      <c r="L372" s="309"/>
      <c r="M372" s="309"/>
      <c r="N372" s="309"/>
      <c r="O372" s="309"/>
      <c r="P372" s="309"/>
      <c r="Q372" s="309"/>
      <c r="R372" s="307">
        <f>D372-N372</f>
        <v>0</v>
      </c>
      <c r="S372" s="307"/>
      <c r="T372" s="307"/>
    </row>
    <row r="373" spans="1:20" s="311" customFormat="1" ht="27.75" customHeight="1">
      <c r="A373" s="304" t="s">
        <v>438</v>
      </c>
      <c r="B373" s="166" t="s">
        <v>452</v>
      </c>
      <c r="C373" s="320" t="s">
        <v>488</v>
      </c>
      <c r="D373" s="306">
        <f>E373+G373</f>
        <v>-128.1482108290588</v>
      </c>
      <c r="E373" s="306">
        <f>-L374</f>
        <v>-128.1482108290588</v>
      </c>
      <c r="F373" s="306"/>
      <c r="G373" s="306"/>
      <c r="H373" s="307">
        <f t="shared" si="245"/>
        <v>-128.1482108290588</v>
      </c>
      <c r="I373" s="308"/>
      <c r="J373" s="308"/>
      <c r="K373" s="308"/>
      <c r="L373" s="309">
        <f>K373*10%</f>
        <v>0</v>
      </c>
      <c r="M373" s="309"/>
      <c r="N373" s="309">
        <f>L373+M373</f>
        <v>0</v>
      </c>
      <c r="O373" s="309">
        <f>L373-P373</f>
        <v>0</v>
      </c>
      <c r="P373" s="309">
        <f>N373</f>
        <v>0</v>
      </c>
      <c r="Q373" s="309">
        <f>M373</f>
        <v>0</v>
      </c>
      <c r="R373" s="307"/>
      <c r="S373" s="306"/>
      <c r="T373" s="307"/>
    </row>
    <row r="374" spans="1:20" ht="26.25" customHeight="1">
      <c r="A374" s="304" t="s">
        <v>438</v>
      </c>
      <c r="B374" s="166" t="s">
        <v>412</v>
      </c>
      <c r="C374" s="320" t="s">
        <v>488</v>
      </c>
      <c r="D374" s="306">
        <f>SUM(E374:G374)</f>
        <v>1281.482108290588</v>
      </c>
      <c r="E374" s="306">
        <f>SUM(E375:E376)</f>
        <v>1212.5964528317645</v>
      </c>
      <c r="F374" s="306">
        <f>SUM(F375:F376)</f>
        <v>0</v>
      </c>
      <c r="G374" s="306">
        <f>SUM(G375:G376)</f>
        <v>68.885655458823521</v>
      </c>
      <c r="H374" s="309"/>
      <c r="I374" s="309"/>
      <c r="J374" s="309"/>
      <c r="K374" s="309">
        <f>SUM(K375:K376)</f>
        <v>1281.482108290588</v>
      </c>
      <c r="L374" s="309">
        <f>SUM(L375:L376)</f>
        <v>128.1482108290588</v>
      </c>
      <c r="M374" s="309"/>
      <c r="N374" s="309">
        <f>L374+M374</f>
        <v>128.1482108290588</v>
      </c>
      <c r="O374" s="309">
        <f>N374</f>
        <v>128.1482108290588</v>
      </c>
      <c r="P374" s="309">
        <f>N374-O374</f>
        <v>0</v>
      </c>
      <c r="Q374" s="309">
        <f>M374</f>
        <v>0</v>
      </c>
      <c r="R374" s="307">
        <f>D374-N374</f>
        <v>1153.3338974615292</v>
      </c>
      <c r="S374" s="307">
        <f>SUM(S375:S376)</f>
        <v>0</v>
      </c>
      <c r="T374" s="307">
        <f>SUM(T375:T376)</f>
        <v>1153.3338974615292</v>
      </c>
    </row>
    <row r="375" spans="1:20" ht="39" customHeight="1">
      <c r="A375" s="325" t="s">
        <v>489</v>
      </c>
      <c r="B375" s="166" t="s">
        <v>531</v>
      </c>
      <c r="C375" s="320" t="s">
        <v>444</v>
      </c>
      <c r="D375" s="306">
        <f>SUM(E375:G375)</f>
        <v>1212.5964528317645</v>
      </c>
      <c r="E375" s="306">
        <f>'[2] TL giao BC '!Z428</f>
        <v>1212.5964528317645</v>
      </c>
      <c r="F375" s="306"/>
      <c r="G375" s="306"/>
      <c r="H375" s="309"/>
      <c r="I375" s="309"/>
      <c r="J375" s="309"/>
      <c r="K375" s="309">
        <f>D375</f>
        <v>1212.5964528317645</v>
      </c>
      <c r="L375" s="309">
        <f>K375*10%</f>
        <v>121.25964528317645</v>
      </c>
      <c r="M375" s="309"/>
      <c r="N375" s="309"/>
      <c r="O375" s="309"/>
      <c r="P375" s="309"/>
      <c r="Q375" s="309"/>
      <c r="R375" s="307"/>
      <c r="S375" s="307">
        <v>68.89</v>
      </c>
      <c r="T375" s="307">
        <f>K375-L375+S375</f>
        <v>1160.2268075485881</v>
      </c>
    </row>
    <row r="376" spans="1:20" ht="33" customHeight="1">
      <c r="A376" s="325" t="s">
        <v>489</v>
      </c>
      <c r="B376" s="164" t="s">
        <v>532</v>
      </c>
      <c r="C376" s="320" t="s">
        <v>478</v>
      </c>
      <c r="D376" s="306">
        <f>SUM(E376:G376)</f>
        <v>68.885655458823521</v>
      </c>
      <c r="E376" s="306"/>
      <c r="F376" s="306"/>
      <c r="G376" s="306">
        <f>'[2] TL giao BC tăng thêm'!X153</f>
        <v>68.885655458823521</v>
      </c>
      <c r="H376" s="309"/>
      <c r="I376" s="309"/>
      <c r="J376" s="309"/>
      <c r="K376" s="309">
        <f>D376</f>
        <v>68.885655458823521</v>
      </c>
      <c r="L376" s="309">
        <f>K376*10%</f>
        <v>6.8885655458823525</v>
      </c>
      <c r="M376" s="309"/>
      <c r="N376" s="309"/>
      <c r="O376" s="309"/>
      <c r="P376" s="309"/>
      <c r="Q376" s="309"/>
      <c r="R376" s="307"/>
      <c r="S376" s="307">
        <v>-68.89</v>
      </c>
      <c r="T376" s="307">
        <f>K376-L376+S376</f>
        <v>-6.89291008705883</v>
      </c>
    </row>
    <row r="377" spans="1:20" ht="30" customHeight="1">
      <c r="A377" s="303" t="s">
        <v>481</v>
      </c>
      <c r="B377" s="326" t="s">
        <v>485</v>
      </c>
      <c r="C377" s="320" t="s">
        <v>488</v>
      </c>
      <c r="D377" s="307">
        <f>E377+G377+F377</f>
        <v>41.399495518394659</v>
      </c>
      <c r="E377" s="307">
        <f t="shared" ref="E377:T377" si="248">SUM(E378:E382)</f>
        <v>0</v>
      </c>
      <c r="F377" s="307">
        <f t="shared" si="248"/>
        <v>0</v>
      </c>
      <c r="G377" s="307">
        <f t="shared" si="248"/>
        <v>41.399495518394659</v>
      </c>
      <c r="H377" s="307">
        <f t="shared" si="248"/>
        <v>0</v>
      </c>
      <c r="I377" s="307">
        <f t="shared" si="248"/>
        <v>41.399495518394659</v>
      </c>
      <c r="J377" s="307">
        <f t="shared" si="248"/>
        <v>0</v>
      </c>
      <c r="K377" s="307">
        <f t="shared" si="248"/>
        <v>0</v>
      </c>
      <c r="L377" s="307">
        <f t="shared" si="248"/>
        <v>0</v>
      </c>
      <c r="M377" s="307">
        <f t="shared" si="248"/>
        <v>0</v>
      </c>
      <c r="N377" s="307">
        <f t="shared" si="248"/>
        <v>0</v>
      </c>
      <c r="O377" s="307">
        <f t="shared" si="248"/>
        <v>0</v>
      </c>
      <c r="P377" s="307">
        <f t="shared" si="248"/>
        <v>0</v>
      </c>
      <c r="Q377" s="307">
        <f t="shared" si="248"/>
        <v>0</v>
      </c>
      <c r="R377" s="307">
        <f t="shared" si="248"/>
        <v>41.399495518394659</v>
      </c>
      <c r="S377" s="307">
        <f t="shared" si="248"/>
        <v>0</v>
      </c>
      <c r="T377" s="307">
        <f t="shared" si="248"/>
        <v>41.399495518394659</v>
      </c>
    </row>
    <row r="378" spans="1:20" ht="30" customHeight="1">
      <c r="A378" s="325" t="s">
        <v>438</v>
      </c>
      <c r="B378" s="166" t="s">
        <v>280</v>
      </c>
      <c r="C378" s="320" t="s">
        <v>444</v>
      </c>
      <c r="D378" s="306">
        <f>E378+G378</f>
        <v>0</v>
      </c>
      <c r="E378" s="306"/>
      <c r="F378" s="306"/>
      <c r="G378" s="306"/>
      <c r="H378" s="309"/>
      <c r="I378" s="309">
        <f>D378</f>
        <v>0</v>
      </c>
      <c r="J378" s="309"/>
      <c r="K378" s="309"/>
      <c r="L378" s="309">
        <f>K378*10%</f>
        <v>0</v>
      </c>
      <c r="M378" s="309"/>
      <c r="N378" s="309">
        <f>L378+M378</f>
        <v>0</v>
      </c>
      <c r="O378" s="309">
        <f>N378</f>
        <v>0</v>
      </c>
      <c r="P378" s="309">
        <f>N378-O378</f>
        <v>0</v>
      </c>
      <c r="Q378" s="309">
        <f>M378</f>
        <v>0</v>
      </c>
      <c r="R378" s="307">
        <f>D378-N378</f>
        <v>0</v>
      </c>
      <c r="S378" s="307"/>
      <c r="T378" s="307">
        <f>R378+S378</f>
        <v>0</v>
      </c>
    </row>
    <row r="379" spans="1:20" ht="30" customHeight="1">
      <c r="A379" s="325" t="s">
        <v>438</v>
      </c>
      <c r="B379" s="166" t="s">
        <v>287</v>
      </c>
      <c r="C379" s="320" t="s">
        <v>488</v>
      </c>
      <c r="D379" s="306">
        <f>E379+G379+F379</f>
        <v>0</v>
      </c>
      <c r="E379" s="306"/>
      <c r="F379" s="306"/>
      <c r="G379" s="306"/>
      <c r="H379" s="309"/>
      <c r="I379" s="309">
        <f>D379</f>
        <v>0</v>
      </c>
      <c r="J379" s="309"/>
      <c r="K379" s="309"/>
      <c r="L379" s="309">
        <f>K379*10%</f>
        <v>0</v>
      </c>
      <c r="M379" s="309"/>
      <c r="N379" s="309">
        <f>L379+M379</f>
        <v>0</v>
      </c>
      <c r="O379" s="309">
        <f>N379</f>
        <v>0</v>
      </c>
      <c r="P379" s="309">
        <f>N379-O379</f>
        <v>0</v>
      </c>
      <c r="Q379" s="309">
        <f>M379</f>
        <v>0</v>
      </c>
      <c r="R379" s="307">
        <f>D379-N379</f>
        <v>0</v>
      </c>
      <c r="S379" s="307"/>
      <c r="T379" s="307">
        <f t="shared" ref="T379:T382" si="249">R379+S379</f>
        <v>0</v>
      </c>
    </row>
    <row r="380" spans="1:20" ht="39" customHeight="1">
      <c r="A380" s="325" t="s">
        <v>438</v>
      </c>
      <c r="B380" s="166" t="s">
        <v>308</v>
      </c>
      <c r="C380" s="320" t="s">
        <v>488</v>
      </c>
      <c r="D380" s="306">
        <f>E380+G380</f>
        <v>0</v>
      </c>
      <c r="E380" s="306"/>
      <c r="F380" s="306"/>
      <c r="G380" s="306"/>
      <c r="H380" s="309"/>
      <c r="I380" s="309">
        <f>D380</f>
        <v>0</v>
      </c>
      <c r="J380" s="309"/>
      <c r="K380" s="309"/>
      <c r="L380" s="309">
        <f>K380*10%</f>
        <v>0</v>
      </c>
      <c r="M380" s="309"/>
      <c r="N380" s="309">
        <f>L380+M380</f>
        <v>0</v>
      </c>
      <c r="O380" s="309">
        <f>N380</f>
        <v>0</v>
      </c>
      <c r="P380" s="309">
        <f>N380-O380</f>
        <v>0</v>
      </c>
      <c r="Q380" s="309">
        <f>M380</f>
        <v>0</v>
      </c>
      <c r="R380" s="307">
        <f>D380-N380</f>
        <v>0</v>
      </c>
      <c r="S380" s="307"/>
      <c r="T380" s="307">
        <f t="shared" si="249"/>
        <v>0</v>
      </c>
    </row>
    <row r="381" spans="1:20" ht="36" customHeight="1">
      <c r="A381" s="325" t="s">
        <v>438</v>
      </c>
      <c r="B381" s="166" t="s">
        <v>495</v>
      </c>
      <c r="C381" s="320" t="s">
        <v>488</v>
      </c>
      <c r="D381" s="306">
        <f>E381+G381</f>
        <v>0</v>
      </c>
      <c r="E381" s="306"/>
      <c r="F381" s="306"/>
      <c r="G381" s="306"/>
      <c r="H381" s="309"/>
      <c r="I381" s="309">
        <f>D381</f>
        <v>0</v>
      </c>
      <c r="J381" s="309"/>
      <c r="K381" s="309"/>
      <c r="L381" s="309">
        <f>K381*10%</f>
        <v>0</v>
      </c>
      <c r="M381" s="309"/>
      <c r="N381" s="309">
        <f>L381+M381</f>
        <v>0</v>
      </c>
      <c r="O381" s="309">
        <f>N381</f>
        <v>0</v>
      </c>
      <c r="P381" s="309">
        <f>N381-O381</f>
        <v>0</v>
      </c>
      <c r="Q381" s="309">
        <f>M381</f>
        <v>0</v>
      </c>
      <c r="R381" s="307">
        <f>D381-N381</f>
        <v>0</v>
      </c>
      <c r="S381" s="307"/>
      <c r="T381" s="307">
        <f t="shared" si="249"/>
        <v>0</v>
      </c>
    </row>
    <row r="382" spans="1:20" ht="26.25" customHeight="1">
      <c r="A382" s="325" t="s">
        <v>438</v>
      </c>
      <c r="B382" s="166" t="s">
        <v>309</v>
      </c>
      <c r="C382" s="320" t="s">
        <v>478</v>
      </c>
      <c r="D382" s="306">
        <f>E382+G382</f>
        <v>41.399495518394659</v>
      </c>
      <c r="E382" s="306"/>
      <c r="F382" s="306"/>
      <c r="G382" s="306">
        <f>'[2]CS GV dạy trẻ khuyết tật'!S32</f>
        <v>41.399495518394659</v>
      </c>
      <c r="H382" s="309"/>
      <c r="I382" s="309">
        <f>D382</f>
        <v>41.399495518394659</v>
      </c>
      <c r="J382" s="309"/>
      <c r="K382" s="309"/>
      <c r="L382" s="309">
        <f>K382*10%</f>
        <v>0</v>
      </c>
      <c r="M382" s="309"/>
      <c r="N382" s="309">
        <f>L382+M382</f>
        <v>0</v>
      </c>
      <c r="O382" s="309">
        <f>N382</f>
        <v>0</v>
      </c>
      <c r="P382" s="309">
        <f>N382-O382</f>
        <v>0</v>
      </c>
      <c r="Q382" s="309">
        <f>M382</f>
        <v>0</v>
      </c>
      <c r="R382" s="307">
        <f>D382-N382</f>
        <v>41.399495518394659</v>
      </c>
      <c r="S382" s="307"/>
      <c r="T382" s="307">
        <f t="shared" si="249"/>
        <v>41.399495518394659</v>
      </c>
    </row>
    <row r="383" spans="1:20" s="328" customFormat="1" ht="27.75" customHeight="1">
      <c r="A383" s="320">
        <v>5</v>
      </c>
      <c r="B383" s="321" t="s">
        <v>533</v>
      </c>
      <c r="C383" s="320" t="s">
        <v>488</v>
      </c>
      <c r="D383" s="322">
        <f>D384+D396</f>
        <v>5364.9972377699833</v>
      </c>
      <c r="E383" s="322">
        <f t="shared" ref="E383:Q383" si="250">E384+E396</f>
        <v>5364.9972377699833</v>
      </c>
      <c r="F383" s="322">
        <f t="shared" si="250"/>
        <v>0</v>
      </c>
      <c r="G383" s="322">
        <f t="shared" si="250"/>
        <v>0</v>
      </c>
      <c r="H383" s="322">
        <f t="shared" si="250"/>
        <v>4672.3496436033365</v>
      </c>
      <c r="I383" s="322">
        <f t="shared" si="250"/>
        <v>0</v>
      </c>
      <c r="J383" s="322">
        <f t="shared" si="250"/>
        <v>0</v>
      </c>
      <c r="K383" s="322">
        <f t="shared" si="250"/>
        <v>692.6475941666472</v>
      </c>
      <c r="L383" s="322">
        <f t="shared" si="250"/>
        <v>69.264759416664717</v>
      </c>
      <c r="M383" s="322">
        <f t="shared" si="250"/>
        <v>0</v>
      </c>
      <c r="N383" s="322">
        <f t="shared" si="250"/>
        <v>69.264759416664717</v>
      </c>
      <c r="O383" s="322">
        <f t="shared" si="250"/>
        <v>69.264759416664717</v>
      </c>
      <c r="P383" s="322">
        <f t="shared" si="250"/>
        <v>0</v>
      </c>
      <c r="Q383" s="322">
        <f t="shared" si="250"/>
        <v>0</v>
      </c>
      <c r="R383" s="322">
        <f>R384+R396</f>
        <v>5364.9972377699833</v>
      </c>
      <c r="S383" s="322">
        <f t="shared" ref="S383:T383" si="251">S384+S396</f>
        <v>0</v>
      </c>
      <c r="T383" s="322">
        <f t="shared" si="251"/>
        <v>5364.9972377699833</v>
      </c>
    </row>
    <row r="384" spans="1:20" ht="27.75" customHeight="1">
      <c r="A384" s="303" t="s">
        <v>481</v>
      </c>
      <c r="B384" s="323" t="s">
        <v>482</v>
      </c>
      <c r="C384" s="320" t="s">
        <v>488</v>
      </c>
      <c r="D384" s="307">
        <f>D385+D388+D391+D392+D393</f>
        <v>5364.9972377699833</v>
      </c>
      <c r="E384" s="307">
        <f t="shared" ref="E384:Q384" si="252">E385+E388+E391+E392+E393</f>
        <v>5364.9972377699833</v>
      </c>
      <c r="F384" s="307">
        <f t="shared" si="252"/>
        <v>0</v>
      </c>
      <c r="G384" s="307">
        <f t="shared" si="252"/>
        <v>0</v>
      </c>
      <c r="H384" s="307">
        <f t="shared" si="252"/>
        <v>4672.3496436033365</v>
      </c>
      <c r="I384" s="307">
        <f t="shared" si="252"/>
        <v>0</v>
      </c>
      <c r="J384" s="307">
        <f t="shared" si="252"/>
        <v>0</v>
      </c>
      <c r="K384" s="307">
        <f t="shared" si="252"/>
        <v>692.6475941666472</v>
      </c>
      <c r="L384" s="307">
        <f t="shared" si="252"/>
        <v>69.264759416664717</v>
      </c>
      <c r="M384" s="307">
        <f t="shared" si="252"/>
        <v>0</v>
      </c>
      <c r="N384" s="307">
        <f t="shared" si="252"/>
        <v>69.264759416664717</v>
      </c>
      <c r="O384" s="307">
        <f t="shared" si="252"/>
        <v>69.264759416664717</v>
      </c>
      <c r="P384" s="307">
        <f t="shared" si="252"/>
        <v>0</v>
      </c>
      <c r="Q384" s="307">
        <f t="shared" si="252"/>
        <v>0</v>
      </c>
      <c r="R384" s="307">
        <f>R385+R388+R391+R392+R393</f>
        <v>5364.9972377699833</v>
      </c>
      <c r="S384" s="307">
        <f t="shared" ref="S384:T384" si="253">S385+S388+S391+S392+S393</f>
        <v>0</v>
      </c>
      <c r="T384" s="307">
        <f t="shared" si="253"/>
        <v>5364.9972377699833</v>
      </c>
    </row>
    <row r="385" spans="1:20" ht="27.75" customHeight="1">
      <c r="A385" s="325" t="s">
        <v>438</v>
      </c>
      <c r="B385" s="164" t="s">
        <v>277</v>
      </c>
      <c r="C385" s="320" t="s">
        <v>488</v>
      </c>
      <c r="D385" s="306">
        <f t="shared" ref="D385:D391" si="254">SUM(E385:G385)</f>
        <v>3925.0030336110008</v>
      </c>
      <c r="E385" s="306">
        <f>SUM(E386:E387)</f>
        <v>3925.0030336110008</v>
      </c>
      <c r="F385" s="306">
        <f>SUM(F386:F387)</f>
        <v>0</v>
      </c>
      <c r="G385" s="306">
        <f>SUM(G386:G387)</f>
        <v>0</v>
      </c>
      <c r="H385" s="307">
        <f t="shared" ref="H385:H392" si="255">D385</f>
        <v>3925.0030336110008</v>
      </c>
      <c r="I385" s="309"/>
      <c r="J385" s="309"/>
      <c r="K385" s="309"/>
      <c r="L385" s="309">
        <f>K385*10%</f>
        <v>0</v>
      </c>
      <c r="M385" s="309"/>
      <c r="N385" s="309">
        <f>L385+M385</f>
        <v>0</v>
      </c>
      <c r="O385" s="309">
        <f>L385-P385</f>
        <v>0</v>
      </c>
      <c r="P385" s="309">
        <f>N385</f>
        <v>0</v>
      </c>
      <c r="Q385" s="309">
        <f>M385</f>
        <v>0</v>
      </c>
      <c r="R385" s="307">
        <f>SUM(R386:R387)</f>
        <v>3925.0030336110008</v>
      </c>
      <c r="S385" s="307">
        <f t="shared" ref="S385:T385" si="256">SUM(S386:S387)</f>
        <v>0</v>
      </c>
      <c r="T385" s="307">
        <f t="shared" si="256"/>
        <v>3925.0030336110008</v>
      </c>
    </row>
    <row r="386" spans="1:20" ht="27.75" customHeight="1">
      <c r="A386" s="325" t="s">
        <v>489</v>
      </c>
      <c r="B386" s="164" t="s">
        <v>490</v>
      </c>
      <c r="C386" s="320" t="s">
        <v>444</v>
      </c>
      <c r="D386" s="306">
        <f t="shared" si="254"/>
        <v>3925.0030336110008</v>
      </c>
      <c r="E386" s="306">
        <f>'[2] TL giao BC '!T474</f>
        <v>3925.0030336110008</v>
      </c>
      <c r="F386" s="306"/>
      <c r="G386" s="306"/>
      <c r="H386" s="307">
        <f t="shared" si="255"/>
        <v>3925.0030336110008</v>
      </c>
      <c r="I386" s="309"/>
      <c r="J386" s="309"/>
      <c r="K386" s="309"/>
      <c r="L386" s="309"/>
      <c r="M386" s="309"/>
      <c r="N386" s="309"/>
      <c r="O386" s="309"/>
      <c r="P386" s="309"/>
      <c r="Q386" s="309"/>
      <c r="R386" s="307">
        <f>D386-N386</f>
        <v>3925.0030336110008</v>
      </c>
      <c r="S386" s="307">
        <v>-249.47</v>
      </c>
      <c r="T386" s="307">
        <f>R386+S386</f>
        <v>3675.533033611001</v>
      </c>
    </row>
    <row r="387" spans="1:20" ht="27.75" customHeight="1">
      <c r="A387" s="325" t="s">
        <v>489</v>
      </c>
      <c r="B387" s="164" t="s">
        <v>305</v>
      </c>
      <c r="C387" s="320" t="s">
        <v>478</v>
      </c>
      <c r="D387" s="306">
        <f t="shared" si="254"/>
        <v>0</v>
      </c>
      <c r="E387" s="306"/>
      <c r="F387" s="306"/>
      <c r="G387" s="306">
        <f>'[2] TL giao BC tăng thêm'!T157</f>
        <v>0</v>
      </c>
      <c r="H387" s="307">
        <f t="shared" si="255"/>
        <v>0</v>
      </c>
      <c r="I387" s="309"/>
      <c r="J387" s="309"/>
      <c r="K387" s="309"/>
      <c r="L387" s="309"/>
      <c r="M387" s="309"/>
      <c r="N387" s="309"/>
      <c r="O387" s="309"/>
      <c r="P387" s="309"/>
      <c r="Q387" s="309"/>
      <c r="R387" s="307">
        <f>D387-N387</f>
        <v>0</v>
      </c>
      <c r="S387" s="307">
        <v>249.47</v>
      </c>
      <c r="T387" s="307">
        <f>R387+S387</f>
        <v>249.47</v>
      </c>
    </row>
    <row r="388" spans="1:20" ht="27.75" customHeight="1">
      <c r="A388" s="304" t="s">
        <v>438</v>
      </c>
      <c r="B388" s="166" t="s">
        <v>278</v>
      </c>
      <c r="C388" s="320" t="s">
        <v>444</v>
      </c>
      <c r="D388" s="306">
        <f t="shared" si="254"/>
        <v>816.61136940900008</v>
      </c>
      <c r="E388" s="306">
        <f>SUM(E389:E390)</f>
        <v>816.61136940900008</v>
      </c>
      <c r="F388" s="306">
        <f>SUM(F389:F390)</f>
        <v>0</v>
      </c>
      <c r="G388" s="306">
        <f>SUM(G389:G390)</f>
        <v>0</v>
      </c>
      <c r="H388" s="307">
        <f t="shared" si="255"/>
        <v>816.61136940900008</v>
      </c>
      <c r="I388" s="309"/>
      <c r="J388" s="309"/>
      <c r="K388" s="309"/>
      <c r="L388" s="309">
        <f>K388*10%</f>
        <v>0</v>
      </c>
      <c r="M388" s="309"/>
      <c r="N388" s="309">
        <f>L388+M388</f>
        <v>0</v>
      </c>
      <c r="O388" s="309">
        <f>L388-P388</f>
        <v>0</v>
      </c>
      <c r="P388" s="309">
        <f>N388</f>
        <v>0</v>
      </c>
      <c r="Q388" s="309">
        <f>M388</f>
        <v>0</v>
      </c>
      <c r="R388" s="307">
        <f>SUM(R389:R390)</f>
        <v>816.61136940900008</v>
      </c>
      <c r="S388" s="307">
        <f t="shared" ref="S388:T388" si="257">SUM(S389:S390)</f>
        <v>0</v>
      </c>
      <c r="T388" s="307">
        <f t="shared" si="257"/>
        <v>816.61136940900008</v>
      </c>
    </row>
    <row r="389" spans="1:20" ht="27.75" customHeight="1">
      <c r="A389" s="325" t="s">
        <v>489</v>
      </c>
      <c r="B389" s="166" t="s">
        <v>491</v>
      </c>
      <c r="C389" s="320" t="s">
        <v>444</v>
      </c>
      <c r="D389" s="306">
        <f t="shared" si="254"/>
        <v>816.61136940900008</v>
      </c>
      <c r="E389" s="306">
        <f>'[2] TL giao BC '!U474</f>
        <v>816.61136940900008</v>
      </c>
      <c r="F389" s="306"/>
      <c r="G389" s="306"/>
      <c r="H389" s="307">
        <f t="shared" si="255"/>
        <v>816.61136940900008</v>
      </c>
      <c r="I389" s="309"/>
      <c r="J389" s="309"/>
      <c r="K389" s="309"/>
      <c r="L389" s="309"/>
      <c r="M389" s="309"/>
      <c r="N389" s="309"/>
      <c r="O389" s="309"/>
      <c r="P389" s="309"/>
      <c r="Q389" s="309"/>
      <c r="R389" s="307">
        <f>D389-N389</f>
        <v>816.61136940900008</v>
      </c>
      <c r="S389" s="307">
        <v>-51.9</v>
      </c>
      <c r="T389" s="307">
        <f>R389+S389</f>
        <v>764.7113694090001</v>
      </c>
    </row>
    <row r="390" spans="1:20" ht="27.75" customHeight="1">
      <c r="A390" s="325" t="s">
        <v>489</v>
      </c>
      <c r="B390" s="164" t="s">
        <v>492</v>
      </c>
      <c r="C390" s="320" t="s">
        <v>444</v>
      </c>
      <c r="D390" s="306">
        <f t="shared" si="254"/>
        <v>0</v>
      </c>
      <c r="E390" s="306">
        <f>'[2] TL giao BC tăng thêm'!U157</f>
        <v>0</v>
      </c>
      <c r="F390" s="306"/>
      <c r="G390" s="306"/>
      <c r="H390" s="307">
        <f t="shared" si="255"/>
        <v>0</v>
      </c>
      <c r="I390" s="309"/>
      <c r="J390" s="309"/>
      <c r="K390" s="309"/>
      <c r="L390" s="309"/>
      <c r="M390" s="309"/>
      <c r="N390" s="309"/>
      <c r="O390" s="309"/>
      <c r="P390" s="309"/>
      <c r="Q390" s="309"/>
      <c r="R390" s="307">
        <f>D390-N390</f>
        <v>0</v>
      </c>
      <c r="S390" s="307">
        <v>51.9</v>
      </c>
      <c r="T390" s="307">
        <f>R390+S390</f>
        <v>51.9</v>
      </c>
    </row>
    <row r="391" spans="1:20" ht="27.75" customHeight="1">
      <c r="A391" s="325" t="s">
        <v>438</v>
      </c>
      <c r="B391" s="164" t="s">
        <v>483</v>
      </c>
      <c r="C391" s="320"/>
      <c r="D391" s="306">
        <f t="shared" si="254"/>
        <v>0</v>
      </c>
      <c r="E391" s="306"/>
      <c r="F391" s="306"/>
      <c r="G391" s="306"/>
      <c r="H391" s="307">
        <f t="shared" si="255"/>
        <v>0</v>
      </c>
      <c r="I391" s="309"/>
      <c r="J391" s="309"/>
      <c r="K391" s="309"/>
      <c r="L391" s="309"/>
      <c r="M391" s="309"/>
      <c r="N391" s="309"/>
      <c r="O391" s="309"/>
      <c r="P391" s="309"/>
      <c r="Q391" s="309"/>
      <c r="R391" s="307">
        <f>D391-N391</f>
        <v>0</v>
      </c>
      <c r="S391" s="307"/>
      <c r="T391" s="307"/>
    </row>
    <row r="392" spans="1:20" s="311" customFormat="1" ht="27.75" customHeight="1">
      <c r="A392" s="304" t="s">
        <v>438</v>
      </c>
      <c r="B392" s="166" t="s">
        <v>452</v>
      </c>
      <c r="C392" s="320" t="s">
        <v>488</v>
      </c>
      <c r="D392" s="306">
        <f>E392+G392</f>
        <v>-69.264759416664717</v>
      </c>
      <c r="E392" s="306">
        <f>-L393</f>
        <v>-69.264759416664717</v>
      </c>
      <c r="F392" s="306"/>
      <c r="G392" s="306"/>
      <c r="H392" s="307">
        <f t="shared" si="255"/>
        <v>-69.264759416664717</v>
      </c>
      <c r="I392" s="308"/>
      <c r="J392" s="308"/>
      <c r="K392" s="308"/>
      <c r="L392" s="309">
        <f>K392*10%</f>
        <v>0</v>
      </c>
      <c r="M392" s="309"/>
      <c r="N392" s="309">
        <f>L392+M392</f>
        <v>0</v>
      </c>
      <c r="O392" s="309">
        <f>L392-P392</f>
        <v>0</v>
      </c>
      <c r="P392" s="309">
        <f>N392</f>
        <v>0</v>
      </c>
      <c r="Q392" s="309">
        <f>M392</f>
        <v>0</v>
      </c>
      <c r="R392" s="307"/>
      <c r="S392" s="306"/>
      <c r="T392" s="307"/>
    </row>
    <row r="393" spans="1:20" ht="26.25" customHeight="1">
      <c r="A393" s="304" t="s">
        <v>438</v>
      </c>
      <c r="B393" s="166" t="s">
        <v>412</v>
      </c>
      <c r="C393" s="320" t="s">
        <v>488</v>
      </c>
      <c r="D393" s="306">
        <f>SUM(E393:G393)</f>
        <v>692.6475941666472</v>
      </c>
      <c r="E393" s="306">
        <f>SUM(E394:E395)</f>
        <v>692.6475941666472</v>
      </c>
      <c r="F393" s="306">
        <f>SUM(F394:F395)</f>
        <v>0</v>
      </c>
      <c r="G393" s="306">
        <f>SUM(G394:G395)</f>
        <v>0</v>
      </c>
      <c r="H393" s="309"/>
      <c r="I393" s="309"/>
      <c r="J393" s="309"/>
      <c r="K393" s="309">
        <f>SUM(K394:K395)</f>
        <v>692.6475941666472</v>
      </c>
      <c r="L393" s="309">
        <f>SUM(L394:L395)</f>
        <v>69.264759416664717</v>
      </c>
      <c r="M393" s="309"/>
      <c r="N393" s="309">
        <f>L393+M393</f>
        <v>69.264759416664717</v>
      </c>
      <c r="O393" s="309">
        <f>N393</f>
        <v>69.264759416664717</v>
      </c>
      <c r="P393" s="309">
        <f>N393-O393</f>
        <v>0</v>
      </c>
      <c r="Q393" s="309">
        <f>M393</f>
        <v>0</v>
      </c>
      <c r="R393" s="307">
        <f>D393-N393</f>
        <v>623.38283474998252</v>
      </c>
      <c r="S393" s="307">
        <f>SUM(S394:S395)</f>
        <v>0</v>
      </c>
      <c r="T393" s="307">
        <f>SUM(T394:T395)</f>
        <v>623.38283474998252</v>
      </c>
    </row>
    <row r="394" spans="1:20" ht="39" customHeight="1">
      <c r="A394" s="325" t="s">
        <v>489</v>
      </c>
      <c r="B394" s="166" t="s">
        <v>534</v>
      </c>
      <c r="C394" s="320" t="s">
        <v>444</v>
      </c>
      <c r="D394" s="306">
        <f>SUM(E394:G394)</f>
        <v>692.6475941666472</v>
      </c>
      <c r="E394" s="306">
        <f>'[2] TL giao BC '!Z474</f>
        <v>692.6475941666472</v>
      </c>
      <c r="F394" s="306"/>
      <c r="G394" s="306"/>
      <c r="H394" s="309"/>
      <c r="I394" s="309"/>
      <c r="J394" s="309"/>
      <c r="K394" s="309">
        <f>D394</f>
        <v>692.6475941666472</v>
      </c>
      <c r="L394" s="309">
        <f>K394*10%</f>
        <v>69.264759416664717</v>
      </c>
      <c r="M394" s="309"/>
      <c r="N394" s="309"/>
      <c r="O394" s="309"/>
      <c r="P394" s="309"/>
      <c r="Q394" s="309"/>
      <c r="R394" s="307"/>
      <c r="S394" s="307">
        <v>-44.02</v>
      </c>
      <c r="T394" s="307">
        <f>K394-L394+S394</f>
        <v>579.36283474998254</v>
      </c>
    </row>
    <row r="395" spans="1:20" ht="33" customHeight="1">
      <c r="A395" s="325" t="s">
        <v>489</v>
      </c>
      <c r="B395" s="164" t="s">
        <v>505</v>
      </c>
      <c r="C395" s="320" t="s">
        <v>478</v>
      </c>
      <c r="D395" s="306">
        <f>SUM(E395:G395)</f>
        <v>0</v>
      </c>
      <c r="E395" s="306"/>
      <c r="F395" s="306"/>
      <c r="G395" s="306">
        <f>'[2] TL giao BC tăng thêm'!X157</f>
        <v>0</v>
      </c>
      <c r="H395" s="309"/>
      <c r="I395" s="309"/>
      <c r="J395" s="309"/>
      <c r="K395" s="309">
        <f>D395</f>
        <v>0</v>
      </c>
      <c r="L395" s="309">
        <f>K395*10%</f>
        <v>0</v>
      </c>
      <c r="M395" s="309"/>
      <c r="N395" s="309"/>
      <c r="O395" s="309"/>
      <c r="P395" s="309"/>
      <c r="Q395" s="309"/>
      <c r="R395" s="307"/>
      <c r="S395" s="307">
        <v>44.02</v>
      </c>
      <c r="T395" s="307">
        <f>K395-L395+S395</f>
        <v>44.02</v>
      </c>
    </row>
    <row r="396" spans="1:20" ht="30" customHeight="1">
      <c r="A396" s="303" t="s">
        <v>481</v>
      </c>
      <c r="B396" s="326" t="s">
        <v>485</v>
      </c>
      <c r="C396" s="320" t="s">
        <v>488</v>
      </c>
      <c r="D396" s="307">
        <f>E396+G396+F396</f>
        <v>0</v>
      </c>
      <c r="E396" s="307">
        <f t="shared" ref="E396:T396" si="258">SUM(E397:E401)</f>
        <v>0</v>
      </c>
      <c r="F396" s="307">
        <f t="shared" si="258"/>
        <v>0</v>
      </c>
      <c r="G396" s="307">
        <f t="shared" si="258"/>
        <v>0</v>
      </c>
      <c r="H396" s="307">
        <f t="shared" si="258"/>
        <v>0</v>
      </c>
      <c r="I396" s="307">
        <f t="shared" si="258"/>
        <v>0</v>
      </c>
      <c r="J396" s="307">
        <f t="shared" si="258"/>
        <v>0</v>
      </c>
      <c r="K396" s="307">
        <f t="shared" si="258"/>
        <v>0</v>
      </c>
      <c r="L396" s="307">
        <f t="shared" si="258"/>
        <v>0</v>
      </c>
      <c r="M396" s="307">
        <f t="shared" si="258"/>
        <v>0</v>
      </c>
      <c r="N396" s="307">
        <f t="shared" si="258"/>
        <v>0</v>
      </c>
      <c r="O396" s="307">
        <f t="shared" si="258"/>
        <v>0</v>
      </c>
      <c r="P396" s="307">
        <f t="shared" si="258"/>
        <v>0</v>
      </c>
      <c r="Q396" s="307">
        <f t="shared" si="258"/>
        <v>0</v>
      </c>
      <c r="R396" s="307">
        <f t="shared" si="258"/>
        <v>0</v>
      </c>
      <c r="S396" s="307">
        <f t="shared" si="258"/>
        <v>0</v>
      </c>
      <c r="T396" s="307">
        <f t="shared" si="258"/>
        <v>0</v>
      </c>
    </row>
    <row r="397" spans="1:20" ht="30" customHeight="1">
      <c r="A397" s="325" t="s">
        <v>438</v>
      </c>
      <c r="B397" s="166" t="s">
        <v>280</v>
      </c>
      <c r="C397" s="320" t="s">
        <v>444</v>
      </c>
      <c r="D397" s="306">
        <f>E397+G397</f>
        <v>0</v>
      </c>
      <c r="E397" s="306"/>
      <c r="F397" s="306"/>
      <c r="G397" s="306"/>
      <c r="H397" s="309"/>
      <c r="I397" s="309">
        <f>D397</f>
        <v>0</v>
      </c>
      <c r="J397" s="309"/>
      <c r="K397" s="309"/>
      <c r="L397" s="309">
        <f>K397*10%</f>
        <v>0</v>
      </c>
      <c r="M397" s="309"/>
      <c r="N397" s="309">
        <f>L397+M397</f>
        <v>0</v>
      </c>
      <c r="O397" s="309">
        <f>N397</f>
        <v>0</v>
      </c>
      <c r="P397" s="309">
        <f>N397-O397</f>
        <v>0</v>
      </c>
      <c r="Q397" s="309">
        <f>M397</f>
        <v>0</v>
      </c>
      <c r="R397" s="307">
        <f>D397-N397</f>
        <v>0</v>
      </c>
      <c r="S397" s="307"/>
      <c r="T397" s="307">
        <f>R397+S397</f>
        <v>0</v>
      </c>
    </row>
    <row r="398" spans="1:20" ht="30" customHeight="1">
      <c r="A398" s="325" t="s">
        <v>438</v>
      </c>
      <c r="B398" s="166" t="s">
        <v>287</v>
      </c>
      <c r="C398" s="320" t="s">
        <v>488</v>
      </c>
      <c r="D398" s="306">
        <f>E398+G398+F398</f>
        <v>0</v>
      </c>
      <c r="E398" s="306"/>
      <c r="F398" s="306"/>
      <c r="G398" s="306"/>
      <c r="H398" s="309"/>
      <c r="I398" s="309">
        <f>D398</f>
        <v>0</v>
      </c>
      <c r="J398" s="309"/>
      <c r="K398" s="309"/>
      <c r="L398" s="309">
        <f>K398*10%</f>
        <v>0</v>
      </c>
      <c r="M398" s="309"/>
      <c r="N398" s="309">
        <f>L398+M398</f>
        <v>0</v>
      </c>
      <c r="O398" s="309">
        <f>N398</f>
        <v>0</v>
      </c>
      <c r="P398" s="309">
        <f>N398-O398</f>
        <v>0</v>
      </c>
      <c r="Q398" s="309">
        <f>M398</f>
        <v>0</v>
      </c>
      <c r="R398" s="307">
        <f>D398-N398</f>
        <v>0</v>
      </c>
      <c r="S398" s="307"/>
      <c r="T398" s="307">
        <f t="shared" ref="T398:T401" si="259">R398+S398</f>
        <v>0</v>
      </c>
    </row>
    <row r="399" spans="1:20" ht="39" customHeight="1">
      <c r="A399" s="325" t="s">
        <v>438</v>
      </c>
      <c r="B399" s="166" t="s">
        <v>308</v>
      </c>
      <c r="C399" s="320" t="s">
        <v>488</v>
      </c>
      <c r="D399" s="306">
        <f>E399+G399</f>
        <v>0</v>
      </c>
      <c r="E399" s="306"/>
      <c r="F399" s="306"/>
      <c r="G399" s="306"/>
      <c r="H399" s="309"/>
      <c r="I399" s="309">
        <f>D399</f>
        <v>0</v>
      </c>
      <c r="J399" s="309"/>
      <c r="K399" s="309"/>
      <c r="L399" s="309">
        <f>K399*10%</f>
        <v>0</v>
      </c>
      <c r="M399" s="309"/>
      <c r="N399" s="309">
        <f>L399+M399</f>
        <v>0</v>
      </c>
      <c r="O399" s="309">
        <f>N399</f>
        <v>0</v>
      </c>
      <c r="P399" s="309">
        <f>N399-O399</f>
        <v>0</v>
      </c>
      <c r="Q399" s="309">
        <f>M399</f>
        <v>0</v>
      </c>
      <c r="R399" s="307">
        <f>D399-N399</f>
        <v>0</v>
      </c>
      <c r="S399" s="307"/>
      <c r="T399" s="307">
        <f t="shared" si="259"/>
        <v>0</v>
      </c>
    </row>
    <row r="400" spans="1:20" ht="36" customHeight="1">
      <c r="A400" s="325" t="s">
        <v>438</v>
      </c>
      <c r="B400" s="166" t="s">
        <v>495</v>
      </c>
      <c r="C400" s="320" t="s">
        <v>488</v>
      </c>
      <c r="D400" s="306">
        <f>E400+G400</f>
        <v>0</v>
      </c>
      <c r="E400" s="306"/>
      <c r="F400" s="306"/>
      <c r="G400" s="306"/>
      <c r="H400" s="309"/>
      <c r="I400" s="309">
        <f>D400</f>
        <v>0</v>
      </c>
      <c r="J400" s="309"/>
      <c r="K400" s="309"/>
      <c r="L400" s="309">
        <f>K400*10%</f>
        <v>0</v>
      </c>
      <c r="M400" s="309"/>
      <c r="N400" s="309">
        <f>L400+M400</f>
        <v>0</v>
      </c>
      <c r="O400" s="309">
        <f>N400</f>
        <v>0</v>
      </c>
      <c r="P400" s="309">
        <f>N400-O400</f>
        <v>0</v>
      </c>
      <c r="Q400" s="309">
        <f>M400</f>
        <v>0</v>
      </c>
      <c r="R400" s="307">
        <f>D400-N400</f>
        <v>0</v>
      </c>
      <c r="S400" s="307"/>
      <c r="T400" s="307">
        <f t="shared" si="259"/>
        <v>0</v>
      </c>
    </row>
    <row r="401" spans="1:20" ht="26.25" customHeight="1">
      <c r="A401" s="325" t="s">
        <v>438</v>
      </c>
      <c r="B401" s="166" t="s">
        <v>309</v>
      </c>
      <c r="C401" s="320" t="s">
        <v>478</v>
      </c>
      <c r="D401" s="306">
        <f>E401+G401</f>
        <v>0</v>
      </c>
      <c r="E401" s="306"/>
      <c r="F401" s="306"/>
      <c r="G401" s="306"/>
      <c r="H401" s="309"/>
      <c r="I401" s="309">
        <f>D401</f>
        <v>0</v>
      </c>
      <c r="J401" s="309"/>
      <c r="K401" s="309"/>
      <c r="L401" s="309">
        <f>K401*10%</f>
        <v>0</v>
      </c>
      <c r="M401" s="309"/>
      <c r="N401" s="309">
        <f>L401+M401</f>
        <v>0</v>
      </c>
      <c r="O401" s="309">
        <f>N401</f>
        <v>0</v>
      </c>
      <c r="P401" s="309">
        <f>N401-O401</f>
        <v>0</v>
      </c>
      <c r="Q401" s="309">
        <f>M401</f>
        <v>0</v>
      </c>
      <c r="R401" s="307">
        <f>D401-N401</f>
        <v>0</v>
      </c>
      <c r="S401" s="307"/>
      <c r="T401" s="307">
        <f t="shared" si="259"/>
        <v>0</v>
      </c>
    </row>
    <row r="402" spans="1:20" s="328" customFormat="1" ht="27.75" customHeight="1">
      <c r="A402" s="320">
        <v>6</v>
      </c>
      <c r="B402" s="321" t="s">
        <v>535</v>
      </c>
      <c r="C402" s="320" t="s">
        <v>488</v>
      </c>
      <c r="D402" s="322">
        <f>D403+D415+0.001</f>
        <v>4848.9451609653906</v>
      </c>
      <c r="E402" s="322">
        <f t="shared" ref="E402:Q402" si="260">E403+E415</f>
        <v>4645.3452495508718</v>
      </c>
      <c r="F402" s="322">
        <f t="shared" si="260"/>
        <v>0</v>
      </c>
      <c r="G402" s="322">
        <f t="shared" si="260"/>
        <v>203.59891141451902</v>
      </c>
      <c r="H402" s="322">
        <f t="shared" si="260"/>
        <v>4212.6787607327778</v>
      </c>
      <c r="I402" s="322">
        <f t="shared" si="260"/>
        <v>11.761236120401339</v>
      </c>
      <c r="J402" s="322">
        <f t="shared" si="260"/>
        <v>0</v>
      </c>
      <c r="K402" s="322">
        <f t="shared" si="260"/>
        <v>624.50416411221192</v>
      </c>
      <c r="L402" s="322">
        <f t="shared" si="260"/>
        <v>62.450416411221191</v>
      </c>
      <c r="M402" s="322">
        <f t="shared" si="260"/>
        <v>0</v>
      </c>
      <c r="N402" s="322">
        <f t="shared" si="260"/>
        <v>62.450416411221191</v>
      </c>
      <c r="O402" s="322">
        <f t="shared" si="260"/>
        <v>62.450416411221191</v>
      </c>
      <c r="P402" s="322">
        <f t="shared" si="260"/>
        <v>0</v>
      </c>
      <c r="Q402" s="322">
        <f t="shared" si="260"/>
        <v>0</v>
      </c>
      <c r="R402" s="322">
        <f>R403+R415</f>
        <v>4848.9441609653913</v>
      </c>
      <c r="S402" s="322">
        <f t="shared" ref="S402" si="261">S403+S415</f>
        <v>0</v>
      </c>
      <c r="T402" s="322">
        <f>T403+T415</f>
        <v>4848.9441609653913</v>
      </c>
    </row>
    <row r="403" spans="1:20" ht="27.75" customHeight="1">
      <c r="A403" s="303" t="s">
        <v>481</v>
      </c>
      <c r="B403" s="323" t="s">
        <v>482</v>
      </c>
      <c r="C403" s="320" t="s">
        <v>488</v>
      </c>
      <c r="D403" s="307">
        <f>D404+D407+D410+D411+D412</f>
        <v>4837.1829248449894</v>
      </c>
      <c r="E403" s="307">
        <f t="shared" ref="E403:Q403" si="262">E404+E407+E410+E411+E412</f>
        <v>4645.3452495508718</v>
      </c>
      <c r="F403" s="307">
        <f t="shared" si="262"/>
        <v>0</v>
      </c>
      <c r="G403" s="307">
        <f t="shared" si="262"/>
        <v>191.83767529411767</v>
      </c>
      <c r="H403" s="307">
        <f t="shared" si="262"/>
        <v>4212.6787607327778</v>
      </c>
      <c r="I403" s="307">
        <f t="shared" si="262"/>
        <v>0</v>
      </c>
      <c r="J403" s="307">
        <f t="shared" si="262"/>
        <v>0</v>
      </c>
      <c r="K403" s="307">
        <f t="shared" si="262"/>
        <v>624.50416411221192</v>
      </c>
      <c r="L403" s="307">
        <f t="shared" si="262"/>
        <v>62.450416411221191</v>
      </c>
      <c r="M403" s="307">
        <f t="shared" si="262"/>
        <v>0</v>
      </c>
      <c r="N403" s="307">
        <f t="shared" si="262"/>
        <v>62.450416411221191</v>
      </c>
      <c r="O403" s="307">
        <f t="shared" si="262"/>
        <v>62.450416411221191</v>
      </c>
      <c r="P403" s="307">
        <f t="shared" si="262"/>
        <v>0</v>
      </c>
      <c r="Q403" s="307">
        <f t="shared" si="262"/>
        <v>0</v>
      </c>
      <c r="R403" s="307">
        <f>R404+R407+R410+R411+R412</f>
        <v>4837.1829248449903</v>
      </c>
      <c r="S403" s="307">
        <f t="shared" ref="S403" si="263">S404+S407+S410+S411+S412</f>
        <v>0</v>
      </c>
      <c r="T403" s="307">
        <f>T404+T407+T410+T411+T412</f>
        <v>4837.1829248449903</v>
      </c>
    </row>
    <row r="404" spans="1:20" ht="27.75" customHeight="1">
      <c r="A404" s="325" t="s">
        <v>438</v>
      </c>
      <c r="B404" s="164" t="s">
        <v>277</v>
      </c>
      <c r="C404" s="320" t="s">
        <v>488</v>
      </c>
      <c r="D404" s="306">
        <f t="shared" ref="D404:D410" si="264">SUM(E404:G404)</f>
        <v>3538.8569299691994</v>
      </c>
      <c r="E404" s="306">
        <f>SUM(E405:E406)</f>
        <v>3375.7949059691996</v>
      </c>
      <c r="F404" s="306">
        <f>SUM(F405:F406)</f>
        <v>0</v>
      </c>
      <c r="G404" s="306">
        <f>SUM(G405:G406)</f>
        <v>163.06202400000001</v>
      </c>
      <c r="H404" s="307">
        <f t="shared" ref="H404:H411" si="265">D404</f>
        <v>3538.8569299691994</v>
      </c>
      <c r="I404" s="309"/>
      <c r="J404" s="309"/>
      <c r="K404" s="309"/>
      <c r="L404" s="309">
        <f>K404*10%</f>
        <v>0</v>
      </c>
      <c r="M404" s="309"/>
      <c r="N404" s="309">
        <f>L404+M404</f>
        <v>0</v>
      </c>
      <c r="O404" s="309">
        <f>L404-P404</f>
        <v>0</v>
      </c>
      <c r="P404" s="309">
        <f>N404</f>
        <v>0</v>
      </c>
      <c r="Q404" s="309">
        <f>M404</f>
        <v>0</v>
      </c>
      <c r="R404" s="307">
        <f>SUM(R405:R406)</f>
        <v>3538.8569299691994</v>
      </c>
      <c r="S404" s="307">
        <f t="shared" ref="S404:T404" si="266">SUM(S405:S406)</f>
        <v>0</v>
      </c>
      <c r="T404" s="307">
        <f t="shared" si="266"/>
        <v>3538.8569299691994</v>
      </c>
    </row>
    <row r="405" spans="1:20" ht="27.75" customHeight="1">
      <c r="A405" s="325" t="s">
        <v>489</v>
      </c>
      <c r="B405" s="164" t="s">
        <v>490</v>
      </c>
      <c r="C405" s="320" t="s">
        <v>444</v>
      </c>
      <c r="D405" s="306">
        <f t="shared" si="264"/>
        <v>3375.7949059691996</v>
      </c>
      <c r="E405" s="306">
        <f>'[2] TL giao BC '!T502</f>
        <v>3375.7949059691996</v>
      </c>
      <c r="F405" s="306"/>
      <c r="G405" s="306"/>
      <c r="H405" s="307">
        <f t="shared" si="265"/>
        <v>3375.7949059691996</v>
      </c>
      <c r="I405" s="309"/>
      <c r="J405" s="309"/>
      <c r="K405" s="309"/>
      <c r="L405" s="309"/>
      <c r="M405" s="309"/>
      <c r="N405" s="309"/>
      <c r="O405" s="309"/>
      <c r="P405" s="309"/>
      <c r="Q405" s="309"/>
      <c r="R405" s="307">
        <f>D405-N405</f>
        <v>3375.7949059691996</v>
      </c>
      <c r="S405" s="307">
        <v>-81.53</v>
      </c>
      <c r="T405" s="307">
        <f>R405+S405</f>
        <v>3294.2649059691994</v>
      </c>
    </row>
    <row r="406" spans="1:20" ht="27.75" customHeight="1">
      <c r="A406" s="325" t="s">
        <v>489</v>
      </c>
      <c r="B406" s="164" t="s">
        <v>305</v>
      </c>
      <c r="C406" s="320" t="s">
        <v>478</v>
      </c>
      <c r="D406" s="306">
        <f t="shared" si="264"/>
        <v>163.06202400000001</v>
      </c>
      <c r="E406" s="306"/>
      <c r="F406" s="306"/>
      <c r="G406" s="306">
        <f>'[2] TL giao BC tăng thêm'!T185</f>
        <v>163.06202400000001</v>
      </c>
      <c r="H406" s="307">
        <f t="shared" si="265"/>
        <v>163.06202400000001</v>
      </c>
      <c r="I406" s="309"/>
      <c r="J406" s="309"/>
      <c r="K406" s="309"/>
      <c r="L406" s="309"/>
      <c r="M406" s="309"/>
      <c r="N406" s="309"/>
      <c r="O406" s="309"/>
      <c r="P406" s="309"/>
      <c r="Q406" s="309"/>
      <c r="R406" s="307">
        <f>D406-N406</f>
        <v>163.06202400000001</v>
      </c>
      <c r="S406" s="307">
        <v>81.53</v>
      </c>
      <c r="T406" s="307">
        <f>R406+S406</f>
        <v>244.59202400000001</v>
      </c>
    </row>
    <row r="407" spans="1:20" ht="27.75" customHeight="1">
      <c r="A407" s="304" t="s">
        <v>438</v>
      </c>
      <c r="B407" s="166" t="s">
        <v>278</v>
      </c>
      <c r="C407" s="320" t="s">
        <v>444</v>
      </c>
      <c r="D407" s="306">
        <f t="shared" si="264"/>
        <v>736.27224717479999</v>
      </c>
      <c r="E407" s="306">
        <f>SUM(E408:E409)</f>
        <v>736.27224717479999</v>
      </c>
      <c r="F407" s="306">
        <f>SUM(F408:F409)</f>
        <v>0</v>
      </c>
      <c r="G407" s="306">
        <f>SUM(G408:G409)</f>
        <v>0</v>
      </c>
      <c r="H407" s="307">
        <f t="shared" si="265"/>
        <v>736.27224717479999</v>
      </c>
      <c r="I407" s="309"/>
      <c r="J407" s="309"/>
      <c r="K407" s="309"/>
      <c r="L407" s="309">
        <f>K407*10%</f>
        <v>0</v>
      </c>
      <c r="M407" s="309"/>
      <c r="N407" s="309">
        <f>L407+M407</f>
        <v>0</v>
      </c>
      <c r="O407" s="309">
        <f>L407-P407</f>
        <v>0</v>
      </c>
      <c r="P407" s="309">
        <f>N407</f>
        <v>0</v>
      </c>
      <c r="Q407" s="309">
        <f>M407</f>
        <v>0</v>
      </c>
      <c r="R407" s="307">
        <f>SUM(R408:R409)</f>
        <v>736.27224717479999</v>
      </c>
      <c r="S407" s="307">
        <f t="shared" ref="S407:T407" si="267">SUM(S408:S409)</f>
        <v>0</v>
      </c>
      <c r="T407" s="307">
        <f t="shared" si="267"/>
        <v>736.27224717479999</v>
      </c>
    </row>
    <row r="408" spans="1:20" ht="27.75" customHeight="1">
      <c r="A408" s="325" t="s">
        <v>489</v>
      </c>
      <c r="B408" s="166" t="s">
        <v>491</v>
      </c>
      <c r="C408" s="320" t="s">
        <v>444</v>
      </c>
      <c r="D408" s="306">
        <f t="shared" si="264"/>
        <v>702.34659117479998</v>
      </c>
      <c r="E408" s="306">
        <f>'[2] TL giao BC '!U502</f>
        <v>702.34659117479998</v>
      </c>
      <c r="F408" s="306"/>
      <c r="G408" s="306"/>
      <c r="H408" s="307">
        <f t="shared" si="265"/>
        <v>702.34659117479998</v>
      </c>
      <c r="I408" s="309"/>
      <c r="J408" s="309"/>
      <c r="K408" s="309"/>
      <c r="L408" s="309"/>
      <c r="M408" s="309"/>
      <c r="N408" s="309"/>
      <c r="O408" s="309"/>
      <c r="P408" s="309"/>
      <c r="Q408" s="309"/>
      <c r="R408" s="307">
        <f>D408-N408</f>
        <v>702.34659117479998</v>
      </c>
      <c r="S408" s="307">
        <v>-16.96</v>
      </c>
      <c r="T408" s="307">
        <f>R408+S408</f>
        <v>685.38659117479995</v>
      </c>
    </row>
    <row r="409" spans="1:20" ht="27.75" customHeight="1">
      <c r="A409" s="325" t="s">
        <v>489</v>
      </c>
      <c r="B409" s="164" t="s">
        <v>492</v>
      </c>
      <c r="C409" s="320" t="s">
        <v>444</v>
      </c>
      <c r="D409" s="306">
        <f t="shared" si="264"/>
        <v>33.925655999999996</v>
      </c>
      <c r="E409" s="306">
        <f>'[2] TL giao BC tăng thêm'!U185</f>
        <v>33.925655999999996</v>
      </c>
      <c r="F409" s="306"/>
      <c r="G409" s="306"/>
      <c r="H409" s="307">
        <f t="shared" si="265"/>
        <v>33.925655999999996</v>
      </c>
      <c r="I409" s="309"/>
      <c r="J409" s="309"/>
      <c r="K409" s="309"/>
      <c r="L409" s="309"/>
      <c r="M409" s="309"/>
      <c r="N409" s="309"/>
      <c r="O409" s="309"/>
      <c r="P409" s="309"/>
      <c r="Q409" s="309"/>
      <c r="R409" s="307">
        <f>D409-N409</f>
        <v>33.925655999999996</v>
      </c>
      <c r="S409" s="307">
        <v>16.96</v>
      </c>
      <c r="T409" s="307">
        <f>R409+S409</f>
        <v>50.885655999999997</v>
      </c>
    </row>
    <row r="410" spans="1:20" ht="27.75" customHeight="1">
      <c r="A410" s="325" t="s">
        <v>438</v>
      </c>
      <c r="B410" s="164" t="s">
        <v>483</v>
      </c>
      <c r="C410" s="320"/>
      <c r="D410" s="306">
        <f t="shared" si="264"/>
        <v>0</v>
      </c>
      <c r="E410" s="306"/>
      <c r="F410" s="306"/>
      <c r="G410" s="306"/>
      <c r="H410" s="307">
        <f t="shared" si="265"/>
        <v>0</v>
      </c>
      <c r="I410" s="309"/>
      <c r="J410" s="309"/>
      <c r="K410" s="309"/>
      <c r="L410" s="309"/>
      <c r="M410" s="309"/>
      <c r="N410" s="309"/>
      <c r="O410" s="309"/>
      <c r="P410" s="309"/>
      <c r="Q410" s="309"/>
      <c r="R410" s="307">
        <f>D410-N410</f>
        <v>0</v>
      </c>
      <c r="S410" s="307"/>
      <c r="T410" s="307"/>
    </row>
    <row r="411" spans="1:20" s="311" customFormat="1" ht="27.75" customHeight="1">
      <c r="A411" s="304" t="s">
        <v>438</v>
      </c>
      <c r="B411" s="166" t="s">
        <v>452</v>
      </c>
      <c r="C411" s="320" t="s">
        <v>488</v>
      </c>
      <c r="D411" s="306">
        <f>E411+G411</f>
        <v>-62.450416411221191</v>
      </c>
      <c r="E411" s="306">
        <f>-L412</f>
        <v>-62.450416411221191</v>
      </c>
      <c r="F411" s="306"/>
      <c r="G411" s="306"/>
      <c r="H411" s="307">
        <f t="shared" si="265"/>
        <v>-62.450416411221191</v>
      </c>
      <c r="I411" s="308"/>
      <c r="J411" s="308"/>
      <c r="K411" s="308"/>
      <c r="L411" s="309">
        <f>K411*10%</f>
        <v>0</v>
      </c>
      <c r="M411" s="309"/>
      <c r="N411" s="309">
        <f>L411+M411</f>
        <v>0</v>
      </c>
      <c r="O411" s="309">
        <f>L411-P411</f>
        <v>0</v>
      </c>
      <c r="P411" s="309">
        <f>N411</f>
        <v>0</v>
      </c>
      <c r="Q411" s="309">
        <f>M411</f>
        <v>0</v>
      </c>
      <c r="R411" s="307"/>
      <c r="S411" s="306"/>
      <c r="T411" s="307"/>
    </row>
    <row r="412" spans="1:20" ht="26.25" customHeight="1">
      <c r="A412" s="304" t="s">
        <v>438</v>
      </c>
      <c r="B412" s="166" t="s">
        <v>412</v>
      </c>
      <c r="C412" s="320" t="s">
        <v>488</v>
      </c>
      <c r="D412" s="306">
        <f>SUM(E412:G412)</f>
        <v>624.50416411221192</v>
      </c>
      <c r="E412" s="306">
        <f>SUM(E413:E414)</f>
        <v>595.72851281809426</v>
      </c>
      <c r="F412" s="306">
        <f>SUM(F413:F414)</f>
        <v>0</v>
      </c>
      <c r="G412" s="306">
        <f>SUM(G413:G414)</f>
        <v>28.775651294117665</v>
      </c>
      <c r="H412" s="309"/>
      <c r="I412" s="309"/>
      <c r="J412" s="309"/>
      <c r="K412" s="309">
        <f>SUM(K413:K414)</f>
        <v>624.50416411221192</v>
      </c>
      <c r="L412" s="309">
        <f>SUM(L413:L414)</f>
        <v>62.450416411221191</v>
      </c>
      <c r="M412" s="309"/>
      <c r="N412" s="309">
        <f>L412+M412</f>
        <v>62.450416411221191</v>
      </c>
      <c r="O412" s="309">
        <f>N412</f>
        <v>62.450416411221191</v>
      </c>
      <c r="P412" s="309">
        <f>N412-O412</f>
        <v>0</v>
      </c>
      <c r="Q412" s="309">
        <f>M412</f>
        <v>0</v>
      </c>
      <c r="R412" s="307">
        <f>D412-N412</f>
        <v>562.0537477009907</v>
      </c>
      <c r="S412" s="307">
        <f>SUM(S413:S414)</f>
        <v>0</v>
      </c>
      <c r="T412" s="307">
        <f>SUM(T413:T414)</f>
        <v>562.0537477009907</v>
      </c>
    </row>
    <row r="413" spans="1:20" ht="39" customHeight="1">
      <c r="A413" s="325" t="s">
        <v>489</v>
      </c>
      <c r="B413" s="166" t="s">
        <v>536</v>
      </c>
      <c r="C413" s="320" t="s">
        <v>444</v>
      </c>
      <c r="D413" s="306">
        <f>SUM(E413:G413)</f>
        <v>595.72851281809426</v>
      </c>
      <c r="E413" s="306">
        <f>'[2] TL giao BC '!Z502</f>
        <v>595.72851281809426</v>
      </c>
      <c r="F413" s="306"/>
      <c r="G413" s="306"/>
      <c r="H413" s="309"/>
      <c r="I413" s="309"/>
      <c r="J413" s="309"/>
      <c r="K413" s="309">
        <f>D413</f>
        <v>595.72851281809426</v>
      </c>
      <c r="L413" s="309">
        <f>K413*10%</f>
        <v>59.572851281809427</v>
      </c>
      <c r="M413" s="309"/>
      <c r="N413" s="309"/>
      <c r="O413" s="309"/>
      <c r="P413" s="309"/>
      <c r="Q413" s="309"/>
      <c r="R413" s="307"/>
      <c r="S413" s="307">
        <v>-14.39</v>
      </c>
      <c r="T413" s="307">
        <f>K413-L413+S413</f>
        <v>521.76566153628482</v>
      </c>
    </row>
    <row r="414" spans="1:20" ht="33" customHeight="1">
      <c r="A414" s="325" t="s">
        <v>489</v>
      </c>
      <c r="B414" s="164" t="s">
        <v>508</v>
      </c>
      <c r="C414" s="320" t="s">
        <v>478</v>
      </c>
      <c r="D414" s="306">
        <f>SUM(E414:G414)</f>
        <v>28.775651294117665</v>
      </c>
      <c r="E414" s="306"/>
      <c r="F414" s="306"/>
      <c r="G414" s="306">
        <f>'[2] TL giao BC tăng thêm'!X185</f>
        <v>28.775651294117665</v>
      </c>
      <c r="H414" s="309"/>
      <c r="I414" s="309"/>
      <c r="J414" s="309"/>
      <c r="K414" s="309">
        <f>D414</f>
        <v>28.775651294117665</v>
      </c>
      <c r="L414" s="309">
        <f>K414*10%</f>
        <v>2.8775651294117668</v>
      </c>
      <c r="M414" s="309"/>
      <c r="N414" s="309"/>
      <c r="O414" s="309"/>
      <c r="P414" s="309"/>
      <c r="Q414" s="309"/>
      <c r="R414" s="307"/>
      <c r="S414" s="307">
        <v>14.39</v>
      </c>
      <c r="T414" s="307">
        <f>K414-L414+S414</f>
        <v>40.288086164705902</v>
      </c>
    </row>
    <row r="415" spans="1:20" ht="30" customHeight="1">
      <c r="A415" s="303" t="s">
        <v>481</v>
      </c>
      <c r="B415" s="326" t="s">
        <v>485</v>
      </c>
      <c r="C415" s="320" t="s">
        <v>488</v>
      </c>
      <c r="D415" s="307">
        <f>E415+G415+F415</f>
        <v>11.761236120401339</v>
      </c>
      <c r="E415" s="307">
        <f t="shared" ref="E415:T415" si="268">SUM(E416:E420)</f>
        <v>0</v>
      </c>
      <c r="F415" s="307">
        <f t="shared" si="268"/>
        <v>0</v>
      </c>
      <c r="G415" s="307">
        <f t="shared" si="268"/>
        <v>11.761236120401339</v>
      </c>
      <c r="H415" s="307">
        <f t="shared" si="268"/>
        <v>0</v>
      </c>
      <c r="I415" s="307">
        <f t="shared" si="268"/>
        <v>11.761236120401339</v>
      </c>
      <c r="J415" s="307">
        <f t="shared" si="268"/>
        <v>0</v>
      </c>
      <c r="K415" s="307">
        <f t="shared" si="268"/>
        <v>0</v>
      </c>
      <c r="L415" s="307">
        <f t="shared" si="268"/>
        <v>0</v>
      </c>
      <c r="M415" s="307">
        <f t="shared" si="268"/>
        <v>0</v>
      </c>
      <c r="N415" s="307">
        <f t="shared" si="268"/>
        <v>0</v>
      </c>
      <c r="O415" s="307">
        <f t="shared" si="268"/>
        <v>0</v>
      </c>
      <c r="P415" s="307">
        <f t="shared" si="268"/>
        <v>0</v>
      </c>
      <c r="Q415" s="307">
        <f t="shared" si="268"/>
        <v>0</v>
      </c>
      <c r="R415" s="307">
        <f t="shared" si="268"/>
        <v>11.761236120401339</v>
      </c>
      <c r="S415" s="307">
        <f t="shared" si="268"/>
        <v>0</v>
      </c>
      <c r="T415" s="307">
        <f t="shared" si="268"/>
        <v>11.761236120401339</v>
      </c>
    </row>
    <row r="416" spans="1:20" ht="30" customHeight="1">
      <c r="A416" s="325" t="s">
        <v>438</v>
      </c>
      <c r="B416" s="166" t="s">
        <v>280</v>
      </c>
      <c r="C416" s="320" t="s">
        <v>444</v>
      </c>
      <c r="D416" s="306">
        <f>E416+G416</f>
        <v>0</v>
      </c>
      <c r="E416" s="306"/>
      <c r="F416" s="306"/>
      <c r="G416" s="306"/>
      <c r="H416" s="309"/>
      <c r="I416" s="309">
        <f>D416</f>
        <v>0</v>
      </c>
      <c r="J416" s="309"/>
      <c r="K416" s="309"/>
      <c r="L416" s="309">
        <f>K416*10%</f>
        <v>0</v>
      </c>
      <c r="M416" s="309"/>
      <c r="N416" s="309">
        <f>L416+M416</f>
        <v>0</v>
      </c>
      <c r="O416" s="309">
        <f>N416</f>
        <v>0</v>
      </c>
      <c r="P416" s="309">
        <f>N416-O416</f>
        <v>0</v>
      </c>
      <c r="Q416" s="309">
        <f>M416</f>
        <v>0</v>
      </c>
      <c r="R416" s="307">
        <f>D416-N416</f>
        <v>0</v>
      </c>
      <c r="S416" s="307"/>
      <c r="T416" s="307">
        <f>R416+S416</f>
        <v>0</v>
      </c>
    </row>
    <row r="417" spans="1:20" ht="30" customHeight="1">
      <c r="A417" s="325" t="s">
        <v>438</v>
      </c>
      <c r="B417" s="166" t="s">
        <v>287</v>
      </c>
      <c r="C417" s="320" t="s">
        <v>488</v>
      </c>
      <c r="D417" s="306">
        <f>E417+G417+F417</f>
        <v>0</v>
      </c>
      <c r="E417" s="306"/>
      <c r="F417" s="306"/>
      <c r="G417" s="306"/>
      <c r="H417" s="309"/>
      <c r="I417" s="309">
        <f>D417</f>
        <v>0</v>
      </c>
      <c r="J417" s="309"/>
      <c r="K417" s="309"/>
      <c r="L417" s="309">
        <f>K417*10%</f>
        <v>0</v>
      </c>
      <c r="M417" s="309"/>
      <c r="N417" s="309">
        <f>L417+M417</f>
        <v>0</v>
      </c>
      <c r="O417" s="309">
        <f>N417</f>
        <v>0</v>
      </c>
      <c r="P417" s="309">
        <f>N417-O417</f>
        <v>0</v>
      </c>
      <c r="Q417" s="309">
        <f>M417</f>
        <v>0</v>
      </c>
      <c r="R417" s="307">
        <f>D417-N417</f>
        <v>0</v>
      </c>
      <c r="S417" s="307"/>
      <c r="T417" s="307">
        <f t="shared" ref="T417:T420" si="269">R417+S417</f>
        <v>0</v>
      </c>
    </row>
    <row r="418" spans="1:20" ht="39" customHeight="1">
      <c r="A418" s="325" t="s">
        <v>438</v>
      </c>
      <c r="B418" s="166" t="s">
        <v>308</v>
      </c>
      <c r="C418" s="320" t="s">
        <v>488</v>
      </c>
      <c r="D418" s="306">
        <f>E418+G418</f>
        <v>0</v>
      </c>
      <c r="E418" s="306"/>
      <c r="F418" s="306"/>
      <c r="G418" s="306"/>
      <c r="H418" s="309"/>
      <c r="I418" s="309">
        <f>D418</f>
        <v>0</v>
      </c>
      <c r="J418" s="309"/>
      <c r="K418" s="309"/>
      <c r="L418" s="309">
        <f>K418*10%</f>
        <v>0</v>
      </c>
      <c r="M418" s="309"/>
      <c r="N418" s="309">
        <f>L418+M418</f>
        <v>0</v>
      </c>
      <c r="O418" s="309">
        <f>N418</f>
        <v>0</v>
      </c>
      <c r="P418" s="309">
        <f>N418-O418</f>
        <v>0</v>
      </c>
      <c r="Q418" s="309">
        <f>M418</f>
        <v>0</v>
      </c>
      <c r="R418" s="307">
        <f>D418-N418</f>
        <v>0</v>
      </c>
      <c r="S418" s="307"/>
      <c r="T418" s="307">
        <f t="shared" si="269"/>
        <v>0</v>
      </c>
    </row>
    <row r="419" spans="1:20" ht="36" customHeight="1">
      <c r="A419" s="325" t="s">
        <v>438</v>
      </c>
      <c r="B419" s="166" t="s">
        <v>495</v>
      </c>
      <c r="C419" s="320" t="s">
        <v>488</v>
      </c>
      <c r="D419" s="306">
        <f>E419+G419</f>
        <v>0</v>
      </c>
      <c r="E419" s="306"/>
      <c r="F419" s="306"/>
      <c r="G419" s="306"/>
      <c r="H419" s="309"/>
      <c r="I419" s="309">
        <f>D419</f>
        <v>0</v>
      </c>
      <c r="J419" s="309"/>
      <c r="K419" s="309"/>
      <c r="L419" s="309">
        <f>K419*10%</f>
        <v>0</v>
      </c>
      <c r="M419" s="309"/>
      <c r="N419" s="309">
        <f>L419+M419</f>
        <v>0</v>
      </c>
      <c r="O419" s="309">
        <f>N419</f>
        <v>0</v>
      </c>
      <c r="P419" s="309">
        <f>N419-O419</f>
        <v>0</v>
      </c>
      <c r="Q419" s="309">
        <f>M419</f>
        <v>0</v>
      </c>
      <c r="R419" s="307">
        <f>D419-N419</f>
        <v>0</v>
      </c>
      <c r="S419" s="307"/>
      <c r="T419" s="307">
        <f t="shared" si="269"/>
        <v>0</v>
      </c>
    </row>
    <row r="420" spans="1:20" ht="26.25" customHeight="1">
      <c r="A420" s="325" t="s">
        <v>438</v>
      </c>
      <c r="B420" s="166" t="s">
        <v>309</v>
      </c>
      <c r="C420" s="320" t="s">
        <v>478</v>
      </c>
      <c r="D420" s="306">
        <f>E420+G420</f>
        <v>11.761236120401339</v>
      </c>
      <c r="E420" s="306"/>
      <c r="F420" s="306"/>
      <c r="G420" s="306">
        <f>'[2]CS GV dạy trẻ khuyết tật'!S29</f>
        <v>11.761236120401339</v>
      </c>
      <c r="H420" s="309"/>
      <c r="I420" s="309">
        <f>D420</f>
        <v>11.761236120401339</v>
      </c>
      <c r="J420" s="309"/>
      <c r="K420" s="309"/>
      <c r="L420" s="309">
        <f>K420*10%</f>
        <v>0</v>
      </c>
      <c r="M420" s="309"/>
      <c r="N420" s="309">
        <f>L420+M420</f>
        <v>0</v>
      </c>
      <c r="O420" s="309">
        <f>N420</f>
        <v>0</v>
      </c>
      <c r="P420" s="309">
        <f>N420-O420</f>
        <v>0</v>
      </c>
      <c r="Q420" s="309">
        <f>M420</f>
        <v>0</v>
      </c>
      <c r="R420" s="307">
        <f>D420-N420</f>
        <v>11.761236120401339</v>
      </c>
      <c r="S420" s="307"/>
      <c r="T420" s="307">
        <f t="shared" si="269"/>
        <v>11.761236120401339</v>
      </c>
    </row>
    <row r="421" spans="1:20" s="328" customFormat="1" ht="27.75" customHeight="1">
      <c r="A421" s="320">
        <v>7</v>
      </c>
      <c r="B421" s="321" t="s">
        <v>537</v>
      </c>
      <c r="C421" s="320" t="s">
        <v>488</v>
      </c>
      <c r="D421" s="322">
        <f>D422+D434</f>
        <v>4388.8937279548236</v>
      </c>
      <c r="E421" s="322">
        <f>E422+E434-0.001</f>
        <v>4108.4543938371753</v>
      </c>
      <c r="F421" s="322">
        <f t="shared" ref="F421:Q421" si="270">F422+F434</f>
        <v>0</v>
      </c>
      <c r="G421" s="322">
        <f t="shared" si="270"/>
        <v>280.43833411764706</v>
      </c>
      <c r="H421" s="322">
        <f t="shared" si="270"/>
        <v>3822.2659093383527</v>
      </c>
      <c r="I421" s="322">
        <f t="shared" si="270"/>
        <v>0</v>
      </c>
      <c r="J421" s="322">
        <f t="shared" si="270"/>
        <v>0</v>
      </c>
      <c r="K421" s="322">
        <f t="shared" si="270"/>
        <v>566.62781861647056</v>
      </c>
      <c r="L421" s="322">
        <f t="shared" si="270"/>
        <v>56.662781861647055</v>
      </c>
      <c r="M421" s="322">
        <f t="shared" si="270"/>
        <v>0</v>
      </c>
      <c r="N421" s="322">
        <f t="shared" si="270"/>
        <v>56.662781861647055</v>
      </c>
      <c r="O421" s="322">
        <f t="shared" si="270"/>
        <v>56.662781861647055</v>
      </c>
      <c r="P421" s="322">
        <f t="shared" si="270"/>
        <v>0</v>
      </c>
      <c r="Q421" s="322">
        <f t="shared" si="270"/>
        <v>0</v>
      </c>
      <c r="R421" s="322">
        <f>R422+R434</f>
        <v>4388.8937279548236</v>
      </c>
      <c r="S421" s="322">
        <f t="shared" ref="S421:T421" si="271">S422+S434</f>
        <v>0</v>
      </c>
      <c r="T421" s="322">
        <f t="shared" si="271"/>
        <v>4388.8937279548227</v>
      </c>
    </row>
    <row r="422" spans="1:20" ht="27.75" customHeight="1">
      <c r="A422" s="303" t="s">
        <v>481</v>
      </c>
      <c r="B422" s="323" t="s">
        <v>482</v>
      </c>
      <c r="C422" s="320" t="s">
        <v>488</v>
      </c>
      <c r="D422" s="307">
        <f>D423+D426+D429+D430+D431</f>
        <v>4388.8937279548236</v>
      </c>
      <c r="E422" s="307">
        <f t="shared" ref="E422:Q422" si="272">E423+E426+E429+E430+E431</f>
        <v>4108.4553938371755</v>
      </c>
      <c r="F422" s="307">
        <f t="shared" si="272"/>
        <v>0</v>
      </c>
      <c r="G422" s="307">
        <f t="shared" si="272"/>
        <v>280.43833411764706</v>
      </c>
      <c r="H422" s="307">
        <f t="shared" si="272"/>
        <v>3822.2659093383527</v>
      </c>
      <c r="I422" s="307">
        <f t="shared" si="272"/>
        <v>0</v>
      </c>
      <c r="J422" s="307">
        <f t="shared" si="272"/>
        <v>0</v>
      </c>
      <c r="K422" s="307">
        <f t="shared" si="272"/>
        <v>566.62781861647056</v>
      </c>
      <c r="L422" s="307">
        <f t="shared" si="272"/>
        <v>56.662781861647055</v>
      </c>
      <c r="M422" s="307">
        <f t="shared" si="272"/>
        <v>0</v>
      </c>
      <c r="N422" s="307">
        <f t="shared" si="272"/>
        <v>56.662781861647055</v>
      </c>
      <c r="O422" s="307">
        <f t="shared" si="272"/>
        <v>56.662781861647055</v>
      </c>
      <c r="P422" s="307">
        <f t="shared" si="272"/>
        <v>0</v>
      </c>
      <c r="Q422" s="307">
        <f t="shared" si="272"/>
        <v>0</v>
      </c>
      <c r="R422" s="307">
        <f>R423+R426+R429+R430+R431</f>
        <v>4388.8937279548236</v>
      </c>
      <c r="S422" s="307">
        <f t="shared" ref="S422:T422" si="273">S423+S426+S429+S430+S431</f>
        <v>0</v>
      </c>
      <c r="T422" s="307">
        <f t="shared" si="273"/>
        <v>4388.8937279548227</v>
      </c>
    </row>
    <row r="423" spans="1:20" ht="27.75" customHeight="1">
      <c r="A423" s="325" t="s">
        <v>438</v>
      </c>
      <c r="B423" s="164" t="s">
        <v>277</v>
      </c>
      <c r="C423" s="320" t="s">
        <v>488</v>
      </c>
      <c r="D423" s="306">
        <f t="shared" ref="D423:D429" si="274">SUM(E423:G423)</f>
        <v>3210.8909721599998</v>
      </c>
      <c r="E423" s="306">
        <f>SUM(E424:E425)</f>
        <v>2972.5183881599996</v>
      </c>
      <c r="F423" s="306">
        <f>SUM(F424:F425)</f>
        <v>0</v>
      </c>
      <c r="G423" s="306">
        <f>SUM(G424:G425)</f>
        <v>238.37258399999999</v>
      </c>
      <c r="H423" s="307">
        <f t="shared" ref="H423:H430" si="275">D423</f>
        <v>3210.8909721599998</v>
      </c>
      <c r="I423" s="309"/>
      <c r="J423" s="309"/>
      <c r="K423" s="309"/>
      <c r="L423" s="309">
        <f>K423*10%</f>
        <v>0</v>
      </c>
      <c r="M423" s="309"/>
      <c r="N423" s="309">
        <f>L423+M423</f>
        <v>0</v>
      </c>
      <c r="O423" s="309">
        <f>L423-P423</f>
        <v>0</v>
      </c>
      <c r="P423" s="309">
        <f>N423</f>
        <v>0</v>
      </c>
      <c r="Q423" s="309">
        <f>M423</f>
        <v>0</v>
      </c>
      <c r="R423" s="307">
        <f>SUM(R424:R425)</f>
        <v>3210.8909721599998</v>
      </c>
      <c r="S423" s="307">
        <f t="shared" ref="S423:T423" si="276">SUM(S424:S425)</f>
        <v>0</v>
      </c>
      <c r="T423" s="307">
        <f t="shared" si="276"/>
        <v>3210.8909721599994</v>
      </c>
    </row>
    <row r="424" spans="1:20" ht="27.75" customHeight="1">
      <c r="A424" s="325" t="s">
        <v>489</v>
      </c>
      <c r="B424" s="164" t="s">
        <v>490</v>
      </c>
      <c r="C424" s="320" t="s">
        <v>444</v>
      </c>
      <c r="D424" s="306">
        <f t="shared" si="274"/>
        <v>2972.5183881599996</v>
      </c>
      <c r="E424" s="306">
        <f>'[2] TL giao BC '!T527</f>
        <v>2972.5183881599996</v>
      </c>
      <c r="F424" s="306"/>
      <c r="G424" s="306"/>
      <c r="H424" s="307">
        <f t="shared" si="275"/>
        <v>2972.5183881599996</v>
      </c>
      <c r="I424" s="309"/>
      <c r="J424" s="309"/>
      <c r="K424" s="309"/>
      <c r="L424" s="309"/>
      <c r="M424" s="309"/>
      <c r="N424" s="309"/>
      <c r="O424" s="309"/>
      <c r="P424" s="309"/>
      <c r="Q424" s="309"/>
      <c r="R424" s="307">
        <f>D424-N424</f>
        <v>2972.5183881599996</v>
      </c>
      <c r="S424" s="307">
        <v>16.77</v>
      </c>
      <c r="T424" s="307">
        <f>R424+S424</f>
        <v>2989.2883881599996</v>
      </c>
    </row>
    <row r="425" spans="1:20" ht="27.75" customHeight="1">
      <c r="A425" s="325" t="s">
        <v>489</v>
      </c>
      <c r="B425" s="164" t="s">
        <v>305</v>
      </c>
      <c r="C425" s="320" t="s">
        <v>478</v>
      </c>
      <c r="D425" s="306">
        <f t="shared" si="274"/>
        <v>238.37258399999999</v>
      </c>
      <c r="E425" s="306"/>
      <c r="F425" s="306"/>
      <c r="G425" s="306">
        <f>'[2] TL giao BC tăng thêm'!T187</f>
        <v>238.37258399999999</v>
      </c>
      <c r="H425" s="307">
        <f t="shared" si="275"/>
        <v>238.37258399999999</v>
      </c>
      <c r="I425" s="309"/>
      <c r="J425" s="309"/>
      <c r="K425" s="309"/>
      <c r="L425" s="309"/>
      <c r="M425" s="309"/>
      <c r="N425" s="309"/>
      <c r="O425" s="309"/>
      <c r="P425" s="309"/>
      <c r="Q425" s="309"/>
      <c r="R425" s="307">
        <f>D425-N425</f>
        <v>238.37258399999999</v>
      </c>
      <c r="S425" s="307">
        <v>-16.77</v>
      </c>
      <c r="T425" s="307">
        <f>R425+S425</f>
        <v>221.60258399999998</v>
      </c>
    </row>
    <row r="426" spans="1:20" ht="27.75" customHeight="1">
      <c r="A426" s="304" t="s">
        <v>438</v>
      </c>
      <c r="B426" s="166" t="s">
        <v>278</v>
      </c>
      <c r="C426" s="320" t="s">
        <v>444</v>
      </c>
      <c r="D426" s="306">
        <f t="shared" si="274"/>
        <v>668.03771903999984</v>
      </c>
      <c r="E426" s="306">
        <f>SUM(E427:E428)</f>
        <v>668.03771903999984</v>
      </c>
      <c r="F426" s="306">
        <f>SUM(F427:F428)</f>
        <v>0</v>
      </c>
      <c r="G426" s="306">
        <f>SUM(G427:G428)</f>
        <v>0</v>
      </c>
      <c r="H426" s="307">
        <f t="shared" si="275"/>
        <v>668.03771903999984</v>
      </c>
      <c r="I426" s="309"/>
      <c r="J426" s="309"/>
      <c r="K426" s="309"/>
      <c r="L426" s="309">
        <f>K426*10%</f>
        <v>0</v>
      </c>
      <c r="M426" s="309"/>
      <c r="N426" s="309">
        <f>L426+M426</f>
        <v>0</v>
      </c>
      <c r="O426" s="309">
        <f>L426-P426</f>
        <v>0</v>
      </c>
      <c r="P426" s="309">
        <f>N426</f>
        <v>0</v>
      </c>
      <c r="Q426" s="309">
        <f>M426</f>
        <v>0</v>
      </c>
      <c r="R426" s="307">
        <f>SUM(R427:R428)</f>
        <v>668.03771903999984</v>
      </c>
      <c r="S426" s="307">
        <f t="shared" ref="S426:T426" si="277">SUM(S427:S428)</f>
        <v>0</v>
      </c>
      <c r="T426" s="307">
        <f t="shared" si="277"/>
        <v>668.03771903999984</v>
      </c>
    </row>
    <row r="427" spans="1:20" ht="27.75" customHeight="1">
      <c r="A427" s="325" t="s">
        <v>489</v>
      </c>
      <c r="B427" s="166" t="s">
        <v>491</v>
      </c>
      <c r="C427" s="320" t="s">
        <v>444</v>
      </c>
      <c r="D427" s="306">
        <f t="shared" si="274"/>
        <v>618.44342303999986</v>
      </c>
      <c r="E427" s="306">
        <f>'[2] TL giao BC '!U527</f>
        <v>618.44342303999986</v>
      </c>
      <c r="F427" s="306"/>
      <c r="G427" s="306"/>
      <c r="H427" s="307">
        <f t="shared" si="275"/>
        <v>618.44342303999986</v>
      </c>
      <c r="I427" s="309"/>
      <c r="J427" s="309"/>
      <c r="K427" s="309"/>
      <c r="L427" s="309"/>
      <c r="M427" s="309"/>
      <c r="N427" s="309"/>
      <c r="O427" s="309"/>
      <c r="P427" s="309"/>
      <c r="Q427" s="309"/>
      <c r="R427" s="307">
        <f>D427-N427</f>
        <v>618.44342303999986</v>
      </c>
      <c r="S427" s="307">
        <v>3.49</v>
      </c>
      <c r="T427" s="307">
        <f>R427+S427</f>
        <v>621.93342303999987</v>
      </c>
    </row>
    <row r="428" spans="1:20" ht="27.75" customHeight="1">
      <c r="A428" s="325" t="s">
        <v>489</v>
      </c>
      <c r="B428" s="164" t="s">
        <v>492</v>
      </c>
      <c r="C428" s="320" t="s">
        <v>444</v>
      </c>
      <c r="D428" s="306">
        <f t="shared" si="274"/>
        <v>49.594296</v>
      </c>
      <c r="E428" s="306">
        <f>'[2] TL giao BC tăng thêm'!U187</f>
        <v>49.594296</v>
      </c>
      <c r="F428" s="306"/>
      <c r="G428" s="306"/>
      <c r="H428" s="307">
        <f t="shared" si="275"/>
        <v>49.594296</v>
      </c>
      <c r="I428" s="309"/>
      <c r="J428" s="309"/>
      <c r="K428" s="309"/>
      <c r="L428" s="309"/>
      <c r="M428" s="309"/>
      <c r="N428" s="309"/>
      <c r="O428" s="309"/>
      <c r="P428" s="309"/>
      <c r="Q428" s="309"/>
      <c r="R428" s="307">
        <f>D428-N428</f>
        <v>49.594296</v>
      </c>
      <c r="S428" s="307">
        <v>-3.49</v>
      </c>
      <c r="T428" s="307">
        <f>R428+S428</f>
        <v>46.104295999999998</v>
      </c>
    </row>
    <row r="429" spans="1:20" ht="27.75" customHeight="1">
      <c r="A429" s="325" t="s">
        <v>438</v>
      </c>
      <c r="B429" s="164" t="s">
        <v>483</v>
      </c>
      <c r="C429" s="320"/>
      <c r="D429" s="306">
        <f t="shared" si="274"/>
        <v>0</v>
      </c>
      <c r="E429" s="306"/>
      <c r="F429" s="306"/>
      <c r="G429" s="306"/>
      <c r="H429" s="307">
        <f t="shared" si="275"/>
        <v>0</v>
      </c>
      <c r="I429" s="309"/>
      <c r="J429" s="309"/>
      <c r="K429" s="309"/>
      <c r="L429" s="309"/>
      <c r="M429" s="309"/>
      <c r="N429" s="309"/>
      <c r="O429" s="309"/>
      <c r="P429" s="309"/>
      <c r="Q429" s="309"/>
      <c r="R429" s="307">
        <f>D429-N429</f>
        <v>0</v>
      </c>
      <c r="S429" s="307"/>
      <c r="T429" s="307"/>
    </row>
    <row r="430" spans="1:20" s="311" customFormat="1" ht="27.75" customHeight="1">
      <c r="A430" s="304" t="s">
        <v>438</v>
      </c>
      <c r="B430" s="166" t="s">
        <v>452</v>
      </c>
      <c r="C430" s="320" t="s">
        <v>488</v>
      </c>
      <c r="D430" s="306">
        <f>E430+G430</f>
        <v>-56.662781861647055</v>
      </c>
      <c r="E430" s="306">
        <f>-L431</f>
        <v>-56.662781861647055</v>
      </c>
      <c r="F430" s="306"/>
      <c r="G430" s="306"/>
      <c r="H430" s="307">
        <f t="shared" si="275"/>
        <v>-56.662781861647055</v>
      </c>
      <c r="I430" s="308"/>
      <c r="J430" s="308"/>
      <c r="K430" s="308"/>
      <c r="L430" s="309">
        <f>K430*10%</f>
        <v>0</v>
      </c>
      <c r="M430" s="309"/>
      <c r="N430" s="309">
        <f>L430+M430</f>
        <v>0</v>
      </c>
      <c r="O430" s="309">
        <f>L430-P430</f>
        <v>0</v>
      </c>
      <c r="P430" s="309">
        <f>N430</f>
        <v>0</v>
      </c>
      <c r="Q430" s="309">
        <f>M430</f>
        <v>0</v>
      </c>
      <c r="R430" s="307"/>
      <c r="S430" s="306"/>
      <c r="T430" s="307"/>
    </row>
    <row r="431" spans="1:20" ht="26.25" customHeight="1">
      <c r="A431" s="304" t="s">
        <v>438</v>
      </c>
      <c r="B431" s="166" t="s">
        <v>412</v>
      </c>
      <c r="C431" s="320" t="s">
        <v>488</v>
      </c>
      <c r="D431" s="306">
        <f>SUM(E431:G431)</f>
        <v>566.62781861647056</v>
      </c>
      <c r="E431" s="306">
        <f>SUM(E432:E433)</f>
        <v>524.56206849882346</v>
      </c>
      <c r="F431" s="306">
        <f>SUM(F432:F433)</f>
        <v>0</v>
      </c>
      <c r="G431" s="306">
        <f>SUM(G432:G433)</f>
        <v>42.06575011764707</v>
      </c>
      <c r="H431" s="309"/>
      <c r="I431" s="309"/>
      <c r="J431" s="309"/>
      <c r="K431" s="309">
        <f>SUM(K432:K433)</f>
        <v>566.62781861647056</v>
      </c>
      <c r="L431" s="309">
        <f>SUM(L432:L433)</f>
        <v>56.662781861647055</v>
      </c>
      <c r="M431" s="309"/>
      <c r="N431" s="309">
        <f>L431+M431</f>
        <v>56.662781861647055</v>
      </c>
      <c r="O431" s="309">
        <f>N431</f>
        <v>56.662781861647055</v>
      </c>
      <c r="P431" s="309">
        <f>N431-O431</f>
        <v>0</v>
      </c>
      <c r="Q431" s="309">
        <f>M431</f>
        <v>0</v>
      </c>
      <c r="R431" s="307">
        <f>D431-N431</f>
        <v>509.96503675482353</v>
      </c>
      <c r="S431" s="307">
        <f>SUM(S432:S433)</f>
        <v>0</v>
      </c>
      <c r="T431" s="307">
        <f>SUM(T432:T433)</f>
        <v>509.96503675482347</v>
      </c>
    </row>
    <row r="432" spans="1:20" ht="39" customHeight="1">
      <c r="A432" s="325" t="s">
        <v>489</v>
      </c>
      <c r="B432" s="166" t="s">
        <v>538</v>
      </c>
      <c r="C432" s="320" t="s">
        <v>444</v>
      </c>
      <c r="D432" s="306">
        <f>SUM(E432:G432)</f>
        <v>524.56206849882346</v>
      </c>
      <c r="E432" s="306">
        <f>'[2] TL giao BC '!Z527</f>
        <v>524.56206849882346</v>
      </c>
      <c r="F432" s="306"/>
      <c r="G432" s="306"/>
      <c r="H432" s="309"/>
      <c r="I432" s="309"/>
      <c r="J432" s="309"/>
      <c r="K432" s="309">
        <f>D432</f>
        <v>524.56206849882346</v>
      </c>
      <c r="L432" s="309">
        <f>K432*10%</f>
        <v>52.456206849882349</v>
      </c>
      <c r="M432" s="309"/>
      <c r="N432" s="309"/>
      <c r="O432" s="309"/>
      <c r="P432" s="309"/>
      <c r="Q432" s="309"/>
      <c r="R432" s="307"/>
      <c r="S432" s="307">
        <v>2.96</v>
      </c>
      <c r="T432" s="307">
        <f>K432-L432+S432</f>
        <v>475.06586164894111</v>
      </c>
    </row>
    <row r="433" spans="1:20" ht="33" customHeight="1">
      <c r="A433" s="325" t="s">
        <v>489</v>
      </c>
      <c r="B433" s="164" t="s">
        <v>508</v>
      </c>
      <c r="C433" s="320" t="s">
        <v>478</v>
      </c>
      <c r="D433" s="306">
        <f>SUM(E433:G433)</f>
        <v>42.06575011764707</v>
      </c>
      <c r="E433" s="306"/>
      <c r="F433" s="306"/>
      <c r="G433" s="306">
        <f>'[2] TL giao BC tăng thêm'!X187</f>
        <v>42.06575011764707</v>
      </c>
      <c r="H433" s="309"/>
      <c r="I433" s="309"/>
      <c r="J433" s="309"/>
      <c r="K433" s="309">
        <f>D433</f>
        <v>42.06575011764707</v>
      </c>
      <c r="L433" s="309">
        <f>K433*10%</f>
        <v>4.2065750117647074</v>
      </c>
      <c r="M433" s="309"/>
      <c r="N433" s="309"/>
      <c r="O433" s="309"/>
      <c r="P433" s="309"/>
      <c r="Q433" s="309"/>
      <c r="R433" s="307"/>
      <c r="S433" s="307">
        <v>-2.96</v>
      </c>
      <c r="T433" s="307">
        <f>K433-L433+S433</f>
        <v>34.899175105882364</v>
      </c>
    </row>
    <row r="434" spans="1:20" ht="30" customHeight="1">
      <c r="A434" s="303" t="s">
        <v>481</v>
      </c>
      <c r="B434" s="326" t="s">
        <v>485</v>
      </c>
      <c r="C434" s="320" t="s">
        <v>488</v>
      </c>
      <c r="D434" s="307">
        <f>E434+G434+F434</f>
        <v>0</v>
      </c>
      <c r="E434" s="307">
        <f t="shared" ref="E434:T434" si="278">SUM(E435:E439)</f>
        <v>0</v>
      </c>
      <c r="F434" s="307">
        <f t="shared" si="278"/>
        <v>0</v>
      </c>
      <c r="G434" s="307">
        <f t="shared" si="278"/>
        <v>0</v>
      </c>
      <c r="H434" s="307">
        <f t="shared" si="278"/>
        <v>0</v>
      </c>
      <c r="I434" s="307">
        <f t="shared" si="278"/>
        <v>0</v>
      </c>
      <c r="J434" s="307">
        <f t="shared" si="278"/>
        <v>0</v>
      </c>
      <c r="K434" s="307">
        <f t="shared" si="278"/>
        <v>0</v>
      </c>
      <c r="L434" s="307">
        <f t="shared" si="278"/>
        <v>0</v>
      </c>
      <c r="M434" s="307">
        <f t="shared" si="278"/>
        <v>0</v>
      </c>
      <c r="N434" s="307">
        <f t="shared" si="278"/>
        <v>0</v>
      </c>
      <c r="O434" s="307">
        <f t="shared" si="278"/>
        <v>0</v>
      </c>
      <c r="P434" s="307">
        <f t="shared" si="278"/>
        <v>0</v>
      </c>
      <c r="Q434" s="307">
        <f t="shared" si="278"/>
        <v>0</v>
      </c>
      <c r="R434" s="307">
        <f t="shared" si="278"/>
        <v>0</v>
      </c>
      <c r="S434" s="307">
        <f t="shared" si="278"/>
        <v>0</v>
      </c>
      <c r="T434" s="307">
        <f t="shared" si="278"/>
        <v>0</v>
      </c>
    </row>
    <row r="435" spans="1:20" ht="30" customHeight="1">
      <c r="A435" s="325" t="s">
        <v>438</v>
      </c>
      <c r="B435" s="166" t="s">
        <v>280</v>
      </c>
      <c r="C435" s="320" t="s">
        <v>444</v>
      </c>
      <c r="D435" s="306">
        <f>E435+G435</f>
        <v>0</v>
      </c>
      <c r="E435" s="306"/>
      <c r="F435" s="306"/>
      <c r="G435" s="306"/>
      <c r="H435" s="309"/>
      <c r="I435" s="309">
        <f>D435</f>
        <v>0</v>
      </c>
      <c r="J435" s="309"/>
      <c r="K435" s="309"/>
      <c r="L435" s="309">
        <f>K435*10%</f>
        <v>0</v>
      </c>
      <c r="M435" s="309"/>
      <c r="N435" s="309">
        <f>L435+M435</f>
        <v>0</v>
      </c>
      <c r="O435" s="309">
        <f>N435</f>
        <v>0</v>
      </c>
      <c r="P435" s="309">
        <f>N435-O435</f>
        <v>0</v>
      </c>
      <c r="Q435" s="309">
        <f>M435</f>
        <v>0</v>
      </c>
      <c r="R435" s="307">
        <f>D435-N435</f>
        <v>0</v>
      </c>
      <c r="S435" s="307"/>
      <c r="T435" s="307">
        <f>R435+S435</f>
        <v>0</v>
      </c>
    </row>
    <row r="436" spans="1:20" ht="30" customHeight="1">
      <c r="A436" s="325" t="s">
        <v>438</v>
      </c>
      <c r="B436" s="166" t="s">
        <v>287</v>
      </c>
      <c r="C436" s="320" t="s">
        <v>488</v>
      </c>
      <c r="D436" s="306">
        <f>E436+G436+F436</f>
        <v>0</v>
      </c>
      <c r="E436" s="306"/>
      <c r="F436" s="306"/>
      <c r="G436" s="306"/>
      <c r="H436" s="309"/>
      <c r="I436" s="309">
        <f>D436</f>
        <v>0</v>
      </c>
      <c r="J436" s="309"/>
      <c r="K436" s="309"/>
      <c r="L436" s="309">
        <f>K436*10%</f>
        <v>0</v>
      </c>
      <c r="M436" s="309"/>
      <c r="N436" s="309">
        <f>L436+M436</f>
        <v>0</v>
      </c>
      <c r="O436" s="309">
        <f>N436</f>
        <v>0</v>
      </c>
      <c r="P436" s="309">
        <f>N436-O436</f>
        <v>0</v>
      </c>
      <c r="Q436" s="309">
        <f>M436</f>
        <v>0</v>
      </c>
      <c r="R436" s="307">
        <f>D436-N436</f>
        <v>0</v>
      </c>
      <c r="S436" s="307"/>
      <c r="T436" s="307">
        <f t="shared" ref="T436:T439" si="279">R436+S436</f>
        <v>0</v>
      </c>
    </row>
    <row r="437" spans="1:20" ht="39" customHeight="1">
      <c r="A437" s="325" t="s">
        <v>438</v>
      </c>
      <c r="B437" s="166" t="s">
        <v>308</v>
      </c>
      <c r="C437" s="320" t="s">
        <v>488</v>
      </c>
      <c r="D437" s="306">
        <f>E437+G437</f>
        <v>0</v>
      </c>
      <c r="E437" s="306"/>
      <c r="F437" s="306"/>
      <c r="G437" s="306"/>
      <c r="H437" s="309"/>
      <c r="I437" s="309">
        <f>D437</f>
        <v>0</v>
      </c>
      <c r="J437" s="309"/>
      <c r="K437" s="309"/>
      <c r="L437" s="309">
        <f>K437*10%</f>
        <v>0</v>
      </c>
      <c r="M437" s="309"/>
      <c r="N437" s="309">
        <f>L437+M437</f>
        <v>0</v>
      </c>
      <c r="O437" s="309">
        <f>N437</f>
        <v>0</v>
      </c>
      <c r="P437" s="309">
        <f>N437-O437</f>
        <v>0</v>
      </c>
      <c r="Q437" s="309">
        <f>M437</f>
        <v>0</v>
      </c>
      <c r="R437" s="307">
        <f>D437-N437</f>
        <v>0</v>
      </c>
      <c r="S437" s="307"/>
      <c r="T437" s="307">
        <f t="shared" si="279"/>
        <v>0</v>
      </c>
    </row>
    <row r="438" spans="1:20" ht="36" customHeight="1">
      <c r="A438" s="325" t="s">
        <v>438</v>
      </c>
      <c r="B438" s="166" t="s">
        <v>495</v>
      </c>
      <c r="C438" s="320" t="s">
        <v>488</v>
      </c>
      <c r="D438" s="306">
        <f>E438+G438</f>
        <v>0</v>
      </c>
      <c r="E438" s="306"/>
      <c r="F438" s="306"/>
      <c r="G438" s="306"/>
      <c r="H438" s="309"/>
      <c r="I438" s="309">
        <f>D438</f>
        <v>0</v>
      </c>
      <c r="J438" s="309"/>
      <c r="K438" s="309"/>
      <c r="L438" s="309">
        <f>K438*10%</f>
        <v>0</v>
      </c>
      <c r="M438" s="309"/>
      <c r="N438" s="309">
        <f>L438+M438</f>
        <v>0</v>
      </c>
      <c r="O438" s="309">
        <f>N438</f>
        <v>0</v>
      </c>
      <c r="P438" s="309">
        <f>N438-O438</f>
        <v>0</v>
      </c>
      <c r="Q438" s="309">
        <f>M438</f>
        <v>0</v>
      </c>
      <c r="R438" s="307">
        <f>D438-N438</f>
        <v>0</v>
      </c>
      <c r="S438" s="307"/>
      <c r="T438" s="307">
        <f t="shared" si="279"/>
        <v>0</v>
      </c>
    </row>
    <row r="439" spans="1:20" ht="26.25" customHeight="1">
      <c r="A439" s="325" t="s">
        <v>438</v>
      </c>
      <c r="B439" s="166" t="s">
        <v>309</v>
      </c>
      <c r="C439" s="320" t="s">
        <v>478</v>
      </c>
      <c r="D439" s="306">
        <f>E439+G439</f>
        <v>0</v>
      </c>
      <c r="E439" s="306"/>
      <c r="F439" s="306"/>
      <c r="G439" s="306"/>
      <c r="H439" s="309"/>
      <c r="I439" s="309">
        <f>D439</f>
        <v>0</v>
      </c>
      <c r="J439" s="309"/>
      <c r="K439" s="309"/>
      <c r="L439" s="309">
        <f>K439*10%</f>
        <v>0</v>
      </c>
      <c r="M439" s="309"/>
      <c r="N439" s="309">
        <f>L439+M439</f>
        <v>0</v>
      </c>
      <c r="O439" s="309">
        <f>N439</f>
        <v>0</v>
      </c>
      <c r="P439" s="309">
        <f>N439-O439</f>
        <v>0</v>
      </c>
      <c r="Q439" s="309">
        <f>M439</f>
        <v>0</v>
      </c>
      <c r="R439" s="307">
        <f>D439-N439</f>
        <v>0</v>
      </c>
      <c r="S439" s="307"/>
      <c r="T439" s="307">
        <f t="shared" si="279"/>
        <v>0</v>
      </c>
    </row>
    <row r="440" spans="1:20" s="328" customFormat="1" ht="27.75" customHeight="1">
      <c r="A440" s="320">
        <v>8</v>
      </c>
      <c r="B440" s="321" t="s">
        <v>539</v>
      </c>
      <c r="C440" s="320" t="s">
        <v>488</v>
      </c>
      <c r="D440" s="322">
        <f>D441+D453</f>
        <v>9850.4250791415379</v>
      </c>
      <c r="E440" s="322">
        <f>E441+E453+0.002</f>
        <v>9424.0756819981198</v>
      </c>
      <c r="F440" s="322">
        <f t="shared" ref="F440:Q440" si="280">F441+F453</f>
        <v>0</v>
      </c>
      <c r="G440" s="322">
        <f t="shared" si="280"/>
        <v>426.35139714341932</v>
      </c>
      <c r="H440" s="322">
        <f t="shared" si="280"/>
        <v>8533.2990283792951</v>
      </c>
      <c r="I440" s="322">
        <f t="shared" si="280"/>
        <v>52.116046555183949</v>
      </c>
      <c r="J440" s="322">
        <f t="shared" si="280"/>
        <v>0</v>
      </c>
      <c r="K440" s="322">
        <f t="shared" si="280"/>
        <v>1265.0100042070587</v>
      </c>
      <c r="L440" s="322">
        <f t="shared" si="280"/>
        <v>126.50100042070588</v>
      </c>
      <c r="M440" s="322">
        <f t="shared" si="280"/>
        <v>0</v>
      </c>
      <c r="N440" s="322">
        <f t="shared" si="280"/>
        <v>126.50100042070588</v>
      </c>
      <c r="O440" s="322">
        <f t="shared" si="280"/>
        <v>126.50100042070588</v>
      </c>
      <c r="P440" s="322">
        <f t="shared" si="280"/>
        <v>0</v>
      </c>
      <c r="Q440" s="322">
        <f t="shared" si="280"/>
        <v>0</v>
      </c>
      <c r="R440" s="322">
        <f>R441+R453</f>
        <v>9850.4250791415361</v>
      </c>
      <c r="S440" s="322">
        <f t="shared" ref="S440:T440" si="281">S441+S453</f>
        <v>0</v>
      </c>
      <c r="T440" s="322">
        <f t="shared" si="281"/>
        <v>9850.4250791415361</v>
      </c>
    </row>
    <row r="441" spans="1:20" ht="27.75" customHeight="1">
      <c r="A441" s="303" t="s">
        <v>481</v>
      </c>
      <c r="B441" s="323" t="s">
        <v>482</v>
      </c>
      <c r="C441" s="320" t="s">
        <v>488</v>
      </c>
      <c r="D441" s="307">
        <f>D442+D445+D448+D449+D450</f>
        <v>9798.3090325863541</v>
      </c>
      <c r="E441" s="307">
        <f t="shared" ref="E441:Q441" si="282">E442+E445+E448+E449+E450</f>
        <v>9414.6336819981188</v>
      </c>
      <c r="F441" s="307">
        <f t="shared" si="282"/>
        <v>0</v>
      </c>
      <c r="G441" s="307">
        <f t="shared" si="282"/>
        <v>383.67535058823535</v>
      </c>
      <c r="H441" s="307">
        <f t="shared" si="282"/>
        <v>8533.2990283792951</v>
      </c>
      <c r="I441" s="307">
        <f t="shared" si="282"/>
        <v>0</v>
      </c>
      <c r="J441" s="307">
        <f t="shared" si="282"/>
        <v>0</v>
      </c>
      <c r="K441" s="307">
        <f t="shared" si="282"/>
        <v>1265.0100042070587</v>
      </c>
      <c r="L441" s="307">
        <f t="shared" si="282"/>
        <v>126.50100042070588</v>
      </c>
      <c r="M441" s="307">
        <f t="shared" si="282"/>
        <v>0</v>
      </c>
      <c r="N441" s="307">
        <f t="shared" si="282"/>
        <v>126.50100042070588</v>
      </c>
      <c r="O441" s="307">
        <f t="shared" si="282"/>
        <v>126.50100042070588</v>
      </c>
      <c r="P441" s="307">
        <f t="shared" si="282"/>
        <v>0</v>
      </c>
      <c r="Q441" s="307">
        <f t="shared" si="282"/>
        <v>0</v>
      </c>
      <c r="R441" s="307">
        <f>R442+R445+R448+R449+R450</f>
        <v>9798.3090325863523</v>
      </c>
      <c r="S441" s="307">
        <f t="shared" ref="S441:T441" si="283">S442+S445+S448+S449+S450</f>
        <v>0</v>
      </c>
      <c r="T441" s="307">
        <f t="shared" si="283"/>
        <v>9798.3090325863523</v>
      </c>
    </row>
    <row r="442" spans="1:20" ht="27.75" customHeight="1">
      <c r="A442" s="325" t="s">
        <v>438</v>
      </c>
      <c r="B442" s="164" t="s">
        <v>277</v>
      </c>
      <c r="C442" s="320" t="s">
        <v>488</v>
      </c>
      <c r="D442" s="306">
        <f t="shared" ref="D442:D448" si="284">SUM(E442:G442)</f>
        <v>7168.3900238400001</v>
      </c>
      <c r="E442" s="306">
        <f>SUM(E443:E444)</f>
        <v>6842.2659758400005</v>
      </c>
      <c r="F442" s="306">
        <f>SUM(F443:F444)</f>
        <v>0</v>
      </c>
      <c r="G442" s="306">
        <f>SUM(G443:G444)</f>
        <v>326.12404800000002</v>
      </c>
      <c r="H442" s="307">
        <f t="shared" ref="H442:H449" si="285">D442</f>
        <v>7168.3900238400001</v>
      </c>
      <c r="I442" s="309"/>
      <c r="J442" s="309"/>
      <c r="K442" s="309"/>
      <c r="L442" s="309">
        <f>K442*10%</f>
        <v>0</v>
      </c>
      <c r="M442" s="309"/>
      <c r="N442" s="309">
        <f>L442+M442</f>
        <v>0</v>
      </c>
      <c r="O442" s="309">
        <f>L442-P442</f>
        <v>0</v>
      </c>
      <c r="P442" s="309">
        <f>N442</f>
        <v>0</v>
      </c>
      <c r="Q442" s="309">
        <f>M442</f>
        <v>0</v>
      </c>
      <c r="R442" s="307">
        <f>SUM(R443:R444)</f>
        <v>7168.3900238400001</v>
      </c>
      <c r="S442" s="307">
        <f t="shared" ref="S442:T442" si="286">SUM(S443:S444)</f>
        <v>0</v>
      </c>
      <c r="T442" s="307">
        <f t="shared" si="286"/>
        <v>7168.3900238400001</v>
      </c>
    </row>
    <row r="443" spans="1:20" ht="27.75" customHeight="1">
      <c r="A443" s="325" t="s">
        <v>489</v>
      </c>
      <c r="B443" s="164" t="s">
        <v>490</v>
      </c>
      <c r="C443" s="320" t="s">
        <v>444</v>
      </c>
      <c r="D443" s="306">
        <f t="shared" si="284"/>
        <v>6842.2659758400005</v>
      </c>
      <c r="E443" s="306">
        <f>'[2] TL giao BC '!T546</f>
        <v>6842.2659758400005</v>
      </c>
      <c r="F443" s="306"/>
      <c r="G443" s="306"/>
      <c r="H443" s="307">
        <f t="shared" si="285"/>
        <v>6842.2659758400005</v>
      </c>
      <c r="I443" s="309"/>
      <c r="J443" s="309"/>
      <c r="K443" s="309"/>
      <c r="L443" s="309"/>
      <c r="M443" s="309"/>
      <c r="N443" s="309"/>
      <c r="O443" s="309"/>
      <c r="P443" s="309"/>
      <c r="Q443" s="309"/>
      <c r="R443" s="307">
        <f>D443-N443</f>
        <v>6842.2659758400005</v>
      </c>
      <c r="S443" s="307"/>
      <c r="T443" s="307">
        <f>R443+S443</f>
        <v>6842.2659758400005</v>
      </c>
    </row>
    <row r="444" spans="1:20" ht="27.75" customHeight="1">
      <c r="A444" s="325" t="s">
        <v>489</v>
      </c>
      <c r="B444" s="164" t="s">
        <v>305</v>
      </c>
      <c r="C444" s="320" t="s">
        <v>478</v>
      </c>
      <c r="D444" s="306">
        <f t="shared" si="284"/>
        <v>326.12404800000002</v>
      </c>
      <c r="E444" s="306"/>
      <c r="F444" s="306"/>
      <c r="G444" s="306">
        <f>'[2] TL giao BC tăng thêm'!T189</f>
        <v>326.12404800000002</v>
      </c>
      <c r="H444" s="307">
        <f t="shared" si="285"/>
        <v>326.12404800000002</v>
      </c>
      <c r="I444" s="309"/>
      <c r="J444" s="309"/>
      <c r="K444" s="309"/>
      <c r="L444" s="309"/>
      <c r="M444" s="309"/>
      <c r="N444" s="309"/>
      <c r="O444" s="309"/>
      <c r="P444" s="309"/>
      <c r="Q444" s="309"/>
      <c r="R444" s="307">
        <f>D444-N444</f>
        <v>326.12404800000002</v>
      </c>
      <c r="S444" s="307"/>
      <c r="T444" s="307">
        <f>R444+S444</f>
        <v>326.12404800000002</v>
      </c>
    </row>
    <row r="445" spans="1:20" ht="27.75" customHeight="1">
      <c r="A445" s="304" t="s">
        <v>438</v>
      </c>
      <c r="B445" s="166" t="s">
        <v>278</v>
      </c>
      <c r="C445" s="320" t="s">
        <v>444</v>
      </c>
      <c r="D445" s="306">
        <f t="shared" si="284"/>
        <v>1491.4100049599999</v>
      </c>
      <c r="E445" s="306">
        <f>SUM(E446:E447)</f>
        <v>1491.4100049599999</v>
      </c>
      <c r="F445" s="306">
        <f>SUM(F446:F447)</f>
        <v>0</v>
      </c>
      <c r="G445" s="306">
        <f>SUM(G446:G447)</f>
        <v>0</v>
      </c>
      <c r="H445" s="307">
        <f t="shared" si="285"/>
        <v>1491.4100049599999</v>
      </c>
      <c r="I445" s="309"/>
      <c r="J445" s="309"/>
      <c r="K445" s="309"/>
      <c r="L445" s="309">
        <f>K445*10%</f>
        <v>0</v>
      </c>
      <c r="M445" s="309"/>
      <c r="N445" s="309">
        <f>L445+M445</f>
        <v>0</v>
      </c>
      <c r="O445" s="309">
        <f>L445-P445</f>
        <v>0</v>
      </c>
      <c r="P445" s="309">
        <f>N445</f>
        <v>0</v>
      </c>
      <c r="Q445" s="309">
        <f>M445</f>
        <v>0</v>
      </c>
      <c r="R445" s="307">
        <f>SUM(R446:R447)</f>
        <v>1491.4100049599999</v>
      </c>
      <c r="S445" s="307">
        <f t="shared" ref="S445:T445" si="287">SUM(S446:S447)</f>
        <v>0</v>
      </c>
      <c r="T445" s="307">
        <f t="shared" si="287"/>
        <v>1491.4100049599999</v>
      </c>
    </row>
    <row r="446" spans="1:20" ht="27.75" customHeight="1">
      <c r="A446" s="325" t="s">
        <v>489</v>
      </c>
      <c r="B446" s="166" t="s">
        <v>491</v>
      </c>
      <c r="C446" s="320" t="s">
        <v>444</v>
      </c>
      <c r="D446" s="306">
        <f t="shared" si="284"/>
        <v>1423.5586929599999</v>
      </c>
      <c r="E446" s="306">
        <f>'[2] TL giao BC '!U546</f>
        <v>1423.5586929599999</v>
      </c>
      <c r="F446" s="306"/>
      <c r="G446" s="306"/>
      <c r="H446" s="307">
        <f t="shared" si="285"/>
        <v>1423.5586929599999</v>
      </c>
      <c r="I446" s="309"/>
      <c r="J446" s="309"/>
      <c r="K446" s="309"/>
      <c r="L446" s="309"/>
      <c r="M446" s="309"/>
      <c r="N446" s="309"/>
      <c r="O446" s="309"/>
      <c r="P446" s="309"/>
      <c r="Q446" s="309"/>
      <c r="R446" s="307">
        <f>D446-N446</f>
        <v>1423.5586929599999</v>
      </c>
      <c r="S446" s="307"/>
      <c r="T446" s="307">
        <f t="shared" ref="T446:T447" si="288">R446+S446</f>
        <v>1423.5586929599999</v>
      </c>
    </row>
    <row r="447" spans="1:20" ht="27.75" customHeight="1">
      <c r="A447" s="325" t="s">
        <v>489</v>
      </c>
      <c r="B447" s="164" t="s">
        <v>492</v>
      </c>
      <c r="C447" s="320" t="s">
        <v>444</v>
      </c>
      <c r="D447" s="306">
        <f t="shared" si="284"/>
        <v>67.851311999999993</v>
      </c>
      <c r="E447" s="306">
        <f>'[2] TL giao BC tăng thêm'!U189</f>
        <v>67.851311999999993</v>
      </c>
      <c r="F447" s="306"/>
      <c r="G447" s="306"/>
      <c r="H447" s="307">
        <f t="shared" si="285"/>
        <v>67.851311999999993</v>
      </c>
      <c r="I447" s="309"/>
      <c r="J447" s="309"/>
      <c r="K447" s="309"/>
      <c r="L447" s="309"/>
      <c r="M447" s="309"/>
      <c r="N447" s="309"/>
      <c r="O447" s="309"/>
      <c r="P447" s="309"/>
      <c r="Q447" s="309"/>
      <c r="R447" s="307">
        <f>D447-N447</f>
        <v>67.851311999999993</v>
      </c>
      <c r="S447" s="307"/>
      <c r="T447" s="307">
        <f t="shared" si="288"/>
        <v>67.851311999999993</v>
      </c>
    </row>
    <row r="448" spans="1:20" ht="27.75" customHeight="1">
      <c r="A448" s="325" t="s">
        <v>438</v>
      </c>
      <c r="B448" s="164" t="s">
        <v>483</v>
      </c>
      <c r="C448" s="320"/>
      <c r="D448" s="306">
        <f t="shared" si="284"/>
        <v>0</v>
      </c>
      <c r="E448" s="306"/>
      <c r="F448" s="306"/>
      <c r="G448" s="306"/>
      <c r="H448" s="307">
        <f t="shared" si="285"/>
        <v>0</v>
      </c>
      <c r="I448" s="309"/>
      <c r="J448" s="309"/>
      <c r="K448" s="309"/>
      <c r="L448" s="309"/>
      <c r="M448" s="309"/>
      <c r="N448" s="309"/>
      <c r="O448" s="309"/>
      <c r="P448" s="309"/>
      <c r="Q448" s="309"/>
      <c r="R448" s="307">
        <f>D448-N448</f>
        <v>0</v>
      </c>
      <c r="S448" s="307"/>
      <c r="T448" s="307"/>
    </row>
    <row r="449" spans="1:20" s="311" customFormat="1" ht="27.75" customHeight="1">
      <c r="A449" s="304" t="s">
        <v>438</v>
      </c>
      <c r="B449" s="166" t="s">
        <v>452</v>
      </c>
      <c r="C449" s="320" t="s">
        <v>488</v>
      </c>
      <c r="D449" s="306">
        <f>E449+G449</f>
        <v>-126.50100042070588</v>
      </c>
      <c r="E449" s="306">
        <f>-L450</f>
        <v>-126.50100042070588</v>
      </c>
      <c r="F449" s="306"/>
      <c r="G449" s="306"/>
      <c r="H449" s="307">
        <f t="shared" si="285"/>
        <v>-126.50100042070588</v>
      </c>
      <c r="I449" s="308"/>
      <c r="J449" s="308"/>
      <c r="K449" s="308"/>
      <c r="L449" s="309">
        <f>K449*10%</f>
        <v>0</v>
      </c>
      <c r="M449" s="309"/>
      <c r="N449" s="309">
        <f>L449+M449</f>
        <v>0</v>
      </c>
      <c r="O449" s="309">
        <f>L449-P449</f>
        <v>0</v>
      </c>
      <c r="P449" s="309">
        <f>N449</f>
        <v>0</v>
      </c>
      <c r="Q449" s="309">
        <f>M449</f>
        <v>0</v>
      </c>
      <c r="R449" s="307"/>
      <c r="S449" s="306"/>
      <c r="T449" s="307"/>
    </row>
    <row r="450" spans="1:20" ht="26.25" customHeight="1">
      <c r="A450" s="304" t="s">
        <v>438</v>
      </c>
      <c r="B450" s="166" t="s">
        <v>412</v>
      </c>
      <c r="C450" s="320" t="s">
        <v>488</v>
      </c>
      <c r="D450" s="306">
        <f>SUM(E450:G450)</f>
        <v>1265.0100042070587</v>
      </c>
      <c r="E450" s="306">
        <f>SUM(E451:E452)</f>
        <v>1207.4587016188234</v>
      </c>
      <c r="F450" s="306">
        <f>SUM(F451:F452)</f>
        <v>0</v>
      </c>
      <c r="G450" s="306">
        <f>SUM(G451:G452)</f>
        <v>57.55130258823533</v>
      </c>
      <c r="H450" s="309"/>
      <c r="I450" s="309"/>
      <c r="J450" s="309"/>
      <c r="K450" s="309">
        <f>SUM(K451:K452)</f>
        <v>1265.0100042070587</v>
      </c>
      <c r="L450" s="309">
        <f>SUM(L451:L452)</f>
        <v>126.50100042070588</v>
      </c>
      <c r="M450" s="309"/>
      <c r="N450" s="309">
        <f>L450+M450</f>
        <v>126.50100042070588</v>
      </c>
      <c r="O450" s="309">
        <f>N450</f>
        <v>126.50100042070588</v>
      </c>
      <c r="P450" s="309">
        <f>N450-O450</f>
        <v>0</v>
      </c>
      <c r="Q450" s="309">
        <f>M450</f>
        <v>0</v>
      </c>
      <c r="R450" s="307">
        <f>D450-N450</f>
        <v>1138.5090037863529</v>
      </c>
      <c r="S450" s="307"/>
      <c r="T450" s="307">
        <f>R450+S450</f>
        <v>1138.5090037863529</v>
      </c>
    </row>
    <row r="451" spans="1:20" ht="39" customHeight="1">
      <c r="A451" s="325" t="s">
        <v>489</v>
      </c>
      <c r="B451" s="166" t="s">
        <v>540</v>
      </c>
      <c r="C451" s="320" t="s">
        <v>444</v>
      </c>
      <c r="D451" s="306">
        <f>SUM(E451:G451)</f>
        <v>1207.4587016188234</v>
      </c>
      <c r="E451" s="306">
        <f>'[2] TL giao BC '!Z546</f>
        <v>1207.4587016188234</v>
      </c>
      <c r="F451" s="306"/>
      <c r="G451" s="306"/>
      <c r="H451" s="309"/>
      <c r="I451" s="309"/>
      <c r="J451" s="309"/>
      <c r="K451" s="309">
        <f>D451</f>
        <v>1207.4587016188234</v>
      </c>
      <c r="L451" s="309">
        <f>K451*10%</f>
        <v>120.74587016188235</v>
      </c>
      <c r="M451" s="309"/>
      <c r="N451" s="309"/>
      <c r="O451" s="309"/>
      <c r="P451" s="309"/>
      <c r="Q451" s="309"/>
      <c r="R451" s="307"/>
      <c r="S451" s="307"/>
      <c r="T451" s="307"/>
    </row>
    <row r="452" spans="1:20" ht="33" customHeight="1">
      <c r="A452" s="325" t="s">
        <v>489</v>
      </c>
      <c r="B452" s="164" t="s">
        <v>541</v>
      </c>
      <c r="C452" s="320" t="s">
        <v>478</v>
      </c>
      <c r="D452" s="306">
        <f>SUM(E452:G452)</f>
        <v>57.55130258823533</v>
      </c>
      <c r="E452" s="306"/>
      <c r="F452" s="306"/>
      <c r="G452" s="306">
        <f>'[2] TL giao BC tăng thêm'!X189</f>
        <v>57.55130258823533</v>
      </c>
      <c r="H452" s="309"/>
      <c r="I452" s="309"/>
      <c r="J452" s="309"/>
      <c r="K452" s="309">
        <f>D452</f>
        <v>57.55130258823533</v>
      </c>
      <c r="L452" s="309">
        <f>K452*10%</f>
        <v>5.7551302588235336</v>
      </c>
      <c r="M452" s="309"/>
      <c r="N452" s="309"/>
      <c r="O452" s="309"/>
      <c r="P452" s="309"/>
      <c r="Q452" s="309"/>
      <c r="R452" s="307"/>
      <c r="S452" s="307"/>
      <c r="T452" s="307"/>
    </row>
    <row r="453" spans="1:20" ht="30" customHeight="1">
      <c r="A453" s="303" t="s">
        <v>481</v>
      </c>
      <c r="B453" s="326" t="s">
        <v>485</v>
      </c>
      <c r="C453" s="320" t="s">
        <v>488</v>
      </c>
      <c r="D453" s="307">
        <f>E453+G453+F453</f>
        <v>52.116046555183956</v>
      </c>
      <c r="E453" s="307">
        <f t="shared" ref="E453:T453" si="289">SUM(E454:E458)</f>
        <v>9.4400000000000013</v>
      </c>
      <c r="F453" s="307">
        <f t="shared" si="289"/>
        <v>0</v>
      </c>
      <c r="G453" s="307">
        <f t="shared" si="289"/>
        <v>42.676046555183952</v>
      </c>
      <c r="H453" s="307">
        <f t="shared" si="289"/>
        <v>0</v>
      </c>
      <c r="I453" s="307">
        <f t="shared" si="289"/>
        <v>52.116046555183949</v>
      </c>
      <c r="J453" s="307">
        <f t="shared" si="289"/>
        <v>0</v>
      </c>
      <c r="K453" s="307">
        <f t="shared" si="289"/>
        <v>0</v>
      </c>
      <c r="L453" s="307">
        <f t="shared" si="289"/>
        <v>0</v>
      </c>
      <c r="M453" s="307">
        <f t="shared" si="289"/>
        <v>0</v>
      </c>
      <c r="N453" s="307">
        <f t="shared" si="289"/>
        <v>0</v>
      </c>
      <c r="O453" s="307">
        <f t="shared" si="289"/>
        <v>0</v>
      </c>
      <c r="P453" s="307">
        <f t="shared" si="289"/>
        <v>0</v>
      </c>
      <c r="Q453" s="307">
        <f t="shared" si="289"/>
        <v>0</v>
      </c>
      <c r="R453" s="307">
        <f t="shared" si="289"/>
        <v>52.116046555183949</v>
      </c>
      <c r="S453" s="307">
        <f t="shared" si="289"/>
        <v>0</v>
      </c>
      <c r="T453" s="307">
        <f t="shared" si="289"/>
        <v>52.116046555183949</v>
      </c>
    </row>
    <row r="454" spans="1:20" ht="30" customHeight="1">
      <c r="A454" s="325" t="s">
        <v>438</v>
      </c>
      <c r="B454" s="166" t="s">
        <v>280</v>
      </c>
      <c r="C454" s="320" t="s">
        <v>444</v>
      </c>
      <c r="D454" s="306">
        <f>E454+G454</f>
        <v>0</v>
      </c>
      <c r="E454" s="306"/>
      <c r="F454" s="306"/>
      <c r="G454" s="306"/>
      <c r="H454" s="309"/>
      <c r="I454" s="309">
        <f>D454</f>
        <v>0</v>
      </c>
      <c r="J454" s="309"/>
      <c r="K454" s="309"/>
      <c r="L454" s="309">
        <f>K454*10%</f>
        <v>0</v>
      </c>
      <c r="M454" s="309"/>
      <c r="N454" s="309">
        <f>L454+M454</f>
        <v>0</v>
      </c>
      <c r="O454" s="309">
        <f>N454</f>
        <v>0</v>
      </c>
      <c r="P454" s="309">
        <f>N454-O454</f>
        <v>0</v>
      </c>
      <c r="Q454" s="309">
        <f>M454</f>
        <v>0</v>
      </c>
      <c r="R454" s="307">
        <f>D454-N454</f>
        <v>0</v>
      </c>
      <c r="S454" s="307"/>
      <c r="T454" s="307">
        <f>R454+S454</f>
        <v>0</v>
      </c>
    </row>
    <row r="455" spans="1:20" ht="30" customHeight="1">
      <c r="A455" s="325" t="s">
        <v>438</v>
      </c>
      <c r="B455" s="166" t="s">
        <v>287</v>
      </c>
      <c r="C455" s="320" t="s">
        <v>488</v>
      </c>
      <c r="D455" s="306">
        <f>E455+G455+F455</f>
        <v>0</v>
      </c>
      <c r="E455" s="306"/>
      <c r="F455" s="306"/>
      <c r="G455" s="306"/>
      <c r="H455" s="309"/>
      <c r="I455" s="309">
        <f>D455</f>
        <v>0</v>
      </c>
      <c r="J455" s="309"/>
      <c r="K455" s="309"/>
      <c r="L455" s="309">
        <f>K455*10%</f>
        <v>0</v>
      </c>
      <c r="M455" s="309"/>
      <c r="N455" s="309">
        <f>L455+M455</f>
        <v>0</v>
      </c>
      <c r="O455" s="309">
        <f>N455</f>
        <v>0</v>
      </c>
      <c r="P455" s="309">
        <f>N455-O455</f>
        <v>0</v>
      </c>
      <c r="Q455" s="309">
        <f>M455</f>
        <v>0</v>
      </c>
      <c r="R455" s="307">
        <f>D455-N455</f>
        <v>0</v>
      </c>
      <c r="S455" s="307"/>
      <c r="T455" s="307">
        <f t="shared" ref="T455:T458" si="290">R455+S455</f>
        <v>0</v>
      </c>
    </row>
    <row r="456" spans="1:20" ht="39" customHeight="1">
      <c r="A456" s="325" t="s">
        <v>438</v>
      </c>
      <c r="B456" s="166" t="s">
        <v>308</v>
      </c>
      <c r="C456" s="320" t="s">
        <v>488</v>
      </c>
      <c r="D456" s="306">
        <f>E456+G456</f>
        <v>12.96</v>
      </c>
      <c r="E456" s="306">
        <f>'[2]CS giáo dục '!AQ22</f>
        <v>9.4400000000000013</v>
      </c>
      <c r="F456" s="306"/>
      <c r="G456" s="306">
        <f>'[2]CS giáo dục '!AS22</f>
        <v>3.52</v>
      </c>
      <c r="H456" s="309"/>
      <c r="I456" s="309">
        <f>D456</f>
        <v>12.96</v>
      </c>
      <c r="J456" s="309"/>
      <c r="K456" s="309"/>
      <c r="L456" s="309">
        <f>K456*10%</f>
        <v>0</v>
      </c>
      <c r="M456" s="309"/>
      <c r="N456" s="309">
        <f>L456+M456</f>
        <v>0</v>
      </c>
      <c r="O456" s="309">
        <f>N456</f>
        <v>0</v>
      </c>
      <c r="P456" s="309">
        <f>N456-O456</f>
        <v>0</v>
      </c>
      <c r="Q456" s="309">
        <f>M456</f>
        <v>0</v>
      </c>
      <c r="R456" s="307">
        <f>D456-N456</f>
        <v>12.96</v>
      </c>
      <c r="S456" s="307"/>
      <c r="T456" s="307">
        <f t="shared" si="290"/>
        <v>12.96</v>
      </c>
    </row>
    <row r="457" spans="1:20" ht="36" customHeight="1">
      <c r="A457" s="325" t="s">
        <v>438</v>
      </c>
      <c r="B457" s="166" t="s">
        <v>495</v>
      </c>
      <c r="C457" s="320" t="s">
        <v>488</v>
      </c>
      <c r="D457" s="306">
        <f>E457+G457</f>
        <v>0</v>
      </c>
      <c r="E457" s="306"/>
      <c r="F457" s="306"/>
      <c r="G457" s="306"/>
      <c r="H457" s="309"/>
      <c r="I457" s="309">
        <f>D457</f>
        <v>0</v>
      </c>
      <c r="J457" s="309"/>
      <c r="K457" s="309"/>
      <c r="L457" s="309">
        <f>K457*10%</f>
        <v>0</v>
      </c>
      <c r="M457" s="309"/>
      <c r="N457" s="309">
        <f>L457+M457</f>
        <v>0</v>
      </c>
      <c r="O457" s="309">
        <f>N457</f>
        <v>0</v>
      </c>
      <c r="P457" s="309">
        <f>N457-O457</f>
        <v>0</v>
      </c>
      <c r="Q457" s="309">
        <f>M457</f>
        <v>0</v>
      </c>
      <c r="R457" s="307">
        <f>D457-N457</f>
        <v>0</v>
      </c>
      <c r="S457" s="307"/>
      <c r="T457" s="307">
        <f t="shared" si="290"/>
        <v>0</v>
      </c>
    </row>
    <row r="458" spans="1:20" ht="26.25" customHeight="1">
      <c r="A458" s="325" t="s">
        <v>438</v>
      </c>
      <c r="B458" s="166" t="s">
        <v>309</v>
      </c>
      <c r="C458" s="320" t="s">
        <v>478</v>
      </c>
      <c r="D458" s="306">
        <f>E458+G458</f>
        <v>39.156046555183948</v>
      </c>
      <c r="E458" s="306"/>
      <c r="F458" s="306"/>
      <c r="G458" s="306">
        <f>'[2]CS GV dạy trẻ khuyết tật'!S26</f>
        <v>39.156046555183948</v>
      </c>
      <c r="H458" s="309"/>
      <c r="I458" s="309">
        <f>D458</f>
        <v>39.156046555183948</v>
      </c>
      <c r="J458" s="309"/>
      <c r="K458" s="309"/>
      <c r="L458" s="309">
        <f>K458*10%</f>
        <v>0</v>
      </c>
      <c r="M458" s="309"/>
      <c r="N458" s="309">
        <f>L458+M458</f>
        <v>0</v>
      </c>
      <c r="O458" s="309">
        <f>N458</f>
        <v>0</v>
      </c>
      <c r="P458" s="309">
        <f>N458-O458</f>
        <v>0</v>
      </c>
      <c r="Q458" s="309">
        <f>M458</f>
        <v>0</v>
      </c>
      <c r="R458" s="307">
        <f>D458-N458</f>
        <v>39.156046555183948</v>
      </c>
      <c r="S458" s="307"/>
      <c r="T458" s="307">
        <f t="shared" si="290"/>
        <v>39.156046555183948</v>
      </c>
    </row>
    <row r="459" spans="1:20" s="328" customFormat="1" ht="27.75" customHeight="1">
      <c r="A459" s="320">
        <v>9</v>
      </c>
      <c r="B459" s="321" t="s">
        <v>542</v>
      </c>
      <c r="C459" s="320" t="s">
        <v>488</v>
      </c>
      <c r="D459" s="322">
        <f>D460+D472</f>
        <v>9924.2112705569998</v>
      </c>
      <c r="E459" s="322">
        <f t="shared" ref="E459:Q459" si="291">E460+E472</f>
        <v>9618.8129364393535</v>
      </c>
      <c r="F459" s="322">
        <f t="shared" si="291"/>
        <v>0</v>
      </c>
      <c r="G459" s="322">
        <f t="shared" si="291"/>
        <v>305.39833411764704</v>
      </c>
      <c r="H459" s="322">
        <f t="shared" si="291"/>
        <v>8439.7842648269998</v>
      </c>
      <c r="I459" s="322">
        <f t="shared" si="291"/>
        <v>233.28</v>
      </c>
      <c r="J459" s="322">
        <f t="shared" si="291"/>
        <v>0</v>
      </c>
      <c r="K459" s="322">
        <f t="shared" si="291"/>
        <v>1251.1470057299998</v>
      </c>
      <c r="L459" s="322">
        <f t="shared" si="291"/>
        <v>125.11470057300001</v>
      </c>
      <c r="M459" s="322">
        <f t="shared" si="291"/>
        <v>0</v>
      </c>
      <c r="N459" s="322">
        <f t="shared" si="291"/>
        <v>125.11470057300001</v>
      </c>
      <c r="O459" s="322">
        <f t="shared" si="291"/>
        <v>125.11470057300001</v>
      </c>
      <c r="P459" s="322">
        <f t="shared" si="291"/>
        <v>0</v>
      </c>
      <c r="Q459" s="322">
        <f t="shared" si="291"/>
        <v>0</v>
      </c>
      <c r="R459" s="322">
        <f>R460+R472</f>
        <v>9924.2112705569998</v>
      </c>
      <c r="S459" s="322">
        <f t="shared" ref="S459:T459" si="292">S460+S472</f>
        <v>0</v>
      </c>
      <c r="T459" s="322">
        <f t="shared" si="292"/>
        <v>9924.2112705569998</v>
      </c>
    </row>
    <row r="460" spans="1:20" ht="27.75" customHeight="1">
      <c r="A460" s="303" t="s">
        <v>481</v>
      </c>
      <c r="B460" s="323" t="s">
        <v>482</v>
      </c>
      <c r="C460" s="320" t="s">
        <v>488</v>
      </c>
      <c r="D460" s="307">
        <f>D461+D464+D467+D468+D469</f>
        <v>9690.9312705569992</v>
      </c>
      <c r="E460" s="307">
        <f t="shared" ref="E460:Q460" si="293">E461+E464+E467+E468+E469</f>
        <v>9410.4929364393538</v>
      </c>
      <c r="F460" s="307">
        <f t="shared" si="293"/>
        <v>0</v>
      </c>
      <c r="G460" s="307">
        <f t="shared" si="293"/>
        <v>280.43833411764706</v>
      </c>
      <c r="H460" s="307">
        <f t="shared" si="293"/>
        <v>8439.7842648269998</v>
      </c>
      <c r="I460" s="307">
        <f t="shared" si="293"/>
        <v>0</v>
      </c>
      <c r="J460" s="307">
        <f t="shared" si="293"/>
        <v>0</v>
      </c>
      <c r="K460" s="307">
        <f t="shared" si="293"/>
        <v>1251.1470057299998</v>
      </c>
      <c r="L460" s="307">
        <f t="shared" si="293"/>
        <v>125.11470057300001</v>
      </c>
      <c r="M460" s="307">
        <f t="shared" si="293"/>
        <v>0</v>
      </c>
      <c r="N460" s="307">
        <f t="shared" si="293"/>
        <v>125.11470057300001</v>
      </c>
      <c r="O460" s="307">
        <f t="shared" si="293"/>
        <v>125.11470057300001</v>
      </c>
      <c r="P460" s="307">
        <f t="shared" si="293"/>
        <v>0</v>
      </c>
      <c r="Q460" s="307">
        <f t="shared" si="293"/>
        <v>0</v>
      </c>
      <c r="R460" s="307">
        <f>R461+R464+R467+R468+R469</f>
        <v>9690.9312705569992</v>
      </c>
      <c r="S460" s="307">
        <f t="shared" ref="S460:T460" si="294">S461+S464+S467+S468+S469</f>
        <v>0</v>
      </c>
      <c r="T460" s="307">
        <f t="shared" si="294"/>
        <v>9690.9312705569992</v>
      </c>
    </row>
    <row r="461" spans="1:20" ht="27.75" customHeight="1">
      <c r="A461" s="325" t="s">
        <v>438</v>
      </c>
      <c r="B461" s="164" t="s">
        <v>277</v>
      </c>
      <c r="C461" s="320" t="s">
        <v>488</v>
      </c>
      <c r="D461" s="306">
        <f t="shared" ref="D461:D467" si="295">SUM(E461:G461)</f>
        <v>7089.83303247</v>
      </c>
      <c r="E461" s="306">
        <f>SUM(E462:E463)</f>
        <v>6851.4604484700003</v>
      </c>
      <c r="F461" s="306">
        <f>SUM(F462:F463)</f>
        <v>0</v>
      </c>
      <c r="G461" s="306">
        <f>SUM(G462:G463)</f>
        <v>238.37258399999999</v>
      </c>
      <c r="H461" s="307">
        <f t="shared" ref="H461:H468" si="296">D461</f>
        <v>7089.83303247</v>
      </c>
      <c r="I461" s="309"/>
      <c r="J461" s="309"/>
      <c r="K461" s="309"/>
      <c r="L461" s="309">
        <f>K461*10%</f>
        <v>0</v>
      </c>
      <c r="M461" s="309"/>
      <c r="N461" s="309">
        <f>L461+M461</f>
        <v>0</v>
      </c>
      <c r="O461" s="309">
        <f>L461-P461</f>
        <v>0</v>
      </c>
      <c r="P461" s="309">
        <f>N461</f>
        <v>0</v>
      </c>
      <c r="Q461" s="309">
        <f>M461</f>
        <v>0</v>
      </c>
      <c r="R461" s="307">
        <f>SUM(R462:R463)</f>
        <v>7089.83303247</v>
      </c>
      <c r="S461" s="307">
        <f t="shared" ref="S461:T461" si="297">SUM(S462:S463)</f>
        <v>0</v>
      </c>
      <c r="T461" s="307">
        <f t="shared" si="297"/>
        <v>7089.83303247</v>
      </c>
    </row>
    <row r="462" spans="1:20" ht="27.75" customHeight="1">
      <c r="A462" s="325" t="s">
        <v>489</v>
      </c>
      <c r="B462" s="164" t="s">
        <v>490</v>
      </c>
      <c r="C462" s="320" t="s">
        <v>444</v>
      </c>
      <c r="D462" s="306">
        <f t="shared" si="295"/>
        <v>6851.4604484700003</v>
      </c>
      <c r="E462" s="306">
        <f>'[2] TL giao BC '!T594</f>
        <v>6851.4604484700003</v>
      </c>
      <c r="F462" s="306"/>
      <c r="G462" s="306"/>
      <c r="H462" s="307">
        <f t="shared" si="296"/>
        <v>6851.4604484700003</v>
      </c>
      <c r="I462" s="309"/>
      <c r="J462" s="309"/>
      <c r="K462" s="309"/>
      <c r="L462" s="309"/>
      <c r="M462" s="309"/>
      <c r="N462" s="309"/>
      <c r="O462" s="309"/>
      <c r="P462" s="309"/>
      <c r="Q462" s="309"/>
      <c r="R462" s="307">
        <f>D462-N462</f>
        <v>6851.4604484700003</v>
      </c>
      <c r="S462" s="307"/>
      <c r="T462" s="307">
        <f t="shared" ref="T462:T463" si="298">R462+S462</f>
        <v>6851.4604484700003</v>
      </c>
    </row>
    <row r="463" spans="1:20" ht="27.75" customHeight="1">
      <c r="A463" s="325" t="s">
        <v>489</v>
      </c>
      <c r="B463" s="164" t="s">
        <v>305</v>
      </c>
      <c r="C463" s="320" t="s">
        <v>478</v>
      </c>
      <c r="D463" s="306">
        <f t="shared" si="295"/>
        <v>238.37258399999999</v>
      </c>
      <c r="E463" s="306"/>
      <c r="F463" s="306"/>
      <c r="G463" s="306">
        <f>'[2] TL giao BC tăng thêm'!T193</f>
        <v>238.37258399999999</v>
      </c>
      <c r="H463" s="307">
        <f t="shared" si="296"/>
        <v>238.37258399999999</v>
      </c>
      <c r="I463" s="309"/>
      <c r="J463" s="309"/>
      <c r="K463" s="309"/>
      <c r="L463" s="309"/>
      <c r="M463" s="309"/>
      <c r="N463" s="309"/>
      <c r="O463" s="309"/>
      <c r="P463" s="309"/>
      <c r="Q463" s="309"/>
      <c r="R463" s="307">
        <f>D463-N463</f>
        <v>238.37258399999999</v>
      </c>
      <c r="S463" s="307"/>
      <c r="T463" s="307">
        <f t="shared" si="298"/>
        <v>238.37258399999999</v>
      </c>
    </row>
    <row r="464" spans="1:20" ht="27.75" customHeight="1">
      <c r="A464" s="304" t="s">
        <v>438</v>
      </c>
      <c r="B464" s="166" t="s">
        <v>278</v>
      </c>
      <c r="C464" s="320" t="s">
        <v>444</v>
      </c>
      <c r="D464" s="306">
        <f t="shared" si="295"/>
        <v>1475.0659329300004</v>
      </c>
      <c r="E464" s="306">
        <f>SUM(E465:E466)</f>
        <v>1475.0659329300004</v>
      </c>
      <c r="F464" s="306">
        <f>SUM(F465:F466)</f>
        <v>0</v>
      </c>
      <c r="G464" s="306">
        <f>SUM(G465:G466)</f>
        <v>0</v>
      </c>
      <c r="H464" s="307">
        <f t="shared" si="296"/>
        <v>1475.0659329300004</v>
      </c>
      <c r="I464" s="309"/>
      <c r="J464" s="309"/>
      <c r="K464" s="309"/>
      <c r="L464" s="309">
        <f>K464*10%</f>
        <v>0</v>
      </c>
      <c r="M464" s="309"/>
      <c r="N464" s="309">
        <f>L464+M464</f>
        <v>0</v>
      </c>
      <c r="O464" s="309">
        <f>L464-P464</f>
        <v>0</v>
      </c>
      <c r="P464" s="309">
        <f>N464</f>
        <v>0</v>
      </c>
      <c r="Q464" s="309">
        <f>M464</f>
        <v>0</v>
      </c>
      <c r="R464" s="307">
        <f>SUM(R465:R466)</f>
        <v>1475.0659329300004</v>
      </c>
      <c r="S464" s="307">
        <f t="shared" ref="S464:T464" si="299">SUM(S465:S466)</f>
        <v>0</v>
      </c>
      <c r="T464" s="307">
        <f t="shared" si="299"/>
        <v>1475.0659329300004</v>
      </c>
    </row>
    <row r="465" spans="1:20" ht="27.75" customHeight="1">
      <c r="A465" s="325" t="s">
        <v>489</v>
      </c>
      <c r="B465" s="166" t="s">
        <v>491</v>
      </c>
      <c r="C465" s="320" t="s">
        <v>444</v>
      </c>
      <c r="D465" s="306">
        <f t="shared" si="295"/>
        <v>1425.4716369300004</v>
      </c>
      <c r="E465" s="306">
        <f>'[2] TL giao BC '!U594</f>
        <v>1425.4716369300004</v>
      </c>
      <c r="F465" s="306"/>
      <c r="G465" s="306"/>
      <c r="H465" s="307">
        <f t="shared" si="296"/>
        <v>1425.4716369300004</v>
      </c>
      <c r="I465" s="309"/>
      <c r="J465" s="309"/>
      <c r="K465" s="309"/>
      <c r="L465" s="309"/>
      <c r="M465" s="309"/>
      <c r="N465" s="309"/>
      <c r="O465" s="309"/>
      <c r="P465" s="309"/>
      <c r="Q465" s="309"/>
      <c r="R465" s="307">
        <f>D465-N465</f>
        <v>1425.4716369300004</v>
      </c>
      <c r="S465" s="307"/>
      <c r="T465" s="307">
        <f t="shared" ref="T465:T466" si="300">R465+S465</f>
        <v>1425.4716369300004</v>
      </c>
    </row>
    <row r="466" spans="1:20" ht="27.75" customHeight="1">
      <c r="A466" s="325" t="s">
        <v>489</v>
      </c>
      <c r="B466" s="164" t="s">
        <v>492</v>
      </c>
      <c r="C466" s="320" t="s">
        <v>444</v>
      </c>
      <c r="D466" s="306">
        <f t="shared" si="295"/>
        <v>49.594296</v>
      </c>
      <c r="E466" s="306">
        <f>'[2] TL giao BC tăng thêm'!U193</f>
        <v>49.594296</v>
      </c>
      <c r="F466" s="306"/>
      <c r="G466" s="306"/>
      <c r="H466" s="307">
        <f t="shared" si="296"/>
        <v>49.594296</v>
      </c>
      <c r="I466" s="309"/>
      <c r="J466" s="309"/>
      <c r="K466" s="309"/>
      <c r="L466" s="309"/>
      <c r="M466" s="309"/>
      <c r="N466" s="309"/>
      <c r="O466" s="309"/>
      <c r="P466" s="309"/>
      <c r="Q466" s="309"/>
      <c r="R466" s="307">
        <f>D466-N466</f>
        <v>49.594296</v>
      </c>
      <c r="S466" s="307"/>
      <c r="T466" s="307">
        <f t="shared" si="300"/>
        <v>49.594296</v>
      </c>
    </row>
    <row r="467" spans="1:20" ht="27.75" customHeight="1">
      <c r="A467" s="325" t="s">
        <v>438</v>
      </c>
      <c r="B467" s="164" t="s">
        <v>483</v>
      </c>
      <c r="C467" s="320"/>
      <c r="D467" s="306">
        <f t="shared" si="295"/>
        <v>0</v>
      </c>
      <c r="E467" s="306"/>
      <c r="F467" s="306"/>
      <c r="G467" s="306"/>
      <c r="H467" s="307">
        <f t="shared" si="296"/>
        <v>0</v>
      </c>
      <c r="I467" s="309"/>
      <c r="J467" s="309"/>
      <c r="K467" s="309"/>
      <c r="L467" s="309"/>
      <c r="M467" s="309"/>
      <c r="N467" s="309"/>
      <c r="O467" s="309"/>
      <c r="P467" s="309"/>
      <c r="Q467" s="309"/>
      <c r="R467" s="307">
        <f>D467-N467</f>
        <v>0</v>
      </c>
      <c r="S467" s="307"/>
      <c r="T467" s="307"/>
    </row>
    <row r="468" spans="1:20" s="311" customFormat="1" ht="27.75" customHeight="1">
      <c r="A468" s="304" t="s">
        <v>438</v>
      </c>
      <c r="B468" s="166" t="s">
        <v>452</v>
      </c>
      <c r="C468" s="320" t="s">
        <v>488</v>
      </c>
      <c r="D468" s="306">
        <f>E468+G468</f>
        <v>-125.11470057300001</v>
      </c>
      <c r="E468" s="306">
        <f>-L469</f>
        <v>-125.11470057300001</v>
      </c>
      <c r="F468" s="306"/>
      <c r="G468" s="306"/>
      <c r="H468" s="307">
        <f t="shared" si="296"/>
        <v>-125.11470057300001</v>
      </c>
      <c r="I468" s="308"/>
      <c r="J468" s="308"/>
      <c r="K468" s="308"/>
      <c r="L468" s="309">
        <f>K468*10%</f>
        <v>0</v>
      </c>
      <c r="M468" s="309"/>
      <c r="N468" s="309">
        <f>L468+M468</f>
        <v>0</v>
      </c>
      <c r="O468" s="309">
        <f>L468-P468</f>
        <v>0</v>
      </c>
      <c r="P468" s="309">
        <f>N468</f>
        <v>0</v>
      </c>
      <c r="Q468" s="309">
        <f>M468</f>
        <v>0</v>
      </c>
      <c r="R468" s="307"/>
      <c r="S468" s="306"/>
      <c r="T468" s="307"/>
    </row>
    <row r="469" spans="1:20" ht="26.25" customHeight="1">
      <c r="A469" s="304" t="s">
        <v>438</v>
      </c>
      <c r="B469" s="166" t="s">
        <v>412</v>
      </c>
      <c r="C469" s="320" t="s">
        <v>488</v>
      </c>
      <c r="D469" s="306">
        <f>SUM(E469:G469)</f>
        <v>1251.1470057299998</v>
      </c>
      <c r="E469" s="306">
        <f>SUM(E470:E471)</f>
        <v>1209.0812556123528</v>
      </c>
      <c r="F469" s="306">
        <f>SUM(F470:F471)</f>
        <v>0</v>
      </c>
      <c r="G469" s="306">
        <f>SUM(G470:G471)</f>
        <v>42.06575011764707</v>
      </c>
      <c r="H469" s="309"/>
      <c r="I469" s="309"/>
      <c r="J469" s="309"/>
      <c r="K469" s="309">
        <f>SUM(K470:K471)</f>
        <v>1251.1470057299998</v>
      </c>
      <c r="L469" s="309">
        <f>SUM(L470:L471)</f>
        <v>125.11470057300001</v>
      </c>
      <c r="M469" s="309"/>
      <c r="N469" s="309">
        <f>L469+M469</f>
        <v>125.11470057300001</v>
      </c>
      <c r="O469" s="309">
        <f>N469</f>
        <v>125.11470057300001</v>
      </c>
      <c r="P469" s="309">
        <f>N469-O469</f>
        <v>0</v>
      </c>
      <c r="Q469" s="309">
        <f>M469</f>
        <v>0</v>
      </c>
      <c r="R469" s="307">
        <f>D469-N469</f>
        <v>1126.0323051569999</v>
      </c>
      <c r="S469" s="307"/>
      <c r="T469" s="307">
        <f t="shared" ref="T469" si="301">R469+S469</f>
        <v>1126.0323051569999</v>
      </c>
    </row>
    <row r="470" spans="1:20" ht="39" customHeight="1">
      <c r="A470" s="325" t="s">
        <v>489</v>
      </c>
      <c r="B470" s="166" t="s">
        <v>543</v>
      </c>
      <c r="C470" s="320" t="s">
        <v>444</v>
      </c>
      <c r="D470" s="306">
        <f>SUM(E470:G470)</f>
        <v>1209.0812556123528</v>
      </c>
      <c r="E470" s="306">
        <f>'[2] TL giao BC '!Z594</f>
        <v>1209.0812556123528</v>
      </c>
      <c r="F470" s="306"/>
      <c r="G470" s="306"/>
      <c r="H470" s="309"/>
      <c r="I470" s="309"/>
      <c r="J470" s="309"/>
      <c r="K470" s="309">
        <f>D470</f>
        <v>1209.0812556123528</v>
      </c>
      <c r="L470" s="309">
        <f>K470*10%</f>
        <v>120.90812556123529</v>
      </c>
      <c r="M470" s="309"/>
      <c r="N470" s="309"/>
      <c r="O470" s="309"/>
      <c r="P470" s="309"/>
      <c r="Q470" s="309"/>
      <c r="R470" s="307"/>
      <c r="S470" s="307"/>
      <c r="T470" s="307"/>
    </row>
    <row r="471" spans="1:20" ht="33" customHeight="1">
      <c r="A471" s="325" t="s">
        <v>489</v>
      </c>
      <c r="B471" s="164" t="s">
        <v>508</v>
      </c>
      <c r="C471" s="320" t="s">
        <v>478</v>
      </c>
      <c r="D471" s="306">
        <f>SUM(E471:G471)</f>
        <v>42.06575011764707</v>
      </c>
      <c r="E471" s="306"/>
      <c r="F471" s="306"/>
      <c r="G471" s="306">
        <f>'[2] TL giao BC tăng thêm'!X193</f>
        <v>42.06575011764707</v>
      </c>
      <c r="H471" s="309"/>
      <c r="I471" s="309"/>
      <c r="J471" s="309"/>
      <c r="K471" s="309">
        <f>D471</f>
        <v>42.06575011764707</v>
      </c>
      <c r="L471" s="309">
        <f>K471*10%</f>
        <v>4.2065750117647074</v>
      </c>
      <c r="M471" s="309"/>
      <c r="N471" s="309"/>
      <c r="O471" s="309"/>
      <c r="P471" s="309"/>
      <c r="Q471" s="309"/>
      <c r="R471" s="307"/>
      <c r="S471" s="307"/>
      <c r="T471" s="307"/>
    </row>
    <row r="472" spans="1:20" ht="30" customHeight="1">
      <c r="A472" s="303" t="s">
        <v>481</v>
      </c>
      <c r="B472" s="326" t="s">
        <v>485</v>
      </c>
      <c r="C472" s="320" t="s">
        <v>488</v>
      </c>
      <c r="D472" s="307">
        <f>E472+G472+F472</f>
        <v>233.28</v>
      </c>
      <c r="E472" s="307">
        <f t="shared" ref="E472:T472" si="302">SUM(E473:E477)</f>
        <v>208.32</v>
      </c>
      <c r="F472" s="307">
        <f t="shared" si="302"/>
        <v>0</v>
      </c>
      <c r="G472" s="307">
        <f t="shared" si="302"/>
        <v>24.96</v>
      </c>
      <c r="H472" s="307">
        <f t="shared" si="302"/>
        <v>0</v>
      </c>
      <c r="I472" s="307">
        <f t="shared" si="302"/>
        <v>233.28</v>
      </c>
      <c r="J472" s="307">
        <f t="shared" si="302"/>
        <v>0</v>
      </c>
      <c r="K472" s="307">
        <f t="shared" si="302"/>
        <v>0</v>
      </c>
      <c r="L472" s="307">
        <f t="shared" si="302"/>
        <v>0</v>
      </c>
      <c r="M472" s="307">
        <f t="shared" si="302"/>
        <v>0</v>
      </c>
      <c r="N472" s="307">
        <f t="shared" si="302"/>
        <v>0</v>
      </c>
      <c r="O472" s="307">
        <f t="shared" si="302"/>
        <v>0</v>
      </c>
      <c r="P472" s="307">
        <f t="shared" si="302"/>
        <v>0</v>
      </c>
      <c r="Q472" s="307">
        <f t="shared" si="302"/>
        <v>0</v>
      </c>
      <c r="R472" s="307">
        <f t="shared" si="302"/>
        <v>233.28</v>
      </c>
      <c r="S472" s="307">
        <f t="shared" si="302"/>
        <v>0</v>
      </c>
      <c r="T472" s="307">
        <f t="shared" si="302"/>
        <v>233.28</v>
      </c>
    </row>
    <row r="473" spans="1:20" ht="30" customHeight="1">
      <c r="A473" s="325" t="s">
        <v>438</v>
      </c>
      <c r="B473" s="166" t="s">
        <v>280</v>
      </c>
      <c r="C473" s="320" t="s">
        <v>444</v>
      </c>
      <c r="D473" s="306">
        <f>E473+G473</f>
        <v>0</v>
      </c>
      <c r="E473" s="306"/>
      <c r="F473" s="306"/>
      <c r="G473" s="306"/>
      <c r="H473" s="309"/>
      <c r="I473" s="309">
        <f>D473</f>
        <v>0</v>
      </c>
      <c r="J473" s="309"/>
      <c r="K473" s="309"/>
      <c r="L473" s="309">
        <f>K473*10%</f>
        <v>0</v>
      </c>
      <c r="M473" s="309"/>
      <c r="N473" s="309">
        <f>L473+M473</f>
        <v>0</v>
      </c>
      <c r="O473" s="309">
        <f>N473</f>
        <v>0</v>
      </c>
      <c r="P473" s="309">
        <f>N473-O473</f>
        <v>0</v>
      </c>
      <c r="Q473" s="309">
        <f>M473</f>
        <v>0</v>
      </c>
      <c r="R473" s="307">
        <f>D473-N473</f>
        <v>0</v>
      </c>
      <c r="S473" s="307"/>
      <c r="T473" s="307">
        <f t="shared" ref="T473:T477" si="303">R473+S473</f>
        <v>0</v>
      </c>
    </row>
    <row r="474" spans="1:20" ht="30" customHeight="1">
      <c r="A474" s="325" t="s">
        <v>438</v>
      </c>
      <c r="B474" s="166" t="s">
        <v>287</v>
      </c>
      <c r="C474" s="320" t="s">
        <v>488</v>
      </c>
      <c r="D474" s="306">
        <f>E474+G474+F474</f>
        <v>0</v>
      </c>
      <c r="E474" s="306"/>
      <c r="F474" s="306"/>
      <c r="G474" s="306"/>
      <c r="H474" s="309"/>
      <c r="I474" s="309">
        <f>D474</f>
        <v>0</v>
      </c>
      <c r="J474" s="309"/>
      <c r="K474" s="309"/>
      <c r="L474" s="309">
        <f>K474*10%</f>
        <v>0</v>
      </c>
      <c r="M474" s="309"/>
      <c r="N474" s="309">
        <f>L474+M474</f>
        <v>0</v>
      </c>
      <c r="O474" s="309">
        <f>N474</f>
        <v>0</v>
      </c>
      <c r="P474" s="309">
        <f>N474-O474</f>
        <v>0</v>
      </c>
      <c r="Q474" s="309">
        <f>M474</f>
        <v>0</v>
      </c>
      <c r="R474" s="307">
        <f>D474-N474</f>
        <v>0</v>
      </c>
      <c r="S474" s="307"/>
      <c r="T474" s="307">
        <f t="shared" si="303"/>
        <v>0</v>
      </c>
    </row>
    <row r="475" spans="1:20" ht="39" customHeight="1">
      <c r="A475" s="325" t="s">
        <v>438</v>
      </c>
      <c r="B475" s="166" t="s">
        <v>308</v>
      </c>
      <c r="C475" s="320" t="s">
        <v>488</v>
      </c>
      <c r="D475" s="306">
        <f>E475+G475</f>
        <v>38.880000000000003</v>
      </c>
      <c r="E475" s="306">
        <f>'[2]CS giáo dục '!AQ23</f>
        <v>28.32</v>
      </c>
      <c r="F475" s="306"/>
      <c r="G475" s="306">
        <f>'[2]CS giáo dục '!AS23</f>
        <v>10.56</v>
      </c>
      <c r="H475" s="309"/>
      <c r="I475" s="309">
        <f>D475</f>
        <v>38.880000000000003</v>
      </c>
      <c r="J475" s="309"/>
      <c r="K475" s="309"/>
      <c r="L475" s="309">
        <f>K475*10%</f>
        <v>0</v>
      </c>
      <c r="M475" s="309"/>
      <c r="N475" s="309">
        <f>L475+M475</f>
        <v>0</v>
      </c>
      <c r="O475" s="309">
        <f>N475</f>
        <v>0</v>
      </c>
      <c r="P475" s="309">
        <f>N475-O475</f>
        <v>0</v>
      </c>
      <c r="Q475" s="309">
        <f>M475</f>
        <v>0</v>
      </c>
      <c r="R475" s="307">
        <f>D475-N475</f>
        <v>38.880000000000003</v>
      </c>
      <c r="S475" s="307"/>
      <c r="T475" s="307">
        <f t="shared" si="303"/>
        <v>38.880000000000003</v>
      </c>
    </row>
    <row r="476" spans="1:20" ht="36" customHeight="1">
      <c r="A476" s="325" t="s">
        <v>438</v>
      </c>
      <c r="B476" s="166" t="s">
        <v>495</v>
      </c>
      <c r="C476" s="320" t="s">
        <v>488</v>
      </c>
      <c r="D476" s="306">
        <f>E476+G476</f>
        <v>194.4</v>
      </c>
      <c r="E476" s="306">
        <f>'[2]CS giáo dục '!BG23</f>
        <v>180</v>
      </c>
      <c r="F476" s="306"/>
      <c r="G476" s="306">
        <f>'[2]CS giáo dục '!BI23</f>
        <v>14.4</v>
      </c>
      <c r="H476" s="309"/>
      <c r="I476" s="309">
        <f>D476</f>
        <v>194.4</v>
      </c>
      <c r="J476" s="309"/>
      <c r="K476" s="309"/>
      <c r="L476" s="309">
        <f>K476*10%</f>
        <v>0</v>
      </c>
      <c r="M476" s="309"/>
      <c r="N476" s="309">
        <f>L476+M476</f>
        <v>0</v>
      </c>
      <c r="O476" s="309">
        <f>N476</f>
        <v>0</v>
      </c>
      <c r="P476" s="309">
        <f>N476-O476</f>
        <v>0</v>
      </c>
      <c r="Q476" s="309">
        <f>M476</f>
        <v>0</v>
      </c>
      <c r="R476" s="307">
        <f>D476-N476</f>
        <v>194.4</v>
      </c>
      <c r="S476" s="307"/>
      <c r="T476" s="307">
        <f t="shared" si="303"/>
        <v>194.4</v>
      </c>
    </row>
    <row r="477" spans="1:20" ht="26.25" customHeight="1">
      <c r="A477" s="325" t="s">
        <v>438</v>
      </c>
      <c r="B477" s="166" t="s">
        <v>309</v>
      </c>
      <c r="C477" s="320" t="s">
        <v>478</v>
      </c>
      <c r="D477" s="306">
        <f>E477+G477</f>
        <v>0</v>
      </c>
      <c r="E477" s="306"/>
      <c r="F477" s="306"/>
      <c r="G477" s="306"/>
      <c r="H477" s="309"/>
      <c r="I477" s="309">
        <f>D477</f>
        <v>0</v>
      </c>
      <c r="J477" s="309"/>
      <c r="K477" s="309"/>
      <c r="L477" s="309">
        <f>K477*10%</f>
        <v>0</v>
      </c>
      <c r="M477" s="309"/>
      <c r="N477" s="309">
        <f>L477+M477</f>
        <v>0</v>
      </c>
      <c r="O477" s="309">
        <f>N477</f>
        <v>0</v>
      </c>
      <c r="P477" s="309">
        <f>N477-O477</f>
        <v>0</v>
      </c>
      <c r="Q477" s="309">
        <f>M477</f>
        <v>0</v>
      </c>
      <c r="R477" s="307">
        <f>D477-N477</f>
        <v>0</v>
      </c>
      <c r="S477" s="307"/>
      <c r="T477" s="307">
        <f t="shared" si="303"/>
        <v>0</v>
      </c>
    </row>
    <row r="478" spans="1:20" s="328" customFormat="1" ht="27.75" customHeight="1">
      <c r="A478" s="320">
        <v>10</v>
      </c>
      <c r="B478" s="321" t="s">
        <v>544</v>
      </c>
      <c r="C478" s="320" t="s">
        <v>488</v>
      </c>
      <c r="D478" s="322">
        <f>D479+D491</f>
        <v>4953.5743692854103</v>
      </c>
      <c r="E478" s="322">
        <f t="shared" ref="E478:Q478" si="304">E479+E491</f>
        <v>4953.5743692854103</v>
      </c>
      <c r="F478" s="322">
        <f t="shared" si="304"/>
        <v>0</v>
      </c>
      <c r="G478" s="322">
        <f t="shared" si="304"/>
        <v>0</v>
      </c>
      <c r="H478" s="322">
        <f t="shared" si="304"/>
        <v>4314.043495857175</v>
      </c>
      <c r="I478" s="322">
        <f t="shared" si="304"/>
        <v>0</v>
      </c>
      <c r="J478" s="322">
        <f t="shared" si="304"/>
        <v>0</v>
      </c>
      <c r="K478" s="322">
        <f t="shared" si="304"/>
        <v>639.53087342823528</v>
      </c>
      <c r="L478" s="322">
        <f t="shared" si="304"/>
        <v>63.95308734282353</v>
      </c>
      <c r="M478" s="322">
        <f t="shared" si="304"/>
        <v>0</v>
      </c>
      <c r="N478" s="322">
        <f t="shared" si="304"/>
        <v>63.95308734282353</v>
      </c>
      <c r="O478" s="322">
        <f t="shared" si="304"/>
        <v>63.95308734282353</v>
      </c>
      <c r="P478" s="322">
        <f t="shared" si="304"/>
        <v>0</v>
      </c>
      <c r="Q478" s="322">
        <f t="shared" si="304"/>
        <v>0</v>
      </c>
      <c r="R478" s="322">
        <f>R479+R491</f>
        <v>4953.5743692854103</v>
      </c>
      <c r="S478" s="322">
        <f t="shared" ref="S478:T478" si="305">S479+S491</f>
        <v>0</v>
      </c>
      <c r="T478" s="322">
        <f t="shared" si="305"/>
        <v>4953.5743692854103</v>
      </c>
    </row>
    <row r="479" spans="1:20" ht="27.75" customHeight="1">
      <c r="A479" s="303" t="s">
        <v>481</v>
      </c>
      <c r="B479" s="323" t="s">
        <v>482</v>
      </c>
      <c r="C479" s="320" t="s">
        <v>488</v>
      </c>
      <c r="D479" s="307">
        <f>D480+D483+D486+D487+D488</f>
        <v>4953.5743692854103</v>
      </c>
      <c r="E479" s="307">
        <f t="shared" ref="E479:Q479" si="306">E480+E483+E486+E487+E488</f>
        <v>4953.5743692854103</v>
      </c>
      <c r="F479" s="307">
        <f t="shared" si="306"/>
        <v>0</v>
      </c>
      <c r="G479" s="307">
        <f t="shared" si="306"/>
        <v>0</v>
      </c>
      <c r="H479" s="307">
        <f t="shared" si="306"/>
        <v>4314.043495857175</v>
      </c>
      <c r="I479" s="307">
        <f t="shared" si="306"/>
        <v>0</v>
      </c>
      <c r="J479" s="307">
        <f t="shared" si="306"/>
        <v>0</v>
      </c>
      <c r="K479" s="307">
        <f t="shared" si="306"/>
        <v>639.53087342823528</v>
      </c>
      <c r="L479" s="307">
        <f t="shared" si="306"/>
        <v>63.95308734282353</v>
      </c>
      <c r="M479" s="307">
        <f t="shared" si="306"/>
        <v>0</v>
      </c>
      <c r="N479" s="307">
        <f t="shared" si="306"/>
        <v>63.95308734282353</v>
      </c>
      <c r="O479" s="307">
        <f t="shared" si="306"/>
        <v>63.95308734282353</v>
      </c>
      <c r="P479" s="307">
        <f t="shared" si="306"/>
        <v>0</v>
      </c>
      <c r="Q479" s="307">
        <f t="shared" si="306"/>
        <v>0</v>
      </c>
      <c r="R479" s="307">
        <f>R480+R483+R486+R487+R488</f>
        <v>4953.5743692854103</v>
      </c>
      <c r="S479" s="307">
        <f t="shared" ref="S479:T479" si="307">S480+S483+S486+S487+S488</f>
        <v>0</v>
      </c>
      <c r="T479" s="307">
        <f t="shared" si="307"/>
        <v>4953.5743692854103</v>
      </c>
    </row>
    <row r="480" spans="1:20" ht="27.75" customHeight="1">
      <c r="A480" s="325" t="s">
        <v>438</v>
      </c>
      <c r="B480" s="164" t="s">
        <v>277</v>
      </c>
      <c r="C480" s="320" t="s">
        <v>488</v>
      </c>
      <c r="D480" s="306">
        <f t="shared" ref="D480:D486" si="308">SUM(E480:G480)</f>
        <v>3624.008282759999</v>
      </c>
      <c r="E480" s="306">
        <f>SUM(E481:E482)</f>
        <v>3624.008282759999</v>
      </c>
      <c r="F480" s="306">
        <f>SUM(F481:F482)</f>
        <v>0</v>
      </c>
      <c r="G480" s="306">
        <f>SUM(G481:G482)</f>
        <v>0</v>
      </c>
      <c r="H480" s="307">
        <f t="shared" ref="H480:H487" si="309">D480</f>
        <v>3624.008282759999</v>
      </c>
      <c r="I480" s="309"/>
      <c r="J480" s="309"/>
      <c r="K480" s="309"/>
      <c r="L480" s="309">
        <f>K480*10%</f>
        <v>0</v>
      </c>
      <c r="M480" s="309"/>
      <c r="N480" s="309">
        <f>L480+M480</f>
        <v>0</v>
      </c>
      <c r="O480" s="309">
        <f>L480-P480</f>
        <v>0</v>
      </c>
      <c r="P480" s="309">
        <f>N480</f>
        <v>0</v>
      </c>
      <c r="Q480" s="309">
        <f>M480</f>
        <v>0</v>
      </c>
      <c r="R480" s="307">
        <f>SUM(R481:R482)</f>
        <v>3624.008282759999</v>
      </c>
      <c r="S480" s="307">
        <f t="shared" ref="S480:T480" si="310">SUM(S481:S482)</f>
        <v>0</v>
      </c>
      <c r="T480" s="307">
        <f t="shared" si="310"/>
        <v>3624.008282759999</v>
      </c>
    </row>
    <row r="481" spans="1:20" ht="27.75" customHeight="1">
      <c r="A481" s="325" t="s">
        <v>489</v>
      </c>
      <c r="B481" s="164" t="s">
        <v>490</v>
      </c>
      <c r="C481" s="320" t="s">
        <v>444</v>
      </c>
      <c r="D481" s="306">
        <f t="shared" si="308"/>
        <v>3624.008282759999</v>
      </c>
      <c r="E481" s="306">
        <f>'[2] TL giao BC '!T638</f>
        <v>3624.008282759999</v>
      </c>
      <c r="F481" s="306"/>
      <c r="G481" s="306"/>
      <c r="H481" s="307">
        <f t="shared" si="309"/>
        <v>3624.008282759999</v>
      </c>
      <c r="I481" s="309"/>
      <c r="J481" s="309"/>
      <c r="K481" s="309"/>
      <c r="L481" s="309"/>
      <c r="M481" s="309"/>
      <c r="N481" s="309"/>
      <c r="O481" s="309"/>
      <c r="P481" s="309"/>
      <c r="Q481" s="309"/>
      <c r="R481" s="307">
        <f>D481-N481</f>
        <v>3624.008282759999</v>
      </c>
      <c r="S481" s="307">
        <v>-79.739999999999995</v>
      </c>
      <c r="T481" s="307">
        <f>R481+S481</f>
        <v>3544.2682827599992</v>
      </c>
    </row>
    <row r="482" spans="1:20" ht="27.75" customHeight="1">
      <c r="A482" s="325" t="s">
        <v>489</v>
      </c>
      <c r="B482" s="164" t="s">
        <v>305</v>
      </c>
      <c r="C482" s="320" t="s">
        <v>478</v>
      </c>
      <c r="D482" s="306">
        <f t="shared" si="308"/>
        <v>0</v>
      </c>
      <c r="E482" s="306"/>
      <c r="F482" s="306"/>
      <c r="G482" s="306">
        <f>'[2] TL giao BC tăng thêm'!T195</f>
        <v>0</v>
      </c>
      <c r="H482" s="307">
        <f t="shared" si="309"/>
        <v>0</v>
      </c>
      <c r="I482" s="309"/>
      <c r="J482" s="309"/>
      <c r="K482" s="309"/>
      <c r="L482" s="309"/>
      <c r="M482" s="309"/>
      <c r="N482" s="309"/>
      <c r="O482" s="309"/>
      <c r="P482" s="309"/>
      <c r="Q482" s="309"/>
      <c r="R482" s="307">
        <f>D482-N482</f>
        <v>0</v>
      </c>
      <c r="S482" s="307">
        <v>79.739999999999995</v>
      </c>
      <c r="T482" s="307">
        <f>R482+S482</f>
        <v>79.739999999999995</v>
      </c>
    </row>
    <row r="483" spans="1:20" ht="27.75" customHeight="1">
      <c r="A483" s="304" t="s">
        <v>438</v>
      </c>
      <c r="B483" s="166" t="s">
        <v>278</v>
      </c>
      <c r="C483" s="320" t="s">
        <v>444</v>
      </c>
      <c r="D483" s="306">
        <f t="shared" si="308"/>
        <v>753.98830043999999</v>
      </c>
      <c r="E483" s="306">
        <f>SUM(E484:E485)</f>
        <v>753.98830043999999</v>
      </c>
      <c r="F483" s="306">
        <f>SUM(F484:F485)</f>
        <v>0</v>
      </c>
      <c r="G483" s="306">
        <f>SUM(G484:G485)</f>
        <v>0</v>
      </c>
      <c r="H483" s="307">
        <f t="shared" si="309"/>
        <v>753.98830043999999</v>
      </c>
      <c r="I483" s="309"/>
      <c r="J483" s="309"/>
      <c r="K483" s="309"/>
      <c r="L483" s="309">
        <f>K483*10%</f>
        <v>0</v>
      </c>
      <c r="M483" s="309"/>
      <c r="N483" s="309">
        <f>L483+M483</f>
        <v>0</v>
      </c>
      <c r="O483" s="309">
        <f>L483-P483</f>
        <v>0</v>
      </c>
      <c r="P483" s="309">
        <f>N483</f>
        <v>0</v>
      </c>
      <c r="Q483" s="309">
        <f>M483</f>
        <v>0</v>
      </c>
      <c r="R483" s="307">
        <f>SUM(R484:R485)</f>
        <v>753.98830043999999</v>
      </c>
      <c r="S483" s="307">
        <f t="shared" ref="S483:T483" si="311">SUM(S484:S485)</f>
        <v>0</v>
      </c>
      <c r="T483" s="307">
        <f t="shared" si="311"/>
        <v>753.98830043999999</v>
      </c>
    </row>
    <row r="484" spans="1:20" ht="27.75" customHeight="1">
      <c r="A484" s="325" t="s">
        <v>489</v>
      </c>
      <c r="B484" s="166" t="s">
        <v>491</v>
      </c>
      <c r="C484" s="320" t="s">
        <v>444</v>
      </c>
      <c r="D484" s="306">
        <f t="shared" si="308"/>
        <v>753.98830043999999</v>
      </c>
      <c r="E484" s="306">
        <f>'[2] TL giao BC '!U638</f>
        <v>753.98830043999999</v>
      </c>
      <c r="F484" s="306"/>
      <c r="G484" s="306"/>
      <c r="H484" s="307">
        <f t="shared" si="309"/>
        <v>753.98830043999999</v>
      </c>
      <c r="I484" s="309"/>
      <c r="J484" s="309"/>
      <c r="K484" s="309"/>
      <c r="L484" s="309"/>
      <c r="M484" s="309"/>
      <c r="N484" s="309"/>
      <c r="O484" s="309"/>
      <c r="P484" s="309"/>
      <c r="Q484" s="309"/>
      <c r="R484" s="307">
        <f>D484-N484</f>
        <v>753.98830043999999</v>
      </c>
      <c r="S484" s="307">
        <v>-16.559999999999999</v>
      </c>
      <c r="T484" s="307">
        <f>R484+S484</f>
        <v>737.42830044000004</v>
      </c>
    </row>
    <row r="485" spans="1:20" ht="27.75" customHeight="1">
      <c r="A485" s="325" t="s">
        <v>489</v>
      </c>
      <c r="B485" s="164" t="s">
        <v>492</v>
      </c>
      <c r="C485" s="320" t="s">
        <v>444</v>
      </c>
      <c r="D485" s="306">
        <f t="shared" si="308"/>
        <v>0</v>
      </c>
      <c r="E485" s="306">
        <f>'[2] TL giao BC tăng thêm'!U195</f>
        <v>0</v>
      </c>
      <c r="F485" s="306"/>
      <c r="G485" s="306"/>
      <c r="H485" s="307">
        <f t="shared" si="309"/>
        <v>0</v>
      </c>
      <c r="I485" s="309"/>
      <c r="J485" s="309"/>
      <c r="K485" s="309"/>
      <c r="L485" s="309"/>
      <c r="M485" s="309"/>
      <c r="N485" s="309"/>
      <c r="O485" s="309"/>
      <c r="P485" s="309"/>
      <c r="Q485" s="309"/>
      <c r="R485" s="307">
        <f>D485-N485</f>
        <v>0</v>
      </c>
      <c r="S485" s="307">
        <v>16.559999999999999</v>
      </c>
      <c r="T485" s="307">
        <f>R485+S485</f>
        <v>16.559999999999999</v>
      </c>
    </row>
    <row r="486" spans="1:20" ht="27.75" customHeight="1">
      <c r="A486" s="325" t="s">
        <v>438</v>
      </c>
      <c r="B486" s="164" t="s">
        <v>483</v>
      </c>
      <c r="C486" s="320"/>
      <c r="D486" s="306">
        <f t="shared" si="308"/>
        <v>0</v>
      </c>
      <c r="E486" s="306"/>
      <c r="F486" s="306"/>
      <c r="G486" s="306"/>
      <c r="H486" s="307">
        <f t="shared" si="309"/>
        <v>0</v>
      </c>
      <c r="I486" s="309"/>
      <c r="J486" s="309"/>
      <c r="K486" s="309"/>
      <c r="L486" s="309"/>
      <c r="M486" s="309"/>
      <c r="N486" s="309"/>
      <c r="O486" s="309"/>
      <c r="P486" s="309"/>
      <c r="Q486" s="309"/>
      <c r="R486" s="307">
        <f>D486-N486</f>
        <v>0</v>
      </c>
      <c r="S486" s="307"/>
      <c r="T486" s="307"/>
    </row>
    <row r="487" spans="1:20" s="311" customFormat="1" ht="27.75" customHeight="1">
      <c r="A487" s="304" t="s">
        <v>438</v>
      </c>
      <c r="B487" s="166" t="s">
        <v>452</v>
      </c>
      <c r="C487" s="320" t="s">
        <v>488</v>
      </c>
      <c r="D487" s="306">
        <f>E487+G487</f>
        <v>-63.95308734282353</v>
      </c>
      <c r="E487" s="306">
        <f>-L488</f>
        <v>-63.95308734282353</v>
      </c>
      <c r="F487" s="306"/>
      <c r="G487" s="306"/>
      <c r="H487" s="307">
        <f t="shared" si="309"/>
        <v>-63.95308734282353</v>
      </c>
      <c r="I487" s="308"/>
      <c r="J487" s="308"/>
      <c r="K487" s="308"/>
      <c r="L487" s="309">
        <f>K487*10%</f>
        <v>0</v>
      </c>
      <c r="M487" s="309"/>
      <c r="N487" s="309">
        <f>L487+M487</f>
        <v>0</v>
      </c>
      <c r="O487" s="309">
        <f>L487-P487</f>
        <v>0</v>
      </c>
      <c r="P487" s="309">
        <f>N487</f>
        <v>0</v>
      </c>
      <c r="Q487" s="309">
        <f>M487</f>
        <v>0</v>
      </c>
      <c r="R487" s="307"/>
      <c r="S487" s="306"/>
      <c r="T487" s="307"/>
    </row>
    <row r="488" spans="1:20" ht="26.25" customHeight="1">
      <c r="A488" s="304" t="s">
        <v>438</v>
      </c>
      <c r="B488" s="166" t="s">
        <v>412</v>
      </c>
      <c r="C488" s="320" t="s">
        <v>488</v>
      </c>
      <c r="D488" s="306">
        <f>SUM(E488:G488)</f>
        <v>639.53087342823528</v>
      </c>
      <c r="E488" s="306">
        <f>SUM(E489:E490)</f>
        <v>639.53087342823528</v>
      </c>
      <c r="F488" s="306">
        <f>SUM(F489:F490)</f>
        <v>0</v>
      </c>
      <c r="G488" s="306">
        <f>SUM(G489:G490)</f>
        <v>0</v>
      </c>
      <c r="H488" s="309"/>
      <c r="I488" s="309"/>
      <c r="J488" s="309"/>
      <c r="K488" s="309">
        <f>SUM(K489:K490)</f>
        <v>639.53087342823528</v>
      </c>
      <c r="L488" s="309">
        <f>SUM(L489:L490)</f>
        <v>63.95308734282353</v>
      </c>
      <c r="M488" s="309"/>
      <c r="N488" s="309">
        <f>L488+M488</f>
        <v>63.95308734282353</v>
      </c>
      <c r="O488" s="309">
        <f>N488</f>
        <v>63.95308734282353</v>
      </c>
      <c r="P488" s="309">
        <f>N488-O488</f>
        <v>0</v>
      </c>
      <c r="Q488" s="309">
        <f>M488</f>
        <v>0</v>
      </c>
      <c r="R488" s="307">
        <f>D488-N488</f>
        <v>575.57778608541173</v>
      </c>
      <c r="S488" s="307">
        <f>SUM(S489:S490)</f>
        <v>0</v>
      </c>
      <c r="T488" s="307">
        <f>SUM(T489:T490)</f>
        <v>575.57778608541173</v>
      </c>
    </row>
    <row r="489" spans="1:20" ht="39" customHeight="1">
      <c r="A489" s="325" t="s">
        <v>489</v>
      </c>
      <c r="B489" s="166" t="s">
        <v>545</v>
      </c>
      <c r="C489" s="320" t="s">
        <v>444</v>
      </c>
      <c r="D489" s="306">
        <f>SUM(E489:G489)</f>
        <v>639.53087342823528</v>
      </c>
      <c r="E489" s="306">
        <f>'[2] TL giao BC '!Z638</f>
        <v>639.53087342823528</v>
      </c>
      <c r="F489" s="306"/>
      <c r="G489" s="306"/>
      <c r="H489" s="309"/>
      <c r="I489" s="309"/>
      <c r="J489" s="309"/>
      <c r="K489" s="309">
        <f>D489</f>
        <v>639.53087342823528</v>
      </c>
      <c r="L489" s="309">
        <f>K489*10%</f>
        <v>63.95308734282353</v>
      </c>
      <c r="M489" s="309"/>
      <c r="N489" s="309"/>
      <c r="O489" s="309"/>
      <c r="P489" s="309"/>
      <c r="Q489" s="309"/>
      <c r="R489" s="307"/>
      <c r="S489" s="307">
        <v>-14.07</v>
      </c>
      <c r="T489" s="307">
        <f>K489-L489+S489</f>
        <v>561.50778608541168</v>
      </c>
    </row>
    <row r="490" spans="1:20" ht="33" customHeight="1">
      <c r="A490" s="325" t="s">
        <v>489</v>
      </c>
      <c r="B490" s="164" t="s">
        <v>505</v>
      </c>
      <c r="C490" s="320" t="s">
        <v>478</v>
      </c>
      <c r="D490" s="306">
        <f>SUM(E490:G490)</f>
        <v>0</v>
      </c>
      <c r="E490" s="306"/>
      <c r="F490" s="306"/>
      <c r="G490" s="306">
        <f>'[2] TL giao BC tăng thêm'!X195</f>
        <v>0</v>
      </c>
      <c r="H490" s="309"/>
      <c r="I490" s="309"/>
      <c r="J490" s="309"/>
      <c r="K490" s="309">
        <f>D490</f>
        <v>0</v>
      </c>
      <c r="L490" s="309">
        <f>K490*10%</f>
        <v>0</v>
      </c>
      <c r="M490" s="309"/>
      <c r="N490" s="309"/>
      <c r="O490" s="309"/>
      <c r="P490" s="309"/>
      <c r="Q490" s="309"/>
      <c r="R490" s="307"/>
      <c r="S490" s="307">
        <v>14.07</v>
      </c>
      <c r="T490" s="307">
        <f>K490-L490+S490</f>
        <v>14.07</v>
      </c>
    </row>
    <row r="491" spans="1:20" ht="30" customHeight="1">
      <c r="A491" s="303" t="s">
        <v>481</v>
      </c>
      <c r="B491" s="326" t="s">
        <v>485</v>
      </c>
      <c r="C491" s="320" t="s">
        <v>488</v>
      </c>
      <c r="D491" s="307">
        <f>E491+G491+F491</f>
        <v>0</v>
      </c>
      <c r="E491" s="307">
        <f t="shared" ref="E491:T491" si="312">SUM(E492:E496)</f>
        <v>0</v>
      </c>
      <c r="F491" s="307">
        <f t="shared" si="312"/>
        <v>0</v>
      </c>
      <c r="G491" s="307">
        <f t="shared" si="312"/>
        <v>0</v>
      </c>
      <c r="H491" s="307">
        <f t="shared" si="312"/>
        <v>0</v>
      </c>
      <c r="I491" s="307">
        <f t="shared" si="312"/>
        <v>0</v>
      </c>
      <c r="J491" s="307">
        <f t="shared" si="312"/>
        <v>0</v>
      </c>
      <c r="K491" s="307">
        <f t="shared" si="312"/>
        <v>0</v>
      </c>
      <c r="L491" s="307">
        <f t="shared" si="312"/>
        <v>0</v>
      </c>
      <c r="M491" s="307">
        <f t="shared" si="312"/>
        <v>0</v>
      </c>
      <c r="N491" s="307">
        <f t="shared" si="312"/>
        <v>0</v>
      </c>
      <c r="O491" s="307">
        <f t="shared" si="312"/>
        <v>0</v>
      </c>
      <c r="P491" s="307">
        <f t="shared" si="312"/>
        <v>0</v>
      </c>
      <c r="Q491" s="307">
        <f t="shared" si="312"/>
        <v>0</v>
      </c>
      <c r="R491" s="307">
        <f t="shared" si="312"/>
        <v>0</v>
      </c>
      <c r="S491" s="307">
        <f t="shared" si="312"/>
        <v>0</v>
      </c>
      <c r="T491" s="307">
        <f t="shared" si="312"/>
        <v>0</v>
      </c>
    </row>
    <row r="492" spans="1:20" ht="30" customHeight="1">
      <c r="A492" s="325" t="s">
        <v>438</v>
      </c>
      <c r="B492" s="166" t="s">
        <v>280</v>
      </c>
      <c r="C492" s="320" t="s">
        <v>444</v>
      </c>
      <c r="D492" s="306">
        <f>E492+G492</f>
        <v>0</v>
      </c>
      <c r="E492" s="306"/>
      <c r="F492" s="306"/>
      <c r="G492" s="306"/>
      <c r="H492" s="309"/>
      <c r="I492" s="309">
        <f>D492</f>
        <v>0</v>
      </c>
      <c r="J492" s="309"/>
      <c r="K492" s="309"/>
      <c r="L492" s="309">
        <f>K492*10%</f>
        <v>0</v>
      </c>
      <c r="M492" s="309"/>
      <c r="N492" s="309">
        <f>L492+M492</f>
        <v>0</v>
      </c>
      <c r="O492" s="309">
        <f>N492</f>
        <v>0</v>
      </c>
      <c r="P492" s="309">
        <f>N492-O492</f>
        <v>0</v>
      </c>
      <c r="Q492" s="309">
        <f>M492</f>
        <v>0</v>
      </c>
      <c r="R492" s="307">
        <f>D492-N492</f>
        <v>0</v>
      </c>
      <c r="S492" s="307"/>
      <c r="T492" s="307">
        <f>R492+S492</f>
        <v>0</v>
      </c>
    </row>
    <row r="493" spans="1:20" ht="30" customHeight="1">
      <c r="A493" s="325" t="s">
        <v>438</v>
      </c>
      <c r="B493" s="166" t="s">
        <v>287</v>
      </c>
      <c r="C493" s="320" t="s">
        <v>488</v>
      </c>
      <c r="D493" s="306">
        <f>E493+G493+F493</f>
        <v>0</v>
      </c>
      <c r="E493" s="306"/>
      <c r="F493" s="306"/>
      <c r="G493" s="306"/>
      <c r="H493" s="309"/>
      <c r="I493" s="309">
        <f>D493</f>
        <v>0</v>
      </c>
      <c r="J493" s="309"/>
      <c r="K493" s="309"/>
      <c r="L493" s="309">
        <f>K493*10%</f>
        <v>0</v>
      </c>
      <c r="M493" s="309"/>
      <c r="N493" s="309">
        <f>L493+M493</f>
        <v>0</v>
      </c>
      <c r="O493" s="309">
        <f>N493</f>
        <v>0</v>
      </c>
      <c r="P493" s="309">
        <f>N493-O493</f>
        <v>0</v>
      </c>
      <c r="Q493" s="309">
        <f>M493</f>
        <v>0</v>
      </c>
      <c r="R493" s="307">
        <f>D493-N493</f>
        <v>0</v>
      </c>
      <c r="S493" s="307"/>
      <c r="T493" s="307">
        <f t="shared" ref="T493:T496" si="313">R493+S493</f>
        <v>0</v>
      </c>
    </row>
    <row r="494" spans="1:20" ht="39" customHeight="1">
      <c r="A494" s="325" t="s">
        <v>438</v>
      </c>
      <c r="B494" s="166" t="s">
        <v>308</v>
      </c>
      <c r="C494" s="320" t="s">
        <v>488</v>
      </c>
      <c r="D494" s="306">
        <f>E494+G494</f>
        <v>0</v>
      </c>
      <c r="E494" s="306"/>
      <c r="F494" s="306"/>
      <c r="G494" s="306"/>
      <c r="H494" s="309"/>
      <c r="I494" s="309">
        <f>D494</f>
        <v>0</v>
      </c>
      <c r="J494" s="309"/>
      <c r="K494" s="309"/>
      <c r="L494" s="309">
        <f>K494*10%</f>
        <v>0</v>
      </c>
      <c r="M494" s="309"/>
      <c r="N494" s="309">
        <f>L494+M494</f>
        <v>0</v>
      </c>
      <c r="O494" s="309">
        <f>N494</f>
        <v>0</v>
      </c>
      <c r="P494" s="309">
        <f>N494-O494</f>
        <v>0</v>
      </c>
      <c r="Q494" s="309">
        <f>M494</f>
        <v>0</v>
      </c>
      <c r="R494" s="307">
        <f>D494-N494</f>
        <v>0</v>
      </c>
      <c r="S494" s="307"/>
      <c r="T494" s="307">
        <f t="shared" si="313"/>
        <v>0</v>
      </c>
    </row>
    <row r="495" spans="1:20" ht="36" customHeight="1">
      <c r="A495" s="325" t="s">
        <v>438</v>
      </c>
      <c r="B495" s="166" t="s">
        <v>495</v>
      </c>
      <c r="C495" s="320" t="s">
        <v>488</v>
      </c>
      <c r="D495" s="306">
        <f>E495+G495</f>
        <v>0</v>
      </c>
      <c r="E495" s="306"/>
      <c r="F495" s="306"/>
      <c r="G495" s="306"/>
      <c r="H495" s="309"/>
      <c r="I495" s="309">
        <f>D495</f>
        <v>0</v>
      </c>
      <c r="J495" s="309"/>
      <c r="K495" s="309"/>
      <c r="L495" s="309">
        <f>K495*10%</f>
        <v>0</v>
      </c>
      <c r="M495" s="309"/>
      <c r="N495" s="309">
        <f>L495+M495</f>
        <v>0</v>
      </c>
      <c r="O495" s="309">
        <f>N495</f>
        <v>0</v>
      </c>
      <c r="P495" s="309">
        <f>N495-O495</f>
        <v>0</v>
      </c>
      <c r="Q495" s="309">
        <f>M495</f>
        <v>0</v>
      </c>
      <c r="R495" s="307">
        <f>D495-N495</f>
        <v>0</v>
      </c>
      <c r="S495" s="307"/>
      <c r="T495" s="307">
        <f t="shared" si="313"/>
        <v>0</v>
      </c>
    </row>
    <row r="496" spans="1:20" ht="26.25" customHeight="1">
      <c r="A496" s="325" t="s">
        <v>438</v>
      </c>
      <c r="B496" s="166" t="s">
        <v>309</v>
      </c>
      <c r="C496" s="320" t="s">
        <v>478</v>
      </c>
      <c r="D496" s="306">
        <f>E496+G496</f>
        <v>0</v>
      </c>
      <c r="E496" s="306"/>
      <c r="F496" s="306"/>
      <c r="G496" s="306"/>
      <c r="H496" s="309"/>
      <c r="I496" s="309">
        <f>D496</f>
        <v>0</v>
      </c>
      <c r="J496" s="309"/>
      <c r="K496" s="309"/>
      <c r="L496" s="309">
        <f>K496*10%</f>
        <v>0</v>
      </c>
      <c r="M496" s="309"/>
      <c r="N496" s="309">
        <f>L496+M496</f>
        <v>0</v>
      </c>
      <c r="O496" s="309">
        <f>N496</f>
        <v>0</v>
      </c>
      <c r="P496" s="309">
        <f>N496-O496</f>
        <v>0</v>
      </c>
      <c r="Q496" s="309">
        <f>M496</f>
        <v>0</v>
      </c>
      <c r="R496" s="307">
        <f>D496-N496</f>
        <v>0</v>
      </c>
      <c r="S496" s="307"/>
      <c r="T496" s="307">
        <f t="shared" si="313"/>
        <v>0</v>
      </c>
    </row>
    <row r="497" spans="1:20" s="328" customFormat="1" ht="27.75" customHeight="1">
      <c r="A497" s="320">
        <v>11</v>
      </c>
      <c r="B497" s="321" t="s">
        <v>546</v>
      </c>
      <c r="C497" s="320" t="s">
        <v>488</v>
      </c>
      <c r="D497" s="322">
        <f>D498+D510</f>
        <v>5249.2271519848227</v>
      </c>
      <c r="E497" s="322">
        <f t="shared" ref="E497:Q497" si="314">E498+E510</f>
        <v>5008.2818989259995</v>
      </c>
      <c r="F497" s="322">
        <f t="shared" si="314"/>
        <v>0</v>
      </c>
      <c r="G497" s="322">
        <f t="shared" si="314"/>
        <v>240.94525305882354</v>
      </c>
      <c r="H497" s="322">
        <f t="shared" si="314"/>
        <v>4571.5260466683521</v>
      </c>
      <c r="I497" s="322">
        <f t="shared" si="314"/>
        <v>0</v>
      </c>
      <c r="J497" s="322">
        <f t="shared" si="314"/>
        <v>0</v>
      </c>
      <c r="K497" s="322">
        <f t="shared" si="314"/>
        <v>677.70110531647026</v>
      </c>
      <c r="L497" s="322">
        <f t="shared" si="314"/>
        <v>67.77011053164702</v>
      </c>
      <c r="M497" s="322">
        <f t="shared" si="314"/>
        <v>0</v>
      </c>
      <c r="N497" s="322">
        <f t="shared" si="314"/>
        <v>67.77011053164702</v>
      </c>
      <c r="O497" s="322">
        <f t="shared" si="314"/>
        <v>67.77011053164702</v>
      </c>
      <c r="P497" s="322">
        <f t="shared" si="314"/>
        <v>0</v>
      </c>
      <c r="Q497" s="322">
        <f t="shared" si="314"/>
        <v>0</v>
      </c>
      <c r="R497" s="322">
        <f>R498+R510</f>
        <v>5249.2271519848227</v>
      </c>
      <c r="S497" s="322">
        <f t="shared" ref="S497:T497" si="315">S498+S510</f>
        <v>0</v>
      </c>
      <c r="T497" s="322">
        <f t="shared" si="315"/>
        <v>5249.2271519848227</v>
      </c>
    </row>
    <row r="498" spans="1:20" ht="27.75" customHeight="1">
      <c r="A498" s="303" t="s">
        <v>481</v>
      </c>
      <c r="B498" s="323" t="s">
        <v>482</v>
      </c>
      <c r="C498" s="320" t="s">
        <v>488</v>
      </c>
      <c r="D498" s="307">
        <f>D499+D502+D505+D506+D507</f>
        <v>5249.2271519848227</v>
      </c>
      <c r="E498" s="307">
        <f t="shared" ref="E498:Q498" si="316">E499+E502+E505+E506+E507</f>
        <v>5008.2818989259995</v>
      </c>
      <c r="F498" s="307">
        <f t="shared" si="316"/>
        <v>0</v>
      </c>
      <c r="G498" s="307">
        <f t="shared" si="316"/>
        <v>240.94525305882354</v>
      </c>
      <c r="H498" s="307">
        <f t="shared" si="316"/>
        <v>4571.5260466683521</v>
      </c>
      <c r="I498" s="307">
        <f t="shared" si="316"/>
        <v>0</v>
      </c>
      <c r="J498" s="307">
        <f t="shared" si="316"/>
        <v>0</v>
      </c>
      <c r="K498" s="307">
        <f t="shared" si="316"/>
        <v>677.70110531647026</v>
      </c>
      <c r="L498" s="307">
        <f t="shared" si="316"/>
        <v>67.77011053164702</v>
      </c>
      <c r="M498" s="307">
        <f t="shared" si="316"/>
        <v>0</v>
      </c>
      <c r="N498" s="307">
        <f t="shared" si="316"/>
        <v>67.77011053164702</v>
      </c>
      <c r="O498" s="307">
        <f t="shared" si="316"/>
        <v>67.77011053164702</v>
      </c>
      <c r="P498" s="307">
        <f t="shared" si="316"/>
        <v>0</v>
      </c>
      <c r="Q498" s="307">
        <f t="shared" si="316"/>
        <v>0</v>
      </c>
      <c r="R498" s="307">
        <f>R499+R502+R505+R506+R507</f>
        <v>5249.2271519848227</v>
      </c>
      <c r="S498" s="307">
        <f t="shared" ref="S498:T498" si="317">S499+S502+S505+S506+S507</f>
        <v>0</v>
      </c>
      <c r="T498" s="307">
        <f t="shared" si="317"/>
        <v>5249.2271519848227</v>
      </c>
    </row>
    <row r="499" spans="1:20" ht="27.75" customHeight="1">
      <c r="A499" s="325" t="s">
        <v>438</v>
      </c>
      <c r="B499" s="164" t="s">
        <v>277</v>
      </c>
      <c r="C499" s="320" t="s">
        <v>488</v>
      </c>
      <c r="D499" s="306">
        <f t="shared" ref="D499:D505" si="318">SUM(E499:G499)</f>
        <v>3840.3062634599996</v>
      </c>
      <c r="E499" s="306">
        <f>SUM(E500:E501)</f>
        <v>3635.5027983599998</v>
      </c>
      <c r="F499" s="306">
        <f>SUM(F500:F501)</f>
        <v>0</v>
      </c>
      <c r="G499" s="306">
        <f>SUM(G500:G501)</f>
        <v>204.80346510000001</v>
      </c>
      <c r="H499" s="307">
        <f t="shared" ref="H499:H506" si="319">D499</f>
        <v>3840.3062634599996</v>
      </c>
      <c r="I499" s="309"/>
      <c r="J499" s="309"/>
      <c r="K499" s="309"/>
      <c r="L499" s="309">
        <f>K499*10%</f>
        <v>0</v>
      </c>
      <c r="M499" s="309"/>
      <c r="N499" s="309">
        <f>L499+M499</f>
        <v>0</v>
      </c>
      <c r="O499" s="309">
        <f>L499-P499</f>
        <v>0</v>
      </c>
      <c r="P499" s="309">
        <f>N499</f>
        <v>0</v>
      </c>
      <c r="Q499" s="309">
        <f>M499</f>
        <v>0</v>
      </c>
      <c r="R499" s="307">
        <f>SUM(R500:R501)</f>
        <v>3840.3062634599996</v>
      </c>
      <c r="S499" s="307">
        <f t="shared" ref="S499:T499" si="320">SUM(S500:S501)</f>
        <v>0</v>
      </c>
      <c r="T499" s="307">
        <f t="shared" si="320"/>
        <v>3840.3062634599996</v>
      </c>
    </row>
    <row r="500" spans="1:20" ht="27.75" customHeight="1">
      <c r="A500" s="325" t="s">
        <v>489</v>
      </c>
      <c r="B500" s="164" t="s">
        <v>490</v>
      </c>
      <c r="C500" s="320" t="s">
        <v>444</v>
      </c>
      <c r="D500" s="306">
        <f t="shared" si="318"/>
        <v>3635.5027983599998</v>
      </c>
      <c r="E500" s="306">
        <f>'[2] TL giao BC '!T665</f>
        <v>3635.5027983599998</v>
      </c>
      <c r="F500" s="306"/>
      <c r="G500" s="306"/>
      <c r="H500" s="307">
        <f t="shared" si="319"/>
        <v>3635.5027983599998</v>
      </c>
      <c r="I500" s="309"/>
      <c r="J500" s="309"/>
      <c r="K500" s="309"/>
      <c r="L500" s="309"/>
      <c r="M500" s="309"/>
      <c r="N500" s="309"/>
      <c r="O500" s="309"/>
      <c r="P500" s="309"/>
      <c r="Q500" s="309"/>
      <c r="R500" s="307">
        <f>D500-N500</f>
        <v>3635.5027983599998</v>
      </c>
      <c r="S500" s="307">
        <v>41.74</v>
      </c>
      <c r="T500" s="307">
        <f>R500+S500</f>
        <v>3677.2427983599996</v>
      </c>
    </row>
    <row r="501" spans="1:20" ht="27.75" customHeight="1">
      <c r="A501" s="325" t="s">
        <v>489</v>
      </c>
      <c r="B501" s="164" t="s">
        <v>305</v>
      </c>
      <c r="C501" s="320" t="s">
        <v>478</v>
      </c>
      <c r="D501" s="306">
        <f t="shared" si="318"/>
        <v>204.80346510000001</v>
      </c>
      <c r="E501" s="306"/>
      <c r="F501" s="306"/>
      <c r="G501" s="306">
        <f>'[2] TL giao BC tăng thêm'!T222</f>
        <v>204.80346510000001</v>
      </c>
      <c r="H501" s="307">
        <f t="shared" si="319"/>
        <v>204.80346510000001</v>
      </c>
      <c r="I501" s="309"/>
      <c r="J501" s="309"/>
      <c r="K501" s="309"/>
      <c r="L501" s="309"/>
      <c r="M501" s="309"/>
      <c r="N501" s="309"/>
      <c r="O501" s="309"/>
      <c r="P501" s="309"/>
      <c r="Q501" s="309"/>
      <c r="R501" s="307">
        <f>D501-N501</f>
        <v>204.80346510000001</v>
      </c>
      <c r="S501" s="307">
        <v>-41.74</v>
      </c>
      <c r="T501" s="307">
        <f>R501+S501</f>
        <v>163.0634651</v>
      </c>
    </row>
    <row r="502" spans="1:20" ht="27.75" customHeight="1">
      <c r="A502" s="304" t="s">
        <v>438</v>
      </c>
      <c r="B502" s="166" t="s">
        <v>278</v>
      </c>
      <c r="C502" s="320" t="s">
        <v>444</v>
      </c>
      <c r="D502" s="306">
        <f t="shared" si="318"/>
        <v>798.98989373999996</v>
      </c>
      <c r="E502" s="306">
        <f>SUM(E503:E504)</f>
        <v>798.98989373999996</v>
      </c>
      <c r="F502" s="306">
        <f>SUM(F503:F504)</f>
        <v>0</v>
      </c>
      <c r="G502" s="306">
        <f>SUM(G503:G504)</f>
        <v>0</v>
      </c>
      <c r="H502" s="307">
        <f t="shared" si="319"/>
        <v>798.98989373999996</v>
      </c>
      <c r="I502" s="309"/>
      <c r="J502" s="309"/>
      <c r="K502" s="309"/>
      <c r="L502" s="309">
        <f>K502*10%</f>
        <v>0</v>
      </c>
      <c r="M502" s="309"/>
      <c r="N502" s="309">
        <f>L502+M502</f>
        <v>0</v>
      </c>
      <c r="O502" s="309">
        <f>L502-P502</f>
        <v>0</v>
      </c>
      <c r="P502" s="309">
        <f>N502</f>
        <v>0</v>
      </c>
      <c r="Q502" s="309">
        <f>M502</f>
        <v>0</v>
      </c>
      <c r="R502" s="307">
        <f>SUM(R503:R504)</f>
        <v>798.98989373999996</v>
      </c>
      <c r="S502" s="307">
        <f t="shared" ref="S502:T502" si="321">SUM(S503:S504)</f>
        <v>0</v>
      </c>
      <c r="T502" s="307">
        <f t="shared" si="321"/>
        <v>798.98989373999996</v>
      </c>
    </row>
    <row r="503" spans="1:20" ht="27.75" customHeight="1">
      <c r="A503" s="325" t="s">
        <v>489</v>
      </c>
      <c r="B503" s="166" t="s">
        <v>491</v>
      </c>
      <c r="C503" s="320" t="s">
        <v>444</v>
      </c>
      <c r="D503" s="306">
        <f t="shared" si="318"/>
        <v>756.37977683999998</v>
      </c>
      <c r="E503" s="306">
        <f>'[2] TL giao BC '!U665</f>
        <v>756.37977683999998</v>
      </c>
      <c r="F503" s="306"/>
      <c r="G503" s="306"/>
      <c r="H503" s="307">
        <f t="shared" si="319"/>
        <v>756.37977683999998</v>
      </c>
      <c r="I503" s="309"/>
      <c r="J503" s="309"/>
      <c r="K503" s="309"/>
      <c r="L503" s="309"/>
      <c r="M503" s="309"/>
      <c r="N503" s="309"/>
      <c r="O503" s="309"/>
      <c r="P503" s="309"/>
      <c r="Q503" s="309"/>
      <c r="R503" s="307">
        <f>D503-N503</f>
        <v>756.37977683999998</v>
      </c>
      <c r="S503" s="307">
        <v>8.68</v>
      </c>
      <c r="T503" s="307">
        <f t="shared" ref="T503:T504" si="322">R503+S503</f>
        <v>765.05977683999993</v>
      </c>
    </row>
    <row r="504" spans="1:20" ht="27.75" customHeight="1">
      <c r="A504" s="325" t="s">
        <v>489</v>
      </c>
      <c r="B504" s="164" t="s">
        <v>492</v>
      </c>
      <c r="C504" s="320" t="s">
        <v>444</v>
      </c>
      <c r="D504" s="306">
        <f t="shared" si="318"/>
        <v>42.610116899999994</v>
      </c>
      <c r="E504" s="306">
        <f>'[2] TL giao BC tăng thêm'!U222</f>
        <v>42.610116899999994</v>
      </c>
      <c r="F504" s="306"/>
      <c r="G504" s="306"/>
      <c r="H504" s="307">
        <f t="shared" si="319"/>
        <v>42.610116899999994</v>
      </c>
      <c r="I504" s="309"/>
      <c r="J504" s="309"/>
      <c r="K504" s="309"/>
      <c r="L504" s="309"/>
      <c r="M504" s="309"/>
      <c r="N504" s="309"/>
      <c r="O504" s="309"/>
      <c r="P504" s="309"/>
      <c r="Q504" s="309"/>
      <c r="R504" s="307">
        <f>D504-N504</f>
        <v>42.610116899999994</v>
      </c>
      <c r="S504" s="307">
        <v>-8.68</v>
      </c>
      <c r="T504" s="307">
        <f t="shared" si="322"/>
        <v>33.930116899999994</v>
      </c>
    </row>
    <row r="505" spans="1:20" ht="27.75" customHeight="1">
      <c r="A505" s="325" t="s">
        <v>438</v>
      </c>
      <c r="B505" s="164" t="s">
        <v>483</v>
      </c>
      <c r="C505" s="320"/>
      <c r="D505" s="306">
        <f t="shared" si="318"/>
        <v>0</v>
      </c>
      <c r="E505" s="306"/>
      <c r="F505" s="306"/>
      <c r="G505" s="306"/>
      <c r="H505" s="307">
        <f t="shared" si="319"/>
        <v>0</v>
      </c>
      <c r="I505" s="309"/>
      <c r="J505" s="309"/>
      <c r="K505" s="309"/>
      <c r="L505" s="309"/>
      <c r="M505" s="309"/>
      <c r="N505" s="309"/>
      <c r="O505" s="309"/>
      <c r="P505" s="309"/>
      <c r="Q505" s="309"/>
      <c r="R505" s="307">
        <f>D505-N505</f>
        <v>0</v>
      </c>
      <c r="S505" s="307"/>
      <c r="T505" s="307"/>
    </row>
    <row r="506" spans="1:20" s="311" customFormat="1" ht="27.75" customHeight="1">
      <c r="A506" s="304" t="s">
        <v>438</v>
      </c>
      <c r="B506" s="166" t="s">
        <v>452</v>
      </c>
      <c r="C506" s="320" t="s">
        <v>488</v>
      </c>
      <c r="D506" s="306">
        <f>E506+G506</f>
        <v>-67.77011053164702</v>
      </c>
      <c r="E506" s="306">
        <f>-L507</f>
        <v>-67.77011053164702</v>
      </c>
      <c r="F506" s="306"/>
      <c r="G506" s="306"/>
      <c r="H506" s="307">
        <f t="shared" si="319"/>
        <v>-67.77011053164702</v>
      </c>
      <c r="I506" s="308"/>
      <c r="J506" s="308"/>
      <c r="K506" s="308"/>
      <c r="L506" s="309">
        <f>K506*10%</f>
        <v>0</v>
      </c>
      <c r="M506" s="309"/>
      <c r="N506" s="309">
        <f>L506+M506</f>
        <v>0</v>
      </c>
      <c r="O506" s="309">
        <f>L506-P506</f>
        <v>0</v>
      </c>
      <c r="P506" s="309">
        <f>N506</f>
        <v>0</v>
      </c>
      <c r="Q506" s="309">
        <f>M506</f>
        <v>0</v>
      </c>
      <c r="R506" s="307"/>
      <c r="S506" s="306"/>
      <c r="T506" s="307"/>
    </row>
    <row r="507" spans="1:20" ht="26.25" customHeight="1">
      <c r="A507" s="304" t="s">
        <v>438</v>
      </c>
      <c r="B507" s="166" t="s">
        <v>412</v>
      </c>
      <c r="C507" s="320" t="s">
        <v>488</v>
      </c>
      <c r="D507" s="306">
        <f>SUM(E507:G507)</f>
        <v>677.70110531647026</v>
      </c>
      <c r="E507" s="306">
        <f>SUM(E508:E509)</f>
        <v>641.55931735764671</v>
      </c>
      <c r="F507" s="306">
        <f>SUM(F508:F509)</f>
        <v>0</v>
      </c>
      <c r="G507" s="306">
        <f>SUM(G508:G509)</f>
        <v>36.141787958823528</v>
      </c>
      <c r="H507" s="309"/>
      <c r="I507" s="309"/>
      <c r="J507" s="309"/>
      <c r="K507" s="309">
        <f>SUM(K508:K509)</f>
        <v>677.70110531647026</v>
      </c>
      <c r="L507" s="309">
        <f>SUM(L508:L509)</f>
        <v>67.77011053164702</v>
      </c>
      <c r="M507" s="309"/>
      <c r="N507" s="309">
        <f>L507+M507</f>
        <v>67.77011053164702</v>
      </c>
      <c r="O507" s="309">
        <f>N507</f>
        <v>67.77011053164702</v>
      </c>
      <c r="P507" s="309">
        <f>N507-O507</f>
        <v>0</v>
      </c>
      <c r="Q507" s="309">
        <f>M507</f>
        <v>0</v>
      </c>
      <c r="R507" s="307">
        <f>D507-N507</f>
        <v>609.93099478482327</v>
      </c>
      <c r="S507" s="307">
        <f>SUM(S508:S509)</f>
        <v>0</v>
      </c>
      <c r="T507" s="307">
        <f>SUM(T508:T509)</f>
        <v>609.93099478482327</v>
      </c>
    </row>
    <row r="508" spans="1:20" ht="39" customHeight="1">
      <c r="A508" s="325" t="s">
        <v>489</v>
      </c>
      <c r="B508" s="166" t="s">
        <v>526</v>
      </c>
      <c r="C508" s="320" t="s">
        <v>444</v>
      </c>
      <c r="D508" s="306">
        <f>SUM(E508:G508)</f>
        <v>641.55931735764671</v>
      </c>
      <c r="E508" s="306">
        <f>'[2] TL giao BC '!Z665</f>
        <v>641.55931735764671</v>
      </c>
      <c r="F508" s="306"/>
      <c r="G508" s="306"/>
      <c r="H508" s="309"/>
      <c r="I508" s="309"/>
      <c r="J508" s="309"/>
      <c r="K508" s="309">
        <f>D508</f>
        <v>641.55931735764671</v>
      </c>
      <c r="L508" s="309">
        <f>K508*10%</f>
        <v>64.155931735764668</v>
      </c>
      <c r="M508" s="309"/>
      <c r="N508" s="309"/>
      <c r="O508" s="309"/>
      <c r="P508" s="309"/>
      <c r="Q508" s="309"/>
      <c r="R508" s="307"/>
      <c r="S508" s="307">
        <v>7.37</v>
      </c>
      <c r="T508" s="307">
        <f>K508-L508+S508</f>
        <v>584.77338562188208</v>
      </c>
    </row>
    <row r="509" spans="1:20" ht="33" customHeight="1">
      <c r="A509" s="325" t="s">
        <v>489</v>
      </c>
      <c r="B509" s="164" t="s">
        <v>508</v>
      </c>
      <c r="C509" s="320" t="s">
        <v>478</v>
      </c>
      <c r="D509" s="306">
        <f>SUM(E509:G509)</f>
        <v>36.141787958823528</v>
      </c>
      <c r="E509" s="306"/>
      <c r="F509" s="306"/>
      <c r="G509" s="306">
        <f>'[2] TL giao BC tăng thêm'!X222</f>
        <v>36.141787958823528</v>
      </c>
      <c r="H509" s="309"/>
      <c r="I509" s="309"/>
      <c r="J509" s="309"/>
      <c r="K509" s="309">
        <f>D509</f>
        <v>36.141787958823528</v>
      </c>
      <c r="L509" s="309">
        <f>K509*10%</f>
        <v>3.6141787958823528</v>
      </c>
      <c r="M509" s="309"/>
      <c r="N509" s="309"/>
      <c r="O509" s="309"/>
      <c r="P509" s="309"/>
      <c r="Q509" s="309"/>
      <c r="R509" s="307"/>
      <c r="S509" s="307">
        <v>-7.37</v>
      </c>
      <c r="T509" s="307">
        <f>K509-L509+S509</f>
        <v>25.157609162941174</v>
      </c>
    </row>
    <row r="510" spans="1:20" ht="30" customHeight="1">
      <c r="A510" s="303" t="s">
        <v>481</v>
      </c>
      <c r="B510" s="326" t="s">
        <v>485</v>
      </c>
      <c r="C510" s="320" t="s">
        <v>488</v>
      </c>
      <c r="D510" s="307">
        <f>E510+G510+F510</f>
        <v>0</v>
      </c>
      <c r="E510" s="307">
        <f t="shared" ref="E510:T510" si="323">SUM(E511:E515)</f>
        <v>0</v>
      </c>
      <c r="F510" s="307">
        <f t="shared" si="323"/>
        <v>0</v>
      </c>
      <c r="G510" s="307">
        <f t="shared" si="323"/>
        <v>0</v>
      </c>
      <c r="H510" s="307">
        <f t="shared" si="323"/>
        <v>0</v>
      </c>
      <c r="I510" s="307">
        <f t="shared" si="323"/>
        <v>0</v>
      </c>
      <c r="J510" s="307">
        <f t="shared" si="323"/>
        <v>0</v>
      </c>
      <c r="K510" s="307">
        <f t="shared" si="323"/>
        <v>0</v>
      </c>
      <c r="L510" s="307">
        <f t="shared" si="323"/>
        <v>0</v>
      </c>
      <c r="M510" s="307">
        <f t="shared" si="323"/>
        <v>0</v>
      </c>
      <c r="N510" s="307">
        <f t="shared" si="323"/>
        <v>0</v>
      </c>
      <c r="O510" s="307">
        <f t="shared" si="323"/>
        <v>0</v>
      </c>
      <c r="P510" s="307">
        <f t="shared" si="323"/>
        <v>0</v>
      </c>
      <c r="Q510" s="307">
        <f t="shared" si="323"/>
        <v>0</v>
      </c>
      <c r="R510" s="307">
        <f t="shared" si="323"/>
        <v>0</v>
      </c>
      <c r="S510" s="307">
        <f t="shared" si="323"/>
        <v>0</v>
      </c>
      <c r="T510" s="307">
        <f t="shared" si="323"/>
        <v>0</v>
      </c>
    </row>
    <row r="511" spans="1:20" ht="30" customHeight="1">
      <c r="A511" s="325" t="s">
        <v>438</v>
      </c>
      <c r="B511" s="166" t="s">
        <v>280</v>
      </c>
      <c r="C511" s="320" t="s">
        <v>444</v>
      </c>
      <c r="D511" s="306">
        <f>E511+G511</f>
        <v>0</v>
      </c>
      <c r="E511" s="306"/>
      <c r="F511" s="306"/>
      <c r="G511" s="306"/>
      <c r="H511" s="309"/>
      <c r="I511" s="309">
        <f>D511</f>
        <v>0</v>
      </c>
      <c r="J511" s="309"/>
      <c r="K511" s="309"/>
      <c r="L511" s="309">
        <f>K511*10%</f>
        <v>0</v>
      </c>
      <c r="M511" s="309"/>
      <c r="N511" s="309">
        <f>L511+M511</f>
        <v>0</v>
      </c>
      <c r="O511" s="309">
        <f>N511</f>
        <v>0</v>
      </c>
      <c r="P511" s="309">
        <f>N511-O511</f>
        <v>0</v>
      </c>
      <c r="Q511" s="309">
        <f>M511</f>
        <v>0</v>
      </c>
      <c r="R511" s="307">
        <f>D511-N511</f>
        <v>0</v>
      </c>
      <c r="S511" s="307"/>
      <c r="T511" s="307">
        <f>R511+S511</f>
        <v>0</v>
      </c>
    </row>
    <row r="512" spans="1:20" ht="30" customHeight="1">
      <c r="A512" s="325" t="s">
        <v>438</v>
      </c>
      <c r="B512" s="166" t="s">
        <v>287</v>
      </c>
      <c r="C512" s="320" t="s">
        <v>488</v>
      </c>
      <c r="D512" s="306">
        <f>E512+G512+F512</f>
        <v>0</v>
      </c>
      <c r="E512" s="306"/>
      <c r="F512" s="306"/>
      <c r="G512" s="306"/>
      <c r="H512" s="309"/>
      <c r="I512" s="309">
        <f>D512</f>
        <v>0</v>
      </c>
      <c r="J512" s="309"/>
      <c r="K512" s="309"/>
      <c r="L512" s="309">
        <f>K512*10%</f>
        <v>0</v>
      </c>
      <c r="M512" s="309"/>
      <c r="N512" s="309">
        <f>L512+M512</f>
        <v>0</v>
      </c>
      <c r="O512" s="309">
        <f>N512</f>
        <v>0</v>
      </c>
      <c r="P512" s="309">
        <f>N512-O512</f>
        <v>0</v>
      </c>
      <c r="Q512" s="309">
        <f>M512</f>
        <v>0</v>
      </c>
      <c r="R512" s="307">
        <f>D512-N512</f>
        <v>0</v>
      </c>
      <c r="S512" s="307"/>
      <c r="T512" s="307">
        <f t="shared" ref="T512:T515" si="324">R512+S512</f>
        <v>0</v>
      </c>
    </row>
    <row r="513" spans="1:20" ht="39" customHeight="1">
      <c r="A513" s="325" t="s">
        <v>438</v>
      </c>
      <c r="B513" s="166" t="s">
        <v>308</v>
      </c>
      <c r="C513" s="320" t="s">
        <v>488</v>
      </c>
      <c r="D513" s="306">
        <f>E513+G513</f>
        <v>0</v>
      </c>
      <c r="E513" s="306"/>
      <c r="F513" s="306"/>
      <c r="G513" s="306"/>
      <c r="H513" s="309"/>
      <c r="I513" s="309">
        <f>D513</f>
        <v>0</v>
      </c>
      <c r="J513" s="309"/>
      <c r="K513" s="309"/>
      <c r="L513" s="309">
        <f>K513*10%</f>
        <v>0</v>
      </c>
      <c r="M513" s="309"/>
      <c r="N513" s="309">
        <f>L513+M513</f>
        <v>0</v>
      </c>
      <c r="O513" s="309">
        <f>N513</f>
        <v>0</v>
      </c>
      <c r="P513" s="309">
        <f>N513-O513</f>
        <v>0</v>
      </c>
      <c r="Q513" s="309">
        <f>M513</f>
        <v>0</v>
      </c>
      <c r="R513" s="307">
        <f>D513-N513</f>
        <v>0</v>
      </c>
      <c r="S513" s="307"/>
      <c r="T513" s="307">
        <f t="shared" si="324"/>
        <v>0</v>
      </c>
    </row>
    <row r="514" spans="1:20" ht="36" customHeight="1">
      <c r="A514" s="325" t="s">
        <v>438</v>
      </c>
      <c r="B514" s="166" t="s">
        <v>495</v>
      </c>
      <c r="C514" s="320" t="s">
        <v>488</v>
      </c>
      <c r="D514" s="306">
        <f>E514+G514</f>
        <v>0</v>
      </c>
      <c r="E514" s="306"/>
      <c r="F514" s="306"/>
      <c r="G514" s="306"/>
      <c r="H514" s="309"/>
      <c r="I514" s="309">
        <f>D514</f>
        <v>0</v>
      </c>
      <c r="J514" s="309"/>
      <c r="K514" s="309"/>
      <c r="L514" s="309">
        <f>K514*10%</f>
        <v>0</v>
      </c>
      <c r="M514" s="309"/>
      <c r="N514" s="309">
        <f>L514+M514</f>
        <v>0</v>
      </c>
      <c r="O514" s="309">
        <f>N514</f>
        <v>0</v>
      </c>
      <c r="P514" s="309">
        <f>N514-O514</f>
        <v>0</v>
      </c>
      <c r="Q514" s="309">
        <f>M514</f>
        <v>0</v>
      </c>
      <c r="R514" s="307">
        <f>D514-N514</f>
        <v>0</v>
      </c>
      <c r="S514" s="307"/>
      <c r="T514" s="307">
        <f t="shared" si="324"/>
        <v>0</v>
      </c>
    </row>
    <row r="515" spans="1:20" ht="26.25" customHeight="1">
      <c r="A515" s="325" t="s">
        <v>438</v>
      </c>
      <c r="B515" s="166" t="s">
        <v>309</v>
      </c>
      <c r="C515" s="320" t="s">
        <v>478</v>
      </c>
      <c r="D515" s="306">
        <f>E515+G515</f>
        <v>0</v>
      </c>
      <c r="E515" s="306"/>
      <c r="F515" s="306"/>
      <c r="G515" s="306"/>
      <c r="H515" s="309"/>
      <c r="I515" s="309">
        <f>D515</f>
        <v>0</v>
      </c>
      <c r="J515" s="309"/>
      <c r="K515" s="309"/>
      <c r="L515" s="309">
        <f>K515*10%</f>
        <v>0</v>
      </c>
      <c r="M515" s="309"/>
      <c r="N515" s="309">
        <f>L515+M515</f>
        <v>0</v>
      </c>
      <c r="O515" s="309">
        <f>N515</f>
        <v>0</v>
      </c>
      <c r="P515" s="309">
        <f>N515-O515</f>
        <v>0</v>
      </c>
      <c r="Q515" s="309">
        <f>M515</f>
        <v>0</v>
      </c>
      <c r="R515" s="307">
        <f>D515-N515</f>
        <v>0</v>
      </c>
      <c r="S515" s="307"/>
      <c r="T515" s="307">
        <f t="shared" si="324"/>
        <v>0</v>
      </c>
    </row>
    <row r="516" spans="1:20" s="328" customFormat="1" ht="27.75" customHeight="1">
      <c r="A516" s="320">
        <v>12</v>
      </c>
      <c r="B516" s="321" t="s">
        <v>547</v>
      </c>
      <c r="C516" s="320" t="s">
        <v>488</v>
      </c>
      <c r="D516" s="322">
        <f>D517+D529</f>
        <v>7647.3379257554125</v>
      </c>
      <c r="E516" s="322">
        <f t="shared" ref="E516:Q516" si="325">E517+E529</f>
        <v>7599.6579257554122</v>
      </c>
      <c r="F516" s="322">
        <f t="shared" si="325"/>
        <v>0</v>
      </c>
      <c r="G516" s="322">
        <f t="shared" si="325"/>
        <v>47.68</v>
      </c>
      <c r="H516" s="322">
        <f t="shared" si="325"/>
        <v>6417.362694027177</v>
      </c>
      <c r="I516" s="322">
        <f t="shared" si="325"/>
        <v>278.64000000000004</v>
      </c>
      <c r="J516" s="322">
        <f t="shared" si="325"/>
        <v>0</v>
      </c>
      <c r="K516" s="322">
        <f t="shared" si="325"/>
        <v>951.33523172823516</v>
      </c>
      <c r="L516" s="322">
        <f t="shared" si="325"/>
        <v>95.133523172823516</v>
      </c>
      <c r="M516" s="322">
        <f t="shared" si="325"/>
        <v>0</v>
      </c>
      <c r="N516" s="322">
        <f t="shared" si="325"/>
        <v>95.133523172823516</v>
      </c>
      <c r="O516" s="322">
        <f t="shared" si="325"/>
        <v>95.133523172823516</v>
      </c>
      <c r="P516" s="322">
        <f t="shared" si="325"/>
        <v>0</v>
      </c>
      <c r="Q516" s="322">
        <f t="shared" si="325"/>
        <v>0</v>
      </c>
      <c r="R516" s="322">
        <f>R517+R529</f>
        <v>7647.3379257554125</v>
      </c>
      <c r="S516" s="322">
        <f t="shared" ref="S516:T516" si="326">S517+S529</f>
        <v>0</v>
      </c>
      <c r="T516" s="322">
        <f t="shared" si="326"/>
        <v>7647.3379257554125</v>
      </c>
    </row>
    <row r="517" spans="1:20" ht="27.75" customHeight="1">
      <c r="A517" s="303" t="s">
        <v>481</v>
      </c>
      <c r="B517" s="323" t="s">
        <v>482</v>
      </c>
      <c r="C517" s="320" t="s">
        <v>488</v>
      </c>
      <c r="D517" s="307">
        <f>D518+D521+D524+D525+D526</f>
        <v>7368.6979257554121</v>
      </c>
      <c r="E517" s="307">
        <f t="shared" ref="E517:Q517" si="327">E518+E521+E524+E525+E526</f>
        <v>7368.6979257554121</v>
      </c>
      <c r="F517" s="307">
        <f t="shared" si="327"/>
        <v>0</v>
      </c>
      <c r="G517" s="307">
        <f t="shared" si="327"/>
        <v>0</v>
      </c>
      <c r="H517" s="307">
        <f t="shared" si="327"/>
        <v>6417.362694027177</v>
      </c>
      <c r="I517" s="307">
        <f t="shared" si="327"/>
        <v>0</v>
      </c>
      <c r="J517" s="307">
        <f t="shared" si="327"/>
        <v>0</v>
      </c>
      <c r="K517" s="307">
        <f t="shared" si="327"/>
        <v>951.33523172823516</v>
      </c>
      <c r="L517" s="307">
        <f t="shared" si="327"/>
        <v>95.133523172823516</v>
      </c>
      <c r="M517" s="307">
        <f t="shared" si="327"/>
        <v>0</v>
      </c>
      <c r="N517" s="307">
        <f t="shared" si="327"/>
        <v>95.133523172823516</v>
      </c>
      <c r="O517" s="307">
        <f t="shared" si="327"/>
        <v>95.133523172823516</v>
      </c>
      <c r="P517" s="307">
        <f t="shared" si="327"/>
        <v>0</v>
      </c>
      <c r="Q517" s="307">
        <f t="shared" si="327"/>
        <v>0</v>
      </c>
      <c r="R517" s="307">
        <f>R518+R521+R524+R525+R526</f>
        <v>7368.6979257554121</v>
      </c>
      <c r="S517" s="307">
        <f t="shared" ref="S517:T517" si="328">S518+S521+S524+S525+S526</f>
        <v>0</v>
      </c>
      <c r="T517" s="307">
        <f t="shared" si="328"/>
        <v>7368.6979257554121</v>
      </c>
    </row>
    <row r="518" spans="1:20" ht="27.75" customHeight="1">
      <c r="A518" s="325" t="s">
        <v>438</v>
      </c>
      <c r="B518" s="164" t="s">
        <v>277</v>
      </c>
      <c r="C518" s="320" t="s">
        <v>488</v>
      </c>
      <c r="D518" s="306">
        <f t="shared" ref="D518:D524" si="329">SUM(E518:G518)</f>
        <v>5390.8996464600004</v>
      </c>
      <c r="E518" s="306">
        <f>SUM(E519:E520)</f>
        <v>5390.8996464600004</v>
      </c>
      <c r="F518" s="306">
        <f>SUM(F519:F520)</f>
        <v>0</v>
      </c>
      <c r="G518" s="306">
        <f>SUM(G519:G520)</f>
        <v>0</v>
      </c>
      <c r="H518" s="307">
        <f t="shared" ref="H518:H525" si="330">D518</f>
        <v>5390.8996464600004</v>
      </c>
      <c r="I518" s="309"/>
      <c r="J518" s="309"/>
      <c r="K518" s="309"/>
      <c r="L518" s="309">
        <f>K518*10%</f>
        <v>0</v>
      </c>
      <c r="M518" s="309"/>
      <c r="N518" s="309">
        <f>L518+M518</f>
        <v>0</v>
      </c>
      <c r="O518" s="309">
        <f>L518-P518</f>
        <v>0</v>
      </c>
      <c r="P518" s="309">
        <f>N518</f>
        <v>0</v>
      </c>
      <c r="Q518" s="309">
        <f>M518</f>
        <v>0</v>
      </c>
      <c r="R518" s="307">
        <f>SUM(R519:R520)</f>
        <v>5390.8996464600004</v>
      </c>
      <c r="S518" s="307">
        <f t="shared" ref="S518:T518" si="331">SUM(S519:S520)</f>
        <v>0</v>
      </c>
      <c r="T518" s="307">
        <f t="shared" si="331"/>
        <v>5390.8996464600004</v>
      </c>
    </row>
    <row r="519" spans="1:20" ht="27.75" customHeight="1">
      <c r="A519" s="325" t="s">
        <v>489</v>
      </c>
      <c r="B519" s="164" t="s">
        <v>490</v>
      </c>
      <c r="C519" s="320" t="s">
        <v>444</v>
      </c>
      <c r="D519" s="306">
        <f t="shared" si="329"/>
        <v>5390.8996464600004</v>
      </c>
      <c r="E519" s="306">
        <f>'[2] TL giao BC '!T691</f>
        <v>5390.8996464600004</v>
      </c>
      <c r="F519" s="306"/>
      <c r="G519" s="306"/>
      <c r="H519" s="307">
        <f t="shared" si="330"/>
        <v>5390.8996464600004</v>
      </c>
      <c r="I519" s="309"/>
      <c r="J519" s="309"/>
      <c r="K519" s="309"/>
      <c r="L519" s="309"/>
      <c r="M519" s="309"/>
      <c r="N519" s="309"/>
      <c r="O519" s="309"/>
      <c r="P519" s="309"/>
      <c r="Q519" s="309"/>
      <c r="R519" s="307">
        <f>D519-N519</f>
        <v>5390.8996464600004</v>
      </c>
      <c r="S519" s="307">
        <v>-287.99</v>
      </c>
      <c r="T519" s="307">
        <f>R519+S519</f>
        <v>5102.9096464600007</v>
      </c>
    </row>
    <row r="520" spans="1:20" ht="27.75" customHeight="1">
      <c r="A520" s="325" t="s">
        <v>489</v>
      </c>
      <c r="B520" s="164" t="s">
        <v>305</v>
      </c>
      <c r="C520" s="320" t="s">
        <v>478</v>
      </c>
      <c r="D520" s="306">
        <f t="shared" si="329"/>
        <v>0</v>
      </c>
      <c r="E520" s="306"/>
      <c r="F520" s="306"/>
      <c r="G520" s="306">
        <f>'[2] TL giao BC tăng thêm'!T225</f>
        <v>0</v>
      </c>
      <c r="H520" s="307">
        <f t="shared" si="330"/>
        <v>0</v>
      </c>
      <c r="I520" s="309"/>
      <c r="J520" s="309"/>
      <c r="K520" s="309"/>
      <c r="L520" s="309"/>
      <c r="M520" s="309"/>
      <c r="N520" s="309"/>
      <c r="O520" s="309"/>
      <c r="P520" s="309"/>
      <c r="Q520" s="309"/>
      <c r="R520" s="307">
        <f>D520-N520</f>
        <v>0</v>
      </c>
      <c r="S520" s="307">
        <v>287.99</v>
      </c>
      <c r="T520" s="307">
        <f>R520+S520</f>
        <v>287.99</v>
      </c>
    </row>
    <row r="521" spans="1:20" ht="27.75" customHeight="1">
      <c r="A521" s="304" t="s">
        <v>438</v>
      </c>
      <c r="B521" s="166" t="s">
        <v>278</v>
      </c>
      <c r="C521" s="320" t="s">
        <v>444</v>
      </c>
      <c r="D521" s="306">
        <f t="shared" si="329"/>
        <v>1121.5965707400001</v>
      </c>
      <c r="E521" s="306">
        <f>SUM(E522:E523)</f>
        <v>1121.5965707400001</v>
      </c>
      <c r="F521" s="306">
        <f>SUM(F522:F523)</f>
        <v>0</v>
      </c>
      <c r="G521" s="306">
        <f>SUM(G522:G523)</f>
        <v>0</v>
      </c>
      <c r="H521" s="307">
        <f t="shared" si="330"/>
        <v>1121.5965707400001</v>
      </c>
      <c r="I521" s="309"/>
      <c r="J521" s="309"/>
      <c r="K521" s="309"/>
      <c r="L521" s="309">
        <f>K521*10%</f>
        <v>0</v>
      </c>
      <c r="M521" s="309"/>
      <c r="N521" s="309">
        <f>L521+M521</f>
        <v>0</v>
      </c>
      <c r="O521" s="309">
        <f>L521-P521</f>
        <v>0</v>
      </c>
      <c r="P521" s="309">
        <f>N521</f>
        <v>0</v>
      </c>
      <c r="Q521" s="309">
        <f>M521</f>
        <v>0</v>
      </c>
      <c r="R521" s="307">
        <f>SUM(R522:R523)</f>
        <v>1121.5965707400001</v>
      </c>
      <c r="S521" s="307">
        <f t="shared" ref="S521:T521" si="332">SUM(S522:S523)</f>
        <v>0</v>
      </c>
      <c r="T521" s="307">
        <f t="shared" si="332"/>
        <v>1121.5965707400001</v>
      </c>
    </row>
    <row r="522" spans="1:20" ht="27.75" customHeight="1">
      <c r="A522" s="325" t="s">
        <v>489</v>
      </c>
      <c r="B522" s="166" t="s">
        <v>491</v>
      </c>
      <c r="C522" s="320" t="s">
        <v>444</v>
      </c>
      <c r="D522" s="306">
        <f t="shared" si="329"/>
        <v>1121.5965707400001</v>
      </c>
      <c r="E522" s="306">
        <f>'[2] TL giao BC '!U691</f>
        <v>1121.5965707400001</v>
      </c>
      <c r="F522" s="306"/>
      <c r="G522" s="306"/>
      <c r="H522" s="307">
        <f t="shared" si="330"/>
        <v>1121.5965707400001</v>
      </c>
      <c r="I522" s="309"/>
      <c r="J522" s="309"/>
      <c r="K522" s="309"/>
      <c r="L522" s="309"/>
      <c r="M522" s="309"/>
      <c r="N522" s="309"/>
      <c r="O522" s="309"/>
      <c r="P522" s="309"/>
      <c r="Q522" s="309"/>
      <c r="R522" s="307">
        <f>D522-N522</f>
        <v>1121.5965707400001</v>
      </c>
      <c r="S522" s="307">
        <v>-59.92</v>
      </c>
      <c r="T522" s="307">
        <f>R522+S522</f>
        <v>1061.67657074</v>
      </c>
    </row>
    <row r="523" spans="1:20" ht="27.75" customHeight="1">
      <c r="A523" s="325" t="s">
        <v>489</v>
      </c>
      <c r="B523" s="164" t="s">
        <v>492</v>
      </c>
      <c r="C523" s="320" t="s">
        <v>444</v>
      </c>
      <c r="D523" s="306">
        <f t="shared" si="329"/>
        <v>0</v>
      </c>
      <c r="E523" s="306">
        <f>'[2] TL giao BC tăng thêm'!U225</f>
        <v>0</v>
      </c>
      <c r="F523" s="306"/>
      <c r="G523" s="306"/>
      <c r="H523" s="307">
        <f t="shared" si="330"/>
        <v>0</v>
      </c>
      <c r="I523" s="309"/>
      <c r="J523" s="309"/>
      <c r="K523" s="309"/>
      <c r="L523" s="309"/>
      <c r="M523" s="309"/>
      <c r="N523" s="309"/>
      <c r="O523" s="309"/>
      <c r="P523" s="309"/>
      <c r="Q523" s="309"/>
      <c r="R523" s="307">
        <f>D523-N523</f>
        <v>0</v>
      </c>
      <c r="S523" s="307">
        <v>59.92</v>
      </c>
      <c r="T523" s="307">
        <f>R523+S523</f>
        <v>59.92</v>
      </c>
    </row>
    <row r="524" spans="1:20" ht="27.75" customHeight="1">
      <c r="A524" s="325" t="s">
        <v>438</v>
      </c>
      <c r="B524" s="164" t="s">
        <v>483</v>
      </c>
      <c r="C524" s="320"/>
      <c r="D524" s="306">
        <f t="shared" si="329"/>
        <v>0</v>
      </c>
      <c r="E524" s="306"/>
      <c r="F524" s="306"/>
      <c r="G524" s="306"/>
      <c r="H524" s="307">
        <f t="shared" si="330"/>
        <v>0</v>
      </c>
      <c r="I524" s="309"/>
      <c r="J524" s="309"/>
      <c r="K524" s="309"/>
      <c r="L524" s="309"/>
      <c r="M524" s="309"/>
      <c r="N524" s="309"/>
      <c r="O524" s="309"/>
      <c r="P524" s="309"/>
      <c r="Q524" s="309"/>
      <c r="R524" s="307">
        <f>D524-N524</f>
        <v>0</v>
      </c>
      <c r="S524" s="307"/>
      <c r="T524" s="307"/>
    </row>
    <row r="525" spans="1:20" s="311" customFormat="1" ht="27.75" customHeight="1">
      <c r="A525" s="304" t="s">
        <v>438</v>
      </c>
      <c r="B525" s="166" t="s">
        <v>452</v>
      </c>
      <c r="C525" s="320" t="s">
        <v>488</v>
      </c>
      <c r="D525" s="306">
        <f>E525+G525</f>
        <v>-95.133523172823516</v>
      </c>
      <c r="E525" s="306">
        <f>-L526</f>
        <v>-95.133523172823516</v>
      </c>
      <c r="F525" s="306"/>
      <c r="G525" s="306"/>
      <c r="H525" s="307">
        <f t="shared" si="330"/>
        <v>-95.133523172823516</v>
      </c>
      <c r="I525" s="308"/>
      <c r="J525" s="308"/>
      <c r="K525" s="308"/>
      <c r="L525" s="309">
        <f>K525*10%</f>
        <v>0</v>
      </c>
      <c r="M525" s="309"/>
      <c r="N525" s="309">
        <f>L525+M525</f>
        <v>0</v>
      </c>
      <c r="O525" s="309">
        <f>L525-P525</f>
        <v>0</v>
      </c>
      <c r="P525" s="309">
        <f>N525</f>
        <v>0</v>
      </c>
      <c r="Q525" s="309">
        <f>M525</f>
        <v>0</v>
      </c>
      <c r="R525" s="307"/>
      <c r="S525" s="306"/>
      <c r="T525" s="307"/>
    </row>
    <row r="526" spans="1:20" ht="26.25" customHeight="1">
      <c r="A526" s="304" t="s">
        <v>438</v>
      </c>
      <c r="B526" s="166" t="s">
        <v>412</v>
      </c>
      <c r="C526" s="320" t="s">
        <v>488</v>
      </c>
      <c r="D526" s="306">
        <f>SUM(E526:G526)</f>
        <v>951.33523172823516</v>
      </c>
      <c r="E526" s="306">
        <f>SUM(E527:E528)</f>
        <v>951.33523172823516</v>
      </c>
      <c r="F526" s="306">
        <f>SUM(F527:F528)</f>
        <v>0</v>
      </c>
      <c r="G526" s="306">
        <f>SUM(G527:G528)</f>
        <v>0</v>
      </c>
      <c r="H526" s="309"/>
      <c r="I526" s="309"/>
      <c r="J526" s="309"/>
      <c r="K526" s="309">
        <f>SUM(K527:K528)</f>
        <v>951.33523172823516</v>
      </c>
      <c r="L526" s="309">
        <f>SUM(L527:L528)</f>
        <v>95.133523172823516</v>
      </c>
      <c r="M526" s="309"/>
      <c r="N526" s="309">
        <f>L526+M526</f>
        <v>95.133523172823516</v>
      </c>
      <c r="O526" s="309">
        <f>N526</f>
        <v>95.133523172823516</v>
      </c>
      <c r="P526" s="309">
        <f>N526-O526</f>
        <v>0</v>
      </c>
      <c r="Q526" s="309">
        <f>M526</f>
        <v>0</v>
      </c>
      <c r="R526" s="307">
        <f>D526-N526</f>
        <v>856.20170855541164</v>
      </c>
      <c r="S526" s="307">
        <f>SUM(S527:S528)</f>
        <v>0</v>
      </c>
      <c r="T526" s="307">
        <f>SUM(T527:T528)</f>
        <v>856.20170855541164</v>
      </c>
    </row>
    <row r="527" spans="1:20" ht="39" customHeight="1">
      <c r="A527" s="325" t="s">
        <v>489</v>
      </c>
      <c r="B527" s="166" t="s">
        <v>548</v>
      </c>
      <c r="C527" s="320" t="s">
        <v>444</v>
      </c>
      <c r="D527" s="306">
        <f>SUM(E527:G527)</f>
        <v>951.33523172823516</v>
      </c>
      <c r="E527" s="306">
        <f>'[2] TL giao BC '!Z691</f>
        <v>951.33523172823516</v>
      </c>
      <c r="F527" s="306"/>
      <c r="G527" s="306"/>
      <c r="H527" s="309"/>
      <c r="I527" s="309"/>
      <c r="J527" s="309"/>
      <c r="K527" s="309">
        <f>D527</f>
        <v>951.33523172823516</v>
      </c>
      <c r="L527" s="309">
        <f>K527*10%</f>
        <v>95.133523172823516</v>
      </c>
      <c r="M527" s="309"/>
      <c r="N527" s="309"/>
      <c r="O527" s="309"/>
      <c r="P527" s="309"/>
      <c r="Q527" s="309"/>
      <c r="R527" s="307"/>
      <c r="S527" s="307">
        <v>-50.82</v>
      </c>
      <c r="T527" s="307">
        <f>K527-L527+S527</f>
        <v>805.38170855541159</v>
      </c>
    </row>
    <row r="528" spans="1:20" ht="33" customHeight="1">
      <c r="A528" s="325" t="s">
        <v>489</v>
      </c>
      <c r="B528" s="164" t="s">
        <v>505</v>
      </c>
      <c r="C528" s="320" t="s">
        <v>478</v>
      </c>
      <c r="D528" s="306">
        <f>SUM(E528:G528)</f>
        <v>0</v>
      </c>
      <c r="E528" s="306"/>
      <c r="F528" s="306"/>
      <c r="G528" s="306">
        <f>'[2] TL giao BC tăng thêm'!X225</f>
        <v>0</v>
      </c>
      <c r="H528" s="309"/>
      <c r="I528" s="309"/>
      <c r="J528" s="309"/>
      <c r="K528" s="309">
        <f>D528</f>
        <v>0</v>
      </c>
      <c r="L528" s="309">
        <f>K528*10%</f>
        <v>0</v>
      </c>
      <c r="M528" s="309"/>
      <c r="N528" s="309"/>
      <c r="O528" s="309"/>
      <c r="P528" s="309"/>
      <c r="Q528" s="309"/>
      <c r="R528" s="307"/>
      <c r="S528" s="307">
        <v>50.82</v>
      </c>
      <c r="T528" s="307">
        <f>K528-L528+S528</f>
        <v>50.82</v>
      </c>
    </row>
    <row r="529" spans="1:20" ht="30" customHeight="1">
      <c r="A529" s="303" t="s">
        <v>481</v>
      </c>
      <c r="B529" s="326" t="s">
        <v>485</v>
      </c>
      <c r="C529" s="320" t="s">
        <v>488</v>
      </c>
      <c r="D529" s="307">
        <f>E529+G529+F529</f>
        <v>278.64000000000004</v>
      </c>
      <c r="E529" s="307">
        <f t="shared" ref="E529:T529" si="333">SUM(E530:E534)</f>
        <v>230.96000000000004</v>
      </c>
      <c r="F529" s="307">
        <f t="shared" si="333"/>
        <v>0</v>
      </c>
      <c r="G529" s="307">
        <f t="shared" si="333"/>
        <v>47.68</v>
      </c>
      <c r="H529" s="307">
        <f t="shared" si="333"/>
        <v>0</v>
      </c>
      <c r="I529" s="307">
        <f t="shared" si="333"/>
        <v>278.64000000000004</v>
      </c>
      <c r="J529" s="307">
        <f t="shared" si="333"/>
        <v>0</v>
      </c>
      <c r="K529" s="307">
        <f t="shared" si="333"/>
        <v>0</v>
      </c>
      <c r="L529" s="307">
        <f t="shared" si="333"/>
        <v>0</v>
      </c>
      <c r="M529" s="307">
        <f t="shared" si="333"/>
        <v>0</v>
      </c>
      <c r="N529" s="307">
        <f t="shared" si="333"/>
        <v>0</v>
      </c>
      <c r="O529" s="307">
        <f t="shared" si="333"/>
        <v>0</v>
      </c>
      <c r="P529" s="307">
        <f t="shared" si="333"/>
        <v>0</v>
      </c>
      <c r="Q529" s="307">
        <f t="shared" si="333"/>
        <v>0</v>
      </c>
      <c r="R529" s="307">
        <f t="shared" si="333"/>
        <v>278.64000000000004</v>
      </c>
      <c r="S529" s="307">
        <f t="shared" si="333"/>
        <v>0</v>
      </c>
      <c r="T529" s="307">
        <f t="shared" si="333"/>
        <v>278.64000000000004</v>
      </c>
    </row>
    <row r="530" spans="1:20" ht="30" customHeight="1">
      <c r="A530" s="325" t="s">
        <v>438</v>
      </c>
      <c r="B530" s="166" t="s">
        <v>280</v>
      </c>
      <c r="C530" s="320" t="s">
        <v>444</v>
      </c>
      <c r="D530" s="306">
        <f>E530+G530</f>
        <v>0</v>
      </c>
      <c r="E530" s="306"/>
      <c r="F530" s="306"/>
      <c r="G530" s="306"/>
      <c r="H530" s="309"/>
      <c r="I530" s="309">
        <f>D530</f>
        <v>0</v>
      </c>
      <c r="J530" s="309"/>
      <c r="K530" s="309"/>
      <c r="L530" s="309">
        <f>K530*10%</f>
        <v>0</v>
      </c>
      <c r="M530" s="309"/>
      <c r="N530" s="309">
        <f>L530+M530</f>
        <v>0</v>
      </c>
      <c r="O530" s="309">
        <f>N530</f>
        <v>0</v>
      </c>
      <c r="P530" s="309">
        <f>N530-O530</f>
        <v>0</v>
      </c>
      <c r="Q530" s="309">
        <f>M530</f>
        <v>0</v>
      </c>
      <c r="R530" s="307">
        <f>D530-N530</f>
        <v>0</v>
      </c>
      <c r="S530" s="307"/>
      <c r="T530" s="307">
        <f>R530+S530</f>
        <v>0</v>
      </c>
    </row>
    <row r="531" spans="1:20" ht="30" customHeight="1">
      <c r="A531" s="325" t="s">
        <v>438</v>
      </c>
      <c r="B531" s="166" t="s">
        <v>287</v>
      </c>
      <c r="C531" s="320" t="s">
        <v>488</v>
      </c>
      <c r="D531" s="306">
        <f>E531+G531+F531</f>
        <v>0</v>
      </c>
      <c r="E531" s="306"/>
      <c r="F531" s="306"/>
      <c r="G531" s="306"/>
      <c r="H531" s="309"/>
      <c r="I531" s="309">
        <f>D531</f>
        <v>0</v>
      </c>
      <c r="J531" s="309"/>
      <c r="K531" s="309"/>
      <c r="L531" s="309">
        <f>K531*10%</f>
        <v>0</v>
      </c>
      <c r="M531" s="309"/>
      <c r="N531" s="309">
        <f>L531+M531</f>
        <v>0</v>
      </c>
      <c r="O531" s="309">
        <f>N531</f>
        <v>0</v>
      </c>
      <c r="P531" s="309">
        <f>N531-O531</f>
        <v>0</v>
      </c>
      <c r="Q531" s="309">
        <f>M531</f>
        <v>0</v>
      </c>
      <c r="R531" s="307">
        <f>D531-N531</f>
        <v>0</v>
      </c>
      <c r="S531" s="307"/>
      <c r="T531" s="307">
        <f t="shared" ref="T531:T534" si="334">R531+S531</f>
        <v>0</v>
      </c>
    </row>
    <row r="532" spans="1:20" ht="39" customHeight="1">
      <c r="A532" s="325" t="s">
        <v>438</v>
      </c>
      <c r="B532" s="166" t="s">
        <v>308</v>
      </c>
      <c r="C532" s="320" t="s">
        <v>488</v>
      </c>
      <c r="D532" s="306">
        <f>E532+G532</f>
        <v>116.64000000000001</v>
      </c>
      <c r="E532" s="306">
        <f>'[2]CS giáo dục '!AQ27</f>
        <v>80.960000000000008</v>
      </c>
      <c r="F532" s="306"/>
      <c r="G532" s="306">
        <f>'[2]CS giáo dục '!AS27</f>
        <v>35.68</v>
      </c>
      <c r="H532" s="309"/>
      <c r="I532" s="309">
        <f>D532</f>
        <v>116.64000000000001</v>
      </c>
      <c r="J532" s="309"/>
      <c r="K532" s="309"/>
      <c r="L532" s="309">
        <f>K532*10%</f>
        <v>0</v>
      </c>
      <c r="M532" s="309"/>
      <c r="N532" s="309">
        <f>L532+M532</f>
        <v>0</v>
      </c>
      <c r="O532" s="309">
        <f>N532</f>
        <v>0</v>
      </c>
      <c r="P532" s="309">
        <f>N532-O532</f>
        <v>0</v>
      </c>
      <c r="Q532" s="309">
        <f>M532</f>
        <v>0</v>
      </c>
      <c r="R532" s="307">
        <f>D532-N532</f>
        <v>116.64000000000001</v>
      </c>
      <c r="S532" s="307"/>
      <c r="T532" s="307">
        <f t="shared" si="334"/>
        <v>116.64000000000001</v>
      </c>
    </row>
    <row r="533" spans="1:20" ht="36" customHeight="1">
      <c r="A533" s="325" t="s">
        <v>438</v>
      </c>
      <c r="B533" s="166" t="s">
        <v>495</v>
      </c>
      <c r="C533" s="320" t="s">
        <v>488</v>
      </c>
      <c r="D533" s="306">
        <f>E533+G533</f>
        <v>162.00000000000003</v>
      </c>
      <c r="E533" s="306">
        <f>'[2]CS giáo dục '!BG27</f>
        <v>150.00000000000003</v>
      </c>
      <c r="F533" s="306"/>
      <c r="G533" s="306">
        <f>'[2]CS giáo dục '!BI27</f>
        <v>12</v>
      </c>
      <c r="H533" s="309"/>
      <c r="I533" s="309">
        <f>D533</f>
        <v>162.00000000000003</v>
      </c>
      <c r="J533" s="309"/>
      <c r="K533" s="309"/>
      <c r="L533" s="309">
        <f>K533*10%</f>
        <v>0</v>
      </c>
      <c r="M533" s="309"/>
      <c r="N533" s="309">
        <f>L533+M533</f>
        <v>0</v>
      </c>
      <c r="O533" s="309">
        <f>N533</f>
        <v>0</v>
      </c>
      <c r="P533" s="309">
        <f>N533-O533</f>
        <v>0</v>
      </c>
      <c r="Q533" s="309">
        <f>M533</f>
        <v>0</v>
      </c>
      <c r="R533" s="307">
        <f>D533-N533</f>
        <v>162.00000000000003</v>
      </c>
      <c r="S533" s="307"/>
      <c r="T533" s="307">
        <f t="shared" si="334"/>
        <v>162.00000000000003</v>
      </c>
    </row>
    <row r="534" spans="1:20" ht="26.25" customHeight="1">
      <c r="A534" s="325" t="s">
        <v>438</v>
      </c>
      <c r="B534" s="166" t="s">
        <v>309</v>
      </c>
      <c r="C534" s="320" t="s">
        <v>478</v>
      </c>
      <c r="D534" s="306">
        <f>E534+G534</f>
        <v>0</v>
      </c>
      <c r="E534" s="306"/>
      <c r="F534" s="306"/>
      <c r="G534" s="306"/>
      <c r="H534" s="309"/>
      <c r="I534" s="309">
        <f>D534</f>
        <v>0</v>
      </c>
      <c r="J534" s="309"/>
      <c r="K534" s="309"/>
      <c r="L534" s="309">
        <f>K534*10%</f>
        <v>0</v>
      </c>
      <c r="M534" s="309"/>
      <c r="N534" s="309">
        <f>L534+M534</f>
        <v>0</v>
      </c>
      <c r="O534" s="309">
        <f>N534</f>
        <v>0</v>
      </c>
      <c r="P534" s="309">
        <f>N534-O534</f>
        <v>0</v>
      </c>
      <c r="Q534" s="309">
        <f>M534</f>
        <v>0</v>
      </c>
      <c r="R534" s="307">
        <f>D534-N534</f>
        <v>0</v>
      </c>
      <c r="S534" s="307"/>
      <c r="T534" s="307">
        <f t="shared" si="334"/>
        <v>0</v>
      </c>
    </row>
    <row r="535" spans="1:20" s="328" customFormat="1" ht="27.75" customHeight="1">
      <c r="A535" s="320">
        <v>13</v>
      </c>
      <c r="B535" s="321" t="s">
        <v>549</v>
      </c>
      <c r="C535" s="320" t="s">
        <v>488</v>
      </c>
      <c r="D535" s="322">
        <f>D536+D548</f>
        <v>6835.3074535562009</v>
      </c>
      <c r="E535" s="322">
        <f t="shared" ref="E535:Q535" si="335">E536+E548</f>
        <v>6656.9408496136466</v>
      </c>
      <c r="F535" s="322">
        <f t="shared" si="335"/>
        <v>0</v>
      </c>
      <c r="G535" s="322">
        <f t="shared" si="335"/>
        <v>178.36660394255364</v>
      </c>
      <c r="H535" s="322">
        <f t="shared" si="335"/>
        <v>5903.7690040560001</v>
      </c>
      <c r="I535" s="322">
        <f t="shared" si="335"/>
        <v>56.340378060200678</v>
      </c>
      <c r="J535" s="322">
        <f t="shared" si="335"/>
        <v>0</v>
      </c>
      <c r="K535" s="322">
        <f t="shared" si="335"/>
        <v>875.19807144000015</v>
      </c>
      <c r="L535" s="322">
        <f t="shared" si="335"/>
        <v>87.519807144000026</v>
      </c>
      <c r="M535" s="322">
        <f t="shared" si="335"/>
        <v>0</v>
      </c>
      <c r="N535" s="322">
        <f t="shared" si="335"/>
        <v>87.519807144000026</v>
      </c>
      <c r="O535" s="322">
        <f t="shared" si="335"/>
        <v>87.519807144000026</v>
      </c>
      <c r="P535" s="322">
        <f t="shared" si="335"/>
        <v>0</v>
      </c>
      <c r="Q535" s="322">
        <f t="shared" si="335"/>
        <v>0</v>
      </c>
      <c r="R535" s="322">
        <f>R536+R548</f>
        <v>6835.3074535562009</v>
      </c>
      <c r="S535" s="322">
        <f t="shared" ref="S535:T535" si="336">S536+S548</f>
        <v>0</v>
      </c>
      <c r="T535" s="322">
        <f t="shared" si="336"/>
        <v>6835.3074535562009</v>
      </c>
    </row>
    <row r="536" spans="1:20" ht="27.75" customHeight="1">
      <c r="A536" s="303" t="s">
        <v>481</v>
      </c>
      <c r="B536" s="323" t="s">
        <v>482</v>
      </c>
      <c r="C536" s="320" t="s">
        <v>488</v>
      </c>
      <c r="D536" s="307">
        <f>D537+D540+D543+D544+D545</f>
        <v>6778.9670754960007</v>
      </c>
      <c r="E536" s="307">
        <f t="shared" ref="E536:Q536" si="337">E537+E540+E543+E544+E545</f>
        <v>6634.540849613647</v>
      </c>
      <c r="F536" s="307">
        <f t="shared" si="337"/>
        <v>0</v>
      </c>
      <c r="G536" s="307">
        <f t="shared" si="337"/>
        <v>144.42622588235295</v>
      </c>
      <c r="H536" s="307">
        <f t="shared" si="337"/>
        <v>5903.7690040560001</v>
      </c>
      <c r="I536" s="307">
        <f t="shared" si="337"/>
        <v>0</v>
      </c>
      <c r="J536" s="307">
        <f t="shared" si="337"/>
        <v>0</v>
      </c>
      <c r="K536" s="307">
        <f t="shared" si="337"/>
        <v>875.19807144000015</v>
      </c>
      <c r="L536" s="307">
        <f t="shared" si="337"/>
        <v>87.519807144000026</v>
      </c>
      <c r="M536" s="307">
        <f t="shared" si="337"/>
        <v>0</v>
      </c>
      <c r="N536" s="307">
        <f t="shared" si="337"/>
        <v>87.519807144000026</v>
      </c>
      <c r="O536" s="307">
        <f t="shared" si="337"/>
        <v>87.519807144000026</v>
      </c>
      <c r="P536" s="307">
        <f t="shared" si="337"/>
        <v>0</v>
      </c>
      <c r="Q536" s="307">
        <f t="shared" si="337"/>
        <v>0</v>
      </c>
      <c r="R536" s="307">
        <f>R537+R540+R543+R544+R545</f>
        <v>6778.9670754960007</v>
      </c>
      <c r="S536" s="307">
        <f t="shared" ref="S536:T536" si="338">S537+S540+S543+S544+S545</f>
        <v>0</v>
      </c>
      <c r="T536" s="307">
        <f t="shared" si="338"/>
        <v>6778.9670754960007</v>
      </c>
    </row>
    <row r="537" spans="1:20" ht="27.75" customHeight="1">
      <c r="A537" s="325" t="s">
        <v>438</v>
      </c>
      <c r="B537" s="164" t="s">
        <v>277</v>
      </c>
      <c r="C537" s="320" t="s">
        <v>488</v>
      </c>
      <c r="D537" s="306">
        <f t="shared" ref="D537:D543" si="339">SUM(E537:G537)</f>
        <v>4959.4557381599998</v>
      </c>
      <c r="E537" s="306">
        <f>SUM(E538:E539)</f>
        <v>4836.6934461599994</v>
      </c>
      <c r="F537" s="306">
        <f>SUM(F538:F539)</f>
        <v>0</v>
      </c>
      <c r="G537" s="306">
        <f>SUM(G538:G539)</f>
        <v>122.762292</v>
      </c>
      <c r="H537" s="307">
        <f t="shared" ref="H537:H544" si="340">D537</f>
        <v>4959.4557381599998</v>
      </c>
      <c r="I537" s="309"/>
      <c r="J537" s="309"/>
      <c r="K537" s="309"/>
      <c r="L537" s="309">
        <f>K537*10%</f>
        <v>0</v>
      </c>
      <c r="M537" s="309"/>
      <c r="N537" s="309">
        <f>L537+M537</f>
        <v>0</v>
      </c>
      <c r="O537" s="309">
        <f>L537-P537</f>
        <v>0</v>
      </c>
      <c r="P537" s="309">
        <f>N537</f>
        <v>0</v>
      </c>
      <c r="Q537" s="309">
        <f>M537</f>
        <v>0</v>
      </c>
      <c r="R537" s="307">
        <f>SUM(R538:R539)</f>
        <v>4959.4557381599998</v>
      </c>
      <c r="S537" s="307">
        <f t="shared" ref="S537:T537" si="341">SUM(S538:S539)</f>
        <v>0</v>
      </c>
      <c r="T537" s="307">
        <f t="shared" si="341"/>
        <v>4959.4557381599998</v>
      </c>
    </row>
    <row r="538" spans="1:20" ht="27.75" customHeight="1">
      <c r="A538" s="325" t="s">
        <v>489</v>
      </c>
      <c r="B538" s="164" t="s">
        <v>490</v>
      </c>
      <c r="C538" s="320" t="s">
        <v>444</v>
      </c>
      <c r="D538" s="306">
        <f t="shared" si="339"/>
        <v>4836.6934461599994</v>
      </c>
      <c r="E538" s="306">
        <f>'[2] TL giao BC '!T724</f>
        <v>4836.6934461599994</v>
      </c>
      <c r="F538" s="306"/>
      <c r="G538" s="306"/>
      <c r="H538" s="307">
        <f t="shared" si="340"/>
        <v>4836.6934461599994</v>
      </c>
      <c r="I538" s="309"/>
      <c r="J538" s="309"/>
      <c r="K538" s="309"/>
      <c r="L538" s="309"/>
      <c r="M538" s="309"/>
      <c r="N538" s="309"/>
      <c r="O538" s="309"/>
      <c r="P538" s="309"/>
      <c r="Q538" s="309"/>
      <c r="R538" s="307">
        <f>D538-N538</f>
        <v>4836.6934461599994</v>
      </c>
      <c r="S538" s="307"/>
      <c r="T538" s="307">
        <f>R538+S538</f>
        <v>4836.6934461599994</v>
      </c>
    </row>
    <row r="539" spans="1:20" ht="27.75" customHeight="1">
      <c r="A539" s="325" t="s">
        <v>489</v>
      </c>
      <c r="B539" s="164" t="s">
        <v>305</v>
      </c>
      <c r="C539" s="320" t="s">
        <v>478</v>
      </c>
      <c r="D539" s="306">
        <f t="shared" si="339"/>
        <v>122.762292</v>
      </c>
      <c r="E539" s="306"/>
      <c r="F539" s="306"/>
      <c r="G539" s="306">
        <f>'[2] TL giao BC tăng thêm'!T258</f>
        <v>122.762292</v>
      </c>
      <c r="H539" s="307">
        <f t="shared" si="340"/>
        <v>122.762292</v>
      </c>
      <c r="I539" s="309"/>
      <c r="J539" s="309"/>
      <c r="K539" s="309"/>
      <c r="L539" s="309"/>
      <c r="M539" s="309"/>
      <c r="N539" s="309"/>
      <c r="O539" s="309"/>
      <c r="P539" s="309"/>
      <c r="Q539" s="309"/>
      <c r="R539" s="307">
        <f>D539-N539</f>
        <v>122.762292</v>
      </c>
      <c r="S539" s="307"/>
      <c r="T539" s="307">
        <f>R539+S539</f>
        <v>122.762292</v>
      </c>
    </row>
    <row r="540" spans="1:20" ht="27.75" customHeight="1">
      <c r="A540" s="304" t="s">
        <v>438</v>
      </c>
      <c r="B540" s="166" t="s">
        <v>278</v>
      </c>
      <c r="C540" s="320" t="s">
        <v>444</v>
      </c>
      <c r="D540" s="306">
        <f t="shared" si="339"/>
        <v>1031.83307304</v>
      </c>
      <c r="E540" s="306">
        <f>SUM(E541:E542)</f>
        <v>1031.83307304</v>
      </c>
      <c r="F540" s="306">
        <f>SUM(F541:F542)</f>
        <v>0</v>
      </c>
      <c r="G540" s="306">
        <f>SUM(G541:G542)</f>
        <v>0</v>
      </c>
      <c r="H540" s="307">
        <f t="shared" si="340"/>
        <v>1031.83307304</v>
      </c>
      <c r="I540" s="309"/>
      <c r="J540" s="309"/>
      <c r="K540" s="309"/>
      <c r="L540" s="309">
        <f>K540*10%</f>
        <v>0</v>
      </c>
      <c r="M540" s="309"/>
      <c r="N540" s="309">
        <f>L540+M540</f>
        <v>0</v>
      </c>
      <c r="O540" s="309">
        <f>L540-P540</f>
        <v>0</v>
      </c>
      <c r="P540" s="309">
        <f>N540</f>
        <v>0</v>
      </c>
      <c r="Q540" s="309">
        <f>M540</f>
        <v>0</v>
      </c>
      <c r="R540" s="307">
        <f>SUM(R541:R542)</f>
        <v>1031.83307304</v>
      </c>
      <c r="S540" s="307">
        <f t="shared" ref="S540:T540" si="342">SUM(S541:S542)</f>
        <v>0</v>
      </c>
      <c r="T540" s="307">
        <f t="shared" si="342"/>
        <v>1031.83307304</v>
      </c>
    </row>
    <row r="541" spans="1:20" ht="27.75" customHeight="1">
      <c r="A541" s="325" t="s">
        <v>489</v>
      </c>
      <c r="B541" s="166" t="s">
        <v>491</v>
      </c>
      <c r="C541" s="320" t="s">
        <v>444</v>
      </c>
      <c r="D541" s="306">
        <f t="shared" si="339"/>
        <v>1006.2919250400001</v>
      </c>
      <c r="E541" s="306">
        <f>'[2] TL giao BC '!U724</f>
        <v>1006.2919250400001</v>
      </c>
      <c r="F541" s="306"/>
      <c r="G541" s="306"/>
      <c r="H541" s="307">
        <f t="shared" si="340"/>
        <v>1006.2919250400001</v>
      </c>
      <c r="I541" s="309"/>
      <c r="J541" s="309"/>
      <c r="K541" s="309"/>
      <c r="L541" s="309"/>
      <c r="M541" s="309"/>
      <c r="N541" s="309"/>
      <c r="O541" s="309"/>
      <c r="P541" s="309"/>
      <c r="Q541" s="309"/>
      <c r="R541" s="307">
        <f>D541-N541</f>
        <v>1006.2919250400001</v>
      </c>
      <c r="S541" s="307"/>
      <c r="T541" s="307">
        <f t="shared" ref="T541:T542" si="343">R541+S541</f>
        <v>1006.2919250400001</v>
      </c>
    </row>
    <row r="542" spans="1:20" ht="27.75" customHeight="1">
      <c r="A542" s="325" t="s">
        <v>489</v>
      </c>
      <c r="B542" s="164" t="s">
        <v>492</v>
      </c>
      <c r="C542" s="320" t="s">
        <v>444</v>
      </c>
      <c r="D542" s="306">
        <f t="shared" si="339"/>
        <v>25.541148</v>
      </c>
      <c r="E542" s="306">
        <f>'[2] TL giao BC tăng thêm'!U258</f>
        <v>25.541148</v>
      </c>
      <c r="F542" s="306"/>
      <c r="G542" s="306"/>
      <c r="H542" s="307">
        <f t="shared" si="340"/>
        <v>25.541148</v>
      </c>
      <c r="I542" s="309"/>
      <c r="J542" s="309"/>
      <c r="K542" s="309"/>
      <c r="L542" s="309"/>
      <c r="M542" s="309"/>
      <c r="N542" s="309"/>
      <c r="O542" s="309"/>
      <c r="P542" s="309"/>
      <c r="Q542" s="309"/>
      <c r="R542" s="307">
        <f>D542-N542</f>
        <v>25.541148</v>
      </c>
      <c r="S542" s="307"/>
      <c r="T542" s="307">
        <f t="shared" si="343"/>
        <v>25.541148</v>
      </c>
    </row>
    <row r="543" spans="1:20" ht="27.75" customHeight="1">
      <c r="A543" s="325" t="s">
        <v>438</v>
      </c>
      <c r="B543" s="164" t="s">
        <v>483</v>
      </c>
      <c r="C543" s="320"/>
      <c r="D543" s="306">
        <f t="shared" si="339"/>
        <v>0</v>
      </c>
      <c r="E543" s="306"/>
      <c r="F543" s="306"/>
      <c r="G543" s="306"/>
      <c r="H543" s="307">
        <f t="shared" si="340"/>
        <v>0</v>
      </c>
      <c r="I543" s="309"/>
      <c r="J543" s="309"/>
      <c r="K543" s="309"/>
      <c r="L543" s="309"/>
      <c r="M543" s="309"/>
      <c r="N543" s="309"/>
      <c r="O543" s="309"/>
      <c r="P543" s="309"/>
      <c r="Q543" s="309"/>
      <c r="R543" s="307">
        <f>D543-N543</f>
        <v>0</v>
      </c>
      <c r="S543" s="307"/>
      <c r="T543" s="307"/>
    </row>
    <row r="544" spans="1:20" s="311" customFormat="1" ht="27.75" customHeight="1">
      <c r="A544" s="304" t="s">
        <v>438</v>
      </c>
      <c r="B544" s="166" t="s">
        <v>452</v>
      </c>
      <c r="C544" s="320" t="s">
        <v>488</v>
      </c>
      <c r="D544" s="306">
        <f>E544+G544</f>
        <v>-87.519807144000026</v>
      </c>
      <c r="E544" s="306">
        <f>-L545</f>
        <v>-87.519807144000026</v>
      </c>
      <c r="F544" s="306"/>
      <c r="G544" s="306"/>
      <c r="H544" s="307">
        <f t="shared" si="340"/>
        <v>-87.519807144000026</v>
      </c>
      <c r="I544" s="308"/>
      <c r="J544" s="308"/>
      <c r="K544" s="308"/>
      <c r="L544" s="309">
        <f>K544*10%</f>
        <v>0</v>
      </c>
      <c r="M544" s="309"/>
      <c r="N544" s="309">
        <f>L544+M544</f>
        <v>0</v>
      </c>
      <c r="O544" s="309">
        <f>L544-P544</f>
        <v>0</v>
      </c>
      <c r="P544" s="309">
        <f>N544</f>
        <v>0</v>
      </c>
      <c r="Q544" s="309">
        <f>M544</f>
        <v>0</v>
      </c>
      <c r="R544" s="307"/>
      <c r="S544" s="306"/>
      <c r="T544" s="307"/>
    </row>
    <row r="545" spans="1:20" ht="26.25" customHeight="1">
      <c r="A545" s="304" t="s">
        <v>438</v>
      </c>
      <c r="B545" s="166" t="s">
        <v>412</v>
      </c>
      <c r="C545" s="320" t="s">
        <v>488</v>
      </c>
      <c r="D545" s="306">
        <f>SUM(E545:G545)</f>
        <v>875.19807144000015</v>
      </c>
      <c r="E545" s="306">
        <f>SUM(E546:E547)</f>
        <v>853.53413755764723</v>
      </c>
      <c r="F545" s="306">
        <f>SUM(F546:F547)</f>
        <v>0</v>
      </c>
      <c r="G545" s="306">
        <f>SUM(G546:G547)</f>
        <v>21.66393388235295</v>
      </c>
      <c r="H545" s="309"/>
      <c r="I545" s="309"/>
      <c r="J545" s="309"/>
      <c r="K545" s="309">
        <f>SUM(K546:K547)</f>
        <v>875.19807144000015</v>
      </c>
      <c r="L545" s="309">
        <f>SUM(L546:L547)</f>
        <v>87.519807144000026</v>
      </c>
      <c r="M545" s="309"/>
      <c r="N545" s="309">
        <f>L545+M545</f>
        <v>87.519807144000026</v>
      </c>
      <c r="O545" s="309">
        <f>N545</f>
        <v>87.519807144000026</v>
      </c>
      <c r="P545" s="309">
        <f>N545-O545</f>
        <v>0</v>
      </c>
      <c r="Q545" s="309">
        <f>M545</f>
        <v>0</v>
      </c>
      <c r="R545" s="307">
        <f>D545-N545</f>
        <v>787.67826429600018</v>
      </c>
      <c r="S545" s="307"/>
      <c r="T545" s="307">
        <f>R545+S545</f>
        <v>787.67826429600018</v>
      </c>
    </row>
    <row r="546" spans="1:20" ht="39" customHeight="1">
      <c r="A546" s="325" t="s">
        <v>489</v>
      </c>
      <c r="B546" s="166" t="s">
        <v>534</v>
      </c>
      <c r="C546" s="320" t="s">
        <v>444</v>
      </c>
      <c r="D546" s="306">
        <f>SUM(E546:G546)</f>
        <v>853.53413755764723</v>
      </c>
      <c r="E546" s="306">
        <f>'[2] TL giao BC '!Z724</f>
        <v>853.53413755764723</v>
      </c>
      <c r="F546" s="306"/>
      <c r="G546" s="306"/>
      <c r="H546" s="309"/>
      <c r="I546" s="309"/>
      <c r="J546" s="309"/>
      <c r="K546" s="309">
        <f>D546</f>
        <v>853.53413755764723</v>
      </c>
      <c r="L546" s="309">
        <f>K546*10%</f>
        <v>85.353413755764734</v>
      </c>
      <c r="M546" s="309"/>
      <c r="N546" s="309"/>
      <c r="O546" s="309"/>
      <c r="P546" s="309"/>
      <c r="Q546" s="309"/>
      <c r="R546" s="307"/>
      <c r="S546" s="307"/>
      <c r="T546" s="307"/>
    </row>
    <row r="547" spans="1:20" ht="33" customHeight="1">
      <c r="A547" s="325" t="s">
        <v>489</v>
      </c>
      <c r="B547" s="164" t="s">
        <v>499</v>
      </c>
      <c r="C547" s="320" t="s">
        <v>478</v>
      </c>
      <c r="D547" s="306">
        <f>SUM(E547:G547)</f>
        <v>21.66393388235295</v>
      </c>
      <c r="E547" s="306"/>
      <c r="F547" s="306"/>
      <c r="G547" s="306">
        <f>'[2] TL giao BC tăng thêm'!X258</f>
        <v>21.66393388235295</v>
      </c>
      <c r="H547" s="309"/>
      <c r="I547" s="309"/>
      <c r="J547" s="309"/>
      <c r="K547" s="309">
        <f>D547</f>
        <v>21.66393388235295</v>
      </c>
      <c r="L547" s="309">
        <f>K547*10%</f>
        <v>2.1663933882352953</v>
      </c>
      <c r="M547" s="309"/>
      <c r="N547" s="309"/>
      <c r="O547" s="309"/>
      <c r="P547" s="309"/>
      <c r="Q547" s="309"/>
      <c r="R547" s="307"/>
      <c r="S547" s="307"/>
      <c r="T547" s="307"/>
    </row>
    <row r="548" spans="1:20" ht="30" customHeight="1">
      <c r="A548" s="303" t="s">
        <v>481</v>
      </c>
      <c r="B548" s="326" t="s">
        <v>485</v>
      </c>
      <c r="C548" s="320" t="s">
        <v>488</v>
      </c>
      <c r="D548" s="307">
        <f>E548+G548+F548</f>
        <v>56.340378060200678</v>
      </c>
      <c r="E548" s="307">
        <f t="shared" ref="E548:T548" si="344">SUM(E549:E553)</f>
        <v>22.400000000000002</v>
      </c>
      <c r="F548" s="307">
        <f t="shared" si="344"/>
        <v>0</v>
      </c>
      <c r="G548" s="307">
        <f t="shared" si="344"/>
        <v>33.940378060200672</v>
      </c>
      <c r="H548" s="307">
        <f t="shared" si="344"/>
        <v>0</v>
      </c>
      <c r="I548" s="307">
        <f t="shared" si="344"/>
        <v>56.340378060200678</v>
      </c>
      <c r="J548" s="307">
        <f t="shared" si="344"/>
        <v>0</v>
      </c>
      <c r="K548" s="307">
        <f t="shared" si="344"/>
        <v>0</v>
      </c>
      <c r="L548" s="307">
        <f t="shared" si="344"/>
        <v>0</v>
      </c>
      <c r="M548" s="307">
        <f t="shared" si="344"/>
        <v>0</v>
      </c>
      <c r="N548" s="307">
        <f t="shared" si="344"/>
        <v>0</v>
      </c>
      <c r="O548" s="307">
        <f t="shared" si="344"/>
        <v>0</v>
      </c>
      <c r="P548" s="307">
        <f t="shared" si="344"/>
        <v>0</v>
      </c>
      <c r="Q548" s="307">
        <f t="shared" si="344"/>
        <v>0</v>
      </c>
      <c r="R548" s="307">
        <f t="shared" si="344"/>
        <v>56.340378060200678</v>
      </c>
      <c r="S548" s="307">
        <f t="shared" si="344"/>
        <v>0</v>
      </c>
      <c r="T548" s="307">
        <f t="shared" si="344"/>
        <v>56.340378060200678</v>
      </c>
    </row>
    <row r="549" spans="1:20" ht="30" customHeight="1">
      <c r="A549" s="325" t="s">
        <v>438</v>
      </c>
      <c r="B549" s="166" t="s">
        <v>280</v>
      </c>
      <c r="C549" s="320" t="s">
        <v>444</v>
      </c>
      <c r="D549" s="306">
        <f>E549+G549</f>
        <v>0</v>
      </c>
      <c r="E549" s="306"/>
      <c r="F549" s="306"/>
      <c r="G549" s="306"/>
      <c r="H549" s="309"/>
      <c r="I549" s="309">
        <f>D549</f>
        <v>0</v>
      </c>
      <c r="J549" s="309"/>
      <c r="K549" s="309"/>
      <c r="L549" s="309">
        <f>K549*10%</f>
        <v>0</v>
      </c>
      <c r="M549" s="309"/>
      <c r="N549" s="309">
        <f>L549+M549</f>
        <v>0</v>
      </c>
      <c r="O549" s="309">
        <f>N549</f>
        <v>0</v>
      </c>
      <c r="P549" s="309">
        <f>N549-O549</f>
        <v>0</v>
      </c>
      <c r="Q549" s="309">
        <f>M549</f>
        <v>0</v>
      </c>
      <c r="R549" s="307">
        <f>D549-N549</f>
        <v>0</v>
      </c>
      <c r="S549" s="307"/>
      <c r="T549" s="307">
        <f>R549+S549</f>
        <v>0</v>
      </c>
    </row>
    <row r="550" spans="1:20" ht="30" customHeight="1">
      <c r="A550" s="325" t="s">
        <v>438</v>
      </c>
      <c r="B550" s="166" t="s">
        <v>287</v>
      </c>
      <c r="C550" s="320" t="s">
        <v>488</v>
      </c>
      <c r="D550" s="306">
        <f>E550+G550+F550</f>
        <v>0</v>
      </c>
      <c r="E550" s="306"/>
      <c r="F550" s="306"/>
      <c r="G550" s="306"/>
      <c r="H550" s="309"/>
      <c r="I550" s="309">
        <f>D550</f>
        <v>0</v>
      </c>
      <c r="J550" s="309"/>
      <c r="K550" s="309"/>
      <c r="L550" s="309">
        <f>K550*10%</f>
        <v>0</v>
      </c>
      <c r="M550" s="309"/>
      <c r="N550" s="309">
        <f>L550+M550</f>
        <v>0</v>
      </c>
      <c r="O550" s="309">
        <f>N550</f>
        <v>0</v>
      </c>
      <c r="P550" s="309">
        <f>N550-O550</f>
        <v>0</v>
      </c>
      <c r="Q550" s="309">
        <f>M550</f>
        <v>0</v>
      </c>
      <c r="R550" s="307">
        <f>D550-N550</f>
        <v>0</v>
      </c>
      <c r="S550" s="307"/>
      <c r="T550" s="307">
        <f t="shared" ref="T550:T553" si="345">R550+S550</f>
        <v>0</v>
      </c>
    </row>
    <row r="551" spans="1:20" ht="39" customHeight="1">
      <c r="A551" s="325" t="s">
        <v>438</v>
      </c>
      <c r="B551" s="166" t="s">
        <v>308</v>
      </c>
      <c r="C551" s="320" t="s">
        <v>488</v>
      </c>
      <c r="D551" s="306">
        <f>E551+G551</f>
        <v>25.92</v>
      </c>
      <c r="E551" s="306">
        <f>'[2]CS giáo dục '!AQ30</f>
        <v>22.400000000000002</v>
      </c>
      <c r="F551" s="306"/>
      <c r="G551" s="306">
        <f>'[2]CS giáo dục '!AS30</f>
        <v>3.52</v>
      </c>
      <c r="H551" s="309"/>
      <c r="I551" s="309">
        <f>D551</f>
        <v>25.92</v>
      </c>
      <c r="J551" s="309"/>
      <c r="K551" s="309"/>
      <c r="L551" s="309">
        <f>K551*10%</f>
        <v>0</v>
      </c>
      <c r="M551" s="309"/>
      <c r="N551" s="309">
        <f>L551+M551</f>
        <v>0</v>
      </c>
      <c r="O551" s="309">
        <f>N551</f>
        <v>0</v>
      </c>
      <c r="P551" s="309">
        <f>N551-O551</f>
        <v>0</v>
      </c>
      <c r="Q551" s="309">
        <f>M551</f>
        <v>0</v>
      </c>
      <c r="R551" s="307">
        <f>D551-N551</f>
        <v>25.92</v>
      </c>
      <c r="S551" s="307"/>
      <c r="T551" s="307">
        <f t="shared" si="345"/>
        <v>25.92</v>
      </c>
    </row>
    <row r="552" spans="1:20" ht="36" customHeight="1">
      <c r="A552" s="325" t="s">
        <v>438</v>
      </c>
      <c r="B552" s="166" t="s">
        <v>495</v>
      </c>
      <c r="C552" s="320" t="s">
        <v>488</v>
      </c>
      <c r="D552" s="306">
        <f>E552+G552</f>
        <v>0</v>
      </c>
      <c r="E552" s="306"/>
      <c r="F552" s="306"/>
      <c r="G552" s="306"/>
      <c r="H552" s="309"/>
      <c r="I552" s="309">
        <f>D552</f>
        <v>0</v>
      </c>
      <c r="J552" s="309"/>
      <c r="K552" s="309"/>
      <c r="L552" s="309">
        <f>K552*10%</f>
        <v>0</v>
      </c>
      <c r="M552" s="309"/>
      <c r="N552" s="309">
        <f>L552+M552</f>
        <v>0</v>
      </c>
      <c r="O552" s="309">
        <f>N552</f>
        <v>0</v>
      </c>
      <c r="P552" s="309">
        <f>N552-O552</f>
        <v>0</v>
      </c>
      <c r="Q552" s="309">
        <f>M552</f>
        <v>0</v>
      </c>
      <c r="R552" s="307">
        <f>D552-N552</f>
        <v>0</v>
      </c>
      <c r="S552" s="307"/>
      <c r="T552" s="307">
        <f t="shared" si="345"/>
        <v>0</v>
      </c>
    </row>
    <row r="553" spans="1:20" ht="26.25" customHeight="1">
      <c r="A553" s="325" t="s">
        <v>438</v>
      </c>
      <c r="B553" s="166" t="s">
        <v>309</v>
      </c>
      <c r="C553" s="320" t="s">
        <v>478</v>
      </c>
      <c r="D553" s="306">
        <f>E553+G553</f>
        <v>30.420378060200672</v>
      </c>
      <c r="E553" s="306"/>
      <c r="F553" s="306"/>
      <c r="G553" s="306">
        <f>'[2]CS GV dạy trẻ khuyết tật'!S39</f>
        <v>30.420378060200672</v>
      </c>
      <c r="H553" s="309"/>
      <c r="I553" s="309">
        <f>D553</f>
        <v>30.420378060200672</v>
      </c>
      <c r="J553" s="309"/>
      <c r="K553" s="309"/>
      <c r="L553" s="309">
        <f>K553*10%</f>
        <v>0</v>
      </c>
      <c r="M553" s="309"/>
      <c r="N553" s="309">
        <f>L553+M553</f>
        <v>0</v>
      </c>
      <c r="O553" s="309">
        <f>N553</f>
        <v>0</v>
      </c>
      <c r="P553" s="309">
        <f>N553-O553</f>
        <v>0</v>
      </c>
      <c r="Q553" s="309">
        <f>M553</f>
        <v>0</v>
      </c>
      <c r="R553" s="307">
        <f>D553-N553</f>
        <v>30.420378060200672</v>
      </c>
      <c r="S553" s="307"/>
      <c r="T553" s="307">
        <f t="shared" si="345"/>
        <v>30.420378060200672</v>
      </c>
    </row>
    <row r="554" spans="1:20" s="328" customFormat="1" ht="27.75" customHeight="1">
      <c r="A554" s="320" t="s">
        <v>183</v>
      </c>
      <c r="B554" s="321" t="s">
        <v>550</v>
      </c>
      <c r="C554" s="320" t="s">
        <v>488</v>
      </c>
      <c r="D554" s="322">
        <f>D555+D567</f>
        <v>69370.06962460978</v>
      </c>
      <c r="E554" s="322">
        <f t="shared" ref="E554:Q554" si="346">E555+E567</f>
        <v>66655.56181660977</v>
      </c>
      <c r="F554" s="322">
        <f t="shared" si="346"/>
        <v>0</v>
      </c>
      <c r="G554" s="322">
        <f t="shared" si="346"/>
        <v>2714.5078079999998</v>
      </c>
      <c r="H554" s="322">
        <f t="shared" si="346"/>
        <v>55111.141150154479</v>
      </c>
      <c r="I554" s="322">
        <f t="shared" si="346"/>
        <v>7293.9220200000009</v>
      </c>
      <c r="J554" s="322">
        <f t="shared" si="346"/>
        <v>0</v>
      </c>
      <c r="K554" s="322">
        <f t="shared" si="346"/>
        <v>6965.0064544552943</v>
      </c>
      <c r="L554" s="322">
        <f t="shared" si="346"/>
        <v>696.50064544552936</v>
      </c>
      <c r="M554" s="322">
        <f t="shared" si="346"/>
        <v>0</v>
      </c>
      <c r="N554" s="322">
        <f t="shared" si="346"/>
        <v>696.50064544552936</v>
      </c>
      <c r="O554" s="322">
        <f t="shared" si="346"/>
        <v>696.50064544552936</v>
      </c>
      <c r="P554" s="322">
        <f t="shared" si="346"/>
        <v>0</v>
      </c>
      <c r="Q554" s="322">
        <f t="shared" si="346"/>
        <v>0</v>
      </c>
      <c r="R554" s="322">
        <f>R555+R567</f>
        <v>69370.06962460978</v>
      </c>
      <c r="S554" s="322">
        <f t="shared" ref="S554:T554" si="347">S555+S567</f>
        <v>0</v>
      </c>
      <c r="T554" s="322">
        <f t="shared" si="347"/>
        <v>69370.069624609765</v>
      </c>
    </row>
    <row r="555" spans="1:20" ht="27.75" customHeight="1">
      <c r="A555" s="303" t="s">
        <v>481</v>
      </c>
      <c r="B555" s="323" t="s">
        <v>482</v>
      </c>
      <c r="C555" s="320" t="s">
        <v>488</v>
      </c>
      <c r="D555" s="307">
        <f>D556+D559+D562+D563+D564</f>
        <v>62076.147604609774</v>
      </c>
      <c r="E555" s="307">
        <f t="shared" ref="E555:Q555" si="348">E556+E559+E562+E563+E564</f>
        <v>60128.566816609768</v>
      </c>
      <c r="F555" s="307">
        <f t="shared" si="348"/>
        <v>0</v>
      </c>
      <c r="G555" s="307">
        <f t="shared" si="348"/>
        <v>1947.580788</v>
      </c>
      <c r="H555" s="307">
        <f t="shared" si="348"/>
        <v>55111.141150154479</v>
      </c>
      <c r="I555" s="307">
        <f t="shared" si="348"/>
        <v>0</v>
      </c>
      <c r="J555" s="307">
        <f t="shared" si="348"/>
        <v>0</v>
      </c>
      <c r="K555" s="307">
        <f t="shared" si="348"/>
        <v>6965.0064544552943</v>
      </c>
      <c r="L555" s="307">
        <f t="shared" si="348"/>
        <v>696.50064544552936</v>
      </c>
      <c r="M555" s="307">
        <f t="shared" si="348"/>
        <v>0</v>
      </c>
      <c r="N555" s="307">
        <f t="shared" si="348"/>
        <v>696.50064544552936</v>
      </c>
      <c r="O555" s="307">
        <f t="shared" si="348"/>
        <v>696.50064544552936</v>
      </c>
      <c r="P555" s="307">
        <f t="shared" si="348"/>
        <v>0</v>
      </c>
      <c r="Q555" s="307">
        <f t="shared" si="348"/>
        <v>0</v>
      </c>
      <c r="R555" s="307">
        <f>R556+R559+R562+R563+R564</f>
        <v>62076.147604609774</v>
      </c>
      <c r="S555" s="307">
        <f t="shared" ref="S555:T555" si="349">S556+S559+S562+S563+S564</f>
        <v>0</v>
      </c>
      <c r="T555" s="307">
        <f t="shared" si="349"/>
        <v>62076.14760460976</v>
      </c>
    </row>
    <row r="556" spans="1:20" ht="27.75" customHeight="1">
      <c r="A556" s="325" t="s">
        <v>438</v>
      </c>
      <c r="B556" s="164" t="s">
        <v>277</v>
      </c>
      <c r="C556" s="320" t="s">
        <v>488</v>
      </c>
      <c r="D556" s="306">
        <f t="shared" ref="D556:D562" si="350">SUM(E556:G556)</f>
        <v>46922.223908580003</v>
      </c>
      <c r="E556" s="306">
        <f>SUM(E557:E558)</f>
        <v>45266.780238780004</v>
      </c>
      <c r="F556" s="306">
        <f>SUM(F557:F558)</f>
        <v>0</v>
      </c>
      <c r="G556" s="306">
        <f>SUM(G557:G558)</f>
        <v>1655.4436698</v>
      </c>
      <c r="H556" s="307">
        <f t="shared" ref="H556:H563" si="351">D556</f>
        <v>46922.223908580003</v>
      </c>
      <c r="I556" s="309"/>
      <c r="J556" s="309"/>
      <c r="K556" s="309"/>
      <c r="L556" s="309">
        <f>K556*10%</f>
        <v>0</v>
      </c>
      <c r="M556" s="309"/>
      <c r="N556" s="309">
        <f>L556+M556</f>
        <v>0</v>
      </c>
      <c r="O556" s="309">
        <f>L556-P556</f>
        <v>0</v>
      </c>
      <c r="P556" s="309">
        <f>N556</f>
        <v>0</v>
      </c>
      <c r="Q556" s="309">
        <f>M556</f>
        <v>0</v>
      </c>
      <c r="R556" s="307">
        <f>SUM(R557:R558)</f>
        <v>46922.223908580003</v>
      </c>
      <c r="S556" s="307">
        <f t="shared" ref="S556:T556" si="352">SUM(S557:S558)</f>
        <v>0</v>
      </c>
      <c r="T556" s="307">
        <f t="shared" si="352"/>
        <v>46922.223908579996</v>
      </c>
    </row>
    <row r="557" spans="1:20" ht="27.75" customHeight="1">
      <c r="A557" s="325" t="s">
        <v>489</v>
      </c>
      <c r="B557" s="164" t="s">
        <v>490</v>
      </c>
      <c r="C557" s="320" t="s">
        <v>444</v>
      </c>
      <c r="D557" s="306">
        <f t="shared" si="350"/>
        <v>45266.780238780004</v>
      </c>
      <c r="E557" s="306">
        <f t="shared" ref="E557:G558" si="353">E576+E595+E614+E633+E652+E671+E690+E709+E728</f>
        <v>45266.780238780004</v>
      </c>
      <c r="F557" s="306">
        <f t="shared" si="353"/>
        <v>0</v>
      </c>
      <c r="G557" s="306">
        <f t="shared" si="353"/>
        <v>0</v>
      </c>
      <c r="H557" s="307">
        <f t="shared" si="351"/>
        <v>45266.780238780004</v>
      </c>
      <c r="I557" s="309"/>
      <c r="J557" s="309"/>
      <c r="K557" s="309"/>
      <c r="L557" s="309"/>
      <c r="M557" s="309"/>
      <c r="N557" s="309"/>
      <c r="O557" s="309"/>
      <c r="P557" s="309"/>
      <c r="Q557" s="309"/>
      <c r="R557" s="307">
        <f>D557-N557</f>
        <v>45266.780238780004</v>
      </c>
      <c r="S557" s="306">
        <f t="shared" ref="S557:T557" si="354">S576+S595+S614+S633+S652+S671+S690+S709+S728</f>
        <v>1203.92</v>
      </c>
      <c r="T557" s="307">
        <f t="shared" si="354"/>
        <v>46470.700238779995</v>
      </c>
    </row>
    <row r="558" spans="1:20" ht="27.75" customHeight="1">
      <c r="A558" s="325" t="s">
        <v>489</v>
      </c>
      <c r="B558" s="164" t="s">
        <v>305</v>
      </c>
      <c r="C558" s="320" t="s">
        <v>478</v>
      </c>
      <c r="D558" s="306">
        <f t="shared" si="350"/>
        <v>1655.4436698</v>
      </c>
      <c r="E558" s="306">
        <f t="shared" si="353"/>
        <v>0</v>
      </c>
      <c r="F558" s="306">
        <f t="shared" si="353"/>
        <v>0</v>
      </c>
      <c r="G558" s="306">
        <f t="shared" si="353"/>
        <v>1655.4436698</v>
      </c>
      <c r="H558" s="307">
        <f t="shared" si="351"/>
        <v>1655.4436698</v>
      </c>
      <c r="I558" s="309"/>
      <c r="J558" s="309"/>
      <c r="K558" s="309"/>
      <c r="L558" s="309"/>
      <c r="M558" s="309"/>
      <c r="N558" s="309"/>
      <c r="O558" s="309"/>
      <c r="P558" s="309"/>
      <c r="Q558" s="309"/>
      <c r="R558" s="307">
        <f>D558-N558</f>
        <v>1655.4436698</v>
      </c>
      <c r="S558" s="306">
        <f t="shared" ref="S558:T558" si="355">S577+S596+S615+S634+S653+S672+S691+S710+S729</f>
        <v>-1203.92</v>
      </c>
      <c r="T558" s="307">
        <f t="shared" si="355"/>
        <v>451.52366980000011</v>
      </c>
    </row>
    <row r="559" spans="1:20" ht="27.75" customHeight="1">
      <c r="A559" s="304" t="s">
        <v>438</v>
      </c>
      <c r="B559" s="166" t="s">
        <v>278</v>
      </c>
      <c r="C559" s="320" t="s">
        <v>444</v>
      </c>
      <c r="D559" s="306">
        <f t="shared" si="350"/>
        <v>9762.3418870200003</v>
      </c>
      <c r="E559" s="306">
        <f>SUM(E560:E561)</f>
        <v>9762.3418870200003</v>
      </c>
      <c r="F559" s="306">
        <f>SUM(F560:F561)</f>
        <v>0</v>
      </c>
      <c r="G559" s="306">
        <f>SUM(G560:G561)</f>
        <v>0</v>
      </c>
      <c r="H559" s="307">
        <f t="shared" si="351"/>
        <v>9762.3418870200003</v>
      </c>
      <c r="I559" s="309"/>
      <c r="J559" s="309"/>
      <c r="K559" s="309"/>
      <c r="L559" s="309">
        <f>K559*10%</f>
        <v>0</v>
      </c>
      <c r="M559" s="309"/>
      <c r="N559" s="309">
        <f>L559+M559</f>
        <v>0</v>
      </c>
      <c r="O559" s="309">
        <f>L559-P559</f>
        <v>0</v>
      </c>
      <c r="P559" s="309">
        <f>N559</f>
        <v>0</v>
      </c>
      <c r="Q559" s="309">
        <f>M559</f>
        <v>0</v>
      </c>
      <c r="R559" s="307">
        <f>SUM(R560:R561)</f>
        <v>9762.3418870200003</v>
      </c>
      <c r="S559" s="307">
        <f t="shared" ref="S559:T559" si="356">SUM(S560:S561)</f>
        <v>0</v>
      </c>
      <c r="T559" s="307">
        <f t="shared" si="356"/>
        <v>9762.3418870199985</v>
      </c>
    </row>
    <row r="560" spans="1:20" ht="27.75" customHeight="1">
      <c r="A560" s="325" t="s">
        <v>489</v>
      </c>
      <c r="B560" s="166" t="s">
        <v>491</v>
      </c>
      <c r="C560" s="320" t="s">
        <v>444</v>
      </c>
      <c r="D560" s="306">
        <f t="shared" si="350"/>
        <v>9417.9207208200005</v>
      </c>
      <c r="E560" s="306">
        <f>E579+E598+E617+E636+E655+E674+E693+E712+E731</f>
        <v>9417.9207208200005</v>
      </c>
      <c r="F560" s="306"/>
      <c r="G560" s="306"/>
      <c r="H560" s="307">
        <f t="shared" si="351"/>
        <v>9417.9207208200005</v>
      </c>
      <c r="I560" s="309"/>
      <c r="J560" s="309"/>
      <c r="K560" s="309"/>
      <c r="L560" s="309"/>
      <c r="M560" s="309"/>
      <c r="N560" s="309"/>
      <c r="O560" s="309"/>
      <c r="P560" s="309"/>
      <c r="Q560" s="309"/>
      <c r="R560" s="307">
        <f>D560-N560</f>
        <v>9417.9207208200005</v>
      </c>
      <c r="S560" s="306">
        <f t="shared" ref="S560:T560" si="357">S579+S598+S617+S636+S655+S674+S693+S712+S731</f>
        <v>250.49</v>
      </c>
      <c r="T560" s="307">
        <f t="shared" si="357"/>
        <v>9668.4107208199985</v>
      </c>
    </row>
    <row r="561" spans="1:20" ht="27.75" customHeight="1">
      <c r="A561" s="325" t="s">
        <v>489</v>
      </c>
      <c r="B561" s="164" t="s">
        <v>492</v>
      </c>
      <c r="C561" s="320" t="s">
        <v>444</v>
      </c>
      <c r="D561" s="306">
        <f t="shared" si="350"/>
        <v>344.42116620000002</v>
      </c>
      <c r="E561" s="306">
        <f>E580+E599+E618+E637+E656+E675+E694+E713+E732</f>
        <v>344.42116620000002</v>
      </c>
      <c r="F561" s="306"/>
      <c r="G561" s="306"/>
      <c r="H561" s="307">
        <f t="shared" si="351"/>
        <v>344.42116620000002</v>
      </c>
      <c r="I561" s="309"/>
      <c r="J561" s="309"/>
      <c r="K561" s="309"/>
      <c r="L561" s="309"/>
      <c r="M561" s="309"/>
      <c r="N561" s="309"/>
      <c r="O561" s="309"/>
      <c r="P561" s="309"/>
      <c r="Q561" s="309"/>
      <c r="R561" s="307">
        <f>D561-N561</f>
        <v>344.42116620000002</v>
      </c>
      <c r="S561" s="306">
        <f t="shared" ref="S561:T561" si="358">S580+S599+S618+S637+S656+S675+S694+S713+S732</f>
        <v>-250.49</v>
      </c>
      <c r="T561" s="307">
        <f t="shared" si="358"/>
        <v>93.931166200000007</v>
      </c>
    </row>
    <row r="562" spans="1:20" ht="27.75" customHeight="1">
      <c r="A562" s="325" t="s">
        <v>438</v>
      </c>
      <c r="B562" s="164" t="s">
        <v>483</v>
      </c>
      <c r="C562" s="320"/>
      <c r="D562" s="306">
        <f t="shared" si="350"/>
        <v>-876.92399999999998</v>
      </c>
      <c r="E562" s="306">
        <f>E581+E600+E619+E638+E657+E676+E695+E714+E733</f>
        <v>-876.92399999999998</v>
      </c>
      <c r="F562" s="306"/>
      <c r="G562" s="306"/>
      <c r="H562" s="307">
        <f t="shared" si="351"/>
        <v>-876.92399999999998</v>
      </c>
      <c r="I562" s="309"/>
      <c r="J562" s="309"/>
      <c r="K562" s="309"/>
      <c r="L562" s="309"/>
      <c r="M562" s="309"/>
      <c r="N562" s="309"/>
      <c r="O562" s="309"/>
      <c r="P562" s="309"/>
      <c r="Q562" s="309"/>
      <c r="R562" s="307">
        <f>D562-N562</f>
        <v>-876.92399999999998</v>
      </c>
      <c r="S562" s="307"/>
      <c r="T562" s="307">
        <f>R562+S562</f>
        <v>-876.92399999999998</v>
      </c>
    </row>
    <row r="563" spans="1:20" s="311" customFormat="1" ht="27.75" customHeight="1">
      <c r="A563" s="304" t="s">
        <v>438</v>
      </c>
      <c r="B563" s="166" t="s">
        <v>452</v>
      </c>
      <c r="C563" s="320" t="s">
        <v>488</v>
      </c>
      <c r="D563" s="306">
        <f>E563+G563</f>
        <v>-696.50064544552936</v>
      </c>
      <c r="E563" s="306">
        <f>-L564</f>
        <v>-696.50064544552936</v>
      </c>
      <c r="F563" s="306"/>
      <c r="G563" s="306"/>
      <c r="H563" s="307">
        <f t="shared" si="351"/>
        <v>-696.50064544552936</v>
      </c>
      <c r="I563" s="308"/>
      <c r="J563" s="308"/>
      <c r="K563" s="308"/>
      <c r="L563" s="309">
        <f>K563*10%</f>
        <v>0</v>
      </c>
      <c r="M563" s="309"/>
      <c r="N563" s="309">
        <f>L563+M563</f>
        <v>0</v>
      </c>
      <c r="O563" s="309">
        <f>L563-P563</f>
        <v>0</v>
      </c>
      <c r="P563" s="309">
        <f>N563</f>
        <v>0</v>
      </c>
      <c r="Q563" s="309">
        <f>M563</f>
        <v>0</v>
      </c>
      <c r="R563" s="307"/>
      <c r="S563" s="306"/>
      <c r="T563" s="307"/>
    </row>
    <row r="564" spans="1:20" ht="26.25" customHeight="1">
      <c r="A564" s="304" t="s">
        <v>438</v>
      </c>
      <c r="B564" s="166" t="s">
        <v>412</v>
      </c>
      <c r="C564" s="320" t="s">
        <v>488</v>
      </c>
      <c r="D564" s="306">
        <f>SUM(E564:G564)</f>
        <v>6965.0064544552943</v>
      </c>
      <c r="E564" s="306">
        <f>SUM(E565:E566)</f>
        <v>6672.869336255294</v>
      </c>
      <c r="F564" s="306">
        <f>SUM(F565:F566)</f>
        <v>0</v>
      </c>
      <c r="G564" s="306">
        <f>SUM(G565:G566)</f>
        <v>292.13711820000003</v>
      </c>
      <c r="H564" s="309"/>
      <c r="I564" s="309"/>
      <c r="J564" s="309"/>
      <c r="K564" s="309">
        <f>SUM(K565:K566)</f>
        <v>6965.0064544552943</v>
      </c>
      <c r="L564" s="309">
        <f>SUM(L565:L566)</f>
        <v>696.50064544552936</v>
      </c>
      <c r="M564" s="309"/>
      <c r="N564" s="309">
        <f>L564+M564</f>
        <v>696.50064544552936</v>
      </c>
      <c r="O564" s="309">
        <f>N564</f>
        <v>696.50064544552936</v>
      </c>
      <c r="P564" s="309">
        <f>N564-O564</f>
        <v>0</v>
      </c>
      <c r="Q564" s="309">
        <f>M564</f>
        <v>0</v>
      </c>
      <c r="R564" s="307">
        <f>D564-N564</f>
        <v>6268.5058090097646</v>
      </c>
      <c r="S564" s="307">
        <f>SUM(S565:S566)</f>
        <v>0</v>
      </c>
      <c r="T564" s="307">
        <f>R564+S564</f>
        <v>6268.5058090097646</v>
      </c>
    </row>
    <row r="565" spans="1:20" ht="31.5">
      <c r="A565" s="325" t="s">
        <v>489</v>
      </c>
      <c r="B565" s="166" t="s">
        <v>551</v>
      </c>
      <c r="C565" s="320" t="s">
        <v>444</v>
      </c>
      <c r="D565" s="306">
        <f>SUM(E565:G565)</f>
        <v>6672.869336255294</v>
      </c>
      <c r="E565" s="306">
        <f t="shared" ref="E565:G566" si="359">E584+E603+E622+E641+E660+E679+E698+E717+E736</f>
        <v>6672.869336255294</v>
      </c>
      <c r="F565" s="306">
        <f t="shared" si="359"/>
        <v>0</v>
      </c>
      <c r="G565" s="306">
        <f t="shared" si="359"/>
        <v>0</v>
      </c>
      <c r="H565" s="309"/>
      <c r="I565" s="309"/>
      <c r="J565" s="309"/>
      <c r="K565" s="309">
        <f>D565</f>
        <v>6672.869336255294</v>
      </c>
      <c r="L565" s="309">
        <f>K565*10%</f>
        <v>667.2869336255294</v>
      </c>
      <c r="M565" s="309"/>
      <c r="N565" s="309"/>
      <c r="O565" s="309"/>
      <c r="P565" s="309"/>
      <c r="Q565" s="309"/>
      <c r="R565" s="307"/>
      <c r="S565" s="306">
        <f t="shared" ref="S565" si="360">S584+S603+S622+S641+S660+S679+S698+S717+S736</f>
        <v>212.45000000000002</v>
      </c>
      <c r="T565" s="307"/>
    </row>
    <row r="566" spans="1:20" ht="33" customHeight="1">
      <c r="A566" s="325" t="s">
        <v>489</v>
      </c>
      <c r="B566" s="164" t="s">
        <v>552</v>
      </c>
      <c r="C566" s="320" t="s">
        <v>478</v>
      </c>
      <c r="D566" s="306">
        <f>SUM(E566:G566)</f>
        <v>292.13711820000003</v>
      </c>
      <c r="E566" s="306">
        <f t="shared" si="359"/>
        <v>0</v>
      </c>
      <c r="F566" s="306">
        <f t="shared" si="359"/>
        <v>0</v>
      </c>
      <c r="G566" s="306">
        <f t="shared" si="359"/>
        <v>292.13711820000003</v>
      </c>
      <c r="H566" s="309"/>
      <c r="I566" s="309"/>
      <c r="J566" s="309"/>
      <c r="K566" s="309">
        <f>D566</f>
        <v>292.13711820000003</v>
      </c>
      <c r="L566" s="309">
        <f>K566*10%</f>
        <v>29.213711820000004</v>
      </c>
      <c r="M566" s="309"/>
      <c r="N566" s="309"/>
      <c r="O566" s="309"/>
      <c r="P566" s="309"/>
      <c r="Q566" s="309"/>
      <c r="R566" s="307"/>
      <c r="S566" s="306">
        <f t="shared" ref="S566" si="361">S585+S604+S623+S642+S661+S680+S699+S718+S737</f>
        <v>-212.45000000000002</v>
      </c>
      <c r="T566" s="307"/>
    </row>
    <row r="567" spans="1:20" ht="30" customHeight="1">
      <c r="A567" s="303" t="s">
        <v>481</v>
      </c>
      <c r="B567" s="326" t="s">
        <v>485</v>
      </c>
      <c r="C567" s="320" t="s">
        <v>488</v>
      </c>
      <c r="D567" s="307">
        <f>E567+G567+F567</f>
        <v>7293.9220200000018</v>
      </c>
      <c r="E567" s="307">
        <f t="shared" ref="E567:T567" si="362">SUM(E568:E572)</f>
        <v>6526.9950000000017</v>
      </c>
      <c r="F567" s="307">
        <f t="shared" si="362"/>
        <v>0</v>
      </c>
      <c r="G567" s="307">
        <f t="shared" si="362"/>
        <v>766.92701999999997</v>
      </c>
      <c r="H567" s="307">
        <f t="shared" si="362"/>
        <v>0</v>
      </c>
      <c r="I567" s="307">
        <f t="shared" si="362"/>
        <v>7293.9220200000009</v>
      </c>
      <c r="J567" s="307">
        <f t="shared" si="362"/>
        <v>0</v>
      </c>
      <c r="K567" s="307">
        <f t="shared" si="362"/>
        <v>0</v>
      </c>
      <c r="L567" s="307">
        <f t="shared" si="362"/>
        <v>0</v>
      </c>
      <c r="M567" s="307">
        <f t="shared" si="362"/>
        <v>0</v>
      </c>
      <c r="N567" s="307">
        <f t="shared" si="362"/>
        <v>0</v>
      </c>
      <c r="O567" s="307">
        <f t="shared" si="362"/>
        <v>0</v>
      </c>
      <c r="P567" s="307">
        <f t="shared" si="362"/>
        <v>0</v>
      </c>
      <c r="Q567" s="307">
        <f t="shared" si="362"/>
        <v>0</v>
      </c>
      <c r="R567" s="307">
        <f t="shared" si="362"/>
        <v>7293.9220200000009</v>
      </c>
      <c r="S567" s="307">
        <f t="shared" si="362"/>
        <v>0</v>
      </c>
      <c r="T567" s="307">
        <f t="shared" si="362"/>
        <v>7293.9220200000009</v>
      </c>
    </row>
    <row r="568" spans="1:20" ht="30" customHeight="1">
      <c r="A568" s="325" t="s">
        <v>438</v>
      </c>
      <c r="B568" s="166" t="s">
        <v>280</v>
      </c>
      <c r="C568" s="320" t="s">
        <v>444</v>
      </c>
      <c r="D568" s="306">
        <f>E568+G568</f>
        <v>1052.5050000000001</v>
      </c>
      <c r="E568" s="306">
        <f t="shared" ref="E568:G572" si="363">E587+E606+E625+E644+E663+E682+E701+E720+E739</f>
        <v>1052.5050000000001</v>
      </c>
      <c r="F568" s="306">
        <f t="shared" si="363"/>
        <v>0</v>
      </c>
      <c r="G568" s="306">
        <f t="shared" si="363"/>
        <v>0</v>
      </c>
      <c r="H568" s="309"/>
      <c r="I568" s="309">
        <f>D568</f>
        <v>1052.5050000000001</v>
      </c>
      <c r="J568" s="309"/>
      <c r="K568" s="309"/>
      <c r="L568" s="309">
        <f>K568*10%</f>
        <v>0</v>
      </c>
      <c r="M568" s="309"/>
      <c r="N568" s="309">
        <f>L568+M568</f>
        <v>0</v>
      </c>
      <c r="O568" s="309">
        <f>N568</f>
        <v>0</v>
      </c>
      <c r="P568" s="309">
        <f>N568-O568</f>
        <v>0</v>
      </c>
      <c r="Q568" s="309">
        <f>M568</f>
        <v>0</v>
      </c>
      <c r="R568" s="307">
        <f>D568-N568</f>
        <v>1052.5050000000001</v>
      </c>
      <c r="S568" s="306">
        <f t="shared" ref="S568:T568" si="364">S587+S606+S625+S644+S663+S682+S701+S720+S739</f>
        <v>0</v>
      </c>
      <c r="T568" s="307">
        <f t="shared" si="364"/>
        <v>1052.5050000000001</v>
      </c>
    </row>
    <row r="569" spans="1:20" ht="30" customHeight="1">
      <c r="A569" s="325" t="s">
        <v>438</v>
      </c>
      <c r="B569" s="166" t="s">
        <v>287</v>
      </c>
      <c r="C569" s="320" t="s">
        <v>488</v>
      </c>
      <c r="D569" s="306">
        <f>E569+G569+F569</f>
        <v>0</v>
      </c>
      <c r="E569" s="306">
        <f t="shared" si="363"/>
        <v>0</v>
      </c>
      <c r="F569" s="306">
        <f t="shared" si="363"/>
        <v>0</v>
      </c>
      <c r="G569" s="306">
        <f t="shared" si="363"/>
        <v>0</v>
      </c>
      <c r="H569" s="309"/>
      <c r="I569" s="309">
        <f>D569</f>
        <v>0</v>
      </c>
      <c r="J569" s="309"/>
      <c r="K569" s="309"/>
      <c r="L569" s="309">
        <f>K569*10%</f>
        <v>0</v>
      </c>
      <c r="M569" s="309"/>
      <c r="N569" s="309">
        <f>L569+M569</f>
        <v>0</v>
      </c>
      <c r="O569" s="309">
        <f>N569</f>
        <v>0</v>
      </c>
      <c r="P569" s="309">
        <f>N569-O569</f>
        <v>0</v>
      </c>
      <c r="Q569" s="309">
        <f>M569</f>
        <v>0</v>
      </c>
      <c r="R569" s="307">
        <f>D569-N569</f>
        <v>0</v>
      </c>
      <c r="S569" s="306">
        <f t="shared" ref="S569:T569" si="365">S588+S607+S626+S645+S664+S683+S702+S721+S740</f>
        <v>0</v>
      </c>
      <c r="T569" s="307">
        <f t="shared" si="365"/>
        <v>0</v>
      </c>
    </row>
    <row r="570" spans="1:20" ht="39" customHeight="1">
      <c r="A570" s="325" t="s">
        <v>438</v>
      </c>
      <c r="B570" s="166" t="s">
        <v>308</v>
      </c>
      <c r="C570" s="320" t="s">
        <v>488</v>
      </c>
      <c r="D570" s="306">
        <f>E570+G570</f>
        <v>77.760000000000005</v>
      </c>
      <c r="E570" s="306">
        <f t="shared" si="363"/>
        <v>56.640000000000008</v>
      </c>
      <c r="F570" s="306">
        <f t="shared" si="363"/>
        <v>0</v>
      </c>
      <c r="G570" s="306">
        <f t="shared" si="363"/>
        <v>21.12</v>
      </c>
      <c r="H570" s="309"/>
      <c r="I570" s="309">
        <f>D570</f>
        <v>77.760000000000005</v>
      </c>
      <c r="J570" s="309"/>
      <c r="K570" s="309"/>
      <c r="L570" s="309">
        <f>K570*10%</f>
        <v>0</v>
      </c>
      <c r="M570" s="309"/>
      <c r="N570" s="309">
        <f>L570+M570</f>
        <v>0</v>
      </c>
      <c r="O570" s="309">
        <f>N570</f>
        <v>0</v>
      </c>
      <c r="P570" s="309">
        <f>N570-O570</f>
        <v>0</v>
      </c>
      <c r="Q570" s="309">
        <f>M570</f>
        <v>0</v>
      </c>
      <c r="R570" s="307">
        <f>D570-N570</f>
        <v>77.760000000000005</v>
      </c>
      <c r="S570" s="306">
        <f t="shared" ref="S570:T570" si="366">S589+S608+S627+S646+S665+S684+S703+S722+S741</f>
        <v>0</v>
      </c>
      <c r="T570" s="307">
        <f t="shared" si="366"/>
        <v>77.760000000000005</v>
      </c>
    </row>
    <row r="571" spans="1:20" ht="36" customHeight="1">
      <c r="A571" s="325" t="s">
        <v>438</v>
      </c>
      <c r="B571" s="166" t="s">
        <v>495</v>
      </c>
      <c r="C571" s="320" t="s">
        <v>488</v>
      </c>
      <c r="D571" s="306">
        <f>E571+G571</f>
        <v>6056.4600000000009</v>
      </c>
      <c r="E571" s="306">
        <f t="shared" si="363"/>
        <v>5417.8500000000013</v>
      </c>
      <c r="F571" s="306">
        <f t="shared" si="363"/>
        <v>0</v>
      </c>
      <c r="G571" s="306">
        <f t="shared" si="363"/>
        <v>638.6099999999999</v>
      </c>
      <c r="H571" s="309"/>
      <c r="I571" s="309">
        <f>D571</f>
        <v>6056.4600000000009</v>
      </c>
      <c r="J571" s="309"/>
      <c r="K571" s="309"/>
      <c r="L571" s="309">
        <f>K571*10%</f>
        <v>0</v>
      </c>
      <c r="M571" s="309"/>
      <c r="N571" s="309">
        <f>L571+M571</f>
        <v>0</v>
      </c>
      <c r="O571" s="309">
        <f>N571</f>
        <v>0</v>
      </c>
      <c r="P571" s="309">
        <f>N571-O571</f>
        <v>0</v>
      </c>
      <c r="Q571" s="309">
        <f>M571</f>
        <v>0</v>
      </c>
      <c r="R571" s="307">
        <f>D571-N571</f>
        <v>6056.4600000000009</v>
      </c>
      <c r="S571" s="306">
        <f t="shared" ref="S571:T571" si="367">S590+S609+S628+S647+S666+S685+S704+S723+S742</f>
        <v>0</v>
      </c>
      <c r="T571" s="307">
        <f t="shared" si="367"/>
        <v>6056.4600000000009</v>
      </c>
    </row>
    <row r="572" spans="1:20" ht="26.25" customHeight="1">
      <c r="A572" s="325" t="s">
        <v>438</v>
      </c>
      <c r="B572" s="166" t="s">
        <v>309</v>
      </c>
      <c r="C572" s="320" t="s">
        <v>478</v>
      </c>
      <c r="D572" s="306">
        <f>E572+G572</f>
        <v>107.19702000000004</v>
      </c>
      <c r="E572" s="306">
        <f t="shared" si="363"/>
        <v>0</v>
      </c>
      <c r="F572" s="306">
        <f t="shared" si="363"/>
        <v>0</v>
      </c>
      <c r="G572" s="306">
        <f t="shared" si="363"/>
        <v>107.19702000000004</v>
      </c>
      <c r="H572" s="309"/>
      <c r="I572" s="309">
        <f>D572</f>
        <v>107.19702000000004</v>
      </c>
      <c r="J572" s="309"/>
      <c r="K572" s="309"/>
      <c r="L572" s="309">
        <f>K572*10%</f>
        <v>0</v>
      </c>
      <c r="M572" s="309"/>
      <c r="N572" s="309">
        <f>L572+M572</f>
        <v>0</v>
      </c>
      <c r="O572" s="309">
        <f>N572</f>
        <v>0</v>
      </c>
      <c r="P572" s="309">
        <f>N572-O572</f>
        <v>0</v>
      </c>
      <c r="Q572" s="309">
        <f>M572</f>
        <v>0</v>
      </c>
      <c r="R572" s="307">
        <f>D572-N572</f>
        <v>107.19702000000004</v>
      </c>
      <c r="S572" s="306">
        <f t="shared" ref="S572:T572" si="368">S591+S610+S629+S648+S667+S686+S705+S724+S743</f>
        <v>0</v>
      </c>
      <c r="T572" s="307">
        <f t="shared" si="368"/>
        <v>107.19702000000004</v>
      </c>
    </row>
    <row r="573" spans="1:20" s="328" customFormat="1" ht="27.75" customHeight="1">
      <c r="A573" s="320">
        <v>1</v>
      </c>
      <c r="B573" s="321" t="s">
        <v>553</v>
      </c>
      <c r="C573" s="320" t="s">
        <v>488</v>
      </c>
      <c r="D573" s="322">
        <f>D574+D586</f>
        <v>7978.5492850217661</v>
      </c>
      <c r="E573" s="322">
        <f t="shared" ref="E573:Q573" si="369">E574+E586</f>
        <v>7838.3492850217663</v>
      </c>
      <c r="F573" s="322">
        <f t="shared" si="369"/>
        <v>0</v>
      </c>
      <c r="G573" s="322">
        <f t="shared" si="369"/>
        <v>140.19999999999999</v>
      </c>
      <c r="H573" s="322">
        <f t="shared" si="369"/>
        <v>5301.0829038864713</v>
      </c>
      <c r="I573" s="322">
        <f t="shared" si="369"/>
        <v>1973.9700000000005</v>
      </c>
      <c r="J573" s="322">
        <f t="shared" si="369"/>
        <v>0</v>
      </c>
      <c r="K573" s="322">
        <f t="shared" si="369"/>
        <v>703.49638113529443</v>
      </c>
      <c r="L573" s="322">
        <f t="shared" si="369"/>
        <v>70.349638113529451</v>
      </c>
      <c r="M573" s="322">
        <f t="shared" si="369"/>
        <v>0</v>
      </c>
      <c r="N573" s="322">
        <f t="shared" si="369"/>
        <v>70.349638113529451</v>
      </c>
      <c r="O573" s="322">
        <f t="shared" si="369"/>
        <v>70.349638113529451</v>
      </c>
      <c r="P573" s="322">
        <f t="shared" si="369"/>
        <v>0</v>
      </c>
      <c r="Q573" s="322">
        <f t="shared" si="369"/>
        <v>0</v>
      </c>
      <c r="R573" s="322">
        <f>R574+R586</f>
        <v>7978.5492850217661</v>
      </c>
      <c r="S573" s="322">
        <f t="shared" ref="S573:T573" si="370">S574+S586</f>
        <v>0</v>
      </c>
      <c r="T573" s="322">
        <f t="shared" si="370"/>
        <v>7978.5492850217661</v>
      </c>
    </row>
    <row r="574" spans="1:20" ht="27.75" customHeight="1">
      <c r="A574" s="303" t="s">
        <v>481</v>
      </c>
      <c r="B574" s="323" t="s">
        <v>482</v>
      </c>
      <c r="C574" s="320" t="s">
        <v>488</v>
      </c>
      <c r="D574" s="307">
        <f>D575+D578+D581+D582+D583</f>
        <v>6004.5792850217658</v>
      </c>
      <c r="E574" s="307">
        <f t="shared" ref="E574:Q574" si="371">E575+E578+E581+E582+E583</f>
        <v>6004.5792850217658</v>
      </c>
      <c r="F574" s="307">
        <f t="shared" si="371"/>
        <v>0</v>
      </c>
      <c r="G574" s="307">
        <f t="shared" si="371"/>
        <v>0</v>
      </c>
      <c r="H574" s="307">
        <f t="shared" si="371"/>
        <v>5301.0829038864713</v>
      </c>
      <c r="I574" s="307">
        <f t="shared" si="371"/>
        <v>0</v>
      </c>
      <c r="J574" s="307">
        <f t="shared" si="371"/>
        <v>0</v>
      </c>
      <c r="K574" s="307">
        <f t="shared" si="371"/>
        <v>703.49638113529443</v>
      </c>
      <c r="L574" s="307">
        <f t="shared" si="371"/>
        <v>70.349638113529451</v>
      </c>
      <c r="M574" s="307">
        <f t="shared" si="371"/>
        <v>0</v>
      </c>
      <c r="N574" s="307">
        <f t="shared" si="371"/>
        <v>70.349638113529451</v>
      </c>
      <c r="O574" s="307">
        <f t="shared" si="371"/>
        <v>70.349638113529451</v>
      </c>
      <c r="P574" s="307">
        <f t="shared" si="371"/>
        <v>0</v>
      </c>
      <c r="Q574" s="307">
        <f t="shared" si="371"/>
        <v>0</v>
      </c>
      <c r="R574" s="307">
        <f>R575+R578+R581+R582+R583</f>
        <v>6004.5792850217658</v>
      </c>
      <c r="S574" s="307">
        <f t="shared" ref="S574:T574" si="372">S575+S578+S581+S582+S583</f>
        <v>0</v>
      </c>
      <c r="T574" s="307">
        <f t="shared" si="372"/>
        <v>6004.5792850217658</v>
      </c>
    </row>
    <row r="575" spans="1:20" ht="27.75" customHeight="1">
      <c r="A575" s="325" t="s">
        <v>438</v>
      </c>
      <c r="B575" s="164" t="s">
        <v>277</v>
      </c>
      <c r="C575" s="320" t="s">
        <v>488</v>
      </c>
      <c r="D575" s="306">
        <f t="shared" ref="D575:D581" si="373">SUM(E575:G575)</f>
        <v>4495.9694931000004</v>
      </c>
      <c r="E575" s="306">
        <f>SUM(E576:E577)</f>
        <v>4495.9694931000004</v>
      </c>
      <c r="F575" s="306">
        <f>SUM(F576:F577)</f>
        <v>0</v>
      </c>
      <c r="G575" s="306">
        <f>SUM(G576:G577)</f>
        <v>0</v>
      </c>
      <c r="H575" s="307">
        <f t="shared" ref="H575:H582" si="374">D575</f>
        <v>4495.9694931000004</v>
      </c>
      <c r="I575" s="309"/>
      <c r="J575" s="309"/>
      <c r="K575" s="309"/>
      <c r="L575" s="309">
        <f>K575*10%</f>
        <v>0</v>
      </c>
      <c r="M575" s="309"/>
      <c r="N575" s="309">
        <f>L575+M575</f>
        <v>0</v>
      </c>
      <c r="O575" s="309">
        <f>L575-P575</f>
        <v>0</v>
      </c>
      <c r="P575" s="309">
        <f>N575</f>
        <v>0</v>
      </c>
      <c r="Q575" s="309">
        <f>M575</f>
        <v>0</v>
      </c>
      <c r="R575" s="307">
        <f>SUM(R576:R577)</f>
        <v>4495.9694931000004</v>
      </c>
      <c r="S575" s="307">
        <f t="shared" ref="S575:T575" si="375">SUM(S576:S577)</f>
        <v>0</v>
      </c>
      <c r="T575" s="307">
        <f t="shared" si="375"/>
        <v>4495.9694931000004</v>
      </c>
    </row>
    <row r="576" spans="1:20" ht="27.75" customHeight="1">
      <c r="A576" s="325" t="s">
        <v>489</v>
      </c>
      <c r="B576" s="164" t="s">
        <v>490</v>
      </c>
      <c r="C576" s="320" t="s">
        <v>444</v>
      </c>
      <c r="D576" s="306">
        <f t="shared" si="373"/>
        <v>4495.9694931000004</v>
      </c>
      <c r="E576" s="306">
        <f>'[2] TL giao BC '!T753</f>
        <v>4495.9694931000004</v>
      </c>
      <c r="F576" s="306"/>
      <c r="G576" s="306"/>
      <c r="H576" s="307">
        <f t="shared" si="374"/>
        <v>4495.9694931000004</v>
      </c>
      <c r="I576" s="309"/>
      <c r="J576" s="309"/>
      <c r="K576" s="309"/>
      <c r="L576" s="309"/>
      <c r="M576" s="309"/>
      <c r="N576" s="309"/>
      <c r="O576" s="309"/>
      <c r="P576" s="309"/>
      <c r="Q576" s="309"/>
      <c r="R576" s="307">
        <f>D576-N576</f>
        <v>4495.9694931000004</v>
      </c>
      <c r="S576" s="307"/>
      <c r="T576" s="307">
        <f>R576+S576</f>
        <v>4495.9694931000004</v>
      </c>
    </row>
    <row r="577" spans="1:20" ht="27.75" customHeight="1">
      <c r="A577" s="325" t="s">
        <v>489</v>
      </c>
      <c r="B577" s="164" t="s">
        <v>305</v>
      </c>
      <c r="C577" s="320" t="s">
        <v>478</v>
      </c>
      <c r="D577" s="306">
        <f t="shared" si="373"/>
        <v>0</v>
      </c>
      <c r="E577" s="306"/>
      <c r="F577" s="306"/>
      <c r="G577" s="306">
        <f>'[2] TL giao BC tăng thêm'!T261</f>
        <v>0</v>
      </c>
      <c r="H577" s="307">
        <f t="shared" si="374"/>
        <v>0</v>
      </c>
      <c r="I577" s="309"/>
      <c r="J577" s="309"/>
      <c r="K577" s="309"/>
      <c r="L577" s="309"/>
      <c r="M577" s="309"/>
      <c r="N577" s="309"/>
      <c r="O577" s="309"/>
      <c r="P577" s="309"/>
      <c r="Q577" s="309"/>
      <c r="R577" s="307">
        <f>D577-N577</f>
        <v>0</v>
      </c>
      <c r="S577" s="307"/>
      <c r="T577" s="307">
        <f>R577+S577</f>
        <v>0</v>
      </c>
    </row>
    <row r="578" spans="1:20" ht="27.75" customHeight="1">
      <c r="A578" s="304" t="s">
        <v>438</v>
      </c>
      <c r="B578" s="166" t="s">
        <v>278</v>
      </c>
      <c r="C578" s="320" t="s">
        <v>444</v>
      </c>
      <c r="D578" s="306">
        <f t="shared" si="373"/>
        <v>935.40304890000004</v>
      </c>
      <c r="E578" s="306">
        <f>SUM(E579:E580)</f>
        <v>935.40304890000004</v>
      </c>
      <c r="F578" s="306">
        <f>SUM(F579:F580)</f>
        <v>0</v>
      </c>
      <c r="G578" s="306">
        <f>SUM(G579:G580)</f>
        <v>0</v>
      </c>
      <c r="H578" s="307">
        <f t="shared" si="374"/>
        <v>935.40304890000004</v>
      </c>
      <c r="I578" s="309"/>
      <c r="J578" s="309"/>
      <c r="K578" s="309"/>
      <c r="L578" s="309">
        <f>K578*10%</f>
        <v>0</v>
      </c>
      <c r="M578" s="309"/>
      <c r="N578" s="309">
        <f>L578+M578</f>
        <v>0</v>
      </c>
      <c r="O578" s="309">
        <f>L578-P578</f>
        <v>0</v>
      </c>
      <c r="P578" s="309">
        <f>N578</f>
        <v>0</v>
      </c>
      <c r="Q578" s="309">
        <f>M578</f>
        <v>0</v>
      </c>
      <c r="R578" s="307">
        <f>SUM(R579:R580)</f>
        <v>935.40304890000004</v>
      </c>
      <c r="S578" s="307">
        <f t="shared" ref="S578:T578" si="376">SUM(S579:S580)</f>
        <v>0</v>
      </c>
      <c r="T578" s="307">
        <f t="shared" si="376"/>
        <v>935.40304890000004</v>
      </c>
    </row>
    <row r="579" spans="1:20" ht="27.75" customHeight="1">
      <c r="A579" s="325" t="s">
        <v>489</v>
      </c>
      <c r="B579" s="166" t="s">
        <v>491</v>
      </c>
      <c r="C579" s="320" t="s">
        <v>444</v>
      </c>
      <c r="D579" s="306">
        <f t="shared" si="373"/>
        <v>935.40304890000004</v>
      </c>
      <c r="E579" s="306">
        <f>'[2] TL giao BC '!U753</f>
        <v>935.40304890000004</v>
      </c>
      <c r="F579" s="306"/>
      <c r="G579" s="306"/>
      <c r="H579" s="307">
        <f t="shared" si="374"/>
        <v>935.40304890000004</v>
      </c>
      <c r="I579" s="309"/>
      <c r="J579" s="309"/>
      <c r="K579" s="309"/>
      <c r="L579" s="309"/>
      <c r="M579" s="309"/>
      <c r="N579" s="309"/>
      <c r="O579" s="309"/>
      <c r="P579" s="309"/>
      <c r="Q579" s="309"/>
      <c r="R579" s="307">
        <f>D579-N579</f>
        <v>935.40304890000004</v>
      </c>
      <c r="S579" s="307"/>
      <c r="T579" s="307">
        <f t="shared" ref="T579:T580" si="377">R579+S579</f>
        <v>935.40304890000004</v>
      </c>
    </row>
    <row r="580" spans="1:20" ht="27.75" customHeight="1">
      <c r="A580" s="325" t="s">
        <v>489</v>
      </c>
      <c r="B580" s="164" t="s">
        <v>492</v>
      </c>
      <c r="C580" s="320" t="s">
        <v>444</v>
      </c>
      <c r="D580" s="306">
        <f t="shared" si="373"/>
        <v>0</v>
      </c>
      <c r="E580" s="306">
        <f>'[2] TL giao BC tăng thêm'!U261</f>
        <v>0</v>
      </c>
      <c r="F580" s="306"/>
      <c r="G580" s="306"/>
      <c r="H580" s="307">
        <f t="shared" si="374"/>
        <v>0</v>
      </c>
      <c r="I580" s="309"/>
      <c r="J580" s="309"/>
      <c r="K580" s="309"/>
      <c r="L580" s="309"/>
      <c r="M580" s="309"/>
      <c r="N580" s="309"/>
      <c r="O580" s="309"/>
      <c r="P580" s="309"/>
      <c r="Q580" s="309"/>
      <c r="R580" s="307">
        <f>D580-N580</f>
        <v>0</v>
      </c>
      <c r="S580" s="307"/>
      <c r="T580" s="307">
        <f t="shared" si="377"/>
        <v>0</v>
      </c>
    </row>
    <row r="581" spans="1:20" ht="27.75" customHeight="1">
      <c r="A581" s="325" t="s">
        <v>438</v>
      </c>
      <c r="B581" s="164" t="s">
        <v>483</v>
      </c>
      <c r="C581" s="320"/>
      <c r="D581" s="306">
        <f t="shared" si="373"/>
        <v>-59.940000000000012</v>
      </c>
      <c r="E581" s="306">
        <f>-'[2]Biểu Thu '!P28-'[2]Biểu Thu '!AB28</f>
        <v>-59.940000000000012</v>
      </c>
      <c r="F581" s="306"/>
      <c r="G581" s="306"/>
      <c r="H581" s="307">
        <f t="shared" si="374"/>
        <v>-59.940000000000012</v>
      </c>
      <c r="I581" s="309"/>
      <c r="J581" s="309"/>
      <c r="K581" s="309"/>
      <c r="L581" s="309"/>
      <c r="M581" s="309"/>
      <c r="N581" s="309"/>
      <c r="O581" s="309"/>
      <c r="P581" s="309"/>
      <c r="Q581" s="309"/>
      <c r="R581" s="307">
        <f>D581-N581</f>
        <v>-59.940000000000012</v>
      </c>
      <c r="S581" s="307"/>
      <c r="T581" s="307">
        <f>R581+S581</f>
        <v>-59.940000000000012</v>
      </c>
    </row>
    <row r="582" spans="1:20" s="311" customFormat="1" ht="27.75" customHeight="1">
      <c r="A582" s="304" t="s">
        <v>438</v>
      </c>
      <c r="B582" s="166" t="s">
        <v>452</v>
      </c>
      <c r="C582" s="320" t="s">
        <v>488</v>
      </c>
      <c r="D582" s="306">
        <f>E582+G582</f>
        <v>-70.349638113529451</v>
      </c>
      <c r="E582" s="306">
        <f>-L583</f>
        <v>-70.349638113529451</v>
      </c>
      <c r="F582" s="306"/>
      <c r="G582" s="306"/>
      <c r="H582" s="307">
        <f t="shared" si="374"/>
        <v>-70.349638113529451</v>
      </c>
      <c r="I582" s="308"/>
      <c r="J582" s="308"/>
      <c r="K582" s="308"/>
      <c r="L582" s="309">
        <f>K582*10%</f>
        <v>0</v>
      </c>
      <c r="M582" s="309"/>
      <c r="N582" s="309">
        <f>L582+M582</f>
        <v>0</v>
      </c>
      <c r="O582" s="309">
        <f>L582-P582</f>
        <v>0</v>
      </c>
      <c r="P582" s="309">
        <f>N582</f>
        <v>0</v>
      </c>
      <c r="Q582" s="309">
        <f>M582</f>
        <v>0</v>
      </c>
      <c r="R582" s="307"/>
      <c r="S582" s="306"/>
      <c r="T582" s="307"/>
    </row>
    <row r="583" spans="1:20" ht="26.25" customHeight="1">
      <c r="A583" s="304" t="s">
        <v>438</v>
      </c>
      <c r="B583" s="166" t="s">
        <v>412</v>
      </c>
      <c r="C583" s="320" t="s">
        <v>488</v>
      </c>
      <c r="D583" s="306">
        <f>SUM(E583:G583)</f>
        <v>703.49638113529443</v>
      </c>
      <c r="E583" s="306">
        <f>SUM(E584:E585)</f>
        <v>703.49638113529443</v>
      </c>
      <c r="F583" s="306">
        <f>SUM(F584:F585)</f>
        <v>0</v>
      </c>
      <c r="G583" s="306">
        <f>SUM(G584:G585)</f>
        <v>0</v>
      </c>
      <c r="H583" s="309"/>
      <c r="I583" s="309"/>
      <c r="J583" s="309"/>
      <c r="K583" s="309">
        <f>SUM(K584:K585)</f>
        <v>703.49638113529443</v>
      </c>
      <c r="L583" s="309">
        <f>SUM(L584:L585)</f>
        <v>70.349638113529451</v>
      </c>
      <c r="M583" s="309"/>
      <c r="N583" s="309">
        <f>L583+M583</f>
        <v>70.349638113529451</v>
      </c>
      <c r="O583" s="309">
        <f>N583</f>
        <v>70.349638113529451</v>
      </c>
      <c r="P583" s="309">
        <f>N583-O583</f>
        <v>0</v>
      </c>
      <c r="Q583" s="309">
        <f>M583</f>
        <v>0</v>
      </c>
      <c r="R583" s="307">
        <f>D583-N583</f>
        <v>633.14674302176502</v>
      </c>
      <c r="S583" s="307"/>
      <c r="T583" s="307">
        <f>R583+S583</f>
        <v>633.14674302176502</v>
      </c>
    </row>
    <row r="584" spans="1:20" ht="31.5">
      <c r="A584" s="325" t="s">
        <v>489</v>
      </c>
      <c r="B584" s="166" t="s">
        <v>554</v>
      </c>
      <c r="C584" s="320" t="s">
        <v>444</v>
      </c>
      <c r="D584" s="306">
        <f>SUM(E584:G584)</f>
        <v>703.49638113529443</v>
      </c>
      <c r="E584" s="306">
        <f>'[2] TL giao BC '!Z753</f>
        <v>703.49638113529443</v>
      </c>
      <c r="F584" s="306"/>
      <c r="G584" s="306"/>
      <c r="H584" s="309"/>
      <c r="I584" s="309"/>
      <c r="J584" s="309"/>
      <c r="K584" s="309">
        <f>D584</f>
        <v>703.49638113529443</v>
      </c>
      <c r="L584" s="309">
        <f>K584*10%</f>
        <v>70.349638113529451</v>
      </c>
      <c r="M584" s="309"/>
      <c r="N584" s="309"/>
      <c r="O584" s="309"/>
      <c r="P584" s="309"/>
      <c r="Q584" s="309"/>
      <c r="R584" s="307"/>
      <c r="S584" s="307"/>
      <c r="T584" s="307"/>
    </row>
    <row r="585" spans="1:20" ht="33" customHeight="1">
      <c r="A585" s="325" t="s">
        <v>489</v>
      </c>
      <c r="B585" s="164" t="s">
        <v>505</v>
      </c>
      <c r="C585" s="320" t="s">
        <v>478</v>
      </c>
      <c r="D585" s="306">
        <f>SUM(E585:G585)</f>
        <v>0</v>
      </c>
      <c r="E585" s="306"/>
      <c r="F585" s="306"/>
      <c r="G585" s="306">
        <f>-'[2] TL giao BC tăng thêm'!X261</f>
        <v>0</v>
      </c>
      <c r="H585" s="309"/>
      <c r="I585" s="309"/>
      <c r="J585" s="309"/>
      <c r="K585" s="309">
        <f>D585</f>
        <v>0</v>
      </c>
      <c r="L585" s="309">
        <f>K585*10%</f>
        <v>0</v>
      </c>
      <c r="M585" s="309"/>
      <c r="N585" s="309"/>
      <c r="O585" s="309"/>
      <c r="P585" s="309"/>
      <c r="Q585" s="309"/>
      <c r="R585" s="307"/>
      <c r="S585" s="307"/>
      <c r="T585" s="307"/>
    </row>
    <row r="586" spans="1:20" ht="30" customHeight="1">
      <c r="A586" s="303" t="s">
        <v>481</v>
      </c>
      <c r="B586" s="326" t="s">
        <v>485</v>
      </c>
      <c r="C586" s="320" t="s">
        <v>488</v>
      </c>
      <c r="D586" s="307">
        <f>E586+G586+F586</f>
        <v>1973.9700000000005</v>
      </c>
      <c r="E586" s="307">
        <f t="shared" ref="E586:T586" si="378">SUM(E587:E591)</f>
        <v>1833.7700000000004</v>
      </c>
      <c r="F586" s="307">
        <f t="shared" si="378"/>
        <v>0</v>
      </c>
      <c r="G586" s="307">
        <f t="shared" si="378"/>
        <v>140.19999999999999</v>
      </c>
      <c r="H586" s="307">
        <f t="shared" si="378"/>
        <v>0</v>
      </c>
      <c r="I586" s="307">
        <f t="shared" si="378"/>
        <v>1973.9700000000005</v>
      </c>
      <c r="J586" s="307">
        <f t="shared" si="378"/>
        <v>0</v>
      </c>
      <c r="K586" s="307">
        <f t="shared" si="378"/>
        <v>0</v>
      </c>
      <c r="L586" s="307">
        <f t="shared" si="378"/>
        <v>0</v>
      </c>
      <c r="M586" s="307">
        <f t="shared" si="378"/>
        <v>0</v>
      </c>
      <c r="N586" s="307">
        <f t="shared" si="378"/>
        <v>0</v>
      </c>
      <c r="O586" s="307">
        <f t="shared" si="378"/>
        <v>0</v>
      </c>
      <c r="P586" s="307">
        <f t="shared" si="378"/>
        <v>0</v>
      </c>
      <c r="Q586" s="307">
        <f t="shared" si="378"/>
        <v>0</v>
      </c>
      <c r="R586" s="307">
        <f t="shared" si="378"/>
        <v>1973.9700000000005</v>
      </c>
      <c r="S586" s="307">
        <f t="shared" si="378"/>
        <v>0</v>
      </c>
      <c r="T586" s="307">
        <f t="shared" si="378"/>
        <v>1973.9700000000005</v>
      </c>
    </row>
    <row r="587" spans="1:20" ht="30" customHeight="1">
      <c r="A587" s="325" t="s">
        <v>438</v>
      </c>
      <c r="B587" s="166" t="s">
        <v>280</v>
      </c>
      <c r="C587" s="320" t="s">
        <v>444</v>
      </c>
      <c r="D587" s="306">
        <f>E587+G587</f>
        <v>149.85000000000002</v>
      </c>
      <c r="E587" s="306">
        <f>'[2]CS giáo dục '!Q28</f>
        <v>149.85000000000002</v>
      </c>
      <c r="F587" s="306"/>
      <c r="G587" s="306"/>
      <c r="H587" s="309"/>
      <c r="I587" s="309">
        <f>D587</f>
        <v>149.85000000000002</v>
      </c>
      <c r="J587" s="309"/>
      <c r="K587" s="309"/>
      <c r="L587" s="309">
        <f>K587*10%</f>
        <v>0</v>
      </c>
      <c r="M587" s="309"/>
      <c r="N587" s="309">
        <f>L587+M587</f>
        <v>0</v>
      </c>
      <c r="O587" s="309">
        <f>N587</f>
        <v>0</v>
      </c>
      <c r="P587" s="309">
        <f>N587-O587</f>
        <v>0</v>
      </c>
      <c r="Q587" s="309">
        <f>M587</f>
        <v>0</v>
      </c>
      <c r="R587" s="307">
        <f>D587-N587</f>
        <v>149.85000000000002</v>
      </c>
      <c r="S587" s="307"/>
      <c r="T587" s="307">
        <f>R587+S587</f>
        <v>149.85000000000002</v>
      </c>
    </row>
    <row r="588" spans="1:20" ht="30" customHeight="1">
      <c r="A588" s="325" t="s">
        <v>438</v>
      </c>
      <c r="B588" s="166" t="s">
        <v>287</v>
      </c>
      <c r="C588" s="320" t="s">
        <v>488</v>
      </c>
      <c r="D588" s="306">
        <f>E588+G588+F588</f>
        <v>0</v>
      </c>
      <c r="E588" s="306"/>
      <c r="F588" s="306"/>
      <c r="G588" s="306"/>
      <c r="H588" s="309"/>
      <c r="I588" s="309">
        <f>D588</f>
        <v>0</v>
      </c>
      <c r="J588" s="309"/>
      <c r="K588" s="309"/>
      <c r="L588" s="309">
        <f>K588*10%</f>
        <v>0</v>
      </c>
      <c r="M588" s="309"/>
      <c r="N588" s="309">
        <f>L588+M588</f>
        <v>0</v>
      </c>
      <c r="O588" s="309">
        <f>N588</f>
        <v>0</v>
      </c>
      <c r="P588" s="309">
        <f>N588-O588</f>
        <v>0</v>
      </c>
      <c r="Q588" s="309">
        <f>M588</f>
        <v>0</v>
      </c>
      <c r="R588" s="307">
        <f>D588-N588</f>
        <v>0</v>
      </c>
      <c r="S588" s="307"/>
      <c r="T588" s="307">
        <f t="shared" ref="T588:T591" si="379">R588+S588</f>
        <v>0</v>
      </c>
    </row>
    <row r="589" spans="1:20" ht="39" customHeight="1">
      <c r="A589" s="325" t="s">
        <v>438</v>
      </c>
      <c r="B589" s="166" t="s">
        <v>308</v>
      </c>
      <c r="C589" s="320" t="s">
        <v>488</v>
      </c>
      <c r="D589" s="306">
        <f>E589+G589</f>
        <v>25.92</v>
      </c>
      <c r="E589" s="306">
        <f>'[2]CS giáo dục '!AQ28</f>
        <v>18.880000000000003</v>
      </c>
      <c r="F589" s="306"/>
      <c r="G589" s="306">
        <f>'[2]CS giáo dục '!AS28</f>
        <v>7.04</v>
      </c>
      <c r="H589" s="309"/>
      <c r="I589" s="309">
        <f>D589</f>
        <v>25.92</v>
      </c>
      <c r="J589" s="309"/>
      <c r="K589" s="309"/>
      <c r="L589" s="309">
        <f>K589*10%</f>
        <v>0</v>
      </c>
      <c r="M589" s="309"/>
      <c r="N589" s="309">
        <f>L589+M589</f>
        <v>0</v>
      </c>
      <c r="O589" s="309">
        <f>N589</f>
        <v>0</v>
      </c>
      <c r="P589" s="309">
        <f>N589-O589</f>
        <v>0</v>
      </c>
      <c r="Q589" s="309">
        <f>M589</f>
        <v>0</v>
      </c>
      <c r="R589" s="307">
        <f>D589-N589</f>
        <v>25.92</v>
      </c>
      <c r="S589" s="307"/>
      <c r="T589" s="307">
        <f t="shared" si="379"/>
        <v>25.92</v>
      </c>
    </row>
    <row r="590" spans="1:20" ht="36" customHeight="1">
      <c r="A590" s="325" t="s">
        <v>438</v>
      </c>
      <c r="B590" s="166" t="s">
        <v>495</v>
      </c>
      <c r="C590" s="320" t="s">
        <v>488</v>
      </c>
      <c r="D590" s="306">
        <f>E590+G590</f>
        <v>1798.2000000000005</v>
      </c>
      <c r="E590" s="306">
        <f>'[2]CS giáo dục '!BG28</f>
        <v>1665.0400000000004</v>
      </c>
      <c r="F590" s="306"/>
      <c r="G590" s="306">
        <f>'[2]CS giáo dục '!BI28</f>
        <v>133.16</v>
      </c>
      <c r="H590" s="309"/>
      <c r="I590" s="309">
        <f>D590</f>
        <v>1798.2000000000005</v>
      </c>
      <c r="J590" s="309"/>
      <c r="K590" s="309"/>
      <c r="L590" s="309">
        <f>K590*10%</f>
        <v>0</v>
      </c>
      <c r="M590" s="309"/>
      <c r="N590" s="309">
        <f>L590+M590</f>
        <v>0</v>
      </c>
      <c r="O590" s="309">
        <f>N590</f>
        <v>0</v>
      </c>
      <c r="P590" s="309">
        <f>N590-O590</f>
        <v>0</v>
      </c>
      <c r="Q590" s="309">
        <f>M590</f>
        <v>0</v>
      </c>
      <c r="R590" s="307">
        <f>D590-N590</f>
        <v>1798.2000000000005</v>
      </c>
      <c r="S590" s="307"/>
      <c r="T590" s="307">
        <f t="shared" si="379"/>
        <v>1798.2000000000005</v>
      </c>
    </row>
    <row r="591" spans="1:20" ht="26.25" customHeight="1">
      <c r="A591" s="325" t="s">
        <v>438</v>
      </c>
      <c r="B591" s="166" t="s">
        <v>309</v>
      </c>
      <c r="C591" s="320" t="s">
        <v>478</v>
      </c>
      <c r="D591" s="306">
        <f>E591+G591</f>
        <v>0</v>
      </c>
      <c r="E591" s="306"/>
      <c r="F591" s="306"/>
      <c r="G591" s="306"/>
      <c r="H591" s="309"/>
      <c r="I591" s="309">
        <f>D591</f>
        <v>0</v>
      </c>
      <c r="J591" s="309"/>
      <c r="K591" s="309"/>
      <c r="L591" s="309">
        <f>K591*10%</f>
        <v>0</v>
      </c>
      <c r="M591" s="309"/>
      <c r="N591" s="309">
        <f>L591+M591</f>
        <v>0</v>
      </c>
      <c r="O591" s="309">
        <f>N591</f>
        <v>0</v>
      </c>
      <c r="P591" s="309">
        <f>N591-O591</f>
        <v>0</v>
      </c>
      <c r="Q591" s="309">
        <f>M591</f>
        <v>0</v>
      </c>
      <c r="R591" s="307">
        <f>D591-N591</f>
        <v>0</v>
      </c>
      <c r="S591" s="307"/>
      <c r="T591" s="307">
        <f t="shared" si="379"/>
        <v>0</v>
      </c>
    </row>
    <row r="592" spans="1:20" s="328" customFormat="1" ht="27.75" customHeight="1">
      <c r="A592" s="320">
        <v>2</v>
      </c>
      <c r="B592" s="321" t="s">
        <v>555</v>
      </c>
      <c r="C592" s="320" t="s">
        <v>488</v>
      </c>
      <c r="D592" s="322">
        <f>D593+D605+0.002</f>
        <v>7438.8755049087067</v>
      </c>
      <c r="E592" s="322">
        <f t="shared" ref="E592:Q592" si="380">E593+E605</f>
        <v>6942.0272790263534</v>
      </c>
      <c r="F592" s="322">
        <f t="shared" si="380"/>
        <v>0</v>
      </c>
      <c r="G592" s="322">
        <f t="shared" si="380"/>
        <v>496.84622588235288</v>
      </c>
      <c r="H592" s="322">
        <f t="shared" si="380"/>
        <v>4552.7040514545879</v>
      </c>
      <c r="I592" s="322">
        <f t="shared" si="380"/>
        <v>2277.5400000000004</v>
      </c>
      <c r="J592" s="322">
        <f t="shared" si="380"/>
        <v>0</v>
      </c>
      <c r="K592" s="322">
        <f t="shared" si="380"/>
        <v>608.62945345411765</v>
      </c>
      <c r="L592" s="322">
        <f t="shared" si="380"/>
        <v>60.862945345411767</v>
      </c>
      <c r="M592" s="322">
        <f t="shared" si="380"/>
        <v>0</v>
      </c>
      <c r="N592" s="322">
        <f t="shared" si="380"/>
        <v>60.862945345411767</v>
      </c>
      <c r="O592" s="322">
        <f t="shared" si="380"/>
        <v>60.862945345411767</v>
      </c>
      <c r="P592" s="322">
        <f t="shared" si="380"/>
        <v>0</v>
      </c>
      <c r="Q592" s="322">
        <f t="shared" si="380"/>
        <v>0</v>
      </c>
      <c r="R592" s="322">
        <f>R593+R605</f>
        <v>7438.8735049087063</v>
      </c>
      <c r="S592" s="322">
        <f t="shared" ref="S592:T592" si="381">S593+S605</f>
        <v>0</v>
      </c>
      <c r="T592" s="322">
        <f t="shared" si="381"/>
        <v>7438.8735049087063</v>
      </c>
    </row>
    <row r="593" spans="1:20" ht="27.75" customHeight="1">
      <c r="A593" s="303" t="s">
        <v>481</v>
      </c>
      <c r="B593" s="323" t="s">
        <v>482</v>
      </c>
      <c r="C593" s="320" t="s">
        <v>488</v>
      </c>
      <c r="D593" s="307">
        <f>D594+D597+D600+D601+D602</f>
        <v>5161.3335049087054</v>
      </c>
      <c r="E593" s="307">
        <f t="shared" ref="E593:Q593" si="382">E594+E597+E600+E601+E602</f>
        <v>5016.9072790263535</v>
      </c>
      <c r="F593" s="307">
        <f t="shared" si="382"/>
        <v>0</v>
      </c>
      <c r="G593" s="307">
        <f t="shared" si="382"/>
        <v>144.42622588235295</v>
      </c>
      <c r="H593" s="307">
        <f t="shared" si="382"/>
        <v>4552.7040514545879</v>
      </c>
      <c r="I593" s="307">
        <f t="shared" si="382"/>
        <v>0</v>
      </c>
      <c r="J593" s="307">
        <f t="shared" si="382"/>
        <v>0</v>
      </c>
      <c r="K593" s="307">
        <f t="shared" si="382"/>
        <v>608.62945345411765</v>
      </c>
      <c r="L593" s="307">
        <f t="shared" si="382"/>
        <v>60.862945345411767</v>
      </c>
      <c r="M593" s="307">
        <f t="shared" si="382"/>
        <v>0</v>
      </c>
      <c r="N593" s="307">
        <f t="shared" si="382"/>
        <v>60.862945345411767</v>
      </c>
      <c r="O593" s="307">
        <f t="shared" si="382"/>
        <v>60.862945345411767</v>
      </c>
      <c r="P593" s="307">
        <f t="shared" si="382"/>
        <v>0</v>
      </c>
      <c r="Q593" s="307">
        <f t="shared" si="382"/>
        <v>0</v>
      </c>
      <c r="R593" s="307">
        <f>R594+R597+R600+R601+R602</f>
        <v>5161.3335049087054</v>
      </c>
      <c r="S593" s="307">
        <f t="shared" ref="S593:T593" si="383">S594+S597+S600+S601+S602</f>
        <v>0</v>
      </c>
      <c r="T593" s="307">
        <f t="shared" si="383"/>
        <v>5161.3335049087063</v>
      </c>
    </row>
    <row r="594" spans="1:20" ht="27.75" customHeight="1">
      <c r="A594" s="325" t="s">
        <v>438</v>
      </c>
      <c r="B594" s="164" t="s">
        <v>277</v>
      </c>
      <c r="C594" s="320" t="s">
        <v>488</v>
      </c>
      <c r="D594" s="306">
        <f t="shared" ref="D594:D600" si="384">SUM(E594:G594)</f>
        <v>3858.9402362399992</v>
      </c>
      <c r="E594" s="306">
        <f>SUM(E595:E596)</f>
        <v>3736.1779442399993</v>
      </c>
      <c r="F594" s="306">
        <f>SUM(F595:F596)</f>
        <v>0</v>
      </c>
      <c r="G594" s="306">
        <f>SUM(G595:G596)</f>
        <v>122.762292</v>
      </c>
      <c r="H594" s="307">
        <f t="shared" ref="H594:H601" si="385">D594</f>
        <v>3858.9402362399992</v>
      </c>
      <c r="I594" s="309"/>
      <c r="J594" s="309"/>
      <c r="K594" s="309"/>
      <c r="L594" s="309">
        <f>K594*10%</f>
        <v>0</v>
      </c>
      <c r="M594" s="309"/>
      <c r="N594" s="309">
        <f>L594+M594</f>
        <v>0</v>
      </c>
      <c r="O594" s="309">
        <f>L594-P594</f>
        <v>0</v>
      </c>
      <c r="P594" s="309">
        <f>N594</f>
        <v>0</v>
      </c>
      <c r="Q594" s="309">
        <f>M594</f>
        <v>0</v>
      </c>
      <c r="R594" s="307">
        <f>SUM(R595:R596)</f>
        <v>3858.9402362399992</v>
      </c>
      <c r="S594" s="307">
        <f t="shared" ref="S594:T594" si="386">SUM(S595:S596)</f>
        <v>0</v>
      </c>
      <c r="T594" s="307">
        <f t="shared" si="386"/>
        <v>3858.9402362399996</v>
      </c>
    </row>
    <row r="595" spans="1:20" ht="27.75" customHeight="1">
      <c r="A595" s="325" t="s">
        <v>489</v>
      </c>
      <c r="B595" s="164" t="s">
        <v>490</v>
      </c>
      <c r="C595" s="320" t="s">
        <v>444</v>
      </c>
      <c r="D595" s="306">
        <f t="shared" si="384"/>
        <v>3736.1779442399993</v>
      </c>
      <c r="E595" s="306">
        <f>'[2] TL giao BC '!T779</f>
        <v>3736.1779442399993</v>
      </c>
      <c r="F595" s="306"/>
      <c r="G595" s="306"/>
      <c r="H595" s="307">
        <f t="shared" si="385"/>
        <v>3736.1779442399993</v>
      </c>
      <c r="I595" s="309"/>
      <c r="J595" s="309"/>
      <c r="K595" s="309"/>
      <c r="L595" s="309"/>
      <c r="M595" s="309"/>
      <c r="N595" s="309"/>
      <c r="O595" s="309"/>
      <c r="P595" s="309"/>
      <c r="Q595" s="309"/>
      <c r="R595" s="307">
        <f>D595-N595</f>
        <v>3736.1779442399993</v>
      </c>
      <c r="S595" s="307">
        <v>122.76</v>
      </c>
      <c r="T595" s="307">
        <f>R595+S595</f>
        <v>3858.9379442399995</v>
      </c>
    </row>
    <row r="596" spans="1:20" ht="27.75" customHeight="1">
      <c r="A596" s="325" t="s">
        <v>489</v>
      </c>
      <c r="B596" s="164" t="s">
        <v>305</v>
      </c>
      <c r="C596" s="320" t="s">
        <v>478</v>
      </c>
      <c r="D596" s="306">
        <f t="shared" si="384"/>
        <v>122.762292</v>
      </c>
      <c r="E596" s="306"/>
      <c r="F596" s="306"/>
      <c r="G596" s="306">
        <f>'[2] TL giao BC tăng thêm'!T287</f>
        <v>122.762292</v>
      </c>
      <c r="H596" s="307">
        <f t="shared" si="385"/>
        <v>122.762292</v>
      </c>
      <c r="I596" s="309"/>
      <c r="J596" s="309"/>
      <c r="K596" s="309"/>
      <c r="L596" s="309"/>
      <c r="M596" s="309"/>
      <c r="N596" s="309"/>
      <c r="O596" s="309"/>
      <c r="P596" s="309"/>
      <c r="Q596" s="309"/>
      <c r="R596" s="307">
        <f>D596-N596</f>
        <v>122.762292</v>
      </c>
      <c r="S596" s="307">
        <v>-122.76</v>
      </c>
      <c r="T596" s="307">
        <f>R596+S596</f>
        <v>2.2919999999970742E-3</v>
      </c>
    </row>
    <row r="597" spans="1:20" ht="27.75" customHeight="1">
      <c r="A597" s="304" t="s">
        <v>438</v>
      </c>
      <c r="B597" s="166" t="s">
        <v>278</v>
      </c>
      <c r="C597" s="320" t="s">
        <v>444</v>
      </c>
      <c r="D597" s="306">
        <f t="shared" si="384"/>
        <v>802.8667605600001</v>
      </c>
      <c r="E597" s="306">
        <f>SUM(E598:E599)</f>
        <v>802.8667605600001</v>
      </c>
      <c r="F597" s="306">
        <f>SUM(F598:F599)</f>
        <v>0</v>
      </c>
      <c r="G597" s="306">
        <f>SUM(G598:G599)</f>
        <v>0</v>
      </c>
      <c r="H597" s="307">
        <f t="shared" si="385"/>
        <v>802.8667605600001</v>
      </c>
      <c r="I597" s="309"/>
      <c r="J597" s="309"/>
      <c r="K597" s="309"/>
      <c r="L597" s="309">
        <f>K597*10%</f>
        <v>0</v>
      </c>
      <c r="M597" s="309"/>
      <c r="N597" s="309">
        <f>L597+M597</f>
        <v>0</v>
      </c>
      <c r="O597" s="309">
        <f>L597-P597</f>
        <v>0</v>
      </c>
      <c r="P597" s="309">
        <f>N597</f>
        <v>0</v>
      </c>
      <c r="Q597" s="309">
        <f>M597</f>
        <v>0</v>
      </c>
      <c r="R597" s="307">
        <f>SUM(R598:R599)</f>
        <v>802.8667605600001</v>
      </c>
      <c r="S597" s="307">
        <f t="shared" ref="S597:T597" si="387">SUM(S598:S599)</f>
        <v>0</v>
      </c>
      <c r="T597" s="307">
        <f t="shared" si="387"/>
        <v>802.8667605600001</v>
      </c>
    </row>
    <row r="598" spans="1:20" ht="27.75" customHeight="1">
      <c r="A598" s="325" t="s">
        <v>489</v>
      </c>
      <c r="B598" s="166" t="s">
        <v>491</v>
      </c>
      <c r="C598" s="320" t="s">
        <v>444</v>
      </c>
      <c r="D598" s="306">
        <f t="shared" si="384"/>
        <v>777.32561256000008</v>
      </c>
      <c r="E598" s="306">
        <f>'[2] TL giao BC '!U779</f>
        <v>777.32561256000008</v>
      </c>
      <c r="F598" s="306"/>
      <c r="G598" s="306"/>
      <c r="H598" s="307">
        <f t="shared" si="385"/>
        <v>777.32561256000008</v>
      </c>
      <c r="I598" s="309"/>
      <c r="J598" s="309"/>
      <c r="K598" s="309"/>
      <c r="L598" s="309"/>
      <c r="M598" s="309"/>
      <c r="N598" s="309"/>
      <c r="O598" s="309"/>
      <c r="P598" s="309"/>
      <c r="Q598" s="309"/>
      <c r="R598" s="307">
        <f>D598-N598</f>
        <v>777.32561256000008</v>
      </c>
      <c r="S598" s="307">
        <v>25.54</v>
      </c>
      <c r="T598" s="307">
        <f t="shared" ref="T598:T599" si="388">R598+S598</f>
        <v>802.86561256000005</v>
      </c>
    </row>
    <row r="599" spans="1:20" ht="27.75" customHeight="1">
      <c r="A599" s="325" t="s">
        <v>489</v>
      </c>
      <c r="B599" s="164" t="s">
        <v>492</v>
      </c>
      <c r="C599" s="320" t="s">
        <v>444</v>
      </c>
      <c r="D599" s="306">
        <f t="shared" si="384"/>
        <v>25.541148</v>
      </c>
      <c r="E599" s="306">
        <f>'[2] TL giao BC tăng thêm'!U287</f>
        <v>25.541148</v>
      </c>
      <c r="F599" s="306"/>
      <c r="G599" s="306"/>
      <c r="H599" s="307">
        <f t="shared" si="385"/>
        <v>25.541148</v>
      </c>
      <c r="I599" s="309"/>
      <c r="J599" s="309"/>
      <c r="K599" s="309"/>
      <c r="L599" s="309"/>
      <c r="M599" s="309"/>
      <c r="N599" s="309"/>
      <c r="O599" s="309"/>
      <c r="P599" s="309"/>
      <c r="Q599" s="309"/>
      <c r="R599" s="307">
        <f>D599-N599</f>
        <v>25.541148</v>
      </c>
      <c r="S599" s="307">
        <v>-25.54</v>
      </c>
      <c r="T599" s="307">
        <f t="shared" si="388"/>
        <v>1.148000000000593E-3</v>
      </c>
    </row>
    <row r="600" spans="1:20" ht="27.75" customHeight="1">
      <c r="A600" s="325" t="s">
        <v>438</v>
      </c>
      <c r="B600" s="164" t="s">
        <v>483</v>
      </c>
      <c r="C600" s="320"/>
      <c r="D600" s="306">
        <f t="shared" si="384"/>
        <v>-48.24</v>
      </c>
      <c r="E600" s="306">
        <f>-'[2]Biểu Thu '!P31-'[2]Biểu Thu '!AB31</f>
        <v>-48.24</v>
      </c>
      <c r="F600" s="306"/>
      <c r="G600" s="306"/>
      <c r="H600" s="307">
        <f t="shared" si="385"/>
        <v>-48.24</v>
      </c>
      <c r="I600" s="309"/>
      <c r="J600" s="309"/>
      <c r="K600" s="309"/>
      <c r="L600" s="309"/>
      <c r="M600" s="309"/>
      <c r="N600" s="309"/>
      <c r="O600" s="309"/>
      <c r="P600" s="309"/>
      <c r="Q600" s="309"/>
      <c r="R600" s="307">
        <f>D600-N600</f>
        <v>-48.24</v>
      </c>
      <c r="S600" s="307"/>
      <c r="T600" s="307">
        <f>R600+S600</f>
        <v>-48.24</v>
      </c>
    </row>
    <row r="601" spans="1:20" s="311" customFormat="1" ht="27.75" customHeight="1">
      <c r="A601" s="304" t="s">
        <v>438</v>
      </c>
      <c r="B601" s="166" t="s">
        <v>452</v>
      </c>
      <c r="C601" s="320" t="s">
        <v>488</v>
      </c>
      <c r="D601" s="306">
        <f>E601+G601</f>
        <v>-60.862945345411767</v>
      </c>
      <c r="E601" s="306">
        <f>-L602</f>
        <v>-60.862945345411767</v>
      </c>
      <c r="F601" s="306"/>
      <c r="G601" s="306"/>
      <c r="H601" s="307">
        <f t="shared" si="385"/>
        <v>-60.862945345411767</v>
      </c>
      <c r="I601" s="308"/>
      <c r="J601" s="308"/>
      <c r="K601" s="308"/>
      <c r="L601" s="309">
        <f>K601*10%</f>
        <v>0</v>
      </c>
      <c r="M601" s="309"/>
      <c r="N601" s="309">
        <f>L601+M601</f>
        <v>0</v>
      </c>
      <c r="O601" s="309">
        <f>L601-P601</f>
        <v>0</v>
      </c>
      <c r="P601" s="309">
        <f>N601</f>
        <v>0</v>
      </c>
      <c r="Q601" s="309">
        <f>M601</f>
        <v>0</v>
      </c>
      <c r="R601" s="307"/>
      <c r="S601" s="306"/>
      <c r="T601" s="307"/>
    </row>
    <row r="602" spans="1:20" ht="26.25" customHeight="1">
      <c r="A602" s="304" t="s">
        <v>438</v>
      </c>
      <c r="B602" s="166" t="s">
        <v>412</v>
      </c>
      <c r="C602" s="320" t="s">
        <v>488</v>
      </c>
      <c r="D602" s="306">
        <f>SUM(E602:G602)</f>
        <v>608.62945345411765</v>
      </c>
      <c r="E602" s="306">
        <f>SUM(E603:E604)</f>
        <v>586.96551957176473</v>
      </c>
      <c r="F602" s="306">
        <f>SUM(F603:F604)</f>
        <v>0</v>
      </c>
      <c r="G602" s="306">
        <f>SUM(G603:G604)</f>
        <v>21.66393388235295</v>
      </c>
      <c r="H602" s="309"/>
      <c r="I602" s="309"/>
      <c r="J602" s="309"/>
      <c r="K602" s="309">
        <f>SUM(K603:K604)</f>
        <v>608.62945345411765</v>
      </c>
      <c r="L602" s="309">
        <f>SUM(L603:L604)</f>
        <v>60.862945345411767</v>
      </c>
      <c r="M602" s="309"/>
      <c r="N602" s="309">
        <f>L602+M602</f>
        <v>60.862945345411767</v>
      </c>
      <c r="O602" s="309">
        <f>N602</f>
        <v>60.862945345411767</v>
      </c>
      <c r="P602" s="309">
        <f>N602-O602</f>
        <v>0</v>
      </c>
      <c r="Q602" s="309">
        <f>M602</f>
        <v>0</v>
      </c>
      <c r="R602" s="307">
        <f>D602-N602</f>
        <v>547.76650810870592</v>
      </c>
      <c r="S602" s="307">
        <f>SUM(S603:S604)</f>
        <v>0</v>
      </c>
      <c r="T602" s="307">
        <f>SUM(T603:T604)</f>
        <v>547.76650810870592</v>
      </c>
    </row>
    <row r="603" spans="1:20" ht="39" customHeight="1">
      <c r="A603" s="325" t="s">
        <v>489</v>
      </c>
      <c r="B603" s="166" t="s">
        <v>556</v>
      </c>
      <c r="C603" s="320" t="s">
        <v>444</v>
      </c>
      <c r="D603" s="306">
        <f>SUM(E603:G603)</f>
        <v>586.96551957176473</v>
      </c>
      <c r="E603" s="306">
        <f>'[2] TL giao BC '!Z779</f>
        <v>586.96551957176473</v>
      </c>
      <c r="F603" s="306"/>
      <c r="G603" s="306"/>
      <c r="H603" s="309"/>
      <c r="I603" s="309"/>
      <c r="J603" s="309"/>
      <c r="K603" s="309">
        <f>D603</f>
        <v>586.96551957176473</v>
      </c>
      <c r="L603" s="309">
        <f>K603*10%</f>
        <v>58.696551957176474</v>
      </c>
      <c r="M603" s="309"/>
      <c r="N603" s="309"/>
      <c r="O603" s="309"/>
      <c r="P603" s="309"/>
      <c r="Q603" s="309"/>
      <c r="R603" s="307"/>
      <c r="S603" s="307">
        <v>21.66</v>
      </c>
      <c r="T603" s="307">
        <f>K603-L603+S603</f>
        <v>549.92896761458826</v>
      </c>
    </row>
    <row r="604" spans="1:20" ht="33" customHeight="1">
      <c r="A604" s="325" t="s">
        <v>489</v>
      </c>
      <c r="B604" s="164" t="s">
        <v>499</v>
      </c>
      <c r="C604" s="320" t="s">
        <v>478</v>
      </c>
      <c r="D604" s="306">
        <f>SUM(E604:G604)</f>
        <v>21.66393388235295</v>
      </c>
      <c r="E604" s="306"/>
      <c r="F604" s="306"/>
      <c r="G604" s="306">
        <f>'[2] TL giao BC tăng thêm'!X287</f>
        <v>21.66393388235295</v>
      </c>
      <c r="H604" s="309"/>
      <c r="I604" s="309"/>
      <c r="J604" s="309"/>
      <c r="K604" s="309">
        <f>D604</f>
        <v>21.66393388235295</v>
      </c>
      <c r="L604" s="309">
        <f>K604*10%</f>
        <v>2.1663933882352953</v>
      </c>
      <c r="M604" s="309"/>
      <c r="N604" s="309"/>
      <c r="O604" s="309"/>
      <c r="P604" s="309"/>
      <c r="Q604" s="309"/>
      <c r="R604" s="307"/>
      <c r="S604" s="307">
        <v>-21.66</v>
      </c>
      <c r="T604" s="307">
        <f>K604-L604+S604</f>
        <v>-2.1624595058823459</v>
      </c>
    </row>
    <row r="605" spans="1:20" ht="30" customHeight="1">
      <c r="A605" s="303" t="s">
        <v>481</v>
      </c>
      <c r="B605" s="326" t="s">
        <v>485</v>
      </c>
      <c r="C605" s="320" t="s">
        <v>488</v>
      </c>
      <c r="D605" s="307">
        <f>E605+G605+F605</f>
        <v>2277.5400000000004</v>
      </c>
      <c r="E605" s="307">
        <f t="shared" ref="E605:T605" si="389">SUM(E606:E610)</f>
        <v>1925.1200000000003</v>
      </c>
      <c r="F605" s="307">
        <f t="shared" si="389"/>
        <v>0</v>
      </c>
      <c r="G605" s="307">
        <f t="shared" si="389"/>
        <v>352.41999999999996</v>
      </c>
      <c r="H605" s="307">
        <f t="shared" si="389"/>
        <v>0</v>
      </c>
      <c r="I605" s="307">
        <f t="shared" si="389"/>
        <v>2277.5400000000004</v>
      </c>
      <c r="J605" s="307">
        <f t="shared" si="389"/>
        <v>0</v>
      </c>
      <c r="K605" s="307">
        <f t="shared" si="389"/>
        <v>0</v>
      </c>
      <c r="L605" s="307">
        <f t="shared" si="389"/>
        <v>0</v>
      </c>
      <c r="M605" s="307">
        <f t="shared" si="389"/>
        <v>0</v>
      </c>
      <c r="N605" s="307">
        <f t="shared" si="389"/>
        <v>0</v>
      </c>
      <c r="O605" s="307">
        <f t="shared" si="389"/>
        <v>0</v>
      </c>
      <c r="P605" s="307">
        <f t="shared" si="389"/>
        <v>0</v>
      </c>
      <c r="Q605" s="307">
        <f t="shared" si="389"/>
        <v>0</v>
      </c>
      <c r="R605" s="307">
        <f t="shared" si="389"/>
        <v>2277.5400000000004</v>
      </c>
      <c r="S605" s="307">
        <f t="shared" si="389"/>
        <v>0</v>
      </c>
      <c r="T605" s="307">
        <f t="shared" si="389"/>
        <v>2277.5400000000004</v>
      </c>
    </row>
    <row r="606" spans="1:20" ht="30" customHeight="1">
      <c r="A606" s="325" t="s">
        <v>438</v>
      </c>
      <c r="B606" s="166" t="s">
        <v>280</v>
      </c>
      <c r="C606" s="320" t="s">
        <v>444</v>
      </c>
      <c r="D606" s="306">
        <f>E606+G606</f>
        <v>120.6</v>
      </c>
      <c r="E606" s="306">
        <f>'[2]CS giáo dục '!Q31</f>
        <v>120.6</v>
      </c>
      <c r="F606" s="306"/>
      <c r="G606" s="306"/>
      <c r="H606" s="309"/>
      <c r="I606" s="309">
        <f>D606</f>
        <v>120.6</v>
      </c>
      <c r="J606" s="309"/>
      <c r="K606" s="309"/>
      <c r="L606" s="309">
        <f>K606*10%</f>
        <v>0</v>
      </c>
      <c r="M606" s="309"/>
      <c r="N606" s="309">
        <f>L606+M606</f>
        <v>0</v>
      </c>
      <c r="O606" s="309">
        <f>N606</f>
        <v>0</v>
      </c>
      <c r="P606" s="309">
        <f>N606-O606</f>
        <v>0</v>
      </c>
      <c r="Q606" s="309">
        <f>M606</f>
        <v>0</v>
      </c>
      <c r="R606" s="307">
        <f>D606-N606</f>
        <v>120.6</v>
      </c>
      <c r="S606" s="307"/>
      <c r="T606" s="307">
        <f>R606+S606</f>
        <v>120.6</v>
      </c>
    </row>
    <row r="607" spans="1:20" ht="30" customHeight="1">
      <c r="A607" s="325" t="s">
        <v>438</v>
      </c>
      <c r="B607" s="166" t="s">
        <v>287</v>
      </c>
      <c r="C607" s="320" t="s">
        <v>488</v>
      </c>
      <c r="D607" s="306">
        <f>E607+G607+F607</f>
        <v>0</v>
      </c>
      <c r="E607" s="306"/>
      <c r="F607" s="306"/>
      <c r="G607" s="306"/>
      <c r="H607" s="309"/>
      <c r="I607" s="309">
        <f>D607</f>
        <v>0</v>
      </c>
      <c r="J607" s="309"/>
      <c r="K607" s="309"/>
      <c r="L607" s="309">
        <f>K607*10%</f>
        <v>0</v>
      </c>
      <c r="M607" s="309"/>
      <c r="N607" s="309">
        <f>L607+M607</f>
        <v>0</v>
      </c>
      <c r="O607" s="309">
        <f>N607</f>
        <v>0</v>
      </c>
      <c r="P607" s="309">
        <f>N607-O607</f>
        <v>0</v>
      </c>
      <c r="Q607" s="309">
        <f>M607</f>
        <v>0</v>
      </c>
      <c r="R607" s="307">
        <f>D607-N607</f>
        <v>0</v>
      </c>
      <c r="S607" s="307"/>
      <c r="T607" s="307">
        <f t="shared" ref="T607:T610" si="390">R607+S607</f>
        <v>0</v>
      </c>
    </row>
    <row r="608" spans="1:20" ht="39" customHeight="1">
      <c r="A608" s="325" t="s">
        <v>438</v>
      </c>
      <c r="B608" s="166" t="s">
        <v>308</v>
      </c>
      <c r="C608" s="320" t="s">
        <v>488</v>
      </c>
      <c r="D608" s="306">
        <f>E608+G608</f>
        <v>12.96</v>
      </c>
      <c r="E608" s="306">
        <f>'[2]CS giáo dục '!AQ31</f>
        <v>9.4400000000000013</v>
      </c>
      <c r="F608" s="306"/>
      <c r="G608" s="306">
        <f>'[2]CS giáo dục '!AS31</f>
        <v>3.52</v>
      </c>
      <c r="H608" s="309"/>
      <c r="I608" s="309">
        <f>D608</f>
        <v>12.96</v>
      </c>
      <c r="J608" s="309"/>
      <c r="K608" s="309"/>
      <c r="L608" s="309">
        <f>K608*10%</f>
        <v>0</v>
      </c>
      <c r="M608" s="309"/>
      <c r="N608" s="309">
        <f>L608+M608</f>
        <v>0</v>
      </c>
      <c r="O608" s="309">
        <f>N608</f>
        <v>0</v>
      </c>
      <c r="P608" s="309">
        <f>N608-O608</f>
        <v>0</v>
      </c>
      <c r="Q608" s="309">
        <f>M608</f>
        <v>0</v>
      </c>
      <c r="R608" s="307">
        <f>D608-N608</f>
        <v>12.96</v>
      </c>
      <c r="S608" s="307"/>
      <c r="T608" s="307">
        <f t="shared" si="390"/>
        <v>12.96</v>
      </c>
    </row>
    <row r="609" spans="1:20" ht="36" customHeight="1">
      <c r="A609" s="325" t="s">
        <v>438</v>
      </c>
      <c r="B609" s="166" t="s">
        <v>495</v>
      </c>
      <c r="C609" s="320" t="s">
        <v>488</v>
      </c>
      <c r="D609" s="306">
        <f>E609+G609</f>
        <v>2143.9800000000005</v>
      </c>
      <c r="E609" s="306">
        <f>'[2]CS giáo dục '!BG31</f>
        <v>1795.0800000000004</v>
      </c>
      <c r="F609" s="306"/>
      <c r="G609" s="306">
        <f>'[2]CS giáo dục '!BI31</f>
        <v>348.9</v>
      </c>
      <c r="H609" s="309"/>
      <c r="I609" s="309">
        <f>D609</f>
        <v>2143.9800000000005</v>
      </c>
      <c r="J609" s="309"/>
      <c r="K609" s="309"/>
      <c r="L609" s="309">
        <f>K609*10%</f>
        <v>0</v>
      </c>
      <c r="M609" s="309"/>
      <c r="N609" s="309">
        <f>L609+M609</f>
        <v>0</v>
      </c>
      <c r="O609" s="309">
        <f>N609</f>
        <v>0</v>
      </c>
      <c r="P609" s="309">
        <f>N609-O609</f>
        <v>0</v>
      </c>
      <c r="Q609" s="309">
        <f>M609</f>
        <v>0</v>
      </c>
      <c r="R609" s="307">
        <f>D609-N609</f>
        <v>2143.9800000000005</v>
      </c>
      <c r="S609" s="307"/>
      <c r="T609" s="307">
        <f t="shared" si="390"/>
        <v>2143.9800000000005</v>
      </c>
    </row>
    <row r="610" spans="1:20" ht="26.25" customHeight="1">
      <c r="A610" s="325" t="s">
        <v>438</v>
      </c>
      <c r="B610" s="166" t="s">
        <v>309</v>
      </c>
      <c r="C610" s="320" t="s">
        <v>478</v>
      </c>
      <c r="D610" s="306">
        <f>E610+G610</f>
        <v>0</v>
      </c>
      <c r="E610" s="306"/>
      <c r="F610" s="306"/>
      <c r="G610" s="306"/>
      <c r="H610" s="309"/>
      <c r="I610" s="309">
        <f>D610</f>
        <v>0</v>
      </c>
      <c r="J610" s="309"/>
      <c r="K610" s="309"/>
      <c r="L610" s="309">
        <f>K610*10%</f>
        <v>0</v>
      </c>
      <c r="M610" s="309"/>
      <c r="N610" s="309">
        <f>L610+M610</f>
        <v>0</v>
      </c>
      <c r="O610" s="309">
        <f>N610</f>
        <v>0</v>
      </c>
      <c r="P610" s="309">
        <f>N610-O610</f>
        <v>0</v>
      </c>
      <c r="Q610" s="309">
        <f>M610</f>
        <v>0</v>
      </c>
      <c r="R610" s="307">
        <f>D610-N610</f>
        <v>0</v>
      </c>
      <c r="S610" s="307"/>
      <c r="T610" s="307">
        <f t="shared" si="390"/>
        <v>0</v>
      </c>
    </row>
    <row r="611" spans="1:20" s="328" customFormat="1" ht="27.75" customHeight="1">
      <c r="A611" s="320">
        <v>3</v>
      </c>
      <c r="B611" s="321" t="s">
        <v>356</v>
      </c>
      <c r="C611" s="320" t="s">
        <v>488</v>
      </c>
      <c r="D611" s="322">
        <f>D612+D624</f>
        <v>12388.646065176485</v>
      </c>
      <c r="E611" s="322">
        <f>E612+E624+0.001</f>
        <v>12013.655060577295</v>
      </c>
      <c r="F611" s="322">
        <f t="shared" ref="F611:Q611" si="391">F612+F624</f>
        <v>0</v>
      </c>
      <c r="G611" s="322">
        <f t="shared" si="391"/>
        <v>374.9920045991903</v>
      </c>
      <c r="H611" s="322">
        <f t="shared" si="391"/>
        <v>10925.267519491412</v>
      </c>
      <c r="I611" s="322">
        <f t="shared" si="391"/>
        <v>122.50181659919031</v>
      </c>
      <c r="J611" s="322">
        <f t="shared" si="391"/>
        <v>0</v>
      </c>
      <c r="K611" s="322">
        <f t="shared" si="391"/>
        <v>1340.8767290858825</v>
      </c>
      <c r="L611" s="322">
        <f t="shared" si="391"/>
        <v>134.08767290858827</v>
      </c>
      <c r="M611" s="322">
        <f t="shared" si="391"/>
        <v>0</v>
      </c>
      <c r="N611" s="322">
        <f t="shared" si="391"/>
        <v>134.08767290858827</v>
      </c>
      <c r="O611" s="322">
        <f t="shared" si="391"/>
        <v>134.08767290858827</v>
      </c>
      <c r="P611" s="322">
        <f t="shared" si="391"/>
        <v>0</v>
      </c>
      <c r="Q611" s="322">
        <f t="shared" si="391"/>
        <v>0</v>
      </c>
      <c r="R611" s="322">
        <f>R612+R624</f>
        <v>12388.646065176485</v>
      </c>
      <c r="S611" s="322">
        <f t="shared" ref="S611:T611" si="392">S612+S624</f>
        <v>0</v>
      </c>
      <c r="T611" s="322">
        <f t="shared" si="392"/>
        <v>12388.646065176486</v>
      </c>
    </row>
    <row r="612" spans="1:20" ht="27.75" customHeight="1">
      <c r="A612" s="303" t="s">
        <v>481</v>
      </c>
      <c r="B612" s="323" t="s">
        <v>482</v>
      </c>
      <c r="C612" s="320" t="s">
        <v>488</v>
      </c>
      <c r="D612" s="307">
        <f>D613+D616+D619+D620+D621</f>
        <v>12266.144248577295</v>
      </c>
      <c r="E612" s="307">
        <f t="shared" ref="E612:Q612" si="393">E613+E616+E619+E620+E621</f>
        <v>11950.024060577296</v>
      </c>
      <c r="F612" s="307">
        <f t="shared" si="393"/>
        <v>0</v>
      </c>
      <c r="G612" s="307">
        <f t="shared" si="393"/>
        <v>316.12018799999998</v>
      </c>
      <c r="H612" s="307">
        <f t="shared" si="393"/>
        <v>10925.267519491412</v>
      </c>
      <c r="I612" s="307">
        <f t="shared" si="393"/>
        <v>0</v>
      </c>
      <c r="J612" s="307">
        <f t="shared" si="393"/>
        <v>0</v>
      </c>
      <c r="K612" s="307">
        <f t="shared" si="393"/>
        <v>1340.8767290858825</v>
      </c>
      <c r="L612" s="307">
        <f t="shared" si="393"/>
        <v>134.08767290858827</v>
      </c>
      <c r="M612" s="307">
        <f t="shared" si="393"/>
        <v>0</v>
      </c>
      <c r="N612" s="307">
        <f t="shared" si="393"/>
        <v>134.08767290858827</v>
      </c>
      <c r="O612" s="307">
        <f t="shared" si="393"/>
        <v>134.08767290858827</v>
      </c>
      <c r="P612" s="307">
        <f t="shared" si="393"/>
        <v>0</v>
      </c>
      <c r="Q612" s="307">
        <f t="shared" si="393"/>
        <v>0</v>
      </c>
      <c r="R612" s="307">
        <f>R613+R616+R619+R620+R621</f>
        <v>12266.144248577295</v>
      </c>
      <c r="S612" s="307">
        <f t="shared" ref="S612:T612" si="394">S613+S616+S619+S620+S621</f>
        <v>0</v>
      </c>
      <c r="T612" s="307">
        <f t="shared" si="394"/>
        <v>12266.144248577297</v>
      </c>
    </row>
    <row r="613" spans="1:20" ht="27.75" customHeight="1">
      <c r="A613" s="325" t="s">
        <v>438</v>
      </c>
      <c r="B613" s="164" t="s">
        <v>277</v>
      </c>
      <c r="C613" s="320" t="s">
        <v>488</v>
      </c>
      <c r="D613" s="306">
        <f t="shared" ref="D613:D619" si="395">SUM(E613:G613)</f>
        <v>9322.61146482</v>
      </c>
      <c r="E613" s="306">
        <f>SUM(E614:E615)</f>
        <v>9053.9093050200008</v>
      </c>
      <c r="F613" s="306">
        <f>SUM(F614:F615)</f>
        <v>0</v>
      </c>
      <c r="G613" s="306">
        <f>SUM(G614:G615)</f>
        <v>268.7021598</v>
      </c>
      <c r="H613" s="307">
        <f t="shared" ref="H613:H620" si="396">D613</f>
        <v>9322.61146482</v>
      </c>
      <c r="I613" s="309"/>
      <c r="J613" s="309"/>
      <c r="K613" s="309"/>
      <c r="L613" s="309">
        <f>K613*10%</f>
        <v>0</v>
      </c>
      <c r="M613" s="309"/>
      <c r="N613" s="309">
        <f>L613+M613</f>
        <v>0</v>
      </c>
      <c r="O613" s="309">
        <f>L613-P613</f>
        <v>0</v>
      </c>
      <c r="P613" s="309">
        <f>N613</f>
        <v>0</v>
      </c>
      <c r="Q613" s="309">
        <f>M613</f>
        <v>0</v>
      </c>
      <c r="R613" s="307">
        <f>SUM(R614:R615)</f>
        <v>9322.61146482</v>
      </c>
      <c r="S613" s="307">
        <f t="shared" ref="S613:T613" si="397">SUM(S614:S615)</f>
        <v>0</v>
      </c>
      <c r="T613" s="307">
        <f t="shared" si="397"/>
        <v>9322.6114648200019</v>
      </c>
    </row>
    <row r="614" spans="1:20" ht="27.75" customHeight="1">
      <c r="A614" s="325" t="s">
        <v>489</v>
      </c>
      <c r="B614" s="164" t="s">
        <v>490</v>
      </c>
      <c r="C614" s="320" t="s">
        <v>444</v>
      </c>
      <c r="D614" s="306">
        <f t="shared" si="395"/>
        <v>9053.9093050200008</v>
      </c>
      <c r="E614" s="306">
        <f>'[2] TL giao BC '!T802</f>
        <v>9053.9093050200008</v>
      </c>
      <c r="F614" s="306"/>
      <c r="G614" s="306"/>
      <c r="H614" s="307">
        <f t="shared" si="396"/>
        <v>9053.9093050200008</v>
      </c>
      <c r="I614" s="309"/>
      <c r="J614" s="309"/>
      <c r="K614" s="309"/>
      <c r="L614" s="309"/>
      <c r="M614" s="309"/>
      <c r="N614" s="309"/>
      <c r="O614" s="309"/>
      <c r="P614" s="309"/>
      <c r="Q614" s="309"/>
      <c r="R614" s="307">
        <f>D614-N614</f>
        <v>9053.9093050200008</v>
      </c>
      <c r="S614" s="307">
        <v>268.7</v>
      </c>
      <c r="T614" s="307">
        <f>R614+S614</f>
        <v>9322.6093050200016</v>
      </c>
    </row>
    <row r="615" spans="1:20" ht="27.75" customHeight="1">
      <c r="A615" s="325" t="s">
        <v>489</v>
      </c>
      <c r="B615" s="164" t="s">
        <v>305</v>
      </c>
      <c r="C615" s="320" t="s">
        <v>478</v>
      </c>
      <c r="D615" s="306">
        <f t="shared" si="395"/>
        <v>268.7021598</v>
      </c>
      <c r="E615" s="306"/>
      <c r="F615" s="306"/>
      <c r="G615" s="306">
        <f>'[2] TL giao BC tăng thêm'!T289</f>
        <v>268.7021598</v>
      </c>
      <c r="H615" s="307">
        <f t="shared" si="396"/>
        <v>268.7021598</v>
      </c>
      <c r="I615" s="309"/>
      <c r="J615" s="309"/>
      <c r="K615" s="309"/>
      <c r="L615" s="309"/>
      <c r="M615" s="309"/>
      <c r="N615" s="309"/>
      <c r="O615" s="309"/>
      <c r="P615" s="309"/>
      <c r="Q615" s="309"/>
      <c r="R615" s="307">
        <f>D615-N615</f>
        <v>268.7021598</v>
      </c>
      <c r="S615" s="307">
        <v>-268.7</v>
      </c>
      <c r="T615" s="307">
        <f>R615+S615</f>
        <v>2.1598000000153661E-3</v>
      </c>
    </row>
    <row r="616" spans="1:20" ht="27.75" customHeight="1">
      <c r="A616" s="304" t="s">
        <v>438</v>
      </c>
      <c r="B616" s="166" t="s">
        <v>278</v>
      </c>
      <c r="C616" s="320" t="s">
        <v>444</v>
      </c>
      <c r="D616" s="306">
        <f t="shared" si="395"/>
        <v>1939.6037275800002</v>
      </c>
      <c r="E616" s="306">
        <f>SUM(E617:E618)</f>
        <v>1939.6037275800002</v>
      </c>
      <c r="F616" s="306">
        <f>SUM(F617:F618)</f>
        <v>0</v>
      </c>
      <c r="G616" s="306">
        <f>SUM(G617:G618)</f>
        <v>0</v>
      </c>
      <c r="H616" s="307">
        <f t="shared" si="396"/>
        <v>1939.6037275800002</v>
      </c>
      <c r="I616" s="309"/>
      <c r="J616" s="309"/>
      <c r="K616" s="309"/>
      <c r="L616" s="309">
        <f>K616*10%</f>
        <v>0</v>
      </c>
      <c r="M616" s="309"/>
      <c r="N616" s="309">
        <f>L616+M616</f>
        <v>0</v>
      </c>
      <c r="O616" s="309">
        <f>L616-P616</f>
        <v>0</v>
      </c>
      <c r="P616" s="309">
        <f>N616</f>
        <v>0</v>
      </c>
      <c r="Q616" s="309">
        <f>M616</f>
        <v>0</v>
      </c>
      <c r="R616" s="307">
        <f>SUM(R617:R618)</f>
        <v>1939.6037275800002</v>
      </c>
      <c r="S616" s="307">
        <f t="shared" ref="S616:T616" si="398">SUM(S617:S618)</f>
        <v>0</v>
      </c>
      <c r="T616" s="307">
        <f t="shared" si="398"/>
        <v>1939.6037275800002</v>
      </c>
    </row>
    <row r="617" spans="1:20" ht="27.75" customHeight="1">
      <c r="A617" s="325" t="s">
        <v>489</v>
      </c>
      <c r="B617" s="166" t="s">
        <v>491</v>
      </c>
      <c r="C617" s="320" t="s">
        <v>444</v>
      </c>
      <c r="D617" s="306">
        <f t="shared" si="395"/>
        <v>1883.6992513800001</v>
      </c>
      <c r="E617" s="306">
        <f>'[2] TL giao BC '!U802</f>
        <v>1883.6992513800001</v>
      </c>
      <c r="F617" s="306"/>
      <c r="G617" s="306"/>
      <c r="H617" s="307">
        <f t="shared" si="396"/>
        <v>1883.6992513800001</v>
      </c>
      <c r="I617" s="309"/>
      <c r="J617" s="309"/>
      <c r="K617" s="309"/>
      <c r="L617" s="309"/>
      <c r="M617" s="309"/>
      <c r="N617" s="309"/>
      <c r="O617" s="309"/>
      <c r="P617" s="309"/>
      <c r="Q617" s="309"/>
      <c r="R617" s="307">
        <f>D617-N617</f>
        <v>1883.6992513800001</v>
      </c>
      <c r="S617" s="307">
        <v>55.9</v>
      </c>
      <c r="T617" s="307">
        <f>R617+S617</f>
        <v>1939.5992513800002</v>
      </c>
    </row>
    <row r="618" spans="1:20" ht="27.75" customHeight="1">
      <c r="A618" s="325" t="s">
        <v>489</v>
      </c>
      <c r="B618" s="164" t="s">
        <v>492</v>
      </c>
      <c r="C618" s="320" t="s">
        <v>444</v>
      </c>
      <c r="D618" s="306">
        <f t="shared" si="395"/>
        <v>55.904476199999998</v>
      </c>
      <c r="E618" s="306">
        <f>'[2] TL giao BC tăng thêm'!U289</f>
        <v>55.904476199999998</v>
      </c>
      <c r="F618" s="306"/>
      <c r="G618" s="306"/>
      <c r="H618" s="307">
        <f t="shared" si="396"/>
        <v>55.904476199999998</v>
      </c>
      <c r="I618" s="309"/>
      <c r="J618" s="309"/>
      <c r="K618" s="309"/>
      <c r="L618" s="309"/>
      <c r="M618" s="309"/>
      <c r="N618" s="309"/>
      <c r="O618" s="309"/>
      <c r="P618" s="309"/>
      <c r="Q618" s="309"/>
      <c r="R618" s="307">
        <f>D618-N618</f>
        <v>55.904476199999998</v>
      </c>
      <c r="S618" s="307">
        <v>-55.9</v>
      </c>
      <c r="T618" s="307">
        <f>R618+S618</f>
        <v>4.4761999999991531E-3</v>
      </c>
    </row>
    <row r="619" spans="1:20" ht="27.75" customHeight="1">
      <c r="A619" s="325" t="s">
        <v>438</v>
      </c>
      <c r="B619" s="164" t="s">
        <v>483</v>
      </c>
      <c r="C619" s="320"/>
      <c r="D619" s="306">
        <f t="shared" si="395"/>
        <v>-202.86</v>
      </c>
      <c r="E619" s="306">
        <f>-'[2]Biểu Thu '!P32-'[2]Biểu Thu '!AB32</f>
        <v>-202.86</v>
      </c>
      <c r="F619" s="306"/>
      <c r="G619" s="306"/>
      <c r="H619" s="307">
        <f t="shared" si="396"/>
        <v>-202.86</v>
      </c>
      <c r="I619" s="309"/>
      <c r="J619" s="309"/>
      <c r="K619" s="309"/>
      <c r="L619" s="309"/>
      <c r="M619" s="309"/>
      <c r="N619" s="309"/>
      <c r="O619" s="309"/>
      <c r="P619" s="309"/>
      <c r="Q619" s="309"/>
      <c r="R619" s="307">
        <f>D619-N619</f>
        <v>-202.86</v>
      </c>
      <c r="S619" s="307"/>
      <c r="T619" s="307">
        <f>R619+S619</f>
        <v>-202.86</v>
      </c>
    </row>
    <row r="620" spans="1:20" s="311" customFormat="1" ht="27.75" customHeight="1">
      <c r="A620" s="304" t="s">
        <v>438</v>
      </c>
      <c r="B620" s="166" t="s">
        <v>452</v>
      </c>
      <c r="C620" s="320" t="s">
        <v>488</v>
      </c>
      <c r="D620" s="306">
        <f>E620+G620</f>
        <v>-134.08767290858827</v>
      </c>
      <c r="E620" s="306">
        <f>-L621</f>
        <v>-134.08767290858827</v>
      </c>
      <c r="F620" s="306"/>
      <c r="G620" s="306"/>
      <c r="H620" s="307">
        <f t="shared" si="396"/>
        <v>-134.08767290858827</v>
      </c>
      <c r="I620" s="308"/>
      <c r="J620" s="308"/>
      <c r="K620" s="308"/>
      <c r="L620" s="309">
        <f>K620*10%</f>
        <v>0</v>
      </c>
      <c r="M620" s="309"/>
      <c r="N620" s="309">
        <f>L620+M620</f>
        <v>0</v>
      </c>
      <c r="O620" s="309">
        <f>L620-P620</f>
        <v>0</v>
      </c>
      <c r="P620" s="309">
        <f>N620</f>
        <v>0</v>
      </c>
      <c r="Q620" s="309">
        <f>M620</f>
        <v>0</v>
      </c>
      <c r="R620" s="307"/>
      <c r="S620" s="306"/>
      <c r="T620" s="307"/>
    </row>
    <row r="621" spans="1:20" ht="26.25" customHeight="1">
      <c r="A621" s="304" t="s">
        <v>438</v>
      </c>
      <c r="B621" s="166" t="s">
        <v>412</v>
      </c>
      <c r="C621" s="320" t="s">
        <v>488</v>
      </c>
      <c r="D621" s="306">
        <f>SUM(E621:G621)</f>
        <v>1340.8767290858825</v>
      </c>
      <c r="E621" s="306">
        <f>SUM(E622:E623)</f>
        <v>1293.4587008858825</v>
      </c>
      <c r="F621" s="306">
        <f>SUM(F622:F623)</f>
        <v>0</v>
      </c>
      <c r="G621" s="306">
        <f>SUM(G622:G623)</f>
        <v>47.418028199999981</v>
      </c>
      <c r="H621" s="309"/>
      <c r="I621" s="309"/>
      <c r="J621" s="309"/>
      <c r="K621" s="309">
        <f>SUM(K622:K623)</f>
        <v>1340.8767290858825</v>
      </c>
      <c r="L621" s="309">
        <f>SUM(L622:L623)</f>
        <v>134.08767290858827</v>
      </c>
      <c r="M621" s="309"/>
      <c r="N621" s="309">
        <f>L621+M621</f>
        <v>134.08767290858827</v>
      </c>
      <c r="O621" s="309">
        <f>N621</f>
        <v>134.08767290858827</v>
      </c>
      <c r="P621" s="309">
        <f>N621-O621</f>
        <v>0</v>
      </c>
      <c r="Q621" s="309">
        <f>M621</f>
        <v>0</v>
      </c>
      <c r="R621" s="307">
        <f>D621-N621</f>
        <v>1206.7890561772942</v>
      </c>
      <c r="S621" s="307">
        <f>SUM(S622:S623)</f>
        <v>0</v>
      </c>
      <c r="T621" s="307">
        <f>R621+S621</f>
        <v>1206.7890561772942</v>
      </c>
    </row>
    <row r="622" spans="1:20" ht="39" customHeight="1">
      <c r="A622" s="325" t="s">
        <v>489</v>
      </c>
      <c r="B622" s="166" t="s">
        <v>557</v>
      </c>
      <c r="C622" s="320" t="s">
        <v>444</v>
      </c>
      <c r="D622" s="306">
        <f>SUM(E622:G622)</f>
        <v>1293.4587008858825</v>
      </c>
      <c r="E622" s="306">
        <f>'[2] TL giao BC '!Z802</f>
        <v>1293.4587008858825</v>
      </c>
      <c r="F622" s="306"/>
      <c r="G622" s="306"/>
      <c r="H622" s="309"/>
      <c r="I622" s="309"/>
      <c r="J622" s="309"/>
      <c r="K622" s="309">
        <f>D622</f>
        <v>1293.4587008858825</v>
      </c>
      <c r="L622" s="309">
        <f>K622*10%</f>
        <v>129.34587008858827</v>
      </c>
      <c r="M622" s="309"/>
      <c r="N622" s="309"/>
      <c r="O622" s="309"/>
      <c r="P622" s="309"/>
      <c r="Q622" s="309"/>
      <c r="R622" s="307"/>
      <c r="S622" s="307">
        <v>47.42</v>
      </c>
      <c r="T622" s="307"/>
    </row>
    <row r="623" spans="1:20" ht="33" customHeight="1">
      <c r="A623" s="325" t="s">
        <v>489</v>
      </c>
      <c r="B623" s="164" t="s">
        <v>508</v>
      </c>
      <c r="C623" s="320" t="s">
        <v>478</v>
      </c>
      <c r="D623" s="306">
        <f>SUM(E623:G623)</f>
        <v>47.418028199999981</v>
      </c>
      <c r="E623" s="306"/>
      <c r="F623" s="306"/>
      <c r="G623" s="306">
        <f>'[2] TL giao BC tăng thêm'!X289</f>
        <v>47.418028199999981</v>
      </c>
      <c r="H623" s="309"/>
      <c r="I623" s="309"/>
      <c r="J623" s="309"/>
      <c r="K623" s="309">
        <f>D623</f>
        <v>47.418028199999981</v>
      </c>
      <c r="L623" s="309">
        <f>K623*10%</f>
        <v>4.7418028199999984</v>
      </c>
      <c r="M623" s="309"/>
      <c r="N623" s="309"/>
      <c r="O623" s="309"/>
      <c r="P623" s="309"/>
      <c r="Q623" s="309"/>
      <c r="R623" s="307"/>
      <c r="S623" s="307">
        <v>-47.42</v>
      </c>
      <c r="T623" s="307"/>
    </row>
    <row r="624" spans="1:20" ht="30" customHeight="1">
      <c r="A624" s="303" t="s">
        <v>481</v>
      </c>
      <c r="B624" s="326" t="s">
        <v>485</v>
      </c>
      <c r="C624" s="320" t="s">
        <v>488</v>
      </c>
      <c r="D624" s="307">
        <f>E624+G624+F624</f>
        <v>122.50181659919031</v>
      </c>
      <c r="E624" s="307">
        <f t="shared" ref="E624:T624" si="399">SUM(E625:E629)</f>
        <v>63.63</v>
      </c>
      <c r="F624" s="307">
        <f t="shared" si="399"/>
        <v>0</v>
      </c>
      <c r="G624" s="307">
        <f t="shared" si="399"/>
        <v>58.871816599190296</v>
      </c>
      <c r="H624" s="307">
        <f t="shared" si="399"/>
        <v>0</v>
      </c>
      <c r="I624" s="307">
        <f t="shared" si="399"/>
        <v>122.50181659919031</v>
      </c>
      <c r="J624" s="307">
        <f t="shared" si="399"/>
        <v>0</v>
      </c>
      <c r="K624" s="307">
        <f t="shared" si="399"/>
        <v>0</v>
      </c>
      <c r="L624" s="307">
        <f t="shared" si="399"/>
        <v>0</v>
      </c>
      <c r="M624" s="307">
        <f t="shared" si="399"/>
        <v>0</v>
      </c>
      <c r="N624" s="307">
        <f t="shared" si="399"/>
        <v>0</v>
      </c>
      <c r="O624" s="307">
        <f t="shared" si="399"/>
        <v>0</v>
      </c>
      <c r="P624" s="307">
        <f t="shared" si="399"/>
        <v>0</v>
      </c>
      <c r="Q624" s="307">
        <f t="shared" si="399"/>
        <v>0</v>
      </c>
      <c r="R624" s="307">
        <f t="shared" si="399"/>
        <v>122.50181659919031</v>
      </c>
      <c r="S624" s="307">
        <f t="shared" si="399"/>
        <v>0</v>
      </c>
      <c r="T624" s="307">
        <f t="shared" si="399"/>
        <v>122.50181659919031</v>
      </c>
    </row>
    <row r="625" spans="1:20" ht="30" customHeight="1">
      <c r="A625" s="325" t="s">
        <v>438</v>
      </c>
      <c r="B625" s="166" t="s">
        <v>280</v>
      </c>
      <c r="C625" s="320" t="s">
        <v>444</v>
      </c>
      <c r="D625" s="306">
        <f>E625+G625</f>
        <v>63.63</v>
      </c>
      <c r="E625" s="306">
        <f>'[2]CS giáo dục '!Q32</f>
        <v>63.63</v>
      </c>
      <c r="F625" s="306"/>
      <c r="G625" s="306"/>
      <c r="H625" s="309"/>
      <c r="I625" s="309">
        <f>D625</f>
        <v>63.63</v>
      </c>
      <c r="J625" s="309"/>
      <c r="K625" s="309"/>
      <c r="L625" s="309">
        <f>K625*10%</f>
        <v>0</v>
      </c>
      <c r="M625" s="309"/>
      <c r="N625" s="309">
        <f>L625+M625</f>
        <v>0</v>
      </c>
      <c r="O625" s="309">
        <f>N625</f>
        <v>0</v>
      </c>
      <c r="P625" s="309">
        <f>N625-O625</f>
        <v>0</v>
      </c>
      <c r="Q625" s="309">
        <f>M625</f>
        <v>0</v>
      </c>
      <c r="R625" s="307">
        <f>D625-N625</f>
        <v>63.63</v>
      </c>
      <c r="S625" s="307"/>
      <c r="T625" s="307">
        <f>R625+S625</f>
        <v>63.63</v>
      </c>
    </row>
    <row r="626" spans="1:20" ht="30" customHeight="1">
      <c r="A626" s="325" t="s">
        <v>438</v>
      </c>
      <c r="B626" s="166" t="s">
        <v>287</v>
      </c>
      <c r="C626" s="320" t="s">
        <v>488</v>
      </c>
      <c r="D626" s="306">
        <f>E626+G626+F626</f>
        <v>0</v>
      </c>
      <c r="E626" s="306"/>
      <c r="F626" s="306"/>
      <c r="G626" s="306"/>
      <c r="H626" s="309"/>
      <c r="I626" s="309">
        <f>D626</f>
        <v>0</v>
      </c>
      <c r="J626" s="309"/>
      <c r="K626" s="309"/>
      <c r="L626" s="309">
        <f>K626*10%</f>
        <v>0</v>
      </c>
      <c r="M626" s="309"/>
      <c r="N626" s="309">
        <f>L626+M626</f>
        <v>0</v>
      </c>
      <c r="O626" s="309">
        <f>N626</f>
        <v>0</v>
      </c>
      <c r="P626" s="309">
        <f>N626-O626</f>
        <v>0</v>
      </c>
      <c r="Q626" s="309">
        <f>M626</f>
        <v>0</v>
      </c>
      <c r="R626" s="307">
        <f>D626-N626</f>
        <v>0</v>
      </c>
      <c r="S626" s="307"/>
      <c r="T626" s="307">
        <f t="shared" ref="T626:T629" si="400">R626+S626</f>
        <v>0</v>
      </c>
    </row>
    <row r="627" spans="1:20" ht="39" customHeight="1">
      <c r="A627" s="325" t="s">
        <v>438</v>
      </c>
      <c r="B627" s="166" t="s">
        <v>308</v>
      </c>
      <c r="C627" s="320" t="s">
        <v>488</v>
      </c>
      <c r="D627" s="306">
        <f>E627+G627</f>
        <v>0</v>
      </c>
      <c r="E627" s="306"/>
      <c r="F627" s="306"/>
      <c r="G627" s="306"/>
      <c r="H627" s="309"/>
      <c r="I627" s="309">
        <f>D627</f>
        <v>0</v>
      </c>
      <c r="J627" s="309"/>
      <c r="K627" s="309"/>
      <c r="L627" s="309">
        <f>K627*10%</f>
        <v>0</v>
      </c>
      <c r="M627" s="309"/>
      <c r="N627" s="309">
        <f>L627+M627</f>
        <v>0</v>
      </c>
      <c r="O627" s="309">
        <f>N627</f>
        <v>0</v>
      </c>
      <c r="P627" s="309">
        <f>N627-O627</f>
        <v>0</v>
      </c>
      <c r="Q627" s="309">
        <f>M627</f>
        <v>0</v>
      </c>
      <c r="R627" s="307">
        <f>D627-N627</f>
        <v>0</v>
      </c>
      <c r="S627" s="307"/>
      <c r="T627" s="307">
        <f t="shared" si="400"/>
        <v>0</v>
      </c>
    </row>
    <row r="628" spans="1:20" ht="36" customHeight="1">
      <c r="A628" s="325" t="s">
        <v>438</v>
      </c>
      <c r="B628" s="166" t="s">
        <v>495</v>
      </c>
      <c r="C628" s="320" t="s">
        <v>488</v>
      </c>
      <c r="D628" s="306">
        <f>E628+G628</f>
        <v>0</v>
      </c>
      <c r="E628" s="306"/>
      <c r="F628" s="306"/>
      <c r="G628" s="306"/>
      <c r="H628" s="309"/>
      <c r="I628" s="309">
        <f>D628</f>
        <v>0</v>
      </c>
      <c r="J628" s="309"/>
      <c r="K628" s="309"/>
      <c r="L628" s="309">
        <f>K628*10%</f>
        <v>0</v>
      </c>
      <c r="M628" s="309"/>
      <c r="N628" s="309">
        <f>L628+M628</f>
        <v>0</v>
      </c>
      <c r="O628" s="309">
        <f>N628</f>
        <v>0</v>
      </c>
      <c r="P628" s="309">
        <f>N628-O628</f>
        <v>0</v>
      </c>
      <c r="Q628" s="309">
        <f>M628</f>
        <v>0</v>
      </c>
      <c r="R628" s="307">
        <f>D628-N628</f>
        <v>0</v>
      </c>
      <c r="S628" s="307"/>
      <c r="T628" s="307">
        <f t="shared" si="400"/>
        <v>0</v>
      </c>
    </row>
    <row r="629" spans="1:20" ht="26.25" customHeight="1">
      <c r="A629" s="325" t="s">
        <v>438</v>
      </c>
      <c r="B629" s="166" t="s">
        <v>309</v>
      </c>
      <c r="C629" s="320" t="s">
        <v>478</v>
      </c>
      <c r="D629" s="306">
        <f>E629+G629</f>
        <v>58.871816599190296</v>
      </c>
      <c r="E629" s="306"/>
      <c r="F629" s="306"/>
      <c r="G629" s="306">
        <f>'[2]CS GV dạy trẻ khuyết tật'!S45</f>
        <v>58.871816599190296</v>
      </c>
      <c r="H629" s="309"/>
      <c r="I629" s="309">
        <f>D629</f>
        <v>58.871816599190296</v>
      </c>
      <c r="J629" s="309"/>
      <c r="K629" s="309"/>
      <c r="L629" s="309">
        <f>K629*10%</f>
        <v>0</v>
      </c>
      <c r="M629" s="309"/>
      <c r="N629" s="309">
        <f>L629+M629</f>
        <v>0</v>
      </c>
      <c r="O629" s="309">
        <f>N629</f>
        <v>0</v>
      </c>
      <c r="P629" s="309">
        <f>N629-O629</f>
        <v>0</v>
      </c>
      <c r="Q629" s="309">
        <f>M629</f>
        <v>0</v>
      </c>
      <c r="R629" s="307">
        <f>D629-N629</f>
        <v>58.871816599190296</v>
      </c>
      <c r="S629" s="307"/>
      <c r="T629" s="307">
        <f t="shared" si="400"/>
        <v>58.871816599190296</v>
      </c>
    </row>
    <row r="630" spans="1:20" s="328" customFormat="1" ht="27.75" customHeight="1">
      <c r="A630" s="320">
        <v>4</v>
      </c>
      <c r="B630" s="321" t="s">
        <v>558</v>
      </c>
      <c r="C630" s="320" t="s">
        <v>488</v>
      </c>
      <c r="D630" s="322">
        <f>D631+D643</f>
        <v>7179.2699155274113</v>
      </c>
      <c r="E630" s="322">
        <f t="shared" ref="E630:Q630" si="401">E631+E643</f>
        <v>6736.5926684685883</v>
      </c>
      <c r="F630" s="322">
        <f t="shared" si="401"/>
        <v>0</v>
      </c>
      <c r="G630" s="322">
        <f t="shared" si="401"/>
        <v>442.67724705882358</v>
      </c>
      <c r="H630" s="322">
        <f t="shared" si="401"/>
        <v>6368.9036267191768</v>
      </c>
      <c r="I630" s="322">
        <f t="shared" si="401"/>
        <v>74.655000000000015</v>
      </c>
      <c r="J630" s="322">
        <f t="shared" si="401"/>
        <v>0</v>
      </c>
      <c r="K630" s="322">
        <f t="shared" si="401"/>
        <v>735.71128880823505</v>
      </c>
      <c r="L630" s="322">
        <f t="shared" si="401"/>
        <v>73.571128880823508</v>
      </c>
      <c r="M630" s="322">
        <f t="shared" si="401"/>
        <v>0</v>
      </c>
      <c r="N630" s="322">
        <f t="shared" si="401"/>
        <v>73.571128880823508</v>
      </c>
      <c r="O630" s="322">
        <f t="shared" si="401"/>
        <v>73.571128880823508</v>
      </c>
      <c r="P630" s="322">
        <f t="shared" si="401"/>
        <v>0</v>
      </c>
      <c r="Q630" s="322">
        <f t="shared" si="401"/>
        <v>0</v>
      </c>
      <c r="R630" s="322">
        <f>R631+R643</f>
        <v>7179.2699155274113</v>
      </c>
      <c r="S630" s="322">
        <f t="shared" ref="S630:T630" si="402">S631+S643</f>
        <v>0</v>
      </c>
      <c r="T630" s="322">
        <f t="shared" si="402"/>
        <v>7179.2699155274113</v>
      </c>
    </row>
    <row r="631" spans="1:20" ht="27.75" customHeight="1">
      <c r="A631" s="303" t="s">
        <v>481</v>
      </c>
      <c r="B631" s="323" t="s">
        <v>482</v>
      </c>
      <c r="C631" s="320" t="s">
        <v>488</v>
      </c>
      <c r="D631" s="307">
        <f>D632+D635+D638+D639+D640</f>
        <v>7104.6149155274115</v>
      </c>
      <c r="E631" s="307">
        <f t="shared" ref="E631:Q631" si="403">E632+E635+E638+E639+E640</f>
        <v>6661.9376684685885</v>
      </c>
      <c r="F631" s="307">
        <f t="shared" si="403"/>
        <v>0</v>
      </c>
      <c r="G631" s="307">
        <f t="shared" si="403"/>
        <v>442.67724705882358</v>
      </c>
      <c r="H631" s="307">
        <f t="shared" si="403"/>
        <v>6368.9036267191768</v>
      </c>
      <c r="I631" s="307">
        <f t="shared" si="403"/>
        <v>0</v>
      </c>
      <c r="J631" s="307">
        <f t="shared" si="403"/>
        <v>0</v>
      </c>
      <c r="K631" s="307">
        <f t="shared" si="403"/>
        <v>735.71128880823505</v>
      </c>
      <c r="L631" s="307">
        <f t="shared" si="403"/>
        <v>73.571128880823508</v>
      </c>
      <c r="M631" s="307">
        <f t="shared" si="403"/>
        <v>0</v>
      </c>
      <c r="N631" s="307">
        <f t="shared" si="403"/>
        <v>73.571128880823508</v>
      </c>
      <c r="O631" s="307">
        <f t="shared" si="403"/>
        <v>73.571128880823508</v>
      </c>
      <c r="P631" s="307">
        <f t="shared" si="403"/>
        <v>0</v>
      </c>
      <c r="Q631" s="307">
        <f t="shared" si="403"/>
        <v>0</v>
      </c>
      <c r="R631" s="307">
        <f>R632+R635+R638+R639+R640</f>
        <v>7104.6149155274115</v>
      </c>
      <c r="S631" s="307">
        <f t="shared" ref="S631:T631" si="404">S632+S635+S638+S639+S640</f>
        <v>0</v>
      </c>
      <c r="T631" s="307">
        <f t="shared" si="404"/>
        <v>7104.6149155274115</v>
      </c>
    </row>
    <row r="632" spans="1:20" ht="27.75" customHeight="1">
      <c r="A632" s="325" t="s">
        <v>438</v>
      </c>
      <c r="B632" s="164" t="s">
        <v>277</v>
      </c>
      <c r="C632" s="320" t="s">
        <v>488</v>
      </c>
      <c r="D632" s="306">
        <f t="shared" ref="D632:D638" si="405">SUM(E632:G632)</f>
        <v>5458.5146365800001</v>
      </c>
      <c r="E632" s="306">
        <f>SUM(E633:E634)</f>
        <v>5082.2389765799999</v>
      </c>
      <c r="F632" s="306">
        <f>SUM(F633:F634)</f>
        <v>0</v>
      </c>
      <c r="G632" s="306">
        <f>SUM(G633:G634)</f>
        <v>376.27566000000002</v>
      </c>
      <c r="H632" s="307">
        <f t="shared" ref="H632:H639" si="406">D632</f>
        <v>5458.5146365800001</v>
      </c>
      <c r="I632" s="309"/>
      <c r="J632" s="309"/>
      <c r="K632" s="309"/>
      <c r="L632" s="309">
        <f>K632*10%</f>
        <v>0</v>
      </c>
      <c r="M632" s="309"/>
      <c r="N632" s="309">
        <f>L632+M632</f>
        <v>0</v>
      </c>
      <c r="O632" s="309">
        <f>L632-P632</f>
        <v>0</v>
      </c>
      <c r="P632" s="309">
        <f>N632</f>
        <v>0</v>
      </c>
      <c r="Q632" s="309">
        <f>M632</f>
        <v>0</v>
      </c>
      <c r="R632" s="307">
        <f>SUM(R633:R634)</f>
        <v>5458.5146365800001</v>
      </c>
      <c r="S632" s="307">
        <f t="shared" ref="S632:T632" si="407">SUM(S633:S634)</f>
        <v>0</v>
      </c>
      <c r="T632" s="307">
        <f t="shared" si="407"/>
        <v>5458.5146365800001</v>
      </c>
    </row>
    <row r="633" spans="1:20" ht="27.75" customHeight="1">
      <c r="A633" s="325" t="s">
        <v>489</v>
      </c>
      <c r="B633" s="164" t="s">
        <v>490</v>
      </c>
      <c r="C633" s="320" t="s">
        <v>444</v>
      </c>
      <c r="D633" s="306">
        <f t="shared" si="405"/>
        <v>5082.2389765799999</v>
      </c>
      <c r="E633" s="306">
        <f>'[2] TL giao BC '!T867</f>
        <v>5082.2389765799999</v>
      </c>
      <c r="F633" s="306"/>
      <c r="G633" s="306"/>
      <c r="H633" s="307">
        <f t="shared" si="406"/>
        <v>5082.2389765799999</v>
      </c>
      <c r="I633" s="309"/>
      <c r="J633" s="309"/>
      <c r="K633" s="309"/>
      <c r="L633" s="309"/>
      <c r="M633" s="309"/>
      <c r="N633" s="309"/>
      <c r="O633" s="309"/>
      <c r="P633" s="309"/>
      <c r="Q633" s="309"/>
      <c r="R633" s="307">
        <f>D633-N633</f>
        <v>5082.2389765799999</v>
      </c>
      <c r="S633" s="307">
        <v>225.77</v>
      </c>
      <c r="T633" s="307">
        <f>R633+S633</f>
        <v>5308.0089765800003</v>
      </c>
    </row>
    <row r="634" spans="1:20" ht="27.75" customHeight="1">
      <c r="A634" s="325" t="s">
        <v>489</v>
      </c>
      <c r="B634" s="164" t="s">
        <v>305</v>
      </c>
      <c r="C634" s="320" t="s">
        <v>478</v>
      </c>
      <c r="D634" s="306">
        <f t="shared" si="405"/>
        <v>376.27566000000002</v>
      </c>
      <c r="E634" s="306"/>
      <c r="F634" s="306"/>
      <c r="G634" s="306">
        <f>'[2] TL giao BC tăng thêm'!T292</f>
        <v>376.27566000000002</v>
      </c>
      <c r="H634" s="307">
        <f t="shared" si="406"/>
        <v>376.27566000000002</v>
      </c>
      <c r="I634" s="309"/>
      <c r="J634" s="309"/>
      <c r="K634" s="309"/>
      <c r="L634" s="309"/>
      <c r="M634" s="309"/>
      <c r="N634" s="309"/>
      <c r="O634" s="309"/>
      <c r="P634" s="309"/>
      <c r="Q634" s="309"/>
      <c r="R634" s="307">
        <f>D634-N634</f>
        <v>376.27566000000002</v>
      </c>
      <c r="S634" s="307">
        <v>-225.77</v>
      </c>
      <c r="T634" s="307">
        <f>R634+S634</f>
        <v>150.50566000000001</v>
      </c>
    </row>
    <row r="635" spans="1:20" ht="27.75" customHeight="1">
      <c r="A635" s="304" t="s">
        <v>438</v>
      </c>
      <c r="B635" s="166" t="s">
        <v>278</v>
      </c>
      <c r="C635" s="320" t="s">
        <v>444</v>
      </c>
      <c r="D635" s="306">
        <f t="shared" si="405"/>
        <v>1135.6641190200003</v>
      </c>
      <c r="E635" s="306">
        <f>SUM(E636:E637)</f>
        <v>1135.6641190200003</v>
      </c>
      <c r="F635" s="306">
        <f>SUM(F636:F637)</f>
        <v>0</v>
      </c>
      <c r="G635" s="306">
        <f>SUM(G636:G637)</f>
        <v>0</v>
      </c>
      <c r="H635" s="307">
        <f t="shared" si="406"/>
        <v>1135.6641190200003</v>
      </c>
      <c r="I635" s="309"/>
      <c r="J635" s="309"/>
      <c r="K635" s="309"/>
      <c r="L635" s="309">
        <f>K635*10%</f>
        <v>0</v>
      </c>
      <c r="M635" s="309"/>
      <c r="N635" s="309">
        <f>L635+M635</f>
        <v>0</v>
      </c>
      <c r="O635" s="309">
        <f>L635-P635</f>
        <v>0</v>
      </c>
      <c r="P635" s="309">
        <f>N635</f>
        <v>0</v>
      </c>
      <c r="Q635" s="309">
        <f>M635</f>
        <v>0</v>
      </c>
      <c r="R635" s="307">
        <f>SUM(R636:R637)</f>
        <v>1135.6641190200003</v>
      </c>
      <c r="S635" s="307">
        <f t="shared" ref="S635:T635" si="408">SUM(S636:S637)</f>
        <v>0</v>
      </c>
      <c r="T635" s="307">
        <f t="shared" si="408"/>
        <v>1135.6641190200003</v>
      </c>
    </row>
    <row r="636" spans="1:20" ht="27.75" customHeight="1">
      <c r="A636" s="325" t="s">
        <v>489</v>
      </c>
      <c r="B636" s="166" t="s">
        <v>491</v>
      </c>
      <c r="C636" s="320" t="s">
        <v>444</v>
      </c>
      <c r="D636" s="306">
        <f t="shared" si="405"/>
        <v>1057.3785790200002</v>
      </c>
      <c r="E636" s="306">
        <f>'[2] TL giao BC '!U867</f>
        <v>1057.3785790200002</v>
      </c>
      <c r="F636" s="306"/>
      <c r="G636" s="306"/>
      <c r="H636" s="307">
        <f t="shared" si="406"/>
        <v>1057.3785790200002</v>
      </c>
      <c r="I636" s="309"/>
      <c r="J636" s="309"/>
      <c r="K636" s="309"/>
      <c r="L636" s="309"/>
      <c r="M636" s="309"/>
      <c r="N636" s="309"/>
      <c r="O636" s="309"/>
      <c r="P636" s="309"/>
      <c r="Q636" s="309"/>
      <c r="R636" s="307">
        <f>D636-N636</f>
        <v>1057.3785790200002</v>
      </c>
      <c r="S636" s="307">
        <v>46.98</v>
      </c>
      <c r="T636" s="307">
        <f t="shared" ref="T636:T637" si="409">R636+S636</f>
        <v>1104.3585790200002</v>
      </c>
    </row>
    <row r="637" spans="1:20" ht="27.75" customHeight="1">
      <c r="A637" s="325" t="s">
        <v>489</v>
      </c>
      <c r="B637" s="164" t="s">
        <v>492</v>
      </c>
      <c r="C637" s="320" t="s">
        <v>444</v>
      </c>
      <c r="D637" s="306">
        <f t="shared" si="405"/>
        <v>78.285539999999997</v>
      </c>
      <c r="E637" s="306">
        <f>'[2] TL giao BC tăng thêm'!U292</f>
        <v>78.285539999999997</v>
      </c>
      <c r="F637" s="306"/>
      <c r="G637" s="306"/>
      <c r="H637" s="307">
        <f t="shared" si="406"/>
        <v>78.285539999999997</v>
      </c>
      <c r="I637" s="309"/>
      <c r="J637" s="309"/>
      <c r="K637" s="309"/>
      <c r="L637" s="309"/>
      <c r="M637" s="309"/>
      <c r="N637" s="309"/>
      <c r="O637" s="309"/>
      <c r="P637" s="309"/>
      <c r="Q637" s="309"/>
      <c r="R637" s="307">
        <f>D637-N637</f>
        <v>78.285539999999997</v>
      </c>
      <c r="S637" s="307">
        <v>-46.98</v>
      </c>
      <c r="T637" s="307">
        <f t="shared" si="409"/>
        <v>31.305540000000001</v>
      </c>
    </row>
    <row r="638" spans="1:20" ht="27.75" customHeight="1">
      <c r="A638" s="325" t="s">
        <v>438</v>
      </c>
      <c r="B638" s="164" t="s">
        <v>483</v>
      </c>
      <c r="C638" s="320"/>
      <c r="D638" s="306">
        <f t="shared" si="405"/>
        <v>-151.70400000000001</v>
      </c>
      <c r="E638" s="306">
        <f>-'[2]Biểu Thu '!P33-'[2]Biểu Thu '!AB33</f>
        <v>-151.70400000000001</v>
      </c>
      <c r="F638" s="306"/>
      <c r="G638" s="306"/>
      <c r="H638" s="307">
        <f t="shared" si="406"/>
        <v>-151.70400000000001</v>
      </c>
      <c r="I638" s="309"/>
      <c r="J638" s="309"/>
      <c r="K638" s="309"/>
      <c r="L638" s="309"/>
      <c r="M638" s="309"/>
      <c r="N638" s="309"/>
      <c r="O638" s="309"/>
      <c r="P638" s="309"/>
      <c r="Q638" s="309"/>
      <c r="R638" s="307">
        <f>D638-N638</f>
        <v>-151.70400000000001</v>
      </c>
      <c r="S638" s="307"/>
      <c r="T638" s="307">
        <f>R638+S638</f>
        <v>-151.70400000000001</v>
      </c>
    </row>
    <row r="639" spans="1:20" s="311" customFormat="1" ht="27.75" customHeight="1">
      <c r="A639" s="304" t="s">
        <v>438</v>
      </c>
      <c r="B639" s="166" t="s">
        <v>452</v>
      </c>
      <c r="C639" s="320" t="s">
        <v>488</v>
      </c>
      <c r="D639" s="306">
        <f>E639+G639</f>
        <v>-73.571128880823508</v>
      </c>
      <c r="E639" s="306">
        <f>-L640</f>
        <v>-73.571128880823508</v>
      </c>
      <c r="F639" s="306"/>
      <c r="G639" s="306"/>
      <c r="H639" s="307">
        <f t="shared" si="406"/>
        <v>-73.571128880823508</v>
      </c>
      <c r="I639" s="308"/>
      <c r="J639" s="308"/>
      <c r="K639" s="308"/>
      <c r="L639" s="309">
        <f>K639*10%</f>
        <v>0</v>
      </c>
      <c r="M639" s="309"/>
      <c r="N639" s="309">
        <f>L639+M639</f>
        <v>0</v>
      </c>
      <c r="O639" s="309">
        <f>L639-P639</f>
        <v>0</v>
      </c>
      <c r="P639" s="309">
        <f>N639</f>
        <v>0</v>
      </c>
      <c r="Q639" s="309">
        <f>M639</f>
        <v>0</v>
      </c>
      <c r="R639" s="307"/>
      <c r="S639" s="306"/>
      <c r="T639" s="307"/>
    </row>
    <row r="640" spans="1:20" ht="26.25" customHeight="1">
      <c r="A640" s="304" t="s">
        <v>438</v>
      </c>
      <c r="B640" s="166" t="s">
        <v>412</v>
      </c>
      <c r="C640" s="320" t="s">
        <v>488</v>
      </c>
      <c r="D640" s="306">
        <f>SUM(E640:G640)</f>
        <v>735.71128880823505</v>
      </c>
      <c r="E640" s="306">
        <f>SUM(E641:E642)</f>
        <v>669.30970174941149</v>
      </c>
      <c r="F640" s="306">
        <f>SUM(F641:F642)</f>
        <v>0</v>
      </c>
      <c r="G640" s="306">
        <f>SUM(G641:G642)</f>
        <v>66.401587058823566</v>
      </c>
      <c r="H640" s="309"/>
      <c r="I640" s="309"/>
      <c r="J640" s="309"/>
      <c r="K640" s="309">
        <f>SUM(K641:K642)</f>
        <v>735.71128880823505</v>
      </c>
      <c r="L640" s="309">
        <f>SUM(L641:L642)</f>
        <v>73.571128880823508</v>
      </c>
      <c r="M640" s="309"/>
      <c r="N640" s="309">
        <f>L640+M640</f>
        <v>73.571128880823508</v>
      </c>
      <c r="O640" s="309">
        <f>N640</f>
        <v>73.571128880823508</v>
      </c>
      <c r="P640" s="309">
        <f>N640-O640</f>
        <v>0</v>
      </c>
      <c r="Q640" s="309">
        <f>M640</f>
        <v>0</v>
      </c>
      <c r="R640" s="307">
        <f>D640-N640</f>
        <v>662.14015992741156</v>
      </c>
      <c r="S640" s="307">
        <f>SUM(S641:S642)</f>
        <v>0</v>
      </c>
      <c r="T640" s="307">
        <f>SUM(T641:T642)</f>
        <v>662.14015992741156</v>
      </c>
    </row>
    <row r="641" spans="1:20" ht="39" customHeight="1">
      <c r="A641" s="325" t="s">
        <v>489</v>
      </c>
      <c r="B641" s="166" t="s">
        <v>559</v>
      </c>
      <c r="C641" s="320" t="s">
        <v>444</v>
      </c>
      <c r="D641" s="306">
        <f>SUM(E641:G641)</f>
        <v>669.30970174941149</v>
      </c>
      <c r="E641" s="306">
        <f>'[2] TL giao BC '!Z867</f>
        <v>669.30970174941149</v>
      </c>
      <c r="F641" s="306"/>
      <c r="G641" s="306"/>
      <c r="H641" s="309"/>
      <c r="I641" s="309"/>
      <c r="J641" s="309"/>
      <c r="K641" s="309">
        <f>D641</f>
        <v>669.30970174941149</v>
      </c>
      <c r="L641" s="309">
        <f>K641*10%</f>
        <v>66.930970174941152</v>
      </c>
      <c r="M641" s="309"/>
      <c r="N641" s="309"/>
      <c r="O641" s="309"/>
      <c r="P641" s="309"/>
      <c r="Q641" s="309"/>
      <c r="R641" s="307"/>
      <c r="S641" s="307">
        <v>39.840000000000003</v>
      </c>
      <c r="T641" s="307">
        <f>K641-L641+S641</f>
        <v>642.21873157447033</v>
      </c>
    </row>
    <row r="642" spans="1:20" ht="33" customHeight="1">
      <c r="A642" s="325" t="s">
        <v>489</v>
      </c>
      <c r="B642" s="164" t="s">
        <v>529</v>
      </c>
      <c r="C642" s="320" t="s">
        <v>478</v>
      </c>
      <c r="D642" s="306">
        <f>SUM(E642:G642)</f>
        <v>66.401587058823566</v>
      </c>
      <c r="E642" s="306"/>
      <c r="F642" s="306"/>
      <c r="G642" s="306">
        <f>'[2] TL giao BC tăng thêm'!X292</f>
        <v>66.401587058823566</v>
      </c>
      <c r="H642" s="309"/>
      <c r="I642" s="309"/>
      <c r="J642" s="309"/>
      <c r="K642" s="309">
        <f>D642</f>
        <v>66.401587058823566</v>
      </c>
      <c r="L642" s="309">
        <f>K642*10%</f>
        <v>6.6401587058823566</v>
      </c>
      <c r="M642" s="309"/>
      <c r="N642" s="309"/>
      <c r="O642" s="309"/>
      <c r="P642" s="309"/>
      <c r="Q642" s="309"/>
      <c r="R642" s="307"/>
      <c r="S642" s="307">
        <v>-39.840000000000003</v>
      </c>
      <c r="T642" s="307">
        <f>K642-L642+S642</f>
        <v>19.921428352941206</v>
      </c>
    </row>
    <row r="643" spans="1:20" ht="30" customHeight="1">
      <c r="A643" s="303" t="s">
        <v>481</v>
      </c>
      <c r="B643" s="326" t="s">
        <v>485</v>
      </c>
      <c r="C643" s="320" t="s">
        <v>488</v>
      </c>
      <c r="D643" s="307">
        <f>E643+G643+F643</f>
        <v>74.655000000000015</v>
      </c>
      <c r="E643" s="307">
        <f t="shared" ref="E643:T643" si="410">SUM(E644:E648)</f>
        <v>74.655000000000015</v>
      </c>
      <c r="F643" s="307">
        <f t="shared" si="410"/>
        <v>0</v>
      </c>
      <c r="G643" s="307">
        <f t="shared" si="410"/>
        <v>0</v>
      </c>
      <c r="H643" s="307">
        <f t="shared" si="410"/>
        <v>0</v>
      </c>
      <c r="I643" s="307">
        <f t="shared" si="410"/>
        <v>74.655000000000015</v>
      </c>
      <c r="J643" s="307">
        <f t="shared" si="410"/>
        <v>0</v>
      </c>
      <c r="K643" s="307">
        <f t="shared" si="410"/>
        <v>0</v>
      </c>
      <c r="L643" s="307">
        <f t="shared" si="410"/>
        <v>0</v>
      </c>
      <c r="M643" s="307">
        <f t="shared" si="410"/>
        <v>0</v>
      </c>
      <c r="N643" s="307">
        <f t="shared" si="410"/>
        <v>0</v>
      </c>
      <c r="O643" s="307">
        <f t="shared" si="410"/>
        <v>0</v>
      </c>
      <c r="P643" s="307">
        <f t="shared" si="410"/>
        <v>0</v>
      </c>
      <c r="Q643" s="307">
        <f t="shared" si="410"/>
        <v>0</v>
      </c>
      <c r="R643" s="307">
        <f t="shared" si="410"/>
        <v>74.655000000000015</v>
      </c>
      <c r="S643" s="307">
        <f t="shared" si="410"/>
        <v>0</v>
      </c>
      <c r="T643" s="307">
        <f t="shared" si="410"/>
        <v>74.655000000000015</v>
      </c>
    </row>
    <row r="644" spans="1:20" ht="30" customHeight="1">
      <c r="A644" s="325" t="s">
        <v>438</v>
      </c>
      <c r="B644" s="166" t="s">
        <v>280</v>
      </c>
      <c r="C644" s="320" t="s">
        <v>444</v>
      </c>
      <c r="D644" s="306">
        <f>E644+G644</f>
        <v>74.655000000000015</v>
      </c>
      <c r="E644" s="306">
        <f>'[2]CS giáo dục '!Q33</f>
        <v>74.655000000000015</v>
      </c>
      <c r="F644" s="306"/>
      <c r="G644" s="306"/>
      <c r="H644" s="309"/>
      <c r="I644" s="309">
        <f>D644</f>
        <v>74.655000000000015</v>
      </c>
      <c r="J644" s="309"/>
      <c r="K644" s="309"/>
      <c r="L644" s="309">
        <f>K644*10%</f>
        <v>0</v>
      </c>
      <c r="M644" s="309"/>
      <c r="N644" s="309">
        <f>L644+M644</f>
        <v>0</v>
      </c>
      <c r="O644" s="309">
        <f>N644</f>
        <v>0</v>
      </c>
      <c r="P644" s="309">
        <f>N644-O644</f>
        <v>0</v>
      </c>
      <c r="Q644" s="309">
        <f>M644</f>
        <v>0</v>
      </c>
      <c r="R644" s="307">
        <f>D644-N644</f>
        <v>74.655000000000015</v>
      </c>
      <c r="S644" s="307"/>
      <c r="T644" s="307">
        <f>R644+S644</f>
        <v>74.655000000000015</v>
      </c>
    </row>
    <row r="645" spans="1:20" ht="30" customHeight="1">
      <c r="A645" s="325" t="s">
        <v>438</v>
      </c>
      <c r="B645" s="166" t="s">
        <v>287</v>
      </c>
      <c r="C645" s="320" t="s">
        <v>488</v>
      </c>
      <c r="D645" s="306">
        <f>E645+G645+F645</f>
        <v>0</v>
      </c>
      <c r="E645" s="306"/>
      <c r="F645" s="306"/>
      <c r="G645" s="306"/>
      <c r="H645" s="309"/>
      <c r="I645" s="309">
        <f>D645</f>
        <v>0</v>
      </c>
      <c r="J645" s="309"/>
      <c r="K645" s="309"/>
      <c r="L645" s="309">
        <f>K645*10%</f>
        <v>0</v>
      </c>
      <c r="M645" s="309"/>
      <c r="N645" s="309">
        <f>L645+M645</f>
        <v>0</v>
      </c>
      <c r="O645" s="309">
        <f>N645</f>
        <v>0</v>
      </c>
      <c r="P645" s="309">
        <f>N645-O645</f>
        <v>0</v>
      </c>
      <c r="Q645" s="309">
        <f>M645</f>
        <v>0</v>
      </c>
      <c r="R645" s="307">
        <f>D645-N645</f>
        <v>0</v>
      </c>
      <c r="S645" s="307"/>
      <c r="T645" s="307">
        <f t="shared" ref="T645:T648" si="411">R645+S645</f>
        <v>0</v>
      </c>
    </row>
    <row r="646" spans="1:20" ht="39" customHeight="1">
      <c r="A646" s="325" t="s">
        <v>438</v>
      </c>
      <c r="B646" s="166" t="s">
        <v>308</v>
      </c>
      <c r="C646" s="320" t="s">
        <v>488</v>
      </c>
      <c r="D646" s="306">
        <f>E646+G646</f>
        <v>0</v>
      </c>
      <c r="E646" s="306"/>
      <c r="F646" s="306"/>
      <c r="G646" s="306"/>
      <c r="H646" s="309"/>
      <c r="I646" s="309">
        <f>D646</f>
        <v>0</v>
      </c>
      <c r="J646" s="309"/>
      <c r="K646" s="309"/>
      <c r="L646" s="309">
        <f>K646*10%</f>
        <v>0</v>
      </c>
      <c r="M646" s="309"/>
      <c r="N646" s="309">
        <f>L646+M646</f>
        <v>0</v>
      </c>
      <c r="O646" s="309">
        <f>N646</f>
        <v>0</v>
      </c>
      <c r="P646" s="309">
        <f>N646-O646</f>
        <v>0</v>
      </c>
      <c r="Q646" s="309">
        <f>M646</f>
        <v>0</v>
      </c>
      <c r="R646" s="307">
        <f>D646-N646</f>
        <v>0</v>
      </c>
      <c r="S646" s="307"/>
      <c r="T646" s="307">
        <f t="shared" si="411"/>
        <v>0</v>
      </c>
    </row>
    <row r="647" spans="1:20" ht="36" customHeight="1">
      <c r="A647" s="325" t="s">
        <v>438</v>
      </c>
      <c r="B647" s="166" t="s">
        <v>495</v>
      </c>
      <c r="C647" s="320" t="s">
        <v>488</v>
      </c>
      <c r="D647" s="306">
        <f>E647+G647</f>
        <v>0</v>
      </c>
      <c r="E647" s="306"/>
      <c r="F647" s="306"/>
      <c r="G647" s="306"/>
      <c r="H647" s="309"/>
      <c r="I647" s="309">
        <f>D647</f>
        <v>0</v>
      </c>
      <c r="J647" s="309"/>
      <c r="K647" s="309"/>
      <c r="L647" s="309">
        <f>K647*10%</f>
        <v>0</v>
      </c>
      <c r="M647" s="309"/>
      <c r="N647" s="309">
        <f>L647+M647</f>
        <v>0</v>
      </c>
      <c r="O647" s="309">
        <f>N647</f>
        <v>0</v>
      </c>
      <c r="P647" s="309">
        <f>N647-O647</f>
        <v>0</v>
      </c>
      <c r="Q647" s="309">
        <f>M647</f>
        <v>0</v>
      </c>
      <c r="R647" s="307">
        <f>D647-N647</f>
        <v>0</v>
      </c>
      <c r="S647" s="307"/>
      <c r="T647" s="307">
        <f t="shared" si="411"/>
        <v>0</v>
      </c>
    </row>
    <row r="648" spans="1:20" ht="26.25" customHeight="1">
      <c r="A648" s="325" t="s">
        <v>438</v>
      </c>
      <c r="B648" s="166" t="s">
        <v>309</v>
      </c>
      <c r="C648" s="320" t="s">
        <v>478</v>
      </c>
      <c r="D648" s="306">
        <f>E648+G648</f>
        <v>0</v>
      </c>
      <c r="E648" s="306"/>
      <c r="F648" s="306"/>
      <c r="G648" s="306"/>
      <c r="H648" s="309"/>
      <c r="I648" s="309">
        <f>D648</f>
        <v>0</v>
      </c>
      <c r="J648" s="309"/>
      <c r="K648" s="309"/>
      <c r="L648" s="309">
        <f>K648*10%</f>
        <v>0</v>
      </c>
      <c r="M648" s="309"/>
      <c r="N648" s="309">
        <f>L648+M648</f>
        <v>0</v>
      </c>
      <c r="O648" s="309">
        <f>N648</f>
        <v>0</v>
      </c>
      <c r="P648" s="309">
        <f>N648-O648</f>
        <v>0</v>
      </c>
      <c r="Q648" s="309">
        <f>M648</f>
        <v>0</v>
      </c>
      <c r="R648" s="307">
        <f>D648-N648</f>
        <v>0</v>
      </c>
      <c r="S648" s="307"/>
      <c r="T648" s="307">
        <f t="shared" si="411"/>
        <v>0</v>
      </c>
    </row>
    <row r="649" spans="1:20" s="328" customFormat="1" ht="27.75" customHeight="1">
      <c r="A649" s="320">
        <v>5</v>
      </c>
      <c r="B649" s="321" t="s">
        <v>560</v>
      </c>
      <c r="C649" s="320" t="s">
        <v>488</v>
      </c>
      <c r="D649" s="322">
        <f>D650+D662</f>
        <v>5908.458946426942</v>
      </c>
      <c r="E649" s="322">
        <f t="shared" ref="E649:Q649" si="412">E650+E662</f>
        <v>5554.3171487798827</v>
      </c>
      <c r="F649" s="322">
        <f t="shared" si="412"/>
        <v>0</v>
      </c>
      <c r="G649" s="322">
        <f t="shared" si="412"/>
        <v>354.14179764705887</v>
      </c>
      <c r="H649" s="322">
        <f t="shared" si="412"/>
        <v>5274.8630535081184</v>
      </c>
      <c r="I649" s="322">
        <f t="shared" si="412"/>
        <v>15.750000000000004</v>
      </c>
      <c r="J649" s="322">
        <f t="shared" si="412"/>
        <v>0</v>
      </c>
      <c r="K649" s="322">
        <f t="shared" si="412"/>
        <v>617.84589291882367</v>
      </c>
      <c r="L649" s="322">
        <f t="shared" si="412"/>
        <v>61.784589291882369</v>
      </c>
      <c r="M649" s="322">
        <f t="shared" si="412"/>
        <v>0</v>
      </c>
      <c r="N649" s="322">
        <f t="shared" si="412"/>
        <v>61.784589291882369</v>
      </c>
      <c r="O649" s="322">
        <f t="shared" si="412"/>
        <v>61.784589291882369</v>
      </c>
      <c r="P649" s="322">
        <f t="shared" si="412"/>
        <v>0</v>
      </c>
      <c r="Q649" s="322">
        <f t="shared" si="412"/>
        <v>0</v>
      </c>
      <c r="R649" s="322">
        <f>R650+R662</f>
        <v>5908.458946426942</v>
      </c>
      <c r="S649" s="322">
        <f t="shared" ref="S649:T649" si="413">S650+S662</f>
        <v>0</v>
      </c>
      <c r="T649" s="322">
        <f t="shared" si="413"/>
        <v>5908.458946426942</v>
      </c>
    </row>
    <row r="650" spans="1:20" ht="27.75" customHeight="1">
      <c r="A650" s="303" t="s">
        <v>481</v>
      </c>
      <c r="B650" s="323" t="s">
        <v>482</v>
      </c>
      <c r="C650" s="320" t="s">
        <v>488</v>
      </c>
      <c r="D650" s="307">
        <f>D651+D654+D657+D658+D659</f>
        <v>5892.708946426942</v>
      </c>
      <c r="E650" s="307">
        <f t="shared" ref="E650:Q650" si="414">E651+E654+E657+E658+E659</f>
        <v>5538.5671487798827</v>
      </c>
      <c r="F650" s="307">
        <f t="shared" si="414"/>
        <v>0</v>
      </c>
      <c r="G650" s="307">
        <f t="shared" si="414"/>
        <v>354.14179764705887</v>
      </c>
      <c r="H650" s="307">
        <f t="shared" si="414"/>
        <v>5274.8630535081184</v>
      </c>
      <c r="I650" s="307">
        <f t="shared" si="414"/>
        <v>0</v>
      </c>
      <c r="J650" s="307">
        <f t="shared" si="414"/>
        <v>0</v>
      </c>
      <c r="K650" s="307">
        <f t="shared" si="414"/>
        <v>617.84589291882367</v>
      </c>
      <c r="L650" s="307">
        <f t="shared" si="414"/>
        <v>61.784589291882369</v>
      </c>
      <c r="M650" s="307">
        <f t="shared" si="414"/>
        <v>0</v>
      </c>
      <c r="N650" s="307">
        <f t="shared" si="414"/>
        <v>61.784589291882369</v>
      </c>
      <c r="O650" s="307">
        <f t="shared" si="414"/>
        <v>61.784589291882369</v>
      </c>
      <c r="P650" s="307">
        <f t="shared" si="414"/>
        <v>0</v>
      </c>
      <c r="Q650" s="307">
        <f t="shared" si="414"/>
        <v>0</v>
      </c>
      <c r="R650" s="307">
        <f>R651+R654+R657+R658+R659</f>
        <v>5892.708946426942</v>
      </c>
      <c r="S650" s="307">
        <f t="shared" ref="S650:T650" si="415">S651+S654+S657+S658+S659</f>
        <v>0</v>
      </c>
      <c r="T650" s="307">
        <f t="shared" si="415"/>
        <v>5892.708946426942</v>
      </c>
    </row>
    <row r="651" spans="1:20" ht="27.75" customHeight="1">
      <c r="A651" s="325" t="s">
        <v>438</v>
      </c>
      <c r="B651" s="164" t="s">
        <v>277</v>
      </c>
      <c r="C651" s="320" t="s">
        <v>488</v>
      </c>
      <c r="D651" s="306">
        <f t="shared" ref="D651:D657" si="416">SUM(E651:G651)</f>
        <v>4516.4347265400002</v>
      </c>
      <c r="E651" s="306">
        <f>SUM(E652:E653)</f>
        <v>4215.4141985400001</v>
      </c>
      <c r="F651" s="306">
        <f>SUM(F652:F653)</f>
        <v>0</v>
      </c>
      <c r="G651" s="306">
        <f>SUM(G652:G653)</f>
        <v>301.02052800000001</v>
      </c>
      <c r="H651" s="307">
        <f t="shared" ref="H651:H658" si="417">D651</f>
        <v>4516.4347265400002</v>
      </c>
      <c r="I651" s="309"/>
      <c r="J651" s="309"/>
      <c r="K651" s="309"/>
      <c r="L651" s="309">
        <f>K651*10%</f>
        <v>0</v>
      </c>
      <c r="M651" s="309"/>
      <c r="N651" s="309">
        <f>L651+M651</f>
        <v>0</v>
      </c>
      <c r="O651" s="309">
        <f>L651-P651</f>
        <v>0</v>
      </c>
      <c r="P651" s="309">
        <f>N651</f>
        <v>0</v>
      </c>
      <c r="Q651" s="309">
        <f>M651</f>
        <v>0</v>
      </c>
      <c r="R651" s="307">
        <f>SUM(R652:R653)</f>
        <v>4516.4347265400002</v>
      </c>
      <c r="S651" s="307">
        <f t="shared" ref="S651:T651" si="418">SUM(S652:S653)</f>
        <v>0</v>
      </c>
      <c r="T651" s="307">
        <f t="shared" si="418"/>
        <v>4516.4347265400002</v>
      </c>
    </row>
    <row r="652" spans="1:20" ht="27.75" customHeight="1">
      <c r="A652" s="325" t="s">
        <v>489</v>
      </c>
      <c r="B652" s="164" t="s">
        <v>490</v>
      </c>
      <c r="C652" s="320" t="s">
        <v>444</v>
      </c>
      <c r="D652" s="306">
        <f t="shared" si="416"/>
        <v>4215.4141985400001</v>
      </c>
      <c r="E652" s="306">
        <f>'[2] TL giao BC '!T906</f>
        <v>4215.4141985400001</v>
      </c>
      <c r="F652" s="306"/>
      <c r="G652" s="306"/>
      <c r="H652" s="307">
        <f t="shared" si="417"/>
        <v>4215.4141985400001</v>
      </c>
      <c r="I652" s="309"/>
      <c r="J652" s="309"/>
      <c r="K652" s="309"/>
      <c r="L652" s="309"/>
      <c r="M652" s="309"/>
      <c r="N652" s="309"/>
      <c r="O652" s="309"/>
      <c r="P652" s="309"/>
      <c r="Q652" s="309"/>
      <c r="R652" s="307">
        <f>D652-N652</f>
        <v>4215.4141985400001</v>
      </c>
      <c r="S652" s="307">
        <v>150.51</v>
      </c>
      <c r="T652" s="307">
        <f>R652+S652</f>
        <v>4365.9241985400004</v>
      </c>
    </row>
    <row r="653" spans="1:20" ht="27.75" customHeight="1">
      <c r="A653" s="325" t="s">
        <v>489</v>
      </c>
      <c r="B653" s="164" t="s">
        <v>305</v>
      </c>
      <c r="C653" s="320" t="s">
        <v>478</v>
      </c>
      <c r="D653" s="306">
        <f t="shared" si="416"/>
        <v>301.02052800000001</v>
      </c>
      <c r="E653" s="306"/>
      <c r="F653" s="306"/>
      <c r="G653" s="306">
        <f>'[2] TL giao BC tăng thêm'!T294</f>
        <v>301.02052800000001</v>
      </c>
      <c r="H653" s="307">
        <f t="shared" si="417"/>
        <v>301.02052800000001</v>
      </c>
      <c r="I653" s="309"/>
      <c r="J653" s="309"/>
      <c r="K653" s="309"/>
      <c r="L653" s="309"/>
      <c r="M653" s="309"/>
      <c r="N653" s="309"/>
      <c r="O653" s="309"/>
      <c r="P653" s="309"/>
      <c r="Q653" s="309"/>
      <c r="R653" s="307">
        <f>D653-N653</f>
        <v>301.02052800000001</v>
      </c>
      <c r="S653" s="307">
        <v>-150.51</v>
      </c>
      <c r="T653" s="307">
        <f>R653+S653</f>
        <v>150.51052800000002</v>
      </c>
    </row>
    <row r="654" spans="1:20" ht="27.75" customHeight="1">
      <c r="A654" s="304" t="s">
        <v>438</v>
      </c>
      <c r="B654" s="166" t="s">
        <v>278</v>
      </c>
      <c r="C654" s="320" t="s">
        <v>444</v>
      </c>
      <c r="D654" s="306">
        <f t="shared" si="416"/>
        <v>939.66091626000025</v>
      </c>
      <c r="E654" s="306">
        <f>SUM(E655:E656)</f>
        <v>939.66091626000025</v>
      </c>
      <c r="F654" s="306">
        <f>SUM(F655:F656)</f>
        <v>0</v>
      </c>
      <c r="G654" s="306">
        <f>SUM(G655:G656)</f>
        <v>0</v>
      </c>
      <c r="H654" s="307">
        <f t="shared" si="417"/>
        <v>939.66091626000025</v>
      </c>
      <c r="I654" s="309"/>
      <c r="J654" s="309"/>
      <c r="K654" s="309"/>
      <c r="L654" s="309">
        <f>K654*10%</f>
        <v>0</v>
      </c>
      <c r="M654" s="309"/>
      <c r="N654" s="309">
        <f>L654+M654</f>
        <v>0</v>
      </c>
      <c r="O654" s="309">
        <f>L654-P654</f>
        <v>0</v>
      </c>
      <c r="P654" s="309">
        <f>N654</f>
        <v>0</v>
      </c>
      <c r="Q654" s="309">
        <f>M654</f>
        <v>0</v>
      </c>
      <c r="R654" s="307">
        <f>SUM(R655:R656)</f>
        <v>939.66091626000025</v>
      </c>
      <c r="S654" s="307">
        <f t="shared" ref="S654:T654" si="419">SUM(S655:S656)</f>
        <v>0</v>
      </c>
      <c r="T654" s="307">
        <f t="shared" si="419"/>
        <v>939.66091626000036</v>
      </c>
    </row>
    <row r="655" spans="1:20" ht="27.75" customHeight="1">
      <c r="A655" s="325" t="s">
        <v>489</v>
      </c>
      <c r="B655" s="166" t="s">
        <v>491</v>
      </c>
      <c r="C655" s="320" t="s">
        <v>444</v>
      </c>
      <c r="D655" s="306">
        <f t="shared" si="416"/>
        <v>877.03248426000027</v>
      </c>
      <c r="E655" s="306">
        <f>'[2] TL giao BC '!U906</f>
        <v>877.03248426000027</v>
      </c>
      <c r="F655" s="306"/>
      <c r="G655" s="306"/>
      <c r="H655" s="307">
        <f t="shared" si="417"/>
        <v>877.03248426000027</v>
      </c>
      <c r="I655" s="309"/>
      <c r="J655" s="309"/>
      <c r="K655" s="309"/>
      <c r="L655" s="309"/>
      <c r="M655" s="309"/>
      <c r="N655" s="309"/>
      <c r="O655" s="309"/>
      <c r="P655" s="309"/>
      <c r="Q655" s="309"/>
      <c r="R655" s="307">
        <f>D655-N655</f>
        <v>877.03248426000027</v>
      </c>
      <c r="S655" s="307">
        <v>31.32</v>
      </c>
      <c r="T655" s="307">
        <f t="shared" ref="T655:T656" si="420">R655+S655</f>
        <v>908.35248426000032</v>
      </c>
    </row>
    <row r="656" spans="1:20" ht="27.75" customHeight="1">
      <c r="A656" s="325" t="s">
        <v>489</v>
      </c>
      <c r="B656" s="164" t="s">
        <v>492</v>
      </c>
      <c r="C656" s="320" t="s">
        <v>444</v>
      </c>
      <c r="D656" s="306">
        <f t="shared" si="416"/>
        <v>62.628432000000004</v>
      </c>
      <c r="E656" s="306">
        <f>'[2] TL giao BC tăng thêm'!U294</f>
        <v>62.628432000000004</v>
      </c>
      <c r="F656" s="306"/>
      <c r="G656" s="306"/>
      <c r="H656" s="307">
        <f t="shared" si="417"/>
        <v>62.628432000000004</v>
      </c>
      <c r="I656" s="309"/>
      <c r="J656" s="309"/>
      <c r="K656" s="309"/>
      <c r="L656" s="309"/>
      <c r="M656" s="309"/>
      <c r="N656" s="309"/>
      <c r="O656" s="309"/>
      <c r="P656" s="309"/>
      <c r="Q656" s="309"/>
      <c r="R656" s="307">
        <f>D656-N656</f>
        <v>62.628432000000004</v>
      </c>
      <c r="S656" s="307">
        <v>-31.32</v>
      </c>
      <c r="T656" s="307">
        <f t="shared" si="420"/>
        <v>31.308432000000003</v>
      </c>
    </row>
    <row r="657" spans="1:20" ht="27.75" customHeight="1">
      <c r="A657" s="325" t="s">
        <v>438</v>
      </c>
      <c r="B657" s="164" t="s">
        <v>483</v>
      </c>
      <c r="C657" s="320"/>
      <c r="D657" s="306">
        <f t="shared" si="416"/>
        <v>-119.44800000000001</v>
      </c>
      <c r="E657" s="306">
        <f>-'[2]Biểu Thu '!P34-'[2]Biểu Thu '!AB34</f>
        <v>-119.44800000000001</v>
      </c>
      <c r="F657" s="306"/>
      <c r="G657" s="306"/>
      <c r="H657" s="307">
        <f t="shared" si="417"/>
        <v>-119.44800000000001</v>
      </c>
      <c r="I657" s="309"/>
      <c r="J657" s="309"/>
      <c r="K657" s="309"/>
      <c r="L657" s="309"/>
      <c r="M657" s="309"/>
      <c r="N657" s="309"/>
      <c r="O657" s="309"/>
      <c r="P657" s="309"/>
      <c r="Q657" s="309"/>
      <c r="R657" s="307">
        <f>D657-N657</f>
        <v>-119.44800000000001</v>
      </c>
      <c r="S657" s="307"/>
      <c r="T657" s="307">
        <f>R657+S657</f>
        <v>-119.44800000000001</v>
      </c>
    </row>
    <row r="658" spans="1:20" s="311" customFormat="1" ht="27.75" customHeight="1">
      <c r="A658" s="304" t="s">
        <v>438</v>
      </c>
      <c r="B658" s="166" t="s">
        <v>452</v>
      </c>
      <c r="C658" s="320" t="s">
        <v>488</v>
      </c>
      <c r="D658" s="306">
        <f>E658+G658</f>
        <v>-61.784589291882369</v>
      </c>
      <c r="E658" s="306">
        <f>-L659</f>
        <v>-61.784589291882369</v>
      </c>
      <c r="F658" s="306"/>
      <c r="G658" s="306"/>
      <c r="H658" s="307">
        <f t="shared" si="417"/>
        <v>-61.784589291882369</v>
      </c>
      <c r="I658" s="308"/>
      <c r="J658" s="308"/>
      <c r="K658" s="308"/>
      <c r="L658" s="309">
        <f>K658*10%</f>
        <v>0</v>
      </c>
      <c r="M658" s="309"/>
      <c r="N658" s="309">
        <f>L658+M658</f>
        <v>0</v>
      </c>
      <c r="O658" s="309">
        <f>L658-P658</f>
        <v>0</v>
      </c>
      <c r="P658" s="309">
        <f>N658</f>
        <v>0</v>
      </c>
      <c r="Q658" s="309">
        <f>M658</f>
        <v>0</v>
      </c>
      <c r="R658" s="307"/>
      <c r="S658" s="306"/>
      <c r="T658" s="307"/>
    </row>
    <row r="659" spans="1:20" ht="26.25" customHeight="1">
      <c r="A659" s="304" t="s">
        <v>438</v>
      </c>
      <c r="B659" s="166" t="s">
        <v>412</v>
      </c>
      <c r="C659" s="320" t="s">
        <v>488</v>
      </c>
      <c r="D659" s="306">
        <f>SUM(E659:G659)</f>
        <v>617.84589291882367</v>
      </c>
      <c r="E659" s="306">
        <f>SUM(E660:E661)</f>
        <v>564.72462327176481</v>
      </c>
      <c r="F659" s="306">
        <f>SUM(F660:F661)</f>
        <v>0</v>
      </c>
      <c r="G659" s="306">
        <f>SUM(G660:G661)</f>
        <v>53.121269647058853</v>
      </c>
      <c r="H659" s="309"/>
      <c r="I659" s="309"/>
      <c r="J659" s="309"/>
      <c r="K659" s="309">
        <f>SUM(K660:K661)</f>
        <v>617.84589291882367</v>
      </c>
      <c r="L659" s="309">
        <f>SUM(L660:L661)</f>
        <v>61.784589291882369</v>
      </c>
      <c r="M659" s="309"/>
      <c r="N659" s="309">
        <f>L659+M659</f>
        <v>61.784589291882369</v>
      </c>
      <c r="O659" s="309">
        <f>N659</f>
        <v>61.784589291882369</v>
      </c>
      <c r="P659" s="309">
        <f>N659-O659</f>
        <v>0</v>
      </c>
      <c r="Q659" s="309">
        <f>M659</f>
        <v>0</v>
      </c>
      <c r="R659" s="307">
        <f>D659-N659</f>
        <v>556.06130362694125</v>
      </c>
      <c r="S659" s="307">
        <f>SUM(S660:S661)</f>
        <v>0</v>
      </c>
      <c r="T659" s="307">
        <f>R659+S659</f>
        <v>556.06130362694125</v>
      </c>
    </row>
    <row r="660" spans="1:20" ht="39" customHeight="1">
      <c r="A660" s="325" t="s">
        <v>489</v>
      </c>
      <c r="B660" s="166" t="s">
        <v>561</v>
      </c>
      <c r="C660" s="320" t="s">
        <v>444</v>
      </c>
      <c r="D660" s="306">
        <f>SUM(E660:G660)</f>
        <v>564.72462327176481</v>
      </c>
      <c r="E660" s="306">
        <f>'[2] TL giao BC '!Z906</f>
        <v>564.72462327176481</v>
      </c>
      <c r="F660" s="306"/>
      <c r="G660" s="306"/>
      <c r="H660" s="309"/>
      <c r="I660" s="309"/>
      <c r="J660" s="309"/>
      <c r="K660" s="309">
        <f>D660</f>
        <v>564.72462327176481</v>
      </c>
      <c r="L660" s="309">
        <f>K660*10%</f>
        <v>56.472462327176487</v>
      </c>
      <c r="M660" s="309"/>
      <c r="N660" s="309"/>
      <c r="O660" s="309"/>
      <c r="P660" s="309"/>
      <c r="Q660" s="309"/>
      <c r="R660" s="307"/>
      <c r="S660" s="307">
        <v>26.56</v>
      </c>
      <c r="T660" s="307"/>
    </row>
    <row r="661" spans="1:20" ht="33" customHeight="1">
      <c r="A661" s="325" t="s">
        <v>489</v>
      </c>
      <c r="B661" s="164" t="s">
        <v>541</v>
      </c>
      <c r="C661" s="320" t="s">
        <v>478</v>
      </c>
      <c r="D661" s="306">
        <f>SUM(E661:G661)</f>
        <v>53.121269647058853</v>
      </c>
      <c r="E661" s="306"/>
      <c r="F661" s="306"/>
      <c r="G661" s="306">
        <f>'[2] TL giao BC tăng thêm'!X294</f>
        <v>53.121269647058853</v>
      </c>
      <c r="H661" s="309"/>
      <c r="I661" s="309"/>
      <c r="J661" s="309"/>
      <c r="K661" s="309">
        <f>D661</f>
        <v>53.121269647058853</v>
      </c>
      <c r="L661" s="309">
        <f>K661*10%</f>
        <v>5.312126964705886</v>
      </c>
      <c r="M661" s="309"/>
      <c r="N661" s="309"/>
      <c r="O661" s="309"/>
      <c r="P661" s="309"/>
      <c r="Q661" s="309"/>
      <c r="R661" s="307"/>
      <c r="S661" s="307">
        <v>-26.56</v>
      </c>
      <c r="T661" s="307"/>
    </row>
    <row r="662" spans="1:20" ht="30" customHeight="1">
      <c r="A662" s="303" t="s">
        <v>481</v>
      </c>
      <c r="B662" s="326" t="s">
        <v>485</v>
      </c>
      <c r="C662" s="320" t="s">
        <v>488</v>
      </c>
      <c r="D662" s="307">
        <f>E662+G662+F662</f>
        <v>15.750000000000004</v>
      </c>
      <c r="E662" s="307">
        <f t="shared" ref="E662:T662" si="421">SUM(E663:E667)</f>
        <v>15.750000000000004</v>
      </c>
      <c r="F662" s="307">
        <f t="shared" si="421"/>
        <v>0</v>
      </c>
      <c r="G662" s="307">
        <f t="shared" si="421"/>
        <v>0</v>
      </c>
      <c r="H662" s="307">
        <f t="shared" si="421"/>
        <v>0</v>
      </c>
      <c r="I662" s="307">
        <f t="shared" si="421"/>
        <v>15.750000000000004</v>
      </c>
      <c r="J662" s="307">
        <f t="shared" si="421"/>
        <v>0</v>
      </c>
      <c r="K662" s="307">
        <f t="shared" si="421"/>
        <v>0</v>
      </c>
      <c r="L662" s="307">
        <f t="shared" si="421"/>
        <v>0</v>
      </c>
      <c r="M662" s="307">
        <f t="shared" si="421"/>
        <v>0</v>
      </c>
      <c r="N662" s="307">
        <f t="shared" si="421"/>
        <v>0</v>
      </c>
      <c r="O662" s="307">
        <f t="shared" si="421"/>
        <v>0</v>
      </c>
      <c r="P662" s="307">
        <f t="shared" si="421"/>
        <v>0</v>
      </c>
      <c r="Q662" s="307">
        <f t="shared" si="421"/>
        <v>0</v>
      </c>
      <c r="R662" s="307">
        <f t="shared" si="421"/>
        <v>15.750000000000004</v>
      </c>
      <c r="S662" s="307">
        <f t="shared" si="421"/>
        <v>0</v>
      </c>
      <c r="T662" s="307">
        <f t="shared" si="421"/>
        <v>15.750000000000004</v>
      </c>
    </row>
    <row r="663" spans="1:20" ht="30" customHeight="1">
      <c r="A663" s="325" t="s">
        <v>438</v>
      </c>
      <c r="B663" s="166" t="s">
        <v>280</v>
      </c>
      <c r="C663" s="320" t="s">
        <v>444</v>
      </c>
      <c r="D663" s="306">
        <f>E663+G663</f>
        <v>15.750000000000004</v>
      </c>
      <c r="E663" s="306">
        <f>'[2]CS giáo dục '!Q34</f>
        <v>15.750000000000004</v>
      </c>
      <c r="F663" s="306"/>
      <c r="G663" s="306"/>
      <c r="H663" s="309"/>
      <c r="I663" s="309">
        <f>D663</f>
        <v>15.750000000000004</v>
      </c>
      <c r="J663" s="309"/>
      <c r="K663" s="309"/>
      <c r="L663" s="309">
        <f>K663*10%</f>
        <v>0</v>
      </c>
      <c r="M663" s="309"/>
      <c r="N663" s="309">
        <f>L663+M663</f>
        <v>0</v>
      </c>
      <c r="O663" s="309">
        <f>N663</f>
        <v>0</v>
      </c>
      <c r="P663" s="309">
        <f>N663-O663</f>
        <v>0</v>
      </c>
      <c r="Q663" s="309">
        <f>M663</f>
        <v>0</v>
      </c>
      <c r="R663" s="307">
        <f>D663-N663</f>
        <v>15.750000000000004</v>
      </c>
      <c r="S663" s="307"/>
      <c r="T663" s="307">
        <f>R663+S663</f>
        <v>15.750000000000004</v>
      </c>
    </row>
    <row r="664" spans="1:20" ht="30" customHeight="1">
      <c r="A664" s="325" t="s">
        <v>438</v>
      </c>
      <c r="B664" s="166" t="s">
        <v>287</v>
      </c>
      <c r="C664" s="320" t="s">
        <v>488</v>
      </c>
      <c r="D664" s="306">
        <f>E664+G664+F664</f>
        <v>0</v>
      </c>
      <c r="E664" s="306"/>
      <c r="F664" s="306"/>
      <c r="G664" s="306"/>
      <c r="H664" s="309"/>
      <c r="I664" s="309">
        <f>D664</f>
        <v>0</v>
      </c>
      <c r="J664" s="309"/>
      <c r="K664" s="309"/>
      <c r="L664" s="309">
        <f>K664*10%</f>
        <v>0</v>
      </c>
      <c r="M664" s="309"/>
      <c r="N664" s="309">
        <f>L664+M664</f>
        <v>0</v>
      </c>
      <c r="O664" s="309">
        <f>N664</f>
        <v>0</v>
      </c>
      <c r="P664" s="309">
        <f>N664-O664</f>
        <v>0</v>
      </c>
      <c r="Q664" s="309">
        <f>M664</f>
        <v>0</v>
      </c>
      <c r="R664" s="307">
        <f>D664-N664</f>
        <v>0</v>
      </c>
      <c r="S664" s="307"/>
      <c r="T664" s="307">
        <f t="shared" ref="T664:T667" si="422">R664+S664</f>
        <v>0</v>
      </c>
    </row>
    <row r="665" spans="1:20" ht="39" customHeight="1">
      <c r="A665" s="325" t="s">
        <v>438</v>
      </c>
      <c r="B665" s="166" t="s">
        <v>308</v>
      </c>
      <c r="C665" s="320" t="s">
        <v>488</v>
      </c>
      <c r="D665" s="306">
        <f>E665+G665</f>
        <v>0</v>
      </c>
      <c r="E665" s="306"/>
      <c r="F665" s="306"/>
      <c r="G665" s="306"/>
      <c r="H665" s="309"/>
      <c r="I665" s="309">
        <f>D665</f>
        <v>0</v>
      </c>
      <c r="J665" s="309"/>
      <c r="K665" s="309"/>
      <c r="L665" s="309">
        <f>K665*10%</f>
        <v>0</v>
      </c>
      <c r="M665" s="309"/>
      <c r="N665" s="309">
        <f>L665+M665</f>
        <v>0</v>
      </c>
      <c r="O665" s="309">
        <f>N665</f>
        <v>0</v>
      </c>
      <c r="P665" s="309">
        <f>N665-O665</f>
        <v>0</v>
      </c>
      <c r="Q665" s="309">
        <f>M665</f>
        <v>0</v>
      </c>
      <c r="R665" s="307">
        <f>D665-N665</f>
        <v>0</v>
      </c>
      <c r="S665" s="307"/>
      <c r="T665" s="307">
        <f t="shared" si="422"/>
        <v>0</v>
      </c>
    </row>
    <row r="666" spans="1:20" ht="36" customHeight="1">
      <c r="A666" s="325" t="s">
        <v>438</v>
      </c>
      <c r="B666" s="166" t="s">
        <v>495</v>
      </c>
      <c r="C666" s="320" t="s">
        <v>488</v>
      </c>
      <c r="D666" s="306">
        <f>E666+G666</f>
        <v>0</v>
      </c>
      <c r="E666" s="306"/>
      <c r="F666" s="306"/>
      <c r="G666" s="306"/>
      <c r="H666" s="309"/>
      <c r="I666" s="309">
        <f>D666</f>
        <v>0</v>
      </c>
      <c r="J666" s="309"/>
      <c r="K666" s="309"/>
      <c r="L666" s="309">
        <f>K666*10%</f>
        <v>0</v>
      </c>
      <c r="M666" s="309"/>
      <c r="N666" s="309">
        <f>L666+M666</f>
        <v>0</v>
      </c>
      <c r="O666" s="309">
        <f>N666</f>
        <v>0</v>
      </c>
      <c r="P666" s="309">
        <f>N666-O666</f>
        <v>0</v>
      </c>
      <c r="Q666" s="309">
        <f>M666</f>
        <v>0</v>
      </c>
      <c r="R666" s="307">
        <f>D666-N666</f>
        <v>0</v>
      </c>
      <c r="S666" s="307"/>
      <c r="T666" s="307">
        <f t="shared" si="422"/>
        <v>0</v>
      </c>
    </row>
    <row r="667" spans="1:20" ht="26.25" customHeight="1">
      <c r="A667" s="325" t="s">
        <v>438</v>
      </c>
      <c r="B667" s="166" t="s">
        <v>309</v>
      </c>
      <c r="C667" s="320" t="s">
        <v>478</v>
      </c>
      <c r="D667" s="306">
        <f>E667+G667</f>
        <v>0</v>
      </c>
      <c r="E667" s="306"/>
      <c r="F667" s="306"/>
      <c r="G667" s="306"/>
      <c r="H667" s="309"/>
      <c r="I667" s="309">
        <f>D667</f>
        <v>0</v>
      </c>
      <c r="J667" s="309"/>
      <c r="K667" s="309"/>
      <c r="L667" s="309">
        <f>K667*10%</f>
        <v>0</v>
      </c>
      <c r="M667" s="309"/>
      <c r="N667" s="309">
        <f>L667+M667</f>
        <v>0</v>
      </c>
      <c r="O667" s="309">
        <f>N667</f>
        <v>0</v>
      </c>
      <c r="P667" s="309">
        <f>N667-O667</f>
        <v>0</v>
      </c>
      <c r="Q667" s="309">
        <f>M667</f>
        <v>0</v>
      </c>
      <c r="R667" s="307">
        <f>D667-N667</f>
        <v>0</v>
      </c>
      <c r="S667" s="307"/>
      <c r="T667" s="307">
        <f t="shared" si="422"/>
        <v>0</v>
      </c>
    </row>
    <row r="668" spans="1:20" s="328" customFormat="1" ht="27.75" customHeight="1">
      <c r="A668" s="320">
        <v>6</v>
      </c>
      <c r="B668" s="321" t="s">
        <v>161</v>
      </c>
      <c r="C668" s="320" t="s">
        <v>488</v>
      </c>
      <c r="D668" s="322">
        <f>D669+D681</f>
        <v>5187.9524466531639</v>
      </c>
      <c r="E668" s="322">
        <f>E669+E681-0.001</f>
        <v>4852.0148738405887</v>
      </c>
      <c r="F668" s="322">
        <f t="shared" ref="F668:Q668" si="423">F669+F681</f>
        <v>0</v>
      </c>
      <c r="G668" s="322">
        <f t="shared" si="423"/>
        <v>335.93657281257447</v>
      </c>
      <c r="H668" s="322">
        <f t="shared" si="423"/>
        <v>4466.4087663052951</v>
      </c>
      <c r="I668" s="322">
        <f t="shared" si="423"/>
        <v>205.19520340080976</v>
      </c>
      <c r="J668" s="322">
        <f t="shared" si="423"/>
        <v>0</v>
      </c>
      <c r="K668" s="322">
        <f t="shared" si="423"/>
        <v>516.34847694705877</v>
      </c>
      <c r="L668" s="322">
        <f t="shared" si="423"/>
        <v>51.634847694705869</v>
      </c>
      <c r="M668" s="322">
        <f t="shared" si="423"/>
        <v>0</v>
      </c>
      <c r="N668" s="322">
        <f t="shared" si="423"/>
        <v>51.634847694705869</v>
      </c>
      <c r="O668" s="322">
        <f t="shared" si="423"/>
        <v>51.634847694705869</v>
      </c>
      <c r="P668" s="322">
        <f t="shared" si="423"/>
        <v>0</v>
      </c>
      <c r="Q668" s="322">
        <f t="shared" si="423"/>
        <v>0</v>
      </c>
      <c r="R668" s="322">
        <f>R669+R681</f>
        <v>5187.9524466531639</v>
      </c>
      <c r="S668" s="322">
        <f t="shared" ref="S668:T668" si="424">S669+S681</f>
        <v>0</v>
      </c>
      <c r="T668" s="322">
        <f t="shared" si="424"/>
        <v>5187.9524466531639</v>
      </c>
    </row>
    <row r="669" spans="1:20" ht="27.75" customHeight="1">
      <c r="A669" s="303" t="s">
        <v>481</v>
      </c>
      <c r="B669" s="323" t="s">
        <v>482</v>
      </c>
      <c r="C669" s="320" t="s">
        <v>488</v>
      </c>
      <c r="D669" s="307">
        <f>D670+D673+D676+D677+D678</f>
        <v>4982.7572432523539</v>
      </c>
      <c r="E669" s="307">
        <f t="shared" ref="E669:Q669" si="425">E670+E673+E676+E677+E678</f>
        <v>4695.145873840589</v>
      </c>
      <c r="F669" s="307">
        <f t="shared" si="425"/>
        <v>0</v>
      </c>
      <c r="G669" s="307">
        <f t="shared" si="425"/>
        <v>287.61136941176471</v>
      </c>
      <c r="H669" s="307">
        <f t="shared" si="425"/>
        <v>4466.4087663052951</v>
      </c>
      <c r="I669" s="307">
        <f t="shared" si="425"/>
        <v>0</v>
      </c>
      <c r="J669" s="307">
        <f t="shared" si="425"/>
        <v>0</v>
      </c>
      <c r="K669" s="307">
        <f t="shared" si="425"/>
        <v>516.34847694705877</v>
      </c>
      <c r="L669" s="307">
        <f t="shared" si="425"/>
        <v>51.634847694705869</v>
      </c>
      <c r="M669" s="307">
        <f t="shared" si="425"/>
        <v>0</v>
      </c>
      <c r="N669" s="307">
        <f t="shared" si="425"/>
        <v>51.634847694705869</v>
      </c>
      <c r="O669" s="307">
        <f t="shared" si="425"/>
        <v>51.634847694705869</v>
      </c>
      <c r="P669" s="307">
        <f t="shared" si="425"/>
        <v>0</v>
      </c>
      <c r="Q669" s="307">
        <f t="shared" si="425"/>
        <v>0</v>
      </c>
      <c r="R669" s="307">
        <f>R670+R673+R676+R677+R678</f>
        <v>4982.7572432523539</v>
      </c>
      <c r="S669" s="307">
        <f t="shared" ref="S669:T669" si="426">S670+S673+S676+S677+S678</f>
        <v>0</v>
      </c>
      <c r="T669" s="307">
        <f t="shared" si="426"/>
        <v>4982.7572432523539</v>
      </c>
    </row>
    <row r="670" spans="1:20" ht="27.75" customHeight="1">
      <c r="A670" s="325" t="s">
        <v>438</v>
      </c>
      <c r="B670" s="164" t="s">
        <v>277</v>
      </c>
      <c r="C670" s="320" t="s">
        <v>488</v>
      </c>
      <c r="D670" s="306">
        <f t="shared" ref="D670:D676" si="427">SUM(E670:G670)</f>
        <v>3827.7567027000005</v>
      </c>
      <c r="E670" s="306">
        <f>SUM(E671:E672)</f>
        <v>3583.2870387000003</v>
      </c>
      <c r="F670" s="306">
        <f>SUM(F671:F672)</f>
        <v>0</v>
      </c>
      <c r="G670" s="306">
        <f>SUM(G671:G672)</f>
        <v>244.46966400000002</v>
      </c>
      <c r="H670" s="307">
        <f t="shared" ref="H670:H677" si="428">D670</f>
        <v>3827.7567027000005</v>
      </c>
      <c r="I670" s="309"/>
      <c r="J670" s="309"/>
      <c r="K670" s="309"/>
      <c r="L670" s="309">
        <f>K670*10%</f>
        <v>0</v>
      </c>
      <c r="M670" s="309"/>
      <c r="N670" s="309">
        <f>L670+M670</f>
        <v>0</v>
      </c>
      <c r="O670" s="309">
        <f>L670-P670</f>
        <v>0</v>
      </c>
      <c r="P670" s="309">
        <f>N670</f>
        <v>0</v>
      </c>
      <c r="Q670" s="309">
        <f>M670</f>
        <v>0</v>
      </c>
      <c r="R670" s="307">
        <f>SUM(R671:R672)</f>
        <v>3827.7567027000005</v>
      </c>
      <c r="S670" s="307">
        <f t="shared" ref="S670:T670" si="429">SUM(S671:S672)</f>
        <v>0</v>
      </c>
      <c r="T670" s="307">
        <f t="shared" si="429"/>
        <v>3827.7567027000005</v>
      </c>
    </row>
    <row r="671" spans="1:20" ht="27.75" customHeight="1">
      <c r="A671" s="325" t="s">
        <v>489</v>
      </c>
      <c r="B671" s="164" t="s">
        <v>490</v>
      </c>
      <c r="C671" s="320" t="s">
        <v>444</v>
      </c>
      <c r="D671" s="306">
        <f t="shared" si="427"/>
        <v>3583.2870387000003</v>
      </c>
      <c r="E671" s="306">
        <f>'[2] TL giao BC '!T937</f>
        <v>3583.2870387000003</v>
      </c>
      <c r="F671" s="306"/>
      <c r="G671" s="306"/>
      <c r="H671" s="307">
        <f t="shared" si="428"/>
        <v>3583.2870387000003</v>
      </c>
      <c r="I671" s="309"/>
      <c r="J671" s="309"/>
      <c r="K671" s="309"/>
      <c r="L671" s="309"/>
      <c r="M671" s="309"/>
      <c r="N671" s="309"/>
      <c r="O671" s="309"/>
      <c r="P671" s="309"/>
      <c r="Q671" s="309"/>
      <c r="R671" s="307">
        <f>D671-N671</f>
        <v>3583.2870387000003</v>
      </c>
      <c r="S671" s="307">
        <v>93.96</v>
      </c>
      <c r="T671" s="307">
        <f>R671+S671</f>
        <v>3677.2470387000003</v>
      </c>
    </row>
    <row r="672" spans="1:20" ht="27.75" customHeight="1">
      <c r="A672" s="325" t="s">
        <v>489</v>
      </c>
      <c r="B672" s="164" t="s">
        <v>305</v>
      </c>
      <c r="C672" s="320" t="s">
        <v>478</v>
      </c>
      <c r="D672" s="306">
        <f t="shared" si="427"/>
        <v>244.46966400000002</v>
      </c>
      <c r="E672" s="306"/>
      <c r="F672" s="306"/>
      <c r="G672" s="306">
        <f>'[2] TL giao BC tăng thêm'!T296</f>
        <v>244.46966400000002</v>
      </c>
      <c r="H672" s="307">
        <f t="shared" si="428"/>
        <v>244.46966400000002</v>
      </c>
      <c r="I672" s="309"/>
      <c r="J672" s="309"/>
      <c r="K672" s="309"/>
      <c r="L672" s="309"/>
      <c r="M672" s="309"/>
      <c r="N672" s="309"/>
      <c r="O672" s="309"/>
      <c r="P672" s="309"/>
      <c r="Q672" s="309"/>
      <c r="R672" s="307">
        <f>D672-N672</f>
        <v>244.46966400000002</v>
      </c>
      <c r="S672" s="307">
        <v>-93.96</v>
      </c>
      <c r="T672" s="307">
        <f>R672+S672</f>
        <v>150.50966400000004</v>
      </c>
    </row>
    <row r="673" spans="1:20" ht="27.75" customHeight="1">
      <c r="A673" s="304" t="s">
        <v>438</v>
      </c>
      <c r="B673" s="166" t="s">
        <v>278</v>
      </c>
      <c r="C673" s="320" t="s">
        <v>444</v>
      </c>
      <c r="D673" s="306">
        <f t="shared" si="427"/>
        <v>796.37891130000003</v>
      </c>
      <c r="E673" s="306">
        <f>SUM(E674:E675)</f>
        <v>796.37891130000003</v>
      </c>
      <c r="F673" s="306">
        <f>SUM(F674:F675)</f>
        <v>0</v>
      </c>
      <c r="G673" s="306">
        <f>SUM(G674:G675)</f>
        <v>0</v>
      </c>
      <c r="H673" s="307">
        <f t="shared" si="428"/>
        <v>796.37891130000003</v>
      </c>
      <c r="I673" s="309"/>
      <c r="J673" s="309"/>
      <c r="K673" s="309"/>
      <c r="L673" s="309">
        <f>K673*10%</f>
        <v>0</v>
      </c>
      <c r="M673" s="309"/>
      <c r="N673" s="309">
        <f>L673+M673</f>
        <v>0</v>
      </c>
      <c r="O673" s="309">
        <f>L673-P673</f>
        <v>0</v>
      </c>
      <c r="P673" s="309">
        <f>N673</f>
        <v>0</v>
      </c>
      <c r="Q673" s="309">
        <f>M673</f>
        <v>0</v>
      </c>
      <c r="R673" s="307">
        <f>SUM(R674:R675)</f>
        <v>796.37891130000003</v>
      </c>
      <c r="S673" s="307">
        <f t="shared" ref="S673:T673" si="430">SUM(S674:S675)</f>
        <v>0</v>
      </c>
      <c r="T673" s="307">
        <f t="shared" si="430"/>
        <v>796.37891130000003</v>
      </c>
    </row>
    <row r="674" spans="1:20" ht="27.75" customHeight="1">
      <c r="A674" s="325" t="s">
        <v>489</v>
      </c>
      <c r="B674" s="166" t="s">
        <v>491</v>
      </c>
      <c r="C674" s="320" t="s">
        <v>444</v>
      </c>
      <c r="D674" s="306">
        <f t="shared" si="427"/>
        <v>745.51609530000007</v>
      </c>
      <c r="E674" s="306">
        <f>'[2] TL giao BC '!U937</f>
        <v>745.51609530000007</v>
      </c>
      <c r="F674" s="306"/>
      <c r="G674" s="306"/>
      <c r="H674" s="307">
        <f t="shared" si="428"/>
        <v>745.51609530000007</v>
      </c>
      <c r="I674" s="309"/>
      <c r="J674" s="309"/>
      <c r="K674" s="309"/>
      <c r="L674" s="309"/>
      <c r="M674" s="309"/>
      <c r="N674" s="309"/>
      <c r="O674" s="309"/>
      <c r="P674" s="309"/>
      <c r="Q674" s="309"/>
      <c r="R674" s="307">
        <f>D674-N674</f>
        <v>745.51609530000007</v>
      </c>
      <c r="S674" s="307">
        <v>19.55</v>
      </c>
      <c r="T674" s="307">
        <f>R674+S674</f>
        <v>765.06609530000003</v>
      </c>
    </row>
    <row r="675" spans="1:20" ht="27.75" customHeight="1">
      <c r="A675" s="325" t="s">
        <v>489</v>
      </c>
      <c r="B675" s="164" t="s">
        <v>492</v>
      </c>
      <c r="C675" s="320" t="s">
        <v>444</v>
      </c>
      <c r="D675" s="306">
        <f t="shared" si="427"/>
        <v>50.862816000000002</v>
      </c>
      <c r="E675" s="306">
        <f>'[2] TL giao BC tăng thêm'!U296</f>
        <v>50.862816000000002</v>
      </c>
      <c r="F675" s="306"/>
      <c r="G675" s="306"/>
      <c r="H675" s="307">
        <f t="shared" si="428"/>
        <v>50.862816000000002</v>
      </c>
      <c r="I675" s="309"/>
      <c r="J675" s="309"/>
      <c r="K675" s="309"/>
      <c r="L675" s="309"/>
      <c r="M675" s="309"/>
      <c r="N675" s="309"/>
      <c r="O675" s="309"/>
      <c r="P675" s="309"/>
      <c r="Q675" s="309"/>
      <c r="R675" s="307">
        <f>D675-N675</f>
        <v>50.862816000000002</v>
      </c>
      <c r="S675" s="307">
        <v>-19.55</v>
      </c>
      <c r="T675" s="307">
        <f>R675+S675</f>
        <v>31.312816000000002</v>
      </c>
    </row>
    <row r="676" spans="1:20" ht="27.75" customHeight="1">
      <c r="A676" s="325" t="s">
        <v>438</v>
      </c>
      <c r="B676" s="164" t="s">
        <v>483</v>
      </c>
      <c r="C676" s="320"/>
      <c r="D676" s="306">
        <f t="shared" si="427"/>
        <v>-106.09200000000003</v>
      </c>
      <c r="E676" s="306">
        <f>-'[2]Biểu Thu '!P35-'[2]Biểu Thu '!AB35</f>
        <v>-106.09200000000003</v>
      </c>
      <c r="F676" s="306"/>
      <c r="G676" s="306"/>
      <c r="H676" s="307">
        <f t="shared" si="428"/>
        <v>-106.09200000000003</v>
      </c>
      <c r="I676" s="309"/>
      <c r="J676" s="309"/>
      <c r="K676" s="309"/>
      <c r="L676" s="309"/>
      <c r="M676" s="309"/>
      <c r="N676" s="309"/>
      <c r="O676" s="309"/>
      <c r="P676" s="309"/>
      <c r="Q676" s="309"/>
      <c r="R676" s="307">
        <f>D676-N676</f>
        <v>-106.09200000000003</v>
      </c>
      <c r="S676" s="307"/>
      <c r="T676" s="307">
        <f>R676+S676</f>
        <v>-106.09200000000003</v>
      </c>
    </row>
    <row r="677" spans="1:20" s="311" customFormat="1" ht="27.75" customHeight="1">
      <c r="A677" s="304" t="s">
        <v>438</v>
      </c>
      <c r="B677" s="166" t="s">
        <v>452</v>
      </c>
      <c r="C677" s="320" t="s">
        <v>488</v>
      </c>
      <c r="D677" s="306">
        <f>E677+G677</f>
        <v>-51.634847694705869</v>
      </c>
      <c r="E677" s="306">
        <f>-L678</f>
        <v>-51.634847694705869</v>
      </c>
      <c r="F677" s="306"/>
      <c r="G677" s="306"/>
      <c r="H677" s="307">
        <f t="shared" si="428"/>
        <v>-51.634847694705869</v>
      </c>
      <c r="I677" s="308"/>
      <c r="J677" s="308"/>
      <c r="K677" s="308"/>
      <c r="L677" s="309">
        <f>K677*10%</f>
        <v>0</v>
      </c>
      <c r="M677" s="309"/>
      <c r="N677" s="309">
        <f>L677+M677</f>
        <v>0</v>
      </c>
      <c r="O677" s="309">
        <f>L677-P677</f>
        <v>0</v>
      </c>
      <c r="P677" s="309">
        <f>N677</f>
        <v>0</v>
      </c>
      <c r="Q677" s="309">
        <f>M677</f>
        <v>0</v>
      </c>
      <c r="R677" s="307"/>
      <c r="S677" s="306"/>
      <c r="T677" s="307"/>
    </row>
    <row r="678" spans="1:20" ht="26.25" customHeight="1">
      <c r="A678" s="304" t="s">
        <v>438</v>
      </c>
      <c r="B678" s="166" t="s">
        <v>412</v>
      </c>
      <c r="C678" s="320" t="s">
        <v>488</v>
      </c>
      <c r="D678" s="306">
        <f>SUM(E678:G678)</f>
        <v>516.34847694705877</v>
      </c>
      <c r="E678" s="306">
        <f>SUM(E679:E680)</f>
        <v>473.20677153529402</v>
      </c>
      <c r="F678" s="306">
        <f>SUM(F679:F680)</f>
        <v>0</v>
      </c>
      <c r="G678" s="306">
        <f>SUM(G679:G680)</f>
        <v>43.14170541176469</v>
      </c>
      <c r="H678" s="309"/>
      <c r="I678" s="309"/>
      <c r="J678" s="309"/>
      <c r="K678" s="309">
        <f>SUM(K679:K680)</f>
        <v>516.34847694705877</v>
      </c>
      <c r="L678" s="309">
        <f>SUM(L679:L680)</f>
        <v>51.634847694705869</v>
      </c>
      <c r="M678" s="309"/>
      <c r="N678" s="309">
        <f>L678+M678</f>
        <v>51.634847694705869</v>
      </c>
      <c r="O678" s="309">
        <f>N678</f>
        <v>51.634847694705869</v>
      </c>
      <c r="P678" s="309">
        <f>N678-O678</f>
        <v>0</v>
      </c>
      <c r="Q678" s="309">
        <f>M678</f>
        <v>0</v>
      </c>
      <c r="R678" s="307">
        <f>D678-N678</f>
        <v>464.71362925235292</v>
      </c>
      <c r="S678" s="307">
        <f>SUM(S679:S680)</f>
        <v>0</v>
      </c>
      <c r="T678" s="307">
        <f>R678+S678</f>
        <v>464.71362925235292</v>
      </c>
    </row>
    <row r="679" spans="1:20" ht="39" customHeight="1">
      <c r="A679" s="325" t="s">
        <v>489</v>
      </c>
      <c r="B679" s="166" t="s">
        <v>507</v>
      </c>
      <c r="C679" s="320" t="s">
        <v>444</v>
      </c>
      <c r="D679" s="306">
        <f>SUM(E679:G679)</f>
        <v>473.20677153529402</v>
      </c>
      <c r="E679" s="306">
        <f>'[2] TL giao BC '!Z937</f>
        <v>473.20677153529402</v>
      </c>
      <c r="F679" s="306"/>
      <c r="G679" s="306"/>
      <c r="H679" s="309"/>
      <c r="I679" s="309"/>
      <c r="J679" s="309"/>
      <c r="K679" s="309">
        <f>D679</f>
        <v>473.20677153529402</v>
      </c>
      <c r="L679" s="309">
        <f>K679*10%</f>
        <v>47.320677153529402</v>
      </c>
      <c r="M679" s="309"/>
      <c r="N679" s="309"/>
      <c r="O679" s="309"/>
      <c r="P679" s="309"/>
      <c r="Q679" s="309"/>
      <c r="R679" s="307"/>
      <c r="S679" s="307">
        <v>16.579999999999998</v>
      </c>
      <c r="T679" s="307"/>
    </row>
    <row r="680" spans="1:20" ht="33" customHeight="1">
      <c r="A680" s="325" t="s">
        <v>489</v>
      </c>
      <c r="B680" s="164" t="s">
        <v>532</v>
      </c>
      <c r="C680" s="320" t="s">
        <v>478</v>
      </c>
      <c r="D680" s="306">
        <f>SUM(E680:G680)</f>
        <v>43.14170541176469</v>
      </c>
      <c r="E680" s="306"/>
      <c r="F680" s="306"/>
      <c r="G680" s="306">
        <f>'[2] TL giao BC tăng thêm'!X296</f>
        <v>43.14170541176469</v>
      </c>
      <c r="H680" s="309"/>
      <c r="I680" s="309"/>
      <c r="J680" s="309"/>
      <c r="K680" s="309">
        <f>D680</f>
        <v>43.14170541176469</v>
      </c>
      <c r="L680" s="309">
        <f>K680*10%</f>
        <v>4.3141705411764688</v>
      </c>
      <c r="M680" s="309"/>
      <c r="N680" s="309"/>
      <c r="O680" s="309"/>
      <c r="P680" s="309"/>
      <c r="Q680" s="309"/>
      <c r="R680" s="307"/>
      <c r="S680" s="307">
        <v>-16.579999999999998</v>
      </c>
      <c r="T680" s="307"/>
    </row>
    <row r="681" spans="1:20" ht="30" customHeight="1">
      <c r="A681" s="303" t="s">
        <v>481</v>
      </c>
      <c r="B681" s="326" t="s">
        <v>485</v>
      </c>
      <c r="C681" s="320" t="s">
        <v>488</v>
      </c>
      <c r="D681" s="307">
        <f>E681+G681+F681</f>
        <v>205.19520340080976</v>
      </c>
      <c r="E681" s="307">
        <f t="shared" ref="E681:T681" si="431">SUM(E682:E686)</f>
        <v>156.87000000000003</v>
      </c>
      <c r="F681" s="307">
        <f t="shared" si="431"/>
        <v>0</v>
      </c>
      <c r="G681" s="307">
        <f t="shared" si="431"/>
        <v>48.325203400809734</v>
      </c>
      <c r="H681" s="307">
        <f t="shared" si="431"/>
        <v>0</v>
      </c>
      <c r="I681" s="307">
        <f t="shared" si="431"/>
        <v>205.19520340080976</v>
      </c>
      <c r="J681" s="307">
        <f t="shared" si="431"/>
        <v>0</v>
      </c>
      <c r="K681" s="307">
        <f t="shared" si="431"/>
        <v>0</v>
      </c>
      <c r="L681" s="307">
        <f t="shared" si="431"/>
        <v>0</v>
      </c>
      <c r="M681" s="307">
        <f t="shared" si="431"/>
        <v>0</v>
      </c>
      <c r="N681" s="307">
        <f t="shared" si="431"/>
        <v>0</v>
      </c>
      <c r="O681" s="307">
        <f t="shared" si="431"/>
        <v>0</v>
      </c>
      <c r="P681" s="307">
        <f t="shared" si="431"/>
        <v>0</v>
      </c>
      <c r="Q681" s="307">
        <f t="shared" si="431"/>
        <v>0</v>
      </c>
      <c r="R681" s="307">
        <f t="shared" si="431"/>
        <v>205.19520340080976</v>
      </c>
      <c r="S681" s="307">
        <f t="shared" si="431"/>
        <v>0</v>
      </c>
      <c r="T681" s="307">
        <f t="shared" si="431"/>
        <v>205.19520340080976</v>
      </c>
    </row>
    <row r="682" spans="1:20" ht="30" customHeight="1">
      <c r="A682" s="325" t="s">
        <v>438</v>
      </c>
      <c r="B682" s="166" t="s">
        <v>280</v>
      </c>
      <c r="C682" s="320" t="s">
        <v>444</v>
      </c>
      <c r="D682" s="306">
        <f>E682+G682</f>
        <v>156.87000000000003</v>
      </c>
      <c r="E682" s="306">
        <f>'[2]CS giáo dục '!Q35</f>
        <v>156.87000000000003</v>
      </c>
      <c r="F682" s="306"/>
      <c r="G682" s="306"/>
      <c r="H682" s="309"/>
      <c r="I682" s="309">
        <f>D682</f>
        <v>156.87000000000003</v>
      </c>
      <c r="J682" s="309"/>
      <c r="K682" s="309"/>
      <c r="L682" s="309">
        <f>K682*10%</f>
        <v>0</v>
      </c>
      <c r="M682" s="309"/>
      <c r="N682" s="309">
        <f>L682+M682</f>
        <v>0</v>
      </c>
      <c r="O682" s="309">
        <f>N682</f>
        <v>0</v>
      </c>
      <c r="P682" s="309">
        <f>N682-O682</f>
        <v>0</v>
      </c>
      <c r="Q682" s="309">
        <f>M682</f>
        <v>0</v>
      </c>
      <c r="R682" s="307">
        <f>D682-N682</f>
        <v>156.87000000000003</v>
      </c>
      <c r="S682" s="307"/>
      <c r="T682" s="307">
        <f>R682+S682</f>
        <v>156.87000000000003</v>
      </c>
    </row>
    <row r="683" spans="1:20" ht="30" customHeight="1">
      <c r="A683" s="325" t="s">
        <v>438</v>
      </c>
      <c r="B683" s="166" t="s">
        <v>287</v>
      </c>
      <c r="C683" s="320" t="s">
        <v>488</v>
      </c>
      <c r="D683" s="306">
        <f>E683+G683+F683</f>
        <v>0</v>
      </c>
      <c r="E683" s="306"/>
      <c r="F683" s="306"/>
      <c r="G683" s="306"/>
      <c r="H683" s="309"/>
      <c r="I683" s="309">
        <f>D683</f>
        <v>0</v>
      </c>
      <c r="J683" s="309"/>
      <c r="K683" s="309"/>
      <c r="L683" s="309">
        <f>K683*10%</f>
        <v>0</v>
      </c>
      <c r="M683" s="309"/>
      <c r="N683" s="309">
        <f>L683+M683</f>
        <v>0</v>
      </c>
      <c r="O683" s="309">
        <f>N683</f>
        <v>0</v>
      </c>
      <c r="P683" s="309">
        <f>N683-O683</f>
        <v>0</v>
      </c>
      <c r="Q683" s="309">
        <f>M683</f>
        <v>0</v>
      </c>
      <c r="R683" s="307">
        <f>D683-N683</f>
        <v>0</v>
      </c>
      <c r="S683" s="307"/>
      <c r="T683" s="307">
        <f t="shared" ref="T683:T686" si="432">R683+S683</f>
        <v>0</v>
      </c>
    </row>
    <row r="684" spans="1:20" ht="39" customHeight="1">
      <c r="A684" s="325" t="s">
        <v>438</v>
      </c>
      <c r="B684" s="166" t="s">
        <v>308</v>
      </c>
      <c r="C684" s="320" t="s">
        <v>488</v>
      </c>
      <c r="D684" s="306">
        <f>E684+G684</f>
        <v>0</v>
      </c>
      <c r="E684" s="306"/>
      <c r="F684" s="306"/>
      <c r="G684" s="306"/>
      <c r="H684" s="309"/>
      <c r="I684" s="309">
        <f>D684</f>
        <v>0</v>
      </c>
      <c r="J684" s="309"/>
      <c r="K684" s="309"/>
      <c r="L684" s="309">
        <f>K684*10%</f>
        <v>0</v>
      </c>
      <c r="M684" s="309"/>
      <c r="N684" s="309">
        <f>L684+M684</f>
        <v>0</v>
      </c>
      <c r="O684" s="309">
        <f>N684</f>
        <v>0</v>
      </c>
      <c r="P684" s="309">
        <f>N684-O684</f>
        <v>0</v>
      </c>
      <c r="Q684" s="309">
        <f>M684</f>
        <v>0</v>
      </c>
      <c r="R684" s="307">
        <f>D684-N684</f>
        <v>0</v>
      </c>
      <c r="S684" s="307"/>
      <c r="T684" s="307">
        <f t="shared" si="432"/>
        <v>0</v>
      </c>
    </row>
    <row r="685" spans="1:20" ht="36" customHeight="1">
      <c r="A685" s="325" t="s">
        <v>438</v>
      </c>
      <c r="B685" s="166" t="s">
        <v>495</v>
      </c>
      <c r="C685" s="320" t="s">
        <v>488</v>
      </c>
      <c r="D685" s="306">
        <f>E685+G685</f>
        <v>0</v>
      </c>
      <c r="E685" s="306"/>
      <c r="F685" s="306"/>
      <c r="G685" s="306"/>
      <c r="H685" s="309"/>
      <c r="I685" s="309">
        <f>D685</f>
        <v>0</v>
      </c>
      <c r="J685" s="309"/>
      <c r="K685" s="309"/>
      <c r="L685" s="309">
        <f>K685*10%</f>
        <v>0</v>
      </c>
      <c r="M685" s="309"/>
      <c r="N685" s="309">
        <f>L685+M685</f>
        <v>0</v>
      </c>
      <c r="O685" s="309">
        <f>N685</f>
        <v>0</v>
      </c>
      <c r="P685" s="309">
        <f>N685-O685</f>
        <v>0</v>
      </c>
      <c r="Q685" s="309">
        <f>M685</f>
        <v>0</v>
      </c>
      <c r="R685" s="307">
        <f>D685-N685</f>
        <v>0</v>
      </c>
      <c r="S685" s="307"/>
      <c r="T685" s="307">
        <f t="shared" si="432"/>
        <v>0</v>
      </c>
    </row>
    <row r="686" spans="1:20" ht="26.25" customHeight="1">
      <c r="A686" s="325" t="s">
        <v>438</v>
      </c>
      <c r="B686" s="166" t="s">
        <v>309</v>
      </c>
      <c r="C686" s="320" t="s">
        <v>478</v>
      </c>
      <c r="D686" s="306">
        <f>E686+G686</f>
        <v>48.325203400809734</v>
      </c>
      <c r="E686" s="306"/>
      <c r="F686" s="306"/>
      <c r="G686" s="306">
        <f>'[2]CS GV dạy trẻ khuyết tật'!S80</f>
        <v>48.325203400809734</v>
      </c>
      <c r="H686" s="309"/>
      <c r="I686" s="309">
        <f>D686</f>
        <v>48.325203400809734</v>
      </c>
      <c r="J686" s="309"/>
      <c r="K686" s="309"/>
      <c r="L686" s="309">
        <f>K686*10%</f>
        <v>0</v>
      </c>
      <c r="M686" s="309"/>
      <c r="N686" s="309">
        <f>L686+M686</f>
        <v>0</v>
      </c>
      <c r="O686" s="309">
        <f>N686</f>
        <v>0</v>
      </c>
      <c r="P686" s="309">
        <f>N686-O686</f>
        <v>0</v>
      </c>
      <c r="Q686" s="309">
        <f>M686</f>
        <v>0</v>
      </c>
      <c r="R686" s="307">
        <f>D686-N686</f>
        <v>48.325203400809734</v>
      </c>
      <c r="S686" s="307"/>
      <c r="T686" s="307">
        <f t="shared" si="432"/>
        <v>48.325203400809734</v>
      </c>
    </row>
    <row r="687" spans="1:20" s="328" customFormat="1" ht="27.75" customHeight="1">
      <c r="A687" s="320">
        <v>7</v>
      </c>
      <c r="B687" s="321" t="s">
        <v>562</v>
      </c>
      <c r="C687" s="320" t="s">
        <v>488</v>
      </c>
      <c r="D687" s="322">
        <f>D688+D700</f>
        <v>5291.0323466929412</v>
      </c>
      <c r="E687" s="322">
        <f t="shared" ref="E687:Q687" si="433">E688+E700</f>
        <v>5180.9726666929409</v>
      </c>
      <c r="F687" s="322">
        <f t="shared" si="433"/>
        <v>0</v>
      </c>
      <c r="G687" s="322">
        <f t="shared" si="433"/>
        <v>110.05968000000001</v>
      </c>
      <c r="H687" s="322">
        <f t="shared" si="433"/>
        <v>4347.6312370341175</v>
      </c>
      <c r="I687" s="322">
        <f t="shared" si="433"/>
        <v>361.71000000000004</v>
      </c>
      <c r="J687" s="322">
        <f t="shared" si="433"/>
        <v>0</v>
      </c>
      <c r="K687" s="322">
        <f t="shared" si="433"/>
        <v>581.69110965882351</v>
      </c>
      <c r="L687" s="322">
        <f t="shared" si="433"/>
        <v>58.169110965882354</v>
      </c>
      <c r="M687" s="322">
        <f t="shared" si="433"/>
        <v>0</v>
      </c>
      <c r="N687" s="322">
        <f t="shared" si="433"/>
        <v>58.169110965882354</v>
      </c>
      <c r="O687" s="322">
        <f t="shared" si="433"/>
        <v>58.169110965882354</v>
      </c>
      <c r="P687" s="322">
        <f t="shared" si="433"/>
        <v>0</v>
      </c>
      <c r="Q687" s="322">
        <f t="shared" si="433"/>
        <v>0</v>
      </c>
      <c r="R687" s="322">
        <f>R688+R700</f>
        <v>5291.0323466929412</v>
      </c>
      <c r="S687" s="322">
        <f t="shared" ref="S687:T687" si="434">S688+S700</f>
        <v>0</v>
      </c>
      <c r="T687" s="322">
        <f t="shared" si="434"/>
        <v>5291.0323466929412</v>
      </c>
    </row>
    <row r="688" spans="1:20" ht="27.75" customHeight="1">
      <c r="A688" s="303" t="s">
        <v>481</v>
      </c>
      <c r="B688" s="323" t="s">
        <v>482</v>
      </c>
      <c r="C688" s="320" t="s">
        <v>488</v>
      </c>
      <c r="D688" s="307">
        <f>D689+D692+D695+D696+D697</f>
        <v>4929.3223466929412</v>
      </c>
      <c r="E688" s="307">
        <f t="shared" ref="E688:Q688" si="435">E689+E692+E695+E696+E697</f>
        <v>4840.1726666929408</v>
      </c>
      <c r="F688" s="307">
        <f t="shared" si="435"/>
        <v>0</v>
      </c>
      <c r="G688" s="307">
        <f t="shared" si="435"/>
        <v>89.149680000000018</v>
      </c>
      <c r="H688" s="307">
        <f t="shared" si="435"/>
        <v>4347.6312370341175</v>
      </c>
      <c r="I688" s="307">
        <f t="shared" si="435"/>
        <v>0</v>
      </c>
      <c r="J688" s="307">
        <f t="shared" si="435"/>
        <v>0</v>
      </c>
      <c r="K688" s="307">
        <f t="shared" si="435"/>
        <v>581.69110965882351</v>
      </c>
      <c r="L688" s="307">
        <f t="shared" si="435"/>
        <v>58.169110965882354</v>
      </c>
      <c r="M688" s="307">
        <f t="shared" si="435"/>
        <v>0</v>
      </c>
      <c r="N688" s="307">
        <f t="shared" si="435"/>
        <v>58.169110965882354</v>
      </c>
      <c r="O688" s="307">
        <f t="shared" si="435"/>
        <v>58.169110965882354</v>
      </c>
      <c r="P688" s="307">
        <f t="shared" si="435"/>
        <v>0</v>
      </c>
      <c r="Q688" s="307">
        <f t="shared" si="435"/>
        <v>0</v>
      </c>
      <c r="R688" s="307">
        <f>R689+R692+R695+R696+R697</f>
        <v>4929.3223466929412</v>
      </c>
      <c r="S688" s="307">
        <f t="shared" ref="S688:T688" si="436">S689+S692+S695+S696+S697</f>
        <v>0</v>
      </c>
      <c r="T688" s="307">
        <f t="shared" si="436"/>
        <v>4929.3223466929412</v>
      </c>
    </row>
    <row r="689" spans="1:20" ht="27.75" customHeight="1">
      <c r="A689" s="325" t="s">
        <v>438</v>
      </c>
      <c r="B689" s="164" t="s">
        <v>277</v>
      </c>
      <c r="C689" s="320" t="s">
        <v>488</v>
      </c>
      <c r="D689" s="306">
        <f t="shared" ref="D689:D695" si="437">SUM(E689:G689)</f>
        <v>3684.8696213999997</v>
      </c>
      <c r="E689" s="306">
        <f>SUM(E690:E691)</f>
        <v>3609.0923933999998</v>
      </c>
      <c r="F689" s="306">
        <f>SUM(F690:F691)</f>
        <v>0</v>
      </c>
      <c r="G689" s="306">
        <f>SUM(G690:G691)</f>
        <v>75.777228000000008</v>
      </c>
      <c r="H689" s="307">
        <f t="shared" ref="H689:H696" si="438">D689</f>
        <v>3684.8696213999997</v>
      </c>
      <c r="I689" s="309"/>
      <c r="J689" s="309"/>
      <c r="K689" s="309"/>
      <c r="L689" s="309">
        <f>K689*10%</f>
        <v>0</v>
      </c>
      <c r="M689" s="309"/>
      <c r="N689" s="309">
        <f>L689+M689</f>
        <v>0</v>
      </c>
      <c r="O689" s="309">
        <f>L689-P689</f>
        <v>0</v>
      </c>
      <c r="P689" s="309">
        <f>N689</f>
        <v>0</v>
      </c>
      <c r="Q689" s="309">
        <f>M689</f>
        <v>0</v>
      </c>
      <c r="R689" s="307">
        <f>SUM(R690:R691)</f>
        <v>3684.8696213999997</v>
      </c>
      <c r="S689" s="307">
        <f t="shared" ref="S689:T689" si="439">SUM(S690:S691)</f>
        <v>0</v>
      </c>
      <c r="T689" s="307">
        <f t="shared" si="439"/>
        <v>3684.8696214000001</v>
      </c>
    </row>
    <row r="690" spans="1:20" ht="27.75" customHeight="1">
      <c r="A690" s="325" t="s">
        <v>489</v>
      </c>
      <c r="B690" s="164" t="s">
        <v>490</v>
      </c>
      <c r="C690" s="320" t="s">
        <v>444</v>
      </c>
      <c r="D690" s="306">
        <f t="shared" si="437"/>
        <v>3609.0923933999998</v>
      </c>
      <c r="E690" s="306">
        <f>'[2] TL giao BC '!T964</f>
        <v>3609.0923933999998</v>
      </c>
      <c r="F690" s="306"/>
      <c r="G690" s="306"/>
      <c r="H690" s="307">
        <f t="shared" si="438"/>
        <v>3609.0923933999998</v>
      </c>
      <c r="I690" s="309"/>
      <c r="J690" s="309"/>
      <c r="K690" s="309"/>
      <c r="L690" s="309"/>
      <c r="M690" s="309"/>
      <c r="N690" s="309"/>
      <c r="O690" s="309"/>
      <c r="P690" s="309"/>
      <c r="Q690" s="309"/>
      <c r="R690" s="307">
        <f>D690-N690</f>
        <v>3609.0923933999998</v>
      </c>
      <c r="S690" s="307">
        <v>75.78</v>
      </c>
      <c r="T690" s="307">
        <f t="shared" ref="T690:T691" si="440">R690+S690</f>
        <v>3684.8723934</v>
      </c>
    </row>
    <row r="691" spans="1:20" ht="27.75" customHeight="1">
      <c r="A691" s="325" t="s">
        <v>489</v>
      </c>
      <c r="B691" s="164" t="s">
        <v>305</v>
      </c>
      <c r="C691" s="320" t="s">
        <v>478</v>
      </c>
      <c r="D691" s="306">
        <f t="shared" si="437"/>
        <v>75.777228000000008</v>
      </c>
      <c r="E691" s="306"/>
      <c r="F691" s="306"/>
      <c r="G691" s="306">
        <f>'[2] TL giao BC tăng thêm'!T299</f>
        <v>75.777228000000008</v>
      </c>
      <c r="H691" s="307">
        <f t="shared" si="438"/>
        <v>75.777228000000008</v>
      </c>
      <c r="I691" s="309"/>
      <c r="J691" s="309"/>
      <c r="K691" s="309"/>
      <c r="L691" s="309"/>
      <c r="M691" s="309"/>
      <c r="N691" s="309"/>
      <c r="O691" s="309"/>
      <c r="P691" s="309"/>
      <c r="Q691" s="309"/>
      <c r="R691" s="307">
        <f>D691-N691</f>
        <v>75.777228000000008</v>
      </c>
      <c r="S691" s="307">
        <v>-75.78</v>
      </c>
      <c r="T691" s="307">
        <f t="shared" si="440"/>
        <v>-2.7719999999931133E-3</v>
      </c>
    </row>
    <row r="692" spans="1:20" ht="27.75" customHeight="1">
      <c r="A692" s="304" t="s">
        <v>438</v>
      </c>
      <c r="B692" s="166" t="s">
        <v>278</v>
      </c>
      <c r="C692" s="320" t="s">
        <v>444</v>
      </c>
      <c r="D692" s="306">
        <f t="shared" si="437"/>
        <v>766.65072659999998</v>
      </c>
      <c r="E692" s="306">
        <f>SUM(E693:E694)</f>
        <v>766.65072659999998</v>
      </c>
      <c r="F692" s="306">
        <f>SUM(F693:F694)</f>
        <v>0</v>
      </c>
      <c r="G692" s="306">
        <f>SUM(G693:G694)</f>
        <v>0</v>
      </c>
      <c r="H692" s="307">
        <f t="shared" si="438"/>
        <v>766.65072659999998</v>
      </c>
      <c r="I692" s="309"/>
      <c r="J692" s="309"/>
      <c r="K692" s="309"/>
      <c r="L692" s="309">
        <f>K692*10%</f>
        <v>0</v>
      </c>
      <c r="M692" s="309"/>
      <c r="N692" s="309">
        <f>L692+M692</f>
        <v>0</v>
      </c>
      <c r="O692" s="309">
        <f>L692-P692</f>
        <v>0</v>
      </c>
      <c r="P692" s="309">
        <f>N692</f>
        <v>0</v>
      </c>
      <c r="Q692" s="309">
        <f>M692</f>
        <v>0</v>
      </c>
      <c r="R692" s="307">
        <f>SUM(R693:R694)</f>
        <v>766.65072659999998</v>
      </c>
      <c r="S692" s="307">
        <f t="shared" ref="S692:T692" si="441">SUM(S693:S694)</f>
        <v>0</v>
      </c>
      <c r="T692" s="307">
        <f t="shared" si="441"/>
        <v>766.65072659999998</v>
      </c>
    </row>
    <row r="693" spans="1:20" ht="27.75" customHeight="1">
      <c r="A693" s="325" t="s">
        <v>489</v>
      </c>
      <c r="B693" s="166" t="s">
        <v>491</v>
      </c>
      <c r="C693" s="320" t="s">
        <v>444</v>
      </c>
      <c r="D693" s="306">
        <f t="shared" si="437"/>
        <v>750.88499460000003</v>
      </c>
      <c r="E693" s="306">
        <f>'[2] TL giao BC '!U964</f>
        <v>750.88499460000003</v>
      </c>
      <c r="F693" s="306"/>
      <c r="G693" s="306"/>
      <c r="H693" s="307">
        <f t="shared" si="438"/>
        <v>750.88499460000003</v>
      </c>
      <c r="I693" s="309"/>
      <c r="J693" s="309"/>
      <c r="K693" s="309"/>
      <c r="L693" s="309"/>
      <c r="M693" s="309"/>
      <c r="N693" s="309"/>
      <c r="O693" s="309"/>
      <c r="P693" s="309"/>
      <c r="Q693" s="309"/>
      <c r="R693" s="307">
        <f>D693-N693</f>
        <v>750.88499460000003</v>
      </c>
      <c r="S693" s="307">
        <v>15.77</v>
      </c>
      <c r="T693" s="307">
        <f t="shared" ref="T693:T694" si="442">R693+S693</f>
        <v>766.65499460000001</v>
      </c>
    </row>
    <row r="694" spans="1:20" ht="27.75" customHeight="1">
      <c r="A694" s="325" t="s">
        <v>489</v>
      </c>
      <c r="B694" s="164" t="s">
        <v>492</v>
      </c>
      <c r="C694" s="320" t="s">
        <v>444</v>
      </c>
      <c r="D694" s="306">
        <f t="shared" si="437"/>
        <v>15.765732</v>
      </c>
      <c r="E694" s="306">
        <f>'[2] TL giao BC tăng thêm'!U299</f>
        <v>15.765732</v>
      </c>
      <c r="F694" s="306"/>
      <c r="G694" s="306"/>
      <c r="H694" s="307">
        <f t="shared" si="438"/>
        <v>15.765732</v>
      </c>
      <c r="I694" s="309"/>
      <c r="J694" s="309"/>
      <c r="K694" s="309"/>
      <c r="L694" s="309"/>
      <c r="M694" s="309"/>
      <c r="N694" s="309"/>
      <c r="O694" s="309"/>
      <c r="P694" s="309"/>
      <c r="Q694" s="309"/>
      <c r="R694" s="307">
        <f>D694-N694</f>
        <v>15.765732</v>
      </c>
      <c r="S694" s="307">
        <v>-15.77</v>
      </c>
      <c r="T694" s="307">
        <f t="shared" si="442"/>
        <v>-4.2679999999997165E-3</v>
      </c>
    </row>
    <row r="695" spans="1:20" ht="27.75" customHeight="1">
      <c r="A695" s="325" t="s">
        <v>438</v>
      </c>
      <c r="B695" s="164" t="s">
        <v>483</v>
      </c>
      <c r="C695" s="320"/>
      <c r="D695" s="306">
        <f t="shared" si="437"/>
        <v>-45.72</v>
      </c>
      <c r="E695" s="306">
        <f>-'[2]Biểu Thu '!P36-'[2]Biểu Thu '!AB36</f>
        <v>-45.72</v>
      </c>
      <c r="F695" s="306"/>
      <c r="G695" s="306"/>
      <c r="H695" s="307">
        <f t="shared" si="438"/>
        <v>-45.72</v>
      </c>
      <c r="I695" s="309"/>
      <c r="J695" s="309"/>
      <c r="K695" s="309"/>
      <c r="L695" s="309"/>
      <c r="M695" s="309"/>
      <c r="N695" s="309"/>
      <c r="O695" s="309"/>
      <c r="P695" s="309"/>
      <c r="Q695" s="309"/>
      <c r="R695" s="307">
        <f>D695-N695</f>
        <v>-45.72</v>
      </c>
      <c r="S695" s="307"/>
      <c r="T695" s="307">
        <f>R695+S695</f>
        <v>-45.72</v>
      </c>
    </row>
    <row r="696" spans="1:20" s="311" customFormat="1" ht="27.75" customHeight="1">
      <c r="A696" s="304" t="s">
        <v>438</v>
      </c>
      <c r="B696" s="166" t="s">
        <v>452</v>
      </c>
      <c r="C696" s="320" t="s">
        <v>488</v>
      </c>
      <c r="D696" s="306">
        <f>E696+G696</f>
        <v>-58.169110965882354</v>
      </c>
      <c r="E696" s="306">
        <f>-L697</f>
        <v>-58.169110965882354</v>
      </c>
      <c r="F696" s="306"/>
      <c r="G696" s="306"/>
      <c r="H696" s="307">
        <f t="shared" si="438"/>
        <v>-58.169110965882354</v>
      </c>
      <c r="I696" s="308"/>
      <c r="J696" s="308"/>
      <c r="K696" s="308"/>
      <c r="L696" s="309">
        <f>K696*10%</f>
        <v>0</v>
      </c>
      <c r="M696" s="309"/>
      <c r="N696" s="309">
        <f>L696+M696</f>
        <v>0</v>
      </c>
      <c r="O696" s="309">
        <f>L696-P696</f>
        <v>0</v>
      </c>
      <c r="P696" s="309">
        <f>N696</f>
        <v>0</v>
      </c>
      <c r="Q696" s="309">
        <f>M696</f>
        <v>0</v>
      </c>
      <c r="R696" s="307"/>
      <c r="S696" s="306"/>
      <c r="T696" s="307"/>
    </row>
    <row r="697" spans="1:20" ht="26.25" customHeight="1">
      <c r="A697" s="304" t="s">
        <v>438</v>
      </c>
      <c r="B697" s="166" t="s">
        <v>412</v>
      </c>
      <c r="C697" s="320" t="s">
        <v>488</v>
      </c>
      <c r="D697" s="306">
        <f>SUM(E697:G697)</f>
        <v>581.69110965882351</v>
      </c>
      <c r="E697" s="306">
        <f>SUM(E698:E699)</f>
        <v>568.31865765882355</v>
      </c>
      <c r="F697" s="306">
        <f>SUM(F698:F699)</f>
        <v>0</v>
      </c>
      <c r="G697" s="306">
        <f>SUM(G698:G699)</f>
        <v>13.37245200000001</v>
      </c>
      <c r="H697" s="309"/>
      <c r="I697" s="309"/>
      <c r="J697" s="309"/>
      <c r="K697" s="309">
        <f>SUM(K698:K699)</f>
        <v>581.69110965882351</v>
      </c>
      <c r="L697" s="309">
        <f>SUM(L698:L699)</f>
        <v>58.169110965882354</v>
      </c>
      <c r="M697" s="309"/>
      <c r="N697" s="309">
        <f>L697+M697</f>
        <v>58.169110965882354</v>
      </c>
      <c r="O697" s="309">
        <f>N697</f>
        <v>58.169110965882354</v>
      </c>
      <c r="P697" s="309">
        <f>N697-O697</f>
        <v>0</v>
      </c>
      <c r="Q697" s="309">
        <f>M697</f>
        <v>0</v>
      </c>
      <c r="R697" s="307">
        <f>D697-N697</f>
        <v>523.52199869294111</v>
      </c>
      <c r="S697" s="307">
        <f>SUM(S698:S699)</f>
        <v>0</v>
      </c>
      <c r="T697" s="307">
        <f>R697+S697</f>
        <v>523.52199869294111</v>
      </c>
    </row>
    <row r="698" spans="1:20" ht="39" customHeight="1">
      <c r="A698" s="325" t="s">
        <v>489</v>
      </c>
      <c r="B698" s="166" t="s">
        <v>556</v>
      </c>
      <c r="C698" s="320" t="s">
        <v>444</v>
      </c>
      <c r="D698" s="306">
        <f>SUM(E698:G698)</f>
        <v>568.31865765882355</v>
      </c>
      <c r="E698" s="306">
        <f>'[2] TL giao BC '!Z964</f>
        <v>568.31865765882355</v>
      </c>
      <c r="F698" s="306"/>
      <c r="G698" s="306"/>
      <c r="H698" s="309"/>
      <c r="I698" s="309"/>
      <c r="J698" s="309"/>
      <c r="K698" s="309">
        <f>D698</f>
        <v>568.31865765882355</v>
      </c>
      <c r="L698" s="309">
        <f>K698*10%</f>
        <v>56.831865765882355</v>
      </c>
      <c r="M698" s="309"/>
      <c r="N698" s="309"/>
      <c r="O698" s="309"/>
      <c r="P698" s="309"/>
      <c r="Q698" s="309"/>
      <c r="R698" s="307"/>
      <c r="S698" s="307">
        <f>13.37</f>
        <v>13.37</v>
      </c>
      <c r="T698" s="307"/>
    </row>
    <row r="699" spans="1:20" ht="33" customHeight="1">
      <c r="A699" s="325" t="s">
        <v>489</v>
      </c>
      <c r="B699" s="164" t="s">
        <v>499</v>
      </c>
      <c r="C699" s="320" t="s">
        <v>478</v>
      </c>
      <c r="D699" s="306">
        <f>SUM(E699:G699)</f>
        <v>13.37245200000001</v>
      </c>
      <c r="E699" s="306"/>
      <c r="F699" s="306"/>
      <c r="G699" s="306">
        <f>'[2] TL giao BC tăng thêm'!X299</f>
        <v>13.37245200000001</v>
      </c>
      <c r="H699" s="309"/>
      <c r="I699" s="309"/>
      <c r="J699" s="309"/>
      <c r="K699" s="309">
        <f>D699</f>
        <v>13.37245200000001</v>
      </c>
      <c r="L699" s="309">
        <f>K699*10%</f>
        <v>1.337245200000001</v>
      </c>
      <c r="M699" s="309"/>
      <c r="N699" s="309"/>
      <c r="O699" s="309"/>
      <c r="P699" s="309"/>
      <c r="Q699" s="309"/>
      <c r="R699" s="307"/>
      <c r="S699" s="307">
        <v>-13.37</v>
      </c>
      <c r="T699" s="307"/>
    </row>
    <row r="700" spans="1:20" ht="30" customHeight="1">
      <c r="A700" s="303" t="s">
        <v>481</v>
      </c>
      <c r="B700" s="326" t="s">
        <v>485</v>
      </c>
      <c r="C700" s="320" t="s">
        <v>488</v>
      </c>
      <c r="D700" s="307">
        <f>E700+G700+F700</f>
        <v>361.71000000000009</v>
      </c>
      <c r="E700" s="307">
        <f t="shared" ref="E700:T700" si="443">SUM(E701:E705)</f>
        <v>340.80000000000007</v>
      </c>
      <c r="F700" s="307">
        <f t="shared" si="443"/>
        <v>0</v>
      </c>
      <c r="G700" s="307">
        <f t="shared" si="443"/>
        <v>20.91</v>
      </c>
      <c r="H700" s="307">
        <f t="shared" si="443"/>
        <v>0</v>
      </c>
      <c r="I700" s="307">
        <f t="shared" si="443"/>
        <v>361.71000000000004</v>
      </c>
      <c r="J700" s="307">
        <f t="shared" si="443"/>
        <v>0</v>
      </c>
      <c r="K700" s="307">
        <f t="shared" si="443"/>
        <v>0</v>
      </c>
      <c r="L700" s="307">
        <f t="shared" si="443"/>
        <v>0</v>
      </c>
      <c r="M700" s="307">
        <f t="shared" si="443"/>
        <v>0</v>
      </c>
      <c r="N700" s="307">
        <f t="shared" si="443"/>
        <v>0</v>
      </c>
      <c r="O700" s="307">
        <f t="shared" si="443"/>
        <v>0</v>
      </c>
      <c r="P700" s="307">
        <f t="shared" si="443"/>
        <v>0</v>
      </c>
      <c r="Q700" s="307">
        <f t="shared" si="443"/>
        <v>0</v>
      </c>
      <c r="R700" s="307">
        <f t="shared" si="443"/>
        <v>361.71000000000004</v>
      </c>
      <c r="S700" s="307">
        <f t="shared" si="443"/>
        <v>0</v>
      </c>
      <c r="T700" s="307">
        <f t="shared" si="443"/>
        <v>361.71000000000004</v>
      </c>
    </row>
    <row r="701" spans="1:20" ht="30" customHeight="1">
      <c r="A701" s="325" t="s">
        <v>438</v>
      </c>
      <c r="B701" s="166" t="s">
        <v>280</v>
      </c>
      <c r="C701" s="320" t="s">
        <v>444</v>
      </c>
      <c r="D701" s="306">
        <f>E701+G701</f>
        <v>113.85</v>
      </c>
      <c r="E701" s="306">
        <f>'[2]CS giáo dục '!Q36</f>
        <v>113.85</v>
      </c>
      <c r="F701" s="306"/>
      <c r="G701" s="306"/>
      <c r="H701" s="309"/>
      <c r="I701" s="309">
        <f>D701</f>
        <v>113.85</v>
      </c>
      <c r="J701" s="309"/>
      <c r="K701" s="309"/>
      <c r="L701" s="309">
        <f>K701*10%</f>
        <v>0</v>
      </c>
      <c r="M701" s="309"/>
      <c r="N701" s="309">
        <f>L701+M701</f>
        <v>0</v>
      </c>
      <c r="O701" s="309">
        <f>N701</f>
        <v>0</v>
      </c>
      <c r="P701" s="309">
        <f>N701-O701</f>
        <v>0</v>
      </c>
      <c r="Q701" s="309">
        <f>M701</f>
        <v>0</v>
      </c>
      <c r="R701" s="307">
        <f>D701-N701</f>
        <v>113.85</v>
      </c>
      <c r="S701" s="307"/>
      <c r="T701" s="307">
        <f t="shared" ref="T701:T705" si="444">R701+S701</f>
        <v>113.85</v>
      </c>
    </row>
    <row r="702" spans="1:20" ht="30" customHeight="1">
      <c r="A702" s="325" t="s">
        <v>438</v>
      </c>
      <c r="B702" s="166" t="s">
        <v>287</v>
      </c>
      <c r="C702" s="320" t="s">
        <v>488</v>
      </c>
      <c r="D702" s="306">
        <f>E702+G702+F702</f>
        <v>0</v>
      </c>
      <c r="E702" s="306"/>
      <c r="F702" s="306"/>
      <c r="G702" s="306"/>
      <c r="H702" s="309"/>
      <c r="I702" s="309">
        <f>D702</f>
        <v>0</v>
      </c>
      <c r="J702" s="309"/>
      <c r="K702" s="309"/>
      <c r="L702" s="309">
        <f>K702*10%</f>
        <v>0</v>
      </c>
      <c r="M702" s="309"/>
      <c r="N702" s="309">
        <f>L702+M702</f>
        <v>0</v>
      </c>
      <c r="O702" s="309">
        <f>N702</f>
        <v>0</v>
      </c>
      <c r="P702" s="309">
        <f>N702-O702</f>
        <v>0</v>
      </c>
      <c r="Q702" s="309">
        <f>M702</f>
        <v>0</v>
      </c>
      <c r="R702" s="307">
        <f>D702-N702</f>
        <v>0</v>
      </c>
      <c r="S702" s="307"/>
      <c r="T702" s="307">
        <f t="shared" si="444"/>
        <v>0</v>
      </c>
    </row>
    <row r="703" spans="1:20" ht="39" customHeight="1">
      <c r="A703" s="325" t="s">
        <v>438</v>
      </c>
      <c r="B703" s="166" t="s">
        <v>308</v>
      </c>
      <c r="C703" s="320" t="s">
        <v>488</v>
      </c>
      <c r="D703" s="306">
        <f>E703+G703</f>
        <v>12.96</v>
      </c>
      <c r="E703" s="306">
        <f>'[2]CS giáo dục '!AQ36</f>
        <v>9.4400000000000013</v>
      </c>
      <c r="F703" s="306"/>
      <c r="G703" s="306">
        <f>'[2]CS giáo dục '!AS36</f>
        <v>3.52</v>
      </c>
      <c r="H703" s="309"/>
      <c r="I703" s="309">
        <f>D703</f>
        <v>12.96</v>
      </c>
      <c r="J703" s="309"/>
      <c r="K703" s="309"/>
      <c r="L703" s="309">
        <f>K703*10%</f>
        <v>0</v>
      </c>
      <c r="M703" s="309"/>
      <c r="N703" s="309">
        <f>L703+M703</f>
        <v>0</v>
      </c>
      <c r="O703" s="309">
        <f>N703</f>
        <v>0</v>
      </c>
      <c r="P703" s="309">
        <f>N703-O703</f>
        <v>0</v>
      </c>
      <c r="Q703" s="309">
        <f>M703</f>
        <v>0</v>
      </c>
      <c r="R703" s="307">
        <f>D703-N703</f>
        <v>12.96</v>
      </c>
      <c r="S703" s="307"/>
      <c r="T703" s="307">
        <f t="shared" si="444"/>
        <v>12.96</v>
      </c>
    </row>
    <row r="704" spans="1:20" ht="36" customHeight="1">
      <c r="A704" s="325" t="s">
        <v>438</v>
      </c>
      <c r="B704" s="166" t="s">
        <v>495</v>
      </c>
      <c r="C704" s="320" t="s">
        <v>488</v>
      </c>
      <c r="D704" s="306">
        <f>E704+G704</f>
        <v>234.90000000000003</v>
      </c>
      <c r="E704" s="306">
        <f>'[2]CS giáo dục '!BG36</f>
        <v>217.51000000000005</v>
      </c>
      <c r="F704" s="306"/>
      <c r="G704" s="306">
        <f>'[2]CS giáo dục '!BI36</f>
        <v>17.39</v>
      </c>
      <c r="H704" s="309"/>
      <c r="I704" s="309">
        <f>D704</f>
        <v>234.90000000000003</v>
      </c>
      <c r="J704" s="309"/>
      <c r="K704" s="309"/>
      <c r="L704" s="309">
        <f>K704*10%</f>
        <v>0</v>
      </c>
      <c r="M704" s="309"/>
      <c r="N704" s="309">
        <f>L704+M704</f>
        <v>0</v>
      </c>
      <c r="O704" s="309">
        <f>N704</f>
        <v>0</v>
      </c>
      <c r="P704" s="309">
        <f>N704-O704</f>
        <v>0</v>
      </c>
      <c r="Q704" s="309">
        <f>M704</f>
        <v>0</v>
      </c>
      <c r="R704" s="307">
        <f>D704-N704</f>
        <v>234.90000000000003</v>
      </c>
      <c r="S704" s="307"/>
      <c r="T704" s="307">
        <f t="shared" si="444"/>
        <v>234.90000000000003</v>
      </c>
    </row>
    <row r="705" spans="1:20" ht="26.25" customHeight="1">
      <c r="A705" s="325" t="s">
        <v>438</v>
      </c>
      <c r="B705" s="166" t="s">
        <v>309</v>
      </c>
      <c r="C705" s="320" t="s">
        <v>478</v>
      </c>
      <c r="D705" s="306">
        <f>E705+G705</f>
        <v>0</v>
      </c>
      <c r="E705" s="306"/>
      <c r="F705" s="306"/>
      <c r="G705" s="306"/>
      <c r="H705" s="309"/>
      <c r="I705" s="309">
        <f>D705</f>
        <v>0</v>
      </c>
      <c r="J705" s="309"/>
      <c r="K705" s="309"/>
      <c r="L705" s="309">
        <f>K705*10%</f>
        <v>0</v>
      </c>
      <c r="M705" s="309"/>
      <c r="N705" s="309">
        <f>L705+M705</f>
        <v>0</v>
      </c>
      <c r="O705" s="309">
        <f>N705</f>
        <v>0</v>
      </c>
      <c r="P705" s="309">
        <f>N705-O705</f>
        <v>0</v>
      </c>
      <c r="Q705" s="309">
        <f>M705</f>
        <v>0</v>
      </c>
      <c r="R705" s="307">
        <f>D705-N705</f>
        <v>0</v>
      </c>
      <c r="S705" s="307"/>
      <c r="T705" s="307">
        <f t="shared" si="444"/>
        <v>0</v>
      </c>
    </row>
    <row r="706" spans="1:20" s="328" customFormat="1" ht="27.75" customHeight="1">
      <c r="A706" s="320">
        <v>8</v>
      </c>
      <c r="B706" s="321" t="s">
        <v>563</v>
      </c>
      <c r="C706" s="320" t="s">
        <v>488</v>
      </c>
      <c r="D706" s="322">
        <f>D707+D719</f>
        <v>9792.9919734755294</v>
      </c>
      <c r="E706" s="322">
        <f t="shared" ref="E706:Q706" si="445">E707+E719</f>
        <v>9372.7576934755289</v>
      </c>
      <c r="F706" s="322">
        <f t="shared" si="445"/>
        <v>0</v>
      </c>
      <c r="G706" s="322">
        <f t="shared" si="445"/>
        <v>420.23428000000001</v>
      </c>
      <c r="H706" s="322">
        <f t="shared" si="445"/>
        <v>7211.0751967249407</v>
      </c>
      <c r="I706" s="322">
        <f t="shared" si="445"/>
        <v>1599.48</v>
      </c>
      <c r="J706" s="322">
        <f t="shared" si="445"/>
        <v>0</v>
      </c>
      <c r="K706" s="322">
        <f t="shared" si="445"/>
        <v>982.43677675058836</v>
      </c>
      <c r="L706" s="322">
        <f t="shared" si="445"/>
        <v>98.243677675058848</v>
      </c>
      <c r="M706" s="322">
        <f t="shared" si="445"/>
        <v>0</v>
      </c>
      <c r="N706" s="322">
        <f t="shared" si="445"/>
        <v>98.243677675058848</v>
      </c>
      <c r="O706" s="322">
        <f t="shared" si="445"/>
        <v>98.243677675058848</v>
      </c>
      <c r="P706" s="322">
        <f t="shared" si="445"/>
        <v>0</v>
      </c>
      <c r="Q706" s="322">
        <f t="shared" si="445"/>
        <v>0</v>
      </c>
      <c r="R706" s="322">
        <f>R707+R719</f>
        <v>9792.9919734755294</v>
      </c>
      <c r="S706" s="322">
        <f t="shared" ref="S706:T706" si="446">S707+S719</f>
        <v>0</v>
      </c>
      <c r="T706" s="322">
        <f t="shared" si="446"/>
        <v>9792.9919734755294</v>
      </c>
    </row>
    <row r="707" spans="1:20" ht="27.75" customHeight="1">
      <c r="A707" s="303" t="s">
        <v>481</v>
      </c>
      <c r="B707" s="323" t="s">
        <v>482</v>
      </c>
      <c r="C707" s="320" t="s">
        <v>488</v>
      </c>
      <c r="D707" s="307">
        <f>D708+D711+D714+D715+D716</f>
        <v>8193.5119734755299</v>
      </c>
      <c r="E707" s="307">
        <f t="shared" ref="E707:Q707" si="447">E708+E711+E714+E715+E716</f>
        <v>7880.0576934755281</v>
      </c>
      <c r="F707" s="307">
        <f t="shared" si="447"/>
        <v>0</v>
      </c>
      <c r="G707" s="307">
        <f t="shared" si="447"/>
        <v>313.45428000000004</v>
      </c>
      <c r="H707" s="307">
        <f t="shared" si="447"/>
        <v>7211.0751967249407</v>
      </c>
      <c r="I707" s="307">
        <f t="shared" si="447"/>
        <v>0</v>
      </c>
      <c r="J707" s="307">
        <f t="shared" si="447"/>
        <v>0</v>
      </c>
      <c r="K707" s="307">
        <f t="shared" si="447"/>
        <v>982.43677675058836</v>
      </c>
      <c r="L707" s="307">
        <f t="shared" si="447"/>
        <v>98.243677675058848</v>
      </c>
      <c r="M707" s="307">
        <f t="shared" si="447"/>
        <v>0</v>
      </c>
      <c r="N707" s="307">
        <f t="shared" si="447"/>
        <v>98.243677675058848</v>
      </c>
      <c r="O707" s="307">
        <f t="shared" si="447"/>
        <v>98.243677675058848</v>
      </c>
      <c r="P707" s="307">
        <f t="shared" si="447"/>
        <v>0</v>
      </c>
      <c r="Q707" s="307">
        <f t="shared" si="447"/>
        <v>0</v>
      </c>
      <c r="R707" s="307">
        <f>R708+R711+R714+R715+R716</f>
        <v>8193.5119734755299</v>
      </c>
      <c r="S707" s="307">
        <f t="shared" ref="S707:T707" si="448">S708+S711+S714+S715+S716</f>
        <v>0</v>
      </c>
      <c r="T707" s="307">
        <f t="shared" si="448"/>
        <v>8193.5119734755299</v>
      </c>
    </row>
    <row r="708" spans="1:20" ht="27.75" customHeight="1">
      <c r="A708" s="325" t="s">
        <v>438</v>
      </c>
      <c r="B708" s="164" t="s">
        <v>277</v>
      </c>
      <c r="C708" s="320" t="s">
        <v>488</v>
      </c>
      <c r="D708" s="306">
        <f t="shared" ref="D708:D714" si="449">SUM(E708:G708)</f>
        <v>6102.6417349200001</v>
      </c>
      <c r="E708" s="306">
        <f>SUM(E709:E710)</f>
        <v>5836.2055969200001</v>
      </c>
      <c r="F708" s="306">
        <f>SUM(F709:F710)</f>
        <v>0</v>
      </c>
      <c r="G708" s="306">
        <f>SUM(G709:G710)</f>
        <v>266.43613800000003</v>
      </c>
      <c r="H708" s="307">
        <f t="shared" ref="H708:H715" si="450">D708</f>
        <v>6102.6417349200001</v>
      </c>
      <c r="I708" s="309"/>
      <c r="J708" s="309"/>
      <c r="K708" s="309"/>
      <c r="L708" s="309">
        <f>K708*10%</f>
        <v>0</v>
      </c>
      <c r="M708" s="309"/>
      <c r="N708" s="309">
        <f>L708+M708</f>
        <v>0</v>
      </c>
      <c r="O708" s="309">
        <f>L708-P708</f>
        <v>0</v>
      </c>
      <c r="P708" s="309">
        <f>N708</f>
        <v>0</v>
      </c>
      <c r="Q708" s="309">
        <f>M708</f>
        <v>0</v>
      </c>
      <c r="R708" s="307">
        <f>SUM(R709:R710)</f>
        <v>6102.6417349200001</v>
      </c>
      <c r="S708" s="307">
        <f t="shared" ref="S708:T708" si="451">SUM(S709:S710)</f>
        <v>0</v>
      </c>
      <c r="T708" s="307">
        <f t="shared" si="451"/>
        <v>6102.6417349200001</v>
      </c>
    </row>
    <row r="709" spans="1:20" ht="27.75" customHeight="1">
      <c r="A709" s="325" t="s">
        <v>489</v>
      </c>
      <c r="B709" s="164" t="s">
        <v>490</v>
      </c>
      <c r="C709" s="320" t="s">
        <v>444</v>
      </c>
      <c r="D709" s="306">
        <f t="shared" si="449"/>
        <v>5836.2055969200001</v>
      </c>
      <c r="E709" s="306">
        <f>'[2] TL giao BC '!T987</f>
        <v>5836.2055969200001</v>
      </c>
      <c r="F709" s="306"/>
      <c r="G709" s="306"/>
      <c r="H709" s="307">
        <f t="shared" si="450"/>
        <v>5836.2055969200001</v>
      </c>
      <c r="I709" s="309"/>
      <c r="J709" s="309"/>
      <c r="K709" s="309"/>
      <c r="L709" s="309"/>
      <c r="M709" s="309"/>
      <c r="N709" s="309"/>
      <c r="O709" s="309"/>
      <c r="P709" s="309"/>
      <c r="Q709" s="309"/>
      <c r="R709" s="307">
        <f>D709-N709</f>
        <v>5836.2055969200001</v>
      </c>
      <c r="S709" s="307">
        <v>266.44</v>
      </c>
      <c r="T709" s="307">
        <f t="shared" ref="T709:T710" si="452">R709+S709</f>
        <v>6102.6455969199997</v>
      </c>
    </row>
    <row r="710" spans="1:20" ht="27.75" customHeight="1">
      <c r="A710" s="325" t="s">
        <v>489</v>
      </c>
      <c r="B710" s="164" t="s">
        <v>305</v>
      </c>
      <c r="C710" s="320" t="s">
        <v>478</v>
      </c>
      <c r="D710" s="306">
        <f t="shared" si="449"/>
        <v>266.43613800000003</v>
      </c>
      <c r="E710" s="306"/>
      <c r="F710" s="306"/>
      <c r="G710" s="306">
        <f>'[2] TL giao BC tăng thêm'!T301</f>
        <v>266.43613800000003</v>
      </c>
      <c r="H710" s="307">
        <f t="shared" si="450"/>
        <v>266.43613800000003</v>
      </c>
      <c r="I710" s="309"/>
      <c r="J710" s="309"/>
      <c r="K710" s="309"/>
      <c r="L710" s="309"/>
      <c r="M710" s="309"/>
      <c r="N710" s="309"/>
      <c r="O710" s="309"/>
      <c r="P710" s="309"/>
      <c r="Q710" s="309"/>
      <c r="R710" s="307">
        <f>D710-N710</f>
        <v>266.43613800000003</v>
      </c>
      <c r="S710" s="307">
        <v>-266.44</v>
      </c>
      <c r="T710" s="307">
        <f t="shared" si="452"/>
        <v>-3.861999999969612E-3</v>
      </c>
    </row>
    <row r="711" spans="1:20" ht="27.75" customHeight="1">
      <c r="A711" s="304" t="s">
        <v>438</v>
      </c>
      <c r="B711" s="166" t="s">
        <v>278</v>
      </c>
      <c r="C711" s="320" t="s">
        <v>444</v>
      </c>
      <c r="D711" s="306">
        <f t="shared" si="449"/>
        <v>1269.6771394799994</v>
      </c>
      <c r="E711" s="306">
        <f>SUM(E712:E713)</f>
        <v>1269.6771394799994</v>
      </c>
      <c r="F711" s="306">
        <f>SUM(F712:F713)</f>
        <v>0</v>
      </c>
      <c r="G711" s="306">
        <f>SUM(G712:G713)</f>
        <v>0</v>
      </c>
      <c r="H711" s="307">
        <f t="shared" si="450"/>
        <v>1269.6771394799994</v>
      </c>
      <c r="I711" s="309"/>
      <c r="J711" s="309"/>
      <c r="K711" s="309"/>
      <c r="L711" s="309">
        <f>K711*10%</f>
        <v>0</v>
      </c>
      <c r="M711" s="309"/>
      <c r="N711" s="309">
        <f>L711+M711</f>
        <v>0</v>
      </c>
      <c r="O711" s="309">
        <f>L711-P711</f>
        <v>0</v>
      </c>
      <c r="P711" s="309">
        <f>N711</f>
        <v>0</v>
      </c>
      <c r="Q711" s="309">
        <f>M711</f>
        <v>0</v>
      </c>
      <c r="R711" s="307">
        <f>SUM(R712:R713)</f>
        <v>1269.6771394799994</v>
      </c>
      <c r="S711" s="307">
        <f t="shared" ref="S711:T711" si="453">SUM(S712:S713)</f>
        <v>0</v>
      </c>
      <c r="T711" s="307">
        <f t="shared" si="453"/>
        <v>1269.6771394799996</v>
      </c>
    </row>
    <row r="712" spans="1:20" ht="27.75" customHeight="1">
      <c r="A712" s="325" t="s">
        <v>489</v>
      </c>
      <c r="B712" s="166" t="s">
        <v>491</v>
      </c>
      <c r="C712" s="320" t="s">
        <v>444</v>
      </c>
      <c r="D712" s="306">
        <f t="shared" si="449"/>
        <v>1214.2441174799994</v>
      </c>
      <c r="E712" s="306">
        <f>'[2] TL giao BC '!U987</f>
        <v>1214.2441174799994</v>
      </c>
      <c r="F712" s="306"/>
      <c r="G712" s="306"/>
      <c r="H712" s="307">
        <f t="shared" si="450"/>
        <v>1214.2441174799994</v>
      </c>
      <c r="I712" s="309"/>
      <c r="J712" s="309"/>
      <c r="K712" s="309"/>
      <c r="L712" s="309"/>
      <c r="M712" s="309"/>
      <c r="N712" s="309"/>
      <c r="O712" s="309"/>
      <c r="P712" s="309"/>
      <c r="Q712" s="309"/>
      <c r="R712" s="307">
        <f>D712-N712</f>
        <v>1214.2441174799994</v>
      </c>
      <c r="S712" s="307">
        <v>55.43</v>
      </c>
      <c r="T712" s="307">
        <f t="shared" ref="T712:T713" si="454">R712+S712</f>
        <v>1269.6741174799995</v>
      </c>
    </row>
    <row r="713" spans="1:20" ht="27.75" customHeight="1">
      <c r="A713" s="325" t="s">
        <v>489</v>
      </c>
      <c r="B713" s="164" t="s">
        <v>492</v>
      </c>
      <c r="C713" s="320" t="s">
        <v>444</v>
      </c>
      <c r="D713" s="306">
        <f t="shared" si="449"/>
        <v>55.433021999999994</v>
      </c>
      <c r="E713" s="306">
        <f>'[2] TL giao BC tăng thêm'!U301</f>
        <v>55.433021999999994</v>
      </c>
      <c r="F713" s="306"/>
      <c r="G713" s="306"/>
      <c r="H713" s="307">
        <f t="shared" si="450"/>
        <v>55.433021999999994</v>
      </c>
      <c r="I713" s="309"/>
      <c r="J713" s="309"/>
      <c r="K713" s="309"/>
      <c r="L713" s="309"/>
      <c r="M713" s="309"/>
      <c r="N713" s="309"/>
      <c r="O713" s="309"/>
      <c r="P713" s="309"/>
      <c r="Q713" s="309"/>
      <c r="R713" s="307">
        <f>D713-N713</f>
        <v>55.433021999999994</v>
      </c>
      <c r="S713" s="307">
        <v>-55.43</v>
      </c>
      <c r="T713" s="307">
        <f t="shared" si="454"/>
        <v>3.021999999994307E-3</v>
      </c>
    </row>
    <row r="714" spans="1:20" ht="27.75" customHeight="1">
      <c r="A714" s="325" t="s">
        <v>438</v>
      </c>
      <c r="B714" s="164" t="s">
        <v>483</v>
      </c>
      <c r="C714" s="320"/>
      <c r="D714" s="306">
        <f t="shared" si="449"/>
        <v>-63</v>
      </c>
      <c r="E714" s="306">
        <f>-'[2]Biểu Thu '!P37-'[2]Biểu Thu '!AB37</f>
        <v>-63</v>
      </c>
      <c r="F714" s="306"/>
      <c r="G714" s="306"/>
      <c r="H714" s="307">
        <f t="shared" si="450"/>
        <v>-63</v>
      </c>
      <c r="I714" s="309"/>
      <c r="J714" s="309"/>
      <c r="K714" s="309"/>
      <c r="L714" s="309"/>
      <c r="M714" s="309"/>
      <c r="N714" s="309"/>
      <c r="O714" s="309"/>
      <c r="P714" s="309"/>
      <c r="Q714" s="309"/>
      <c r="R714" s="307">
        <f>D714-N714</f>
        <v>-63</v>
      </c>
      <c r="S714" s="307"/>
      <c r="T714" s="307">
        <f>R714+S714</f>
        <v>-63</v>
      </c>
    </row>
    <row r="715" spans="1:20" s="311" customFormat="1" ht="27.75" customHeight="1">
      <c r="A715" s="304" t="s">
        <v>438</v>
      </c>
      <c r="B715" s="166" t="s">
        <v>452</v>
      </c>
      <c r="C715" s="320" t="s">
        <v>488</v>
      </c>
      <c r="D715" s="306">
        <f>E715+G715</f>
        <v>-98.243677675058848</v>
      </c>
      <c r="E715" s="306">
        <f>-L716</f>
        <v>-98.243677675058848</v>
      </c>
      <c r="F715" s="306"/>
      <c r="G715" s="306"/>
      <c r="H715" s="307">
        <f t="shared" si="450"/>
        <v>-98.243677675058848</v>
      </c>
      <c r="I715" s="308"/>
      <c r="J715" s="308"/>
      <c r="K715" s="308"/>
      <c r="L715" s="309">
        <f>K715*10%</f>
        <v>0</v>
      </c>
      <c r="M715" s="309"/>
      <c r="N715" s="309">
        <f>L715+M715</f>
        <v>0</v>
      </c>
      <c r="O715" s="309">
        <f>L715-P715</f>
        <v>0</v>
      </c>
      <c r="P715" s="309">
        <f>N715</f>
        <v>0</v>
      </c>
      <c r="Q715" s="309">
        <f>M715</f>
        <v>0</v>
      </c>
      <c r="R715" s="307"/>
      <c r="S715" s="306"/>
      <c r="T715" s="307"/>
    </row>
    <row r="716" spans="1:20" ht="26.25" customHeight="1">
      <c r="A716" s="304" t="s">
        <v>438</v>
      </c>
      <c r="B716" s="166" t="s">
        <v>412</v>
      </c>
      <c r="C716" s="320" t="s">
        <v>488</v>
      </c>
      <c r="D716" s="306">
        <f>SUM(E716:G716)</f>
        <v>982.43677675058836</v>
      </c>
      <c r="E716" s="306">
        <f>SUM(E717:E718)</f>
        <v>935.41863475058835</v>
      </c>
      <c r="F716" s="306">
        <f>SUM(F717:F718)</f>
        <v>0</v>
      </c>
      <c r="G716" s="306">
        <f>SUM(G717:G718)</f>
        <v>47.018142000000012</v>
      </c>
      <c r="H716" s="309"/>
      <c r="I716" s="309"/>
      <c r="J716" s="309"/>
      <c r="K716" s="309">
        <f>SUM(K717:K718)</f>
        <v>982.43677675058836</v>
      </c>
      <c r="L716" s="309">
        <f>SUM(L717:L718)</f>
        <v>98.243677675058848</v>
      </c>
      <c r="M716" s="309"/>
      <c r="N716" s="309">
        <f>L716+M716</f>
        <v>98.243677675058848</v>
      </c>
      <c r="O716" s="309">
        <f>N716</f>
        <v>98.243677675058848</v>
      </c>
      <c r="P716" s="309">
        <f>N716-O716</f>
        <v>0</v>
      </c>
      <c r="Q716" s="309">
        <f>M716</f>
        <v>0</v>
      </c>
      <c r="R716" s="307">
        <f>D716-N716</f>
        <v>884.19309907552952</v>
      </c>
      <c r="S716" s="307">
        <f>SUM(S717:S718)</f>
        <v>0</v>
      </c>
      <c r="T716" s="307">
        <f>R716+S716</f>
        <v>884.19309907552952</v>
      </c>
    </row>
    <row r="717" spans="1:20" ht="39" customHeight="1">
      <c r="A717" s="325" t="s">
        <v>489</v>
      </c>
      <c r="B717" s="166" t="s">
        <v>564</v>
      </c>
      <c r="C717" s="320" t="s">
        <v>444</v>
      </c>
      <c r="D717" s="306">
        <f>SUM(E717:G717)</f>
        <v>935.41863475058835</v>
      </c>
      <c r="E717" s="306">
        <f>'[2] TL giao BC '!Z987</f>
        <v>935.41863475058835</v>
      </c>
      <c r="F717" s="306"/>
      <c r="G717" s="306"/>
      <c r="H717" s="309"/>
      <c r="I717" s="309"/>
      <c r="J717" s="309"/>
      <c r="K717" s="309">
        <f>D717</f>
        <v>935.41863475058835</v>
      </c>
      <c r="L717" s="309">
        <f>K717*10%</f>
        <v>93.541863475058847</v>
      </c>
      <c r="M717" s="309"/>
      <c r="N717" s="309"/>
      <c r="O717" s="309"/>
      <c r="P717" s="309"/>
      <c r="Q717" s="309"/>
      <c r="R717" s="307"/>
      <c r="S717" s="307">
        <v>47.02</v>
      </c>
      <c r="T717" s="307"/>
    </row>
    <row r="718" spans="1:20" ht="33" customHeight="1">
      <c r="A718" s="325" t="s">
        <v>489</v>
      </c>
      <c r="B718" s="164" t="s">
        <v>508</v>
      </c>
      <c r="C718" s="320" t="s">
        <v>478</v>
      </c>
      <c r="D718" s="306">
        <f>SUM(E718:G718)</f>
        <v>47.018142000000012</v>
      </c>
      <c r="E718" s="306"/>
      <c r="F718" s="306"/>
      <c r="G718" s="306">
        <f>'[2] TL giao BC tăng thêm'!X301</f>
        <v>47.018142000000012</v>
      </c>
      <c r="H718" s="309"/>
      <c r="I718" s="309"/>
      <c r="J718" s="309"/>
      <c r="K718" s="309">
        <f>D718</f>
        <v>47.018142000000012</v>
      </c>
      <c r="L718" s="309">
        <f>K718*10%</f>
        <v>4.7018142000000012</v>
      </c>
      <c r="M718" s="309"/>
      <c r="N718" s="309"/>
      <c r="O718" s="309"/>
      <c r="P718" s="309"/>
      <c r="Q718" s="309"/>
      <c r="R718" s="307"/>
      <c r="S718" s="307">
        <v>-47.02</v>
      </c>
      <c r="T718" s="307"/>
    </row>
    <row r="719" spans="1:20" ht="30" customHeight="1">
      <c r="A719" s="303" t="s">
        <v>481</v>
      </c>
      <c r="B719" s="326" t="s">
        <v>485</v>
      </c>
      <c r="C719" s="320" t="s">
        <v>488</v>
      </c>
      <c r="D719" s="307">
        <f>E719+G719+F719</f>
        <v>1599.48</v>
      </c>
      <c r="E719" s="307">
        <f t="shared" ref="E719:T719" si="455">SUM(E720:E724)</f>
        <v>1492.7</v>
      </c>
      <c r="F719" s="307">
        <f t="shared" si="455"/>
        <v>0</v>
      </c>
      <c r="G719" s="307">
        <f t="shared" si="455"/>
        <v>106.78</v>
      </c>
      <c r="H719" s="307">
        <f t="shared" si="455"/>
        <v>0</v>
      </c>
      <c r="I719" s="307">
        <f t="shared" si="455"/>
        <v>1599.48</v>
      </c>
      <c r="J719" s="307">
        <f t="shared" si="455"/>
        <v>0</v>
      </c>
      <c r="K719" s="307">
        <f t="shared" si="455"/>
        <v>0</v>
      </c>
      <c r="L719" s="307">
        <f t="shared" si="455"/>
        <v>0</v>
      </c>
      <c r="M719" s="307">
        <f t="shared" si="455"/>
        <v>0</v>
      </c>
      <c r="N719" s="307">
        <f t="shared" si="455"/>
        <v>0</v>
      </c>
      <c r="O719" s="307">
        <f t="shared" si="455"/>
        <v>0</v>
      </c>
      <c r="P719" s="307">
        <f t="shared" si="455"/>
        <v>0</v>
      </c>
      <c r="Q719" s="307">
        <f t="shared" si="455"/>
        <v>0</v>
      </c>
      <c r="R719" s="307">
        <f t="shared" si="455"/>
        <v>1599.48</v>
      </c>
      <c r="S719" s="307">
        <f t="shared" si="455"/>
        <v>0</v>
      </c>
      <c r="T719" s="307">
        <f t="shared" si="455"/>
        <v>1599.48</v>
      </c>
    </row>
    <row r="720" spans="1:20" ht="30" customHeight="1">
      <c r="A720" s="325" t="s">
        <v>438</v>
      </c>
      <c r="B720" s="166" t="s">
        <v>280</v>
      </c>
      <c r="C720" s="320" t="s">
        <v>444</v>
      </c>
      <c r="D720" s="306">
        <f>E720+G720</f>
        <v>157.5</v>
      </c>
      <c r="E720" s="306">
        <f>'[2]CS giáo dục '!Q37</f>
        <v>157.5</v>
      </c>
      <c r="F720" s="306"/>
      <c r="G720" s="306"/>
      <c r="H720" s="309"/>
      <c r="I720" s="309">
        <f>D720</f>
        <v>157.5</v>
      </c>
      <c r="J720" s="309"/>
      <c r="K720" s="309"/>
      <c r="L720" s="309">
        <f>K720*10%</f>
        <v>0</v>
      </c>
      <c r="M720" s="309"/>
      <c r="N720" s="309">
        <f>L720+M720</f>
        <v>0</v>
      </c>
      <c r="O720" s="309">
        <f>N720</f>
        <v>0</v>
      </c>
      <c r="P720" s="309">
        <f>N720-O720</f>
        <v>0</v>
      </c>
      <c r="Q720" s="309">
        <f>M720</f>
        <v>0</v>
      </c>
      <c r="R720" s="307">
        <f>D720-N720</f>
        <v>157.5</v>
      </c>
      <c r="S720" s="307"/>
      <c r="T720" s="307">
        <f t="shared" ref="T720:T724" si="456">R720+S720</f>
        <v>157.5</v>
      </c>
    </row>
    <row r="721" spans="1:20" ht="30" customHeight="1">
      <c r="A721" s="325" t="s">
        <v>438</v>
      </c>
      <c r="B721" s="166" t="s">
        <v>287</v>
      </c>
      <c r="C721" s="320" t="s">
        <v>488</v>
      </c>
      <c r="D721" s="306">
        <f>E721+G721+F721</f>
        <v>0</v>
      </c>
      <c r="E721" s="306"/>
      <c r="F721" s="306"/>
      <c r="G721" s="306"/>
      <c r="H721" s="309"/>
      <c r="I721" s="309">
        <f>D721</f>
        <v>0</v>
      </c>
      <c r="J721" s="309"/>
      <c r="K721" s="309"/>
      <c r="L721" s="309">
        <f>K721*10%</f>
        <v>0</v>
      </c>
      <c r="M721" s="309"/>
      <c r="N721" s="309">
        <f>L721+M721</f>
        <v>0</v>
      </c>
      <c r="O721" s="309">
        <f>N721</f>
        <v>0</v>
      </c>
      <c r="P721" s="309">
        <f>N721-O721</f>
        <v>0</v>
      </c>
      <c r="Q721" s="309">
        <f>M721</f>
        <v>0</v>
      </c>
      <c r="R721" s="307">
        <f>D721-N721</f>
        <v>0</v>
      </c>
      <c r="S721" s="307"/>
      <c r="T721" s="307">
        <f t="shared" si="456"/>
        <v>0</v>
      </c>
    </row>
    <row r="722" spans="1:20" ht="39" customHeight="1">
      <c r="A722" s="325" t="s">
        <v>438</v>
      </c>
      <c r="B722" s="166" t="s">
        <v>308</v>
      </c>
      <c r="C722" s="320" t="s">
        <v>488</v>
      </c>
      <c r="D722" s="306">
        <f>E722+G722</f>
        <v>0</v>
      </c>
      <c r="E722" s="306"/>
      <c r="F722" s="306"/>
      <c r="G722" s="306"/>
      <c r="H722" s="309"/>
      <c r="I722" s="309">
        <f>D722</f>
        <v>0</v>
      </c>
      <c r="J722" s="309"/>
      <c r="K722" s="309"/>
      <c r="L722" s="309">
        <f>K722*10%</f>
        <v>0</v>
      </c>
      <c r="M722" s="309"/>
      <c r="N722" s="309">
        <f>L722+M722</f>
        <v>0</v>
      </c>
      <c r="O722" s="309">
        <f>N722</f>
        <v>0</v>
      </c>
      <c r="P722" s="309">
        <f>N722-O722</f>
        <v>0</v>
      </c>
      <c r="Q722" s="309">
        <f>M722</f>
        <v>0</v>
      </c>
      <c r="R722" s="307">
        <f>D722-N722</f>
        <v>0</v>
      </c>
      <c r="S722" s="307"/>
      <c r="T722" s="307">
        <f t="shared" si="456"/>
        <v>0</v>
      </c>
    </row>
    <row r="723" spans="1:20" ht="36" customHeight="1">
      <c r="A723" s="325" t="s">
        <v>438</v>
      </c>
      <c r="B723" s="166" t="s">
        <v>495</v>
      </c>
      <c r="C723" s="320" t="s">
        <v>488</v>
      </c>
      <c r="D723" s="306">
        <f>E723+G723</f>
        <v>1441.98</v>
      </c>
      <c r="E723" s="306">
        <f>'[2]CS giáo dục '!BG37</f>
        <v>1335.2</v>
      </c>
      <c r="F723" s="306"/>
      <c r="G723" s="306">
        <f>'[2]CS giáo dục '!BI37</f>
        <v>106.78</v>
      </c>
      <c r="H723" s="309"/>
      <c r="I723" s="309">
        <f>D723</f>
        <v>1441.98</v>
      </c>
      <c r="J723" s="309"/>
      <c r="K723" s="309"/>
      <c r="L723" s="309">
        <f>K723*10%</f>
        <v>0</v>
      </c>
      <c r="M723" s="309"/>
      <c r="N723" s="309">
        <f>L723+M723</f>
        <v>0</v>
      </c>
      <c r="O723" s="309">
        <f>N723</f>
        <v>0</v>
      </c>
      <c r="P723" s="309">
        <f>N723-O723</f>
        <v>0</v>
      </c>
      <c r="Q723" s="309">
        <f>M723</f>
        <v>0</v>
      </c>
      <c r="R723" s="307">
        <f>D723-N723</f>
        <v>1441.98</v>
      </c>
      <c r="S723" s="307"/>
      <c r="T723" s="307">
        <f t="shared" si="456"/>
        <v>1441.98</v>
      </c>
    </row>
    <row r="724" spans="1:20" ht="26.25" customHeight="1">
      <c r="A724" s="325" t="s">
        <v>438</v>
      </c>
      <c r="B724" s="166" t="s">
        <v>309</v>
      </c>
      <c r="C724" s="320" t="s">
        <v>478</v>
      </c>
      <c r="D724" s="306">
        <f>E724+G724</f>
        <v>0</v>
      </c>
      <c r="E724" s="306"/>
      <c r="F724" s="306"/>
      <c r="G724" s="306"/>
      <c r="H724" s="309"/>
      <c r="I724" s="309">
        <f>D724</f>
        <v>0</v>
      </c>
      <c r="J724" s="309"/>
      <c r="K724" s="309"/>
      <c r="L724" s="309">
        <f>K724*10%</f>
        <v>0</v>
      </c>
      <c r="M724" s="309"/>
      <c r="N724" s="309">
        <f>L724+M724</f>
        <v>0</v>
      </c>
      <c r="O724" s="309">
        <f>N724</f>
        <v>0</v>
      </c>
      <c r="P724" s="309">
        <f>N724-O724</f>
        <v>0</v>
      </c>
      <c r="Q724" s="309">
        <f>M724</f>
        <v>0</v>
      </c>
      <c r="R724" s="307">
        <f>D724-N724</f>
        <v>0</v>
      </c>
      <c r="S724" s="307"/>
      <c r="T724" s="307">
        <f t="shared" si="456"/>
        <v>0</v>
      </c>
    </row>
    <row r="725" spans="1:20" s="328" customFormat="1" ht="27.75" customHeight="1">
      <c r="A725" s="320">
        <v>9</v>
      </c>
      <c r="B725" s="321" t="s">
        <v>358</v>
      </c>
      <c r="C725" s="320" t="s">
        <v>488</v>
      </c>
      <c r="D725" s="322">
        <f>D726+D738</f>
        <v>8204.2951407268247</v>
      </c>
      <c r="E725" s="322">
        <f t="shared" ref="E725:Q725" si="457">E726+E738</f>
        <v>8164.8751407268237</v>
      </c>
      <c r="F725" s="322">
        <f t="shared" si="457"/>
        <v>0</v>
      </c>
      <c r="G725" s="322">
        <f t="shared" si="457"/>
        <v>39.42</v>
      </c>
      <c r="H725" s="322">
        <f t="shared" si="457"/>
        <v>6663.2047950303531</v>
      </c>
      <c r="I725" s="322">
        <f t="shared" si="457"/>
        <v>663.12000000000012</v>
      </c>
      <c r="J725" s="322">
        <f t="shared" si="457"/>
        <v>0</v>
      </c>
      <c r="K725" s="322">
        <f t="shared" si="457"/>
        <v>877.97034569647087</v>
      </c>
      <c r="L725" s="322">
        <f t="shared" si="457"/>
        <v>87.797034569647096</v>
      </c>
      <c r="M725" s="322">
        <f t="shared" si="457"/>
        <v>0</v>
      </c>
      <c r="N725" s="322">
        <f t="shared" si="457"/>
        <v>87.797034569647096</v>
      </c>
      <c r="O725" s="322">
        <f t="shared" si="457"/>
        <v>87.797034569647096</v>
      </c>
      <c r="P725" s="322">
        <f t="shared" si="457"/>
        <v>0</v>
      </c>
      <c r="Q725" s="322">
        <f t="shared" si="457"/>
        <v>0</v>
      </c>
      <c r="R725" s="322">
        <f>R726+R738</f>
        <v>8204.2951407268247</v>
      </c>
      <c r="S725" s="322">
        <f t="shared" ref="S725:T725" si="458">S726+S738</f>
        <v>0</v>
      </c>
      <c r="T725" s="322">
        <f t="shared" si="458"/>
        <v>8204.2951407268247</v>
      </c>
    </row>
    <row r="726" spans="1:20" ht="27.75" customHeight="1">
      <c r="A726" s="303" t="s">
        <v>481</v>
      </c>
      <c r="B726" s="323" t="s">
        <v>482</v>
      </c>
      <c r="C726" s="320" t="s">
        <v>488</v>
      </c>
      <c r="D726" s="307">
        <f>D727+D730+D733+D734+D735</f>
        <v>7541.1751407268239</v>
      </c>
      <c r="E726" s="307">
        <f t="shared" ref="E726:Q726" si="459">E727+E730+E733+E734+E735</f>
        <v>7541.1751407268239</v>
      </c>
      <c r="F726" s="307">
        <f t="shared" si="459"/>
        <v>0</v>
      </c>
      <c r="G726" s="307">
        <f t="shared" si="459"/>
        <v>0</v>
      </c>
      <c r="H726" s="307">
        <f t="shared" si="459"/>
        <v>6663.2047950303531</v>
      </c>
      <c r="I726" s="307">
        <f t="shared" si="459"/>
        <v>0</v>
      </c>
      <c r="J726" s="307">
        <f t="shared" si="459"/>
        <v>0</v>
      </c>
      <c r="K726" s="307">
        <f t="shared" si="459"/>
        <v>877.97034569647087</v>
      </c>
      <c r="L726" s="307">
        <f t="shared" si="459"/>
        <v>87.797034569647096</v>
      </c>
      <c r="M726" s="307">
        <f t="shared" si="459"/>
        <v>0</v>
      </c>
      <c r="N726" s="307">
        <f t="shared" si="459"/>
        <v>87.797034569647096</v>
      </c>
      <c r="O726" s="307">
        <f t="shared" si="459"/>
        <v>87.797034569647096</v>
      </c>
      <c r="P726" s="307">
        <f t="shared" si="459"/>
        <v>0</v>
      </c>
      <c r="Q726" s="307">
        <f t="shared" si="459"/>
        <v>0</v>
      </c>
      <c r="R726" s="307">
        <f>R727+R730+R733+R734+R735</f>
        <v>7541.1751407268239</v>
      </c>
      <c r="S726" s="307">
        <f t="shared" ref="S726:T726" si="460">S727+S730+S733+S734+S735</f>
        <v>0</v>
      </c>
      <c r="T726" s="307">
        <f t="shared" si="460"/>
        <v>7541.1751407268239</v>
      </c>
    </row>
    <row r="727" spans="1:20" ht="27.75" customHeight="1">
      <c r="A727" s="325" t="s">
        <v>438</v>
      </c>
      <c r="B727" s="164" t="s">
        <v>277</v>
      </c>
      <c r="C727" s="320" t="s">
        <v>488</v>
      </c>
      <c r="D727" s="306">
        <f t="shared" ref="D727:D733" si="461">SUM(E727:G727)</f>
        <v>5654.4852922800001</v>
      </c>
      <c r="E727" s="306">
        <f>SUM(E728:E729)</f>
        <v>5654.4852922800001</v>
      </c>
      <c r="F727" s="306">
        <f>SUM(F728:F729)</f>
        <v>0</v>
      </c>
      <c r="G727" s="306">
        <f>SUM(G728:G729)</f>
        <v>0</v>
      </c>
      <c r="H727" s="307">
        <f t="shared" ref="H727:H734" si="462">D727</f>
        <v>5654.4852922800001</v>
      </c>
      <c r="I727" s="309"/>
      <c r="J727" s="309"/>
      <c r="K727" s="309"/>
      <c r="L727" s="309">
        <f>K727*10%</f>
        <v>0</v>
      </c>
      <c r="M727" s="309"/>
      <c r="N727" s="309">
        <f>L727+M727</f>
        <v>0</v>
      </c>
      <c r="O727" s="309">
        <f>L727-P727</f>
        <v>0</v>
      </c>
      <c r="P727" s="309">
        <f>N727</f>
        <v>0</v>
      </c>
      <c r="Q727" s="309">
        <f>M727</f>
        <v>0</v>
      </c>
      <c r="R727" s="307">
        <f>SUM(R728:R729)</f>
        <v>5654.4852922800001</v>
      </c>
      <c r="S727" s="307">
        <f t="shared" ref="S727:T727" si="463">SUM(S728:S729)</f>
        <v>0</v>
      </c>
      <c r="T727" s="307">
        <f t="shared" si="463"/>
        <v>5654.4852922800001</v>
      </c>
    </row>
    <row r="728" spans="1:20" ht="27.75" customHeight="1">
      <c r="A728" s="325" t="s">
        <v>489</v>
      </c>
      <c r="B728" s="164" t="s">
        <v>490</v>
      </c>
      <c r="C728" s="320" t="s">
        <v>444</v>
      </c>
      <c r="D728" s="306">
        <f t="shared" si="461"/>
        <v>5654.4852922800001</v>
      </c>
      <c r="E728" s="306">
        <f>'[2] TL giao BC '!T1018</f>
        <v>5654.4852922800001</v>
      </c>
      <c r="F728" s="306"/>
      <c r="G728" s="306"/>
      <c r="H728" s="307">
        <f t="shared" si="462"/>
        <v>5654.4852922800001</v>
      </c>
      <c r="I728" s="309"/>
      <c r="J728" s="309"/>
      <c r="K728" s="309"/>
      <c r="L728" s="309"/>
      <c r="M728" s="309"/>
      <c r="N728" s="309"/>
      <c r="O728" s="309"/>
      <c r="P728" s="309"/>
      <c r="Q728" s="309"/>
      <c r="R728" s="307">
        <f>D728-N728</f>
        <v>5654.4852922800001</v>
      </c>
      <c r="S728" s="307"/>
      <c r="T728" s="307">
        <f t="shared" ref="T728:T729" si="464">R728+S728</f>
        <v>5654.4852922800001</v>
      </c>
    </row>
    <row r="729" spans="1:20" ht="27.75" customHeight="1">
      <c r="A729" s="325" t="s">
        <v>489</v>
      </c>
      <c r="B729" s="164" t="s">
        <v>305</v>
      </c>
      <c r="C729" s="320" t="s">
        <v>478</v>
      </c>
      <c r="D729" s="306">
        <f t="shared" si="461"/>
        <v>0</v>
      </c>
      <c r="E729" s="306"/>
      <c r="F729" s="306"/>
      <c r="G729" s="306">
        <f>'[2] TL giao BC tăng thêm'!T304</f>
        <v>0</v>
      </c>
      <c r="H729" s="307">
        <f t="shared" si="462"/>
        <v>0</v>
      </c>
      <c r="I729" s="309"/>
      <c r="J729" s="309"/>
      <c r="K729" s="309"/>
      <c r="L729" s="309"/>
      <c r="M729" s="309"/>
      <c r="N729" s="309"/>
      <c r="O729" s="309"/>
      <c r="P729" s="309"/>
      <c r="Q729" s="309"/>
      <c r="R729" s="307">
        <f>D729-N729</f>
        <v>0</v>
      </c>
      <c r="S729" s="307"/>
      <c r="T729" s="307">
        <f t="shared" si="464"/>
        <v>0</v>
      </c>
    </row>
    <row r="730" spans="1:20" ht="27.75" customHeight="1">
      <c r="A730" s="304" t="s">
        <v>438</v>
      </c>
      <c r="B730" s="166" t="s">
        <v>278</v>
      </c>
      <c r="C730" s="320" t="s">
        <v>444</v>
      </c>
      <c r="D730" s="306">
        <f t="shared" si="461"/>
        <v>1176.4365373199998</v>
      </c>
      <c r="E730" s="306">
        <f>SUM(E731:E732)</f>
        <v>1176.4365373199998</v>
      </c>
      <c r="F730" s="306">
        <f>SUM(F731:F732)</f>
        <v>0</v>
      </c>
      <c r="G730" s="306">
        <f>SUM(G731:G732)</f>
        <v>0</v>
      </c>
      <c r="H730" s="307">
        <f t="shared" si="462"/>
        <v>1176.4365373199998</v>
      </c>
      <c r="I730" s="309"/>
      <c r="J730" s="309"/>
      <c r="K730" s="309"/>
      <c r="L730" s="309">
        <f>K730*10%</f>
        <v>0</v>
      </c>
      <c r="M730" s="309"/>
      <c r="N730" s="309">
        <f>L730+M730</f>
        <v>0</v>
      </c>
      <c r="O730" s="309">
        <f>L730-P730</f>
        <v>0</v>
      </c>
      <c r="P730" s="309">
        <f>N730</f>
        <v>0</v>
      </c>
      <c r="Q730" s="309">
        <f>M730</f>
        <v>0</v>
      </c>
      <c r="R730" s="307">
        <f>SUM(R731:R732)</f>
        <v>1176.4365373199998</v>
      </c>
      <c r="S730" s="307">
        <f t="shared" ref="S730:T730" si="465">SUM(S731:S732)</f>
        <v>0</v>
      </c>
      <c r="T730" s="307">
        <f t="shared" si="465"/>
        <v>1176.4365373199998</v>
      </c>
    </row>
    <row r="731" spans="1:20" ht="27.75" customHeight="1">
      <c r="A731" s="325" t="s">
        <v>489</v>
      </c>
      <c r="B731" s="166" t="s">
        <v>491</v>
      </c>
      <c r="C731" s="320" t="s">
        <v>444</v>
      </c>
      <c r="D731" s="306">
        <f t="shared" si="461"/>
        <v>1176.4365373199998</v>
      </c>
      <c r="E731" s="306">
        <f>'[2] TL giao BC '!U1018</f>
        <v>1176.4365373199998</v>
      </c>
      <c r="F731" s="306"/>
      <c r="G731" s="306"/>
      <c r="H731" s="307">
        <f t="shared" si="462"/>
        <v>1176.4365373199998</v>
      </c>
      <c r="I731" s="309"/>
      <c r="J731" s="309"/>
      <c r="K731" s="309"/>
      <c r="L731" s="309"/>
      <c r="M731" s="309"/>
      <c r="N731" s="309"/>
      <c r="O731" s="309"/>
      <c r="P731" s="309"/>
      <c r="Q731" s="309"/>
      <c r="R731" s="307">
        <f>D731-N731</f>
        <v>1176.4365373199998</v>
      </c>
      <c r="S731" s="307"/>
      <c r="T731" s="307">
        <f t="shared" ref="T731:T732" si="466">R731+S731</f>
        <v>1176.4365373199998</v>
      </c>
    </row>
    <row r="732" spans="1:20" ht="27.75" customHeight="1">
      <c r="A732" s="325" t="s">
        <v>489</v>
      </c>
      <c r="B732" s="164" t="s">
        <v>492</v>
      </c>
      <c r="C732" s="320" t="s">
        <v>444</v>
      </c>
      <c r="D732" s="306">
        <f t="shared" si="461"/>
        <v>0</v>
      </c>
      <c r="E732" s="306">
        <f>'[2] TL giao BC tăng thêm'!U304</f>
        <v>0</v>
      </c>
      <c r="F732" s="306"/>
      <c r="G732" s="306"/>
      <c r="H732" s="307">
        <f t="shared" si="462"/>
        <v>0</v>
      </c>
      <c r="I732" s="309"/>
      <c r="J732" s="309"/>
      <c r="K732" s="309"/>
      <c r="L732" s="309"/>
      <c r="M732" s="309"/>
      <c r="N732" s="309"/>
      <c r="O732" s="309"/>
      <c r="P732" s="309"/>
      <c r="Q732" s="309"/>
      <c r="R732" s="307">
        <f>D732-N732</f>
        <v>0</v>
      </c>
      <c r="S732" s="307"/>
      <c r="T732" s="307">
        <f t="shared" si="466"/>
        <v>0</v>
      </c>
    </row>
    <row r="733" spans="1:20" ht="27.75" customHeight="1">
      <c r="A733" s="325" t="s">
        <v>438</v>
      </c>
      <c r="B733" s="164" t="s">
        <v>483</v>
      </c>
      <c r="C733" s="320"/>
      <c r="D733" s="306">
        <f t="shared" si="461"/>
        <v>-79.920000000000016</v>
      </c>
      <c r="E733" s="306">
        <f>-'[2]Biểu Thu '!P38-'[2]Biểu Thu '!AB38</f>
        <v>-79.920000000000016</v>
      </c>
      <c r="F733" s="306"/>
      <c r="G733" s="306"/>
      <c r="H733" s="307">
        <f t="shared" si="462"/>
        <v>-79.920000000000016</v>
      </c>
      <c r="I733" s="309"/>
      <c r="J733" s="309"/>
      <c r="K733" s="309"/>
      <c r="L733" s="309"/>
      <c r="M733" s="309"/>
      <c r="N733" s="309"/>
      <c r="O733" s="309"/>
      <c r="P733" s="309"/>
      <c r="Q733" s="309"/>
      <c r="R733" s="307">
        <f>D733-N733</f>
        <v>-79.920000000000016</v>
      </c>
      <c r="S733" s="307"/>
      <c r="T733" s="307">
        <f>R733+S733</f>
        <v>-79.920000000000016</v>
      </c>
    </row>
    <row r="734" spans="1:20" s="311" customFormat="1" ht="27.75" customHeight="1">
      <c r="A734" s="304" t="s">
        <v>438</v>
      </c>
      <c r="B734" s="166" t="s">
        <v>452</v>
      </c>
      <c r="C734" s="320" t="s">
        <v>488</v>
      </c>
      <c r="D734" s="306">
        <f>E734+G734</f>
        <v>-87.797034569647096</v>
      </c>
      <c r="E734" s="306">
        <f>-L735</f>
        <v>-87.797034569647096</v>
      </c>
      <c r="F734" s="306"/>
      <c r="G734" s="306"/>
      <c r="H734" s="307">
        <f t="shared" si="462"/>
        <v>-87.797034569647096</v>
      </c>
      <c r="I734" s="308"/>
      <c r="J734" s="308"/>
      <c r="K734" s="308"/>
      <c r="L734" s="309">
        <f>K734*10%</f>
        <v>0</v>
      </c>
      <c r="M734" s="309"/>
      <c r="N734" s="309">
        <f>L734+M734</f>
        <v>0</v>
      </c>
      <c r="O734" s="309">
        <f>L734-P734</f>
        <v>0</v>
      </c>
      <c r="P734" s="309">
        <f>N734</f>
        <v>0</v>
      </c>
      <c r="Q734" s="309">
        <f>M734</f>
        <v>0</v>
      </c>
      <c r="R734" s="307"/>
      <c r="S734" s="306"/>
      <c r="T734" s="307"/>
    </row>
    <row r="735" spans="1:20" ht="26.25" customHeight="1">
      <c r="A735" s="304" t="s">
        <v>438</v>
      </c>
      <c r="B735" s="166" t="s">
        <v>412</v>
      </c>
      <c r="C735" s="320" t="s">
        <v>488</v>
      </c>
      <c r="D735" s="306">
        <f>SUM(E735:G735)</f>
        <v>877.97034569647087</v>
      </c>
      <c r="E735" s="306">
        <f>SUM(E736:E737)</f>
        <v>877.97034569647087</v>
      </c>
      <c r="F735" s="306">
        <f>SUM(F736:F737)</f>
        <v>0</v>
      </c>
      <c r="G735" s="306">
        <f>SUM(G736:G737)</f>
        <v>0</v>
      </c>
      <c r="H735" s="309"/>
      <c r="I735" s="309"/>
      <c r="J735" s="309"/>
      <c r="K735" s="309">
        <f>SUM(K736:K737)</f>
        <v>877.97034569647087</v>
      </c>
      <c r="L735" s="309">
        <f>SUM(L736:L737)</f>
        <v>87.797034569647096</v>
      </c>
      <c r="M735" s="309"/>
      <c r="N735" s="309">
        <f>L735+M735</f>
        <v>87.797034569647096</v>
      </c>
      <c r="O735" s="309">
        <f>N735</f>
        <v>87.797034569647096</v>
      </c>
      <c r="P735" s="309">
        <f>N735-O735</f>
        <v>0</v>
      </c>
      <c r="Q735" s="309">
        <f>M735</f>
        <v>0</v>
      </c>
      <c r="R735" s="307">
        <f>D735-N735</f>
        <v>790.17331112682382</v>
      </c>
      <c r="S735" s="307"/>
      <c r="T735" s="307">
        <f t="shared" ref="T735" si="467">R735+S735</f>
        <v>790.17331112682382</v>
      </c>
    </row>
    <row r="736" spans="1:20" ht="39" customHeight="1">
      <c r="A736" s="325" t="s">
        <v>489</v>
      </c>
      <c r="B736" s="166" t="s">
        <v>565</v>
      </c>
      <c r="C736" s="320" t="s">
        <v>444</v>
      </c>
      <c r="D736" s="306">
        <f>SUM(E736:G736)</f>
        <v>877.97034569647087</v>
      </c>
      <c r="E736" s="306">
        <f>'[2] TL giao BC '!Z1018</f>
        <v>877.97034569647087</v>
      </c>
      <c r="F736" s="306"/>
      <c r="G736" s="306"/>
      <c r="H736" s="309"/>
      <c r="I736" s="309"/>
      <c r="J736" s="309"/>
      <c r="K736" s="309">
        <f>D736</f>
        <v>877.97034569647087</v>
      </c>
      <c r="L736" s="309">
        <f>K736*10%</f>
        <v>87.797034569647096</v>
      </c>
      <c r="M736" s="309"/>
      <c r="N736" s="309"/>
      <c r="O736" s="309"/>
      <c r="P736" s="309"/>
      <c r="Q736" s="309"/>
      <c r="R736" s="307"/>
      <c r="S736" s="307"/>
      <c r="T736" s="307"/>
    </row>
    <row r="737" spans="1:20" ht="33" customHeight="1">
      <c r="A737" s="325" t="s">
        <v>489</v>
      </c>
      <c r="B737" s="164" t="s">
        <v>505</v>
      </c>
      <c r="C737" s="320" t="s">
        <v>478</v>
      </c>
      <c r="D737" s="306">
        <f>SUM(E737:G737)</f>
        <v>0</v>
      </c>
      <c r="E737" s="306"/>
      <c r="F737" s="306"/>
      <c r="G737" s="306">
        <f>'[2] TL giao BC tăng thêm'!X304</f>
        <v>0</v>
      </c>
      <c r="H737" s="309"/>
      <c r="I737" s="309"/>
      <c r="J737" s="309"/>
      <c r="K737" s="309">
        <f>D737</f>
        <v>0</v>
      </c>
      <c r="L737" s="309">
        <f>K737*10%</f>
        <v>0</v>
      </c>
      <c r="M737" s="309"/>
      <c r="N737" s="309"/>
      <c r="O737" s="309"/>
      <c r="P737" s="309"/>
      <c r="Q737" s="309"/>
      <c r="R737" s="307"/>
      <c r="S737" s="307"/>
      <c r="T737" s="307"/>
    </row>
    <row r="738" spans="1:20" ht="30" customHeight="1">
      <c r="A738" s="303" t="s">
        <v>481</v>
      </c>
      <c r="B738" s="326" t="s">
        <v>485</v>
      </c>
      <c r="C738" s="320" t="s">
        <v>488</v>
      </c>
      <c r="D738" s="307">
        <f>E738+G738+F738</f>
        <v>663.12</v>
      </c>
      <c r="E738" s="307">
        <f t="shared" ref="E738:T738" si="468">SUM(E739:E743)</f>
        <v>623.70000000000005</v>
      </c>
      <c r="F738" s="307">
        <f t="shared" si="468"/>
        <v>0</v>
      </c>
      <c r="G738" s="307">
        <f t="shared" si="468"/>
        <v>39.42</v>
      </c>
      <c r="H738" s="307">
        <f t="shared" si="468"/>
        <v>0</v>
      </c>
      <c r="I738" s="307">
        <f t="shared" si="468"/>
        <v>663.12000000000012</v>
      </c>
      <c r="J738" s="307">
        <f t="shared" si="468"/>
        <v>0</v>
      </c>
      <c r="K738" s="307">
        <f t="shared" si="468"/>
        <v>0</v>
      </c>
      <c r="L738" s="307">
        <f t="shared" si="468"/>
        <v>0</v>
      </c>
      <c r="M738" s="307">
        <f t="shared" si="468"/>
        <v>0</v>
      </c>
      <c r="N738" s="307">
        <f t="shared" si="468"/>
        <v>0</v>
      </c>
      <c r="O738" s="307">
        <f t="shared" si="468"/>
        <v>0</v>
      </c>
      <c r="P738" s="307">
        <f t="shared" si="468"/>
        <v>0</v>
      </c>
      <c r="Q738" s="307">
        <f t="shared" si="468"/>
        <v>0</v>
      </c>
      <c r="R738" s="307">
        <f t="shared" si="468"/>
        <v>663.12000000000012</v>
      </c>
      <c r="S738" s="307">
        <f t="shared" si="468"/>
        <v>0</v>
      </c>
      <c r="T738" s="307">
        <f t="shared" si="468"/>
        <v>663.12000000000012</v>
      </c>
    </row>
    <row r="739" spans="1:20" ht="30" customHeight="1">
      <c r="A739" s="325" t="s">
        <v>438</v>
      </c>
      <c r="B739" s="166" t="s">
        <v>280</v>
      </c>
      <c r="C739" s="320" t="s">
        <v>444</v>
      </c>
      <c r="D739" s="306">
        <f>E739+G739</f>
        <v>199.8</v>
      </c>
      <c r="E739" s="306">
        <f>'[2]CS giáo dục '!Q38</f>
        <v>199.8</v>
      </c>
      <c r="F739" s="306"/>
      <c r="G739" s="306"/>
      <c r="H739" s="309"/>
      <c r="I739" s="309">
        <f>D739</f>
        <v>199.8</v>
      </c>
      <c r="J739" s="309"/>
      <c r="K739" s="309"/>
      <c r="L739" s="309">
        <f>K739*10%</f>
        <v>0</v>
      </c>
      <c r="M739" s="309"/>
      <c r="N739" s="309">
        <f>L739+M739</f>
        <v>0</v>
      </c>
      <c r="O739" s="309">
        <f>N739</f>
        <v>0</v>
      </c>
      <c r="P739" s="309">
        <f>N739-O739</f>
        <v>0</v>
      </c>
      <c r="Q739" s="309">
        <f>M739</f>
        <v>0</v>
      </c>
      <c r="R739" s="307">
        <f>D739-N739</f>
        <v>199.8</v>
      </c>
      <c r="S739" s="307"/>
      <c r="T739" s="307">
        <f t="shared" ref="T739:T743" si="469">R739+S739</f>
        <v>199.8</v>
      </c>
    </row>
    <row r="740" spans="1:20" ht="30" customHeight="1">
      <c r="A740" s="325" t="s">
        <v>438</v>
      </c>
      <c r="B740" s="166" t="s">
        <v>287</v>
      </c>
      <c r="C740" s="320" t="s">
        <v>488</v>
      </c>
      <c r="D740" s="306">
        <f>E740+G740+F740</f>
        <v>0</v>
      </c>
      <c r="E740" s="306"/>
      <c r="F740" s="306"/>
      <c r="G740" s="306"/>
      <c r="H740" s="309"/>
      <c r="I740" s="309">
        <f>D740</f>
        <v>0</v>
      </c>
      <c r="J740" s="309"/>
      <c r="K740" s="309"/>
      <c r="L740" s="309">
        <f>K740*10%</f>
        <v>0</v>
      </c>
      <c r="M740" s="309"/>
      <c r="N740" s="309">
        <f>L740+M740</f>
        <v>0</v>
      </c>
      <c r="O740" s="309">
        <f>N740</f>
        <v>0</v>
      </c>
      <c r="P740" s="309">
        <f>N740-O740</f>
        <v>0</v>
      </c>
      <c r="Q740" s="309">
        <f>M740</f>
        <v>0</v>
      </c>
      <c r="R740" s="307">
        <f>D740-N740</f>
        <v>0</v>
      </c>
      <c r="S740" s="307"/>
      <c r="T740" s="307">
        <f t="shared" si="469"/>
        <v>0</v>
      </c>
    </row>
    <row r="741" spans="1:20" ht="39" customHeight="1">
      <c r="A741" s="325" t="s">
        <v>438</v>
      </c>
      <c r="B741" s="166" t="s">
        <v>308</v>
      </c>
      <c r="C741" s="320" t="s">
        <v>488</v>
      </c>
      <c r="D741" s="306">
        <f>E741+G741</f>
        <v>25.92</v>
      </c>
      <c r="E741" s="306">
        <f>'[2]CS giáo dục '!AQ38</f>
        <v>18.880000000000003</v>
      </c>
      <c r="F741" s="306"/>
      <c r="G741" s="306">
        <f>'[2]CS giáo dục '!AS38</f>
        <v>7.04</v>
      </c>
      <c r="H741" s="309"/>
      <c r="I741" s="309">
        <f>D741</f>
        <v>25.92</v>
      </c>
      <c r="J741" s="309"/>
      <c r="K741" s="309"/>
      <c r="L741" s="309">
        <f>K741*10%</f>
        <v>0</v>
      </c>
      <c r="M741" s="309"/>
      <c r="N741" s="309">
        <f>L741+M741</f>
        <v>0</v>
      </c>
      <c r="O741" s="309">
        <f>N741</f>
        <v>0</v>
      </c>
      <c r="P741" s="309">
        <f>N741-O741</f>
        <v>0</v>
      </c>
      <c r="Q741" s="309">
        <f>M741</f>
        <v>0</v>
      </c>
      <c r="R741" s="307">
        <f>D741-N741</f>
        <v>25.92</v>
      </c>
      <c r="S741" s="307"/>
      <c r="T741" s="307">
        <f t="shared" si="469"/>
        <v>25.92</v>
      </c>
    </row>
    <row r="742" spans="1:20" ht="36" customHeight="1">
      <c r="A742" s="325" t="s">
        <v>438</v>
      </c>
      <c r="B742" s="166" t="s">
        <v>495</v>
      </c>
      <c r="C742" s="320" t="s">
        <v>488</v>
      </c>
      <c r="D742" s="306">
        <f>E742+G742</f>
        <v>437.40000000000003</v>
      </c>
      <c r="E742" s="306">
        <f>'[2]CS giáo dục '!BG38</f>
        <v>405.02000000000004</v>
      </c>
      <c r="F742" s="306"/>
      <c r="G742" s="306">
        <f>'[2]CS giáo dục '!BI38</f>
        <v>32.380000000000003</v>
      </c>
      <c r="H742" s="309"/>
      <c r="I742" s="309">
        <f>D742</f>
        <v>437.40000000000003</v>
      </c>
      <c r="J742" s="309"/>
      <c r="K742" s="309"/>
      <c r="L742" s="309">
        <f>K742*10%</f>
        <v>0</v>
      </c>
      <c r="M742" s="309"/>
      <c r="N742" s="309">
        <f>L742+M742</f>
        <v>0</v>
      </c>
      <c r="O742" s="309">
        <f>N742</f>
        <v>0</v>
      </c>
      <c r="P742" s="309">
        <f>N742-O742</f>
        <v>0</v>
      </c>
      <c r="Q742" s="309">
        <f>M742</f>
        <v>0</v>
      </c>
      <c r="R742" s="307">
        <f>D742-N742</f>
        <v>437.40000000000003</v>
      </c>
      <c r="S742" s="307"/>
      <c r="T742" s="307">
        <f t="shared" si="469"/>
        <v>437.40000000000003</v>
      </c>
    </row>
    <row r="743" spans="1:20" ht="26.25" customHeight="1">
      <c r="A743" s="325" t="s">
        <v>438</v>
      </c>
      <c r="B743" s="166" t="s">
        <v>309</v>
      </c>
      <c r="C743" s="320" t="s">
        <v>478</v>
      </c>
      <c r="D743" s="306">
        <f>E743+G743</f>
        <v>0</v>
      </c>
      <c r="E743" s="306"/>
      <c r="F743" s="306"/>
      <c r="G743" s="306"/>
      <c r="H743" s="309"/>
      <c r="I743" s="309">
        <f>D743</f>
        <v>0</v>
      </c>
      <c r="J743" s="309"/>
      <c r="K743" s="309"/>
      <c r="L743" s="309">
        <f>K743*10%</f>
        <v>0</v>
      </c>
      <c r="M743" s="309"/>
      <c r="N743" s="309">
        <f>L743+M743</f>
        <v>0</v>
      </c>
      <c r="O743" s="309">
        <f>N743</f>
        <v>0</v>
      </c>
      <c r="P743" s="309">
        <f>N743-O743</f>
        <v>0</v>
      </c>
      <c r="Q743" s="309">
        <f>M743</f>
        <v>0</v>
      </c>
      <c r="R743" s="307">
        <f>D743-N743</f>
        <v>0</v>
      </c>
      <c r="S743" s="307"/>
      <c r="T743" s="307">
        <f t="shared" si="469"/>
        <v>0</v>
      </c>
    </row>
    <row r="744" spans="1:20" ht="18" customHeight="1">
      <c r="A744" s="329"/>
      <c r="B744" s="330"/>
      <c r="C744" s="330"/>
      <c r="D744" s="331"/>
      <c r="E744" s="331"/>
      <c r="F744" s="331"/>
      <c r="G744" s="331"/>
      <c r="H744" s="332"/>
      <c r="I744" s="332"/>
      <c r="J744" s="332"/>
      <c r="K744" s="332"/>
      <c r="L744" s="332"/>
      <c r="M744" s="332"/>
      <c r="N744" s="332"/>
      <c r="O744" s="332"/>
      <c r="P744" s="332"/>
      <c r="Q744" s="332"/>
      <c r="R744" s="333"/>
      <c r="S744" s="333"/>
      <c r="T744" s="333"/>
    </row>
    <row r="745" spans="1:20">
      <c r="D745" s="327"/>
      <c r="E745" s="334"/>
      <c r="F745" s="327"/>
      <c r="G745" s="327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T745" s="267"/>
    </row>
    <row r="746" spans="1:20">
      <c r="D746" s="327"/>
      <c r="E746" s="327"/>
      <c r="F746" s="327"/>
      <c r="G746" s="327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T746" s="267"/>
    </row>
    <row r="747" spans="1:20">
      <c r="D747" s="327"/>
      <c r="E747" s="327"/>
      <c r="F747" s="327"/>
      <c r="G747" s="327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T747" s="267"/>
    </row>
    <row r="748" spans="1:20">
      <c r="D748" s="327"/>
      <c r="E748" s="327"/>
      <c r="F748" s="327"/>
      <c r="G748" s="327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T748" s="267"/>
    </row>
    <row r="749" spans="1:20">
      <c r="D749" s="327"/>
      <c r="E749" s="327"/>
      <c r="F749" s="327"/>
      <c r="G749" s="327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T749" s="267"/>
    </row>
    <row r="750" spans="1:20">
      <c r="D750" s="327"/>
      <c r="E750" s="327"/>
      <c r="F750" s="327"/>
      <c r="G750" s="327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T750" s="267"/>
    </row>
    <row r="751" spans="1:20">
      <c r="D751" s="327"/>
      <c r="E751" s="327"/>
      <c r="F751" s="327"/>
      <c r="G751" s="327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T751" s="267"/>
    </row>
    <row r="752" spans="1:20">
      <c r="D752" s="327"/>
      <c r="E752" s="327"/>
      <c r="F752" s="327"/>
      <c r="G752" s="327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T752" s="267"/>
    </row>
    <row r="753" spans="1:7" s="267" customFormat="1">
      <c r="A753" s="154"/>
      <c r="C753" s="154"/>
      <c r="D753" s="327"/>
      <c r="E753" s="327"/>
      <c r="F753" s="327"/>
      <c r="G753" s="327"/>
    </row>
    <row r="754" spans="1:7" s="267" customFormat="1">
      <c r="A754" s="154"/>
      <c r="C754" s="154"/>
      <c r="D754" s="327"/>
      <c r="E754" s="327"/>
      <c r="F754" s="327"/>
      <c r="G754" s="327"/>
    </row>
    <row r="755" spans="1:7" s="267" customFormat="1">
      <c r="A755" s="154"/>
      <c r="C755" s="154"/>
      <c r="D755" s="327"/>
      <c r="E755" s="327"/>
      <c r="F755" s="327"/>
      <c r="G755" s="327"/>
    </row>
    <row r="756" spans="1:7" s="267" customFormat="1">
      <c r="A756" s="154"/>
      <c r="C756" s="154"/>
      <c r="D756" s="327"/>
      <c r="E756" s="327"/>
      <c r="F756" s="327"/>
      <c r="G756" s="327"/>
    </row>
    <row r="757" spans="1:7" s="267" customFormat="1">
      <c r="A757" s="154"/>
      <c r="C757" s="154"/>
      <c r="D757" s="327"/>
      <c r="E757" s="327"/>
      <c r="F757" s="327"/>
      <c r="G757" s="327"/>
    </row>
    <row r="758" spans="1:7" s="267" customFormat="1">
      <c r="A758" s="154"/>
      <c r="C758" s="154"/>
      <c r="D758" s="327"/>
      <c r="E758" s="327"/>
      <c r="F758" s="327"/>
      <c r="G758" s="327"/>
    </row>
    <row r="759" spans="1:7" s="267" customFormat="1">
      <c r="A759" s="154"/>
      <c r="C759" s="154"/>
      <c r="D759" s="327"/>
      <c r="E759" s="327"/>
      <c r="F759" s="327"/>
      <c r="G759" s="327"/>
    </row>
    <row r="760" spans="1:7" s="267" customFormat="1">
      <c r="A760" s="154"/>
      <c r="C760" s="154"/>
      <c r="D760" s="327"/>
      <c r="E760" s="327"/>
      <c r="F760" s="327"/>
      <c r="G760" s="327"/>
    </row>
    <row r="761" spans="1:7" s="267" customFormat="1">
      <c r="A761" s="154"/>
      <c r="C761" s="154"/>
      <c r="D761" s="327"/>
      <c r="E761" s="327"/>
      <c r="F761" s="327"/>
      <c r="G761" s="327"/>
    </row>
    <row r="762" spans="1:7" s="267" customFormat="1">
      <c r="A762" s="154"/>
      <c r="C762" s="154"/>
      <c r="D762" s="327"/>
      <c r="E762" s="327"/>
      <c r="F762" s="327"/>
      <c r="G762" s="327"/>
    </row>
    <row r="763" spans="1:7" s="267" customFormat="1">
      <c r="A763" s="154"/>
      <c r="C763" s="154"/>
      <c r="D763" s="327"/>
      <c r="E763" s="327"/>
      <c r="F763" s="327"/>
      <c r="G763" s="327"/>
    </row>
    <row r="764" spans="1:7" s="267" customFormat="1">
      <c r="A764" s="154"/>
      <c r="C764" s="154"/>
      <c r="D764" s="327"/>
      <c r="E764" s="327"/>
      <c r="F764" s="327"/>
      <c r="G764" s="327"/>
    </row>
    <row r="765" spans="1:7" s="267" customFormat="1">
      <c r="A765" s="154"/>
      <c r="C765" s="154"/>
      <c r="D765" s="327"/>
      <c r="E765" s="327"/>
      <c r="F765" s="327"/>
      <c r="G765" s="327"/>
    </row>
    <row r="766" spans="1:7" s="267" customFormat="1">
      <c r="A766" s="154"/>
      <c r="C766" s="154"/>
      <c r="D766" s="327"/>
      <c r="E766" s="327"/>
      <c r="F766" s="327"/>
      <c r="G766" s="327"/>
    </row>
    <row r="767" spans="1:7" s="267" customFormat="1">
      <c r="A767" s="154"/>
      <c r="C767" s="154"/>
      <c r="D767" s="327"/>
      <c r="E767" s="327"/>
      <c r="F767" s="327"/>
      <c r="G767" s="327"/>
    </row>
    <row r="768" spans="1:7" s="267" customFormat="1">
      <c r="A768" s="154"/>
      <c r="C768" s="154"/>
      <c r="D768" s="327"/>
      <c r="E768" s="327"/>
      <c r="F768" s="327"/>
      <c r="G768" s="327"/>
    </row>
    <row r="769" spans="1:7" s="267" customFormat="1">
      <c r="A769" s="154"/>
      <c r="C769" s="154"/>
      <c r="D769" s="327"/>
      <c r="E769" s="327"/>
      <c r="F769" s="327"/>
      <c r="G769" s="327"/>
    </row>
    <row r="770" spans="1:7" s="267" customFormat="1">
      <c r="A770" s="154"/>
      <c r="C770" s="154"/>
      <c r="D770" s="327"/>
      <c r="E770" s="327"/>
      <c r="F770" s="327"/>
      <c r="G770" s="327"/>
    </row>
    <row r="771" spans="1:7" s="267" customFormat="1">
      <c r="A771" s="154"/>
      <c r="C771" s="154"/>
      <c r="D771" s="327"/>
      <c r="E771" s="327"/>
      <c r="F771" s="327"/>
      <c r="G771" s="327"/>
    </row>
    <row r="772" spans="1:7" s="267" customFormat="1">
      <c r="A772" s="154"/>
      <c r="C772" s="154"/>
      <c r="D772" s="327"/>
      <c r="E772" s="327"/>
      <c r="F772" s="327"/>
      <c r="G772" s="327"/>
    </row>
    <row r="773" spans="1:7" s="267" customFormat="1">
      <c r="A773" s="154"/>
      <c r="C773" s="154"/>
      <c r="D773" s="327"/>
      <c r="E773" s="327"/>
      <c r="F773" s="327"/>
      <c r="G773" s="327"/>
    </row>
    <row r="774" spans="1:7" s="267" customFormat="1">
      <c r="A774" s="154"/>
      <c r="C774" s="154"/>
      <c r="D774" s="327"/>
      <c r="E774" s="327"/>
      <c r="F774" s="327"/>
      <c r="G774" s="327"/>
    </row>
    <row r="775" spans="1:7" s="267" customFormat="1">
      <c r="A775" s="154"/>
      <c r="C775" s="154"/>
      <c r="D775" s="327"/>
      <c r="E775" s="327"/>
      <c r="F775" s="327"/>
      <c r="G775" s="327"/>
    </row>
    <row r="776" spans="1:7" s="267" customFormat="1">
      <c r="A776" s="154"/>
      <c r="C776" s="154"/>
      <c r="D776" s="327"/>
      <c r="E776" s="327"/>
      <c r="F776" s="327"/>
      <c r="G776" s="327"/>
    </row>
    <row r="777" spans="1:7" s="267" customFormat="1">
      <c r="A777" s="154"/>
      <c r="C777" s="154"/>
      <c r="D777" s="327"/>
      <c r="E777" s="327"/>
      <c r="F777" s="327"/>
      <c r="G777" s="327"/>
    </row>
    <row r="778" spans="1:7" s="267" customFormat="1">
      <c r="A778" s="154"/>
      <c r="C778" s="154"/>
      <c r="D778" s="327"/>
      <c r="E778" s="327"/>
      <c r="F778" s="327"/>
      <c r="G778" s="327"/>
    </row>
    <row r="779" spans="1:7" s="267" customFormat="1">
      <c r="A779" s="154"/>
      <c r="C779" s="154"/>
      <c r="D779" s="327"/>
      <c r="E779" s="327"/>
      <c r="F779" s="327"/>
      <c r="G779" s="327"/>
    </row>
    <row r="780" spans="1:7" s="267" customFormat="1">
      <c r="A780" s="154"/>
      <c r="C780" s="154"/>
      <c r="D780" s="327"/>
      <c r="E780" s="327"/>
      <c r="F780" s="327"/>
      <c r="G780" s="327"/>
    </row>
    <row r="781" spans="1:7" s="267" customFormat="1">
      <c r="A781" s="154"/>
      <c r="C781" s="154"/>
      <c r="D781" s="327"/>
      <c r="E781" s="327"/>
      <c r="F781" s="327"/>
      <c r="G781" s="327"/>
    </row>
    <row r="782" spans="1:7" s="267" customFormat="1">
      <c r="A782" s="154"/>
      <c r="C782" s="154"/>
      <c r="D782" s="327"/>
      <c r="E782" s="327"/>
      <c r="F782" s="327"/>
      <c r="G782" s="327"/>
    </row>
    <row r="783" spans="1:7" s="267" customFormat="1">
      <c r="A783" s="154"/>
      <c r="C783" s="154"/>
      <c r="D783" s="327"/>
      <c r="E783" s="327"/>
      <c r="F783" s="327"/>
      <c r="G783" s="327"/>
    </row>
    <row r="784" spans="1:7" s="267" customFormat="1">
      <c r="A784" s="154"/>
      <c r="C784" s="154"/>
      <c r="D784" s="327"/>
      <c r="E784" s="327"/>
      <c r="F784" s="327"/>
      <c r="G784" s="327"/>
    </row>
    <row r="785" spans="1:7" s="267" customFormat="1">
      <c r="A785" s="154"/>
      <c r="C785" s="154"/>
      <c r="D785" s="327"/>
      <c r="E785" s="327"/>
      <c r="F785" s="327"/>
      <c r="G785" s="327"/>
    </row>
    <row r="786" spans="1:7" s="267" customFormat="1">
      <c r="A786" s="154"/>
      <c r="C786" s="154"/>
      <c r="D786" s="327"/>
      <c r="E786" s="327"/>
      <c r="F786" s="327"/>
      <c r="G786" s="327"/>
    </row>
    <row r="787" spans="1:7" s="267" customFormat="1">
      <c r="A787" s="154"/>
      <c r="C787" s="154"/>
      <c r="D787" s="327"/>
      <c r="E787" s="327"/>
      <c r="F787" s="327"/>
      <c r="G787" s="327"/>
    </row>
    <row r="788" spans="1:7" s="267" customFormat="1">
      <c r="A788" s="154"/>
      <c r="C788" s="154"/>
      <c r="D788" s="327"/>
      <c r="E788" s="327"/>
      <c r="F788" s="327"/>
      <c r="G788" s="327"/>
    </row>
    <row r="789" spans="1:7" s="267" customFormat="1">
      <c r="A789" s="154"/>
      <c r="C789" s="154"/>
      <c r="D789" s="327"/>
      <c r="E789" s="327"/>
      <c r="F789" s="327"/>
      <c r="G789" s="327"/>
    </row>
    <row r="790" spans="1:7" s="267" customFormat="1">
      <c r="A790" s="154"/>
      <c r="C790" s="154"/>
      <c r="D790" s="327"/>
      <c r="E790" s="327"/>
      <c r="F790" s="327"/>
      <c r="G790" s="327"/>
    </row>
    <row r="791" spans="1:7" s="267" customFormat="1">
      <c r="A791" s="154"/>
      <c r="C791" s="154"/>
      <c r="D791" s="327"/>
      <c r="E791" s="327"/>
      <c r="F791" s="327"/>
      <c r="G791" s="327"/>
    </row>
    <row r="792" spans="1:7" s="267" customFormat="1">
      <c r="A792" s="154"/>
      <c r="C792" s="154"/>
      <c r="D792" s="327"/>
      <c r="E792" s="327"/>
      <c r="F792" s="327"/>
      <c r="G792" s="327"/>
    </row>
    <row r="793" spans="1:7" s="267" customFormat="1">
      <c r="A793" s="154"/>
      <c r="C793" s="154"/>
      <c r="D793" s="327"/>
      <c r="E793" s="327"/>
      <c r="F793" s="327"/>
      <c r="G793" s="327"/>
    </row>
  </sheetData>
  <mergeCells count="27">
    <mergeCell ref="S1:T1"/>
    <mergeCell ref="P7:S7"/>
    <mergeCell ref="N6:R6"/>
    <mergeCell ref="A1:R1"/>
    <mergeCell ref="A2:R2"/>
    <mergeCell ref="A3:R3"/>
    <mergeCell ref="A4:R4"/>
    <mergeCell ref="A5:R5"/>
    <mergeCell ref="A8:A10"/>
    <mergeCell ref="B8:B10"/>
    <mergeCell ref="C8:C10"/>
    <mergeCell ref="D8:G8"/>
    <mergeCell ref="H8:K9"/>
    <mergeCell ref="T8:T10"/>
    <mergeCell ref="R8:R10"/>
    <mergeCell ref="D9:D10"/>
    <mergeCell ref="E9:E10"/>
    <mergeCell ref="F9:F10"/>
    <mergeCell ref="G9:G10"/>
    <mergeCell ref="O9:O10"/>
    <mergeCell ref="P9:P10"/>
    <mergeCell ref="Q9:Q10"/>
    <mergeCell ref="L8:L10"/>
    <mergeCell ref="M8:M10"/>
    <mergeCell ref="N8:N10"/>
    <mergeCell ref="O8:P8"/>
    <mergeCell ref="S8:S1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0"/>
  <sheetViews>
    <sheetView tabSelected="1" workbookViewId="0">
      <pane xSplit="2" ySplit="8" topLeftCell="E9" activePane="bottomRight" state="frozen"/>
      <selection pane="topRight" activeCell="C1" sqref="C1"/>
      <selection pane="bottomLeft" activeCell="A7" sqref="A7"/>
      <selection pane="bottomRight" activeCell="E24" sqref="E24:F25"/>
    </sheetView>
  </sheetViews>
  <sheetFormatPr defaultColWidth="9.140625" defaultRowHeight="15.75"/>
  <cols>
    <col min="1" max="1" width="9.140625" style="5"/>
    <col min="2" max="2" width="25" style="1" customWidth="1"/>
    <col min="3" max="16" width="14.85546875" style="242" customWidth="1"/>
    <col min="17" max="17" width="24.5703125" style="1" customWidth="1"/>
    <col min="18" max="16384" width="9.140625" style="1"/>
  </cols>
  <sheetData>
    <row r="1" spans="1:22">
      <c r="P1" s="362" t="s">
        <v>575</v>
      </c>
      <c r="Q1" s="362"/>
    </row>
    <row r="2" spans="1:22" ht="15.75" customHeight="1">
      <c r="A2" s="402" t="s">
        <v>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245"/>
      <c r="S2" s="245"/>
      <c r="T2" s="245"/>
      <c r="U2" s="245"/>
      <c r="V2" s="245"/>
    </row>
    <row r="3" spans="1:22" ht="15.75" customHeight="1">
      <c r="A3" s="395" t="str">
        <f>TH!A7</f>
        <v>(Kèm theo Nghị quyết số:         /NQ-HĐND, ngày          /       /2024 của HĐND huyện Đăk Tô)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245"/>
      <c r="S3" s="245"/>
      <c r="T3" s="245"/>
      <c r="U3" s="245"/>
      <c r="V3" s="245"/>
    </row>
    <row r="4" spans="1:22">
      <c r="Q4" s="341" t="str" cm="1">
        <f t="array" ref="Q4:T4">'Biểu Thuyết minh DT GD'!P7:S7</f>
        <v>ĐVT: Triệu đồng</v>
      </c>
      <c r="R4" s="1">
        <v>0</v>
      </c>
      <c r="S4" s="1">
        <v>0</v>
      </c>
      <c r="T4" s="1">
        <v>0</v>
      </c>
    </row>
    <row r="5" spans="1:22" ht="15.75" customHeight="1">
      <c r="A5" s="403" t="s">
        <v>0</v>
      </c>
      <c r="B5" s="403" t="s">
        <v>1</v>
      </c>
      <c r="C5" s="404" t="s">
        <v>376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399" t="s">
        <v>228</v>
      </c>
    </row>
    <row r="6" spans="1:22" ht="31.5" customHeight="1">
      <c r="A6" s="403"/>
      <c r="B6" s="403"/>
      <c r="C6" s="361" t="s">
        <v>379</v>
      </c>
      <c r="D6" s="361"/>
      <c r="E6" s="361"/>
      <c r="F6" s="361"/>
      <c r="G6" s="361" t="s">
        <v>413</v>
      </c>
      <c r="H6" s="361"/>
      <c r="I6" s="361"/>
      <c r="J6" s="361" t="s">
        <v>380</v>
      </c>
      <c r="K6" s="361"/>
      <c r="L6" s="361"/>
      <c r="M6" s="361" t="s">
        <v>411</v>
      </c>
      <c r="N6" s="361"/>
      <c r="O6" s="361"/>
      <c r="P6" s="361"/>
      <c r="Q6" s="400"/>
    </row>
    <row r="7" spans="1:22" ht="31.5">
      <c r="A7" s="403"/>
      <c r="B7" s="403"/>
      <c r="C7" s="342" t="s">
        <v>373</v>
      </c>
      <c r="D7" s="342" t="s">
        <v>374</v>
      </c>
      <c r="E7" s="342" t="s">
        <v>38</v>
      </c>
      <c r="F7" s="342" t="s">
        <v>289</v>
      </c>
      <c r="G7" s="342" t="s">
        <v>373</v>
      </c>
      <c r="H7" s="342" t="s">
        <v>374</v>
      </c>
      <c r="I7" s="342" t="s">
        <v>38</v>
      </c>
      <c r="J7" s="342" t="s">
        <v>373</v>
      </c>
      <c r="K7" s="342" t="s">
        <v>374</v>
      </c>
      <c r="L7" s="342" t="s">
        <v>38</v>
      </c>
      <c r="M7" s="342" t="s">
        <v>373</v>
      </c>
      <c r="N7" s="342" t="s">
        <v>374</v>
      </c>
      <c r="O7" s="342" t="s">
        <v>38</v>
      </c>
      <c r="P7" s="342" t="s">
        <v>289</v>
      </c>
      <c r="Q7" s="401"/>
    </row>
    <row r="8" spans="1:22">
      <c r="A8" s="343">
        <v>1</v>
      </c>
      <c r="B8" s="243">
        <v>2</v>
      </c>
      <c r="C8" s="244">
        <v>3</v>
      </c>
      <c r="D8" s="244">
        <v>4</v>
      </c>
      <c r="E8" s="244" t="s">
        <v>377</v>
      </c>
      <c r="F8" s="244"/>
      <c r="G8" s="244">
        <v>6</v>
      </c>
      <c r="H8" s="244">
        <v>7</v>
      </c>
      <c r="I8" s="244" t="s">
        <v>378</v>
      </c>
      <c r="J8" s="244">
        <v>9</v>
      </c>
      <c r="K8" s="244">
        <v>10</v>
      </c>
      <c r="L8" s="244" t="s">
        <v>371</v>
      </c>
      <c r="M8" s="244">
        <v>12</v>
      </c>
      <c r="N8" s="244">
        <v>13</v>
      </c>
      <c r="O8" s="244" t="s">
        <v>381</v>
      </c>
      <c r="P8" s="261"/>
      <c r="Q8" s="247">
        <v>12</v>
      </c>
    </row>
    <row r="9" spans="1:22" s="12" customFormat="1">
      <c r="A9" s="354" t="s">
        <v>4</v>
      </c>
      <c r="B9" s="8" t="s">
        <v>5</v>
      </c>
      <c r="C9" s="355">
        <f>SUM(C10:C19)</f>
        <v>0</v>
      </c>
      <c r="D9" s="355">
        <f t="shared" ref="D9:N9" si="0">SUM(D10:D19)</f>
        <v>-981.53155447999984</v>
      </c>
      <c r="E9" s="356">
        <f t="shared" si="0"/>
        <v>-981.53155447999984</v>
      </c>
      <c r="F9" s="356">
        <f>E9/0.85*0.15</f>
        <v>-173.2114507905882</v>
      </c>
      <c r="G9" s="355">
        <f t="shared" si="0"/>
        <v>0</v>
      </c>
      <c r="H9" s="355">
        <f t="shared" si="0"/>
        <v>-204.20999999999998</v>
      </c>
      <c r="I9" s="355">
        <f t="shared" si="0"/>
        <v>-204.20999999999998</v>
      </c>
      <c r="J9" s="355">
        <f t="shared" ref="J9" si="1">SUM(J10:J19)</f>
        <v>676.6099999999999</v>
      </c>
      <c r="K9" s="355">
        <f t="shared" ref="K9" si="2">SUM(K10:K19)</f>
        <v>880.81999999999994</v>
      </c>
      <c r="L9" s="355">
        <f t="shared" si="0"/>
        <v>204.20999999999992</v>
      </c>
      <c r="M9" s="355">
        <f t="shared" si="0"/>
        <v>3252.15</v>
      </c>
      <c r="N9" s="355">
        <f t="shared" si="0"/>
        <v>4233.68</v>
      </c>
      <c r="O9" s="356">
        <f>SUM(O10:O19)</f>
        <v>981.53</v>
      </c>
      <c r="P9" s="356">
        <f>O9/0.85*0.15</f>
        <v>173.21117647058824</v>
      </c>
      <c r="Q9" s="357"/>
      <c r="R9" s="3"/>
      <c r="S9" s="3"/>
      <c r="T9" s="3"/>
    </row>
    <row r="10" spans="1:22">
      <c r="A10" s="246">
        <v>1</v>
      </c>
      <c r="B10" s="4" t="s">
        <v>375</v>
      </c>
      <c r="C10" s="248">
        <v>0</v>
      </c>
      <c r="D10" s="248">
        <v>104.24</v>
      </c>
      <c r="E10" s="262">
        <f>D10-C10</f>
        <v>104.24</v>
      </c>
      <c r="F10" s="262">
        <f t="shared" ref="F10:F44" si="3">E10/0.85*0.15</f>
        <v>18.395294117647058</v>
      </c>
      <c r="G10" s="248">
        <v>0</v>
      </c>
      <c r="H10" s="248">
        <v>21.69</v>
      </c>
      <c r="I10" s="248">
        <f>H10-G10</f>
        <v>21.69</v>
      </c>
      <c r="J10" s="248">
        <v>37.1</v>
      </c>
      <c r="K10" s="248">
        <v>15.41</v>
      </c>
      <c r="L10" s="248">
        <f>K10-J10</f>
        <v>-21.69</v>
      </c>
      <c r="M10" s="248">
        <v>178.33</v>
      </c>
      <c r="N10" s="248">
        <v>74.09</v>
      </c>
      <c r="O10" s="262">
        <f>N10-M10</f>
        <v>-104.24000000000001</v>
      </c>
      <c r="P10" s="262">
        <f t="shared" ref="P10:P44" si="4">O10/0.85*0.15</f>
        <v>-18.395294117647062</v>
      </c>
      <c r="Q10" s="4" t="s">
        <v>404</v>
      </c>
    </row>
    <row r="11" spans="1:22">
      <c r="A11" s="246">
        <v>2</v>
      </c>
      <c r="B11" s="4" t="s">
        <v>7</v>
      </c>
      <c r="C11" s="248">
        <v>0</v>
      </c>
      <c r="D11" s="248">
        <v>-255.89</v>
      </c>
      <c r="E11" s="262">
        <f t="shared" ref="E11:E19" si="5">D11-C11</f>
        <v>-255.89</v>
      </c>
      <c r="F11" s="262">
        <f t="shared" si="3"/>
        <v>-45.157058823529411</v>
      </c>
      <c r="G11" s="248">
        <v>0</v>
      </c>
      <c r="H11" s="248">
        <v>-53.24</v>
      </c>
      <c r="I11" s="248">
        <f t="shared" ref="I11:I19" si="6">H11-G11</f>
        <v>-53.24</v>
      </c>
      <c r="J11" s="248">
        <v>155.43</v>
      </c>
      <c r="K11" s="248">
        <v>208.67</v>
      </c>
      <c r="L11" s="248">
        <f t="shared" ref="L11:L19" si="7">K11-J11</f>
        <v>53.239999999999981</v>
      </c>
      <c r="M11" s="248">
        <v>747.09</v>
      </c>
      <c r="N11" s="248">
        <v>1002.98</v>
      </c>
      <c r="O11" s="262">
        <f t="shared" ref="O11:O19" si="8">N11-M11</f>
        <v>255.89</v>
      </c>
      <c r="P11" s="262">
        <f t="shared" si="4"/>
        <v>45.157058823529411</v>
      </c>
      <c r="Q11" s="4" t="s">
        <v>400</v>
      </c>
    </row>
    <row r="12" spans="1:22">
      <c r="A12" s="246">
        <v>3</v>
      </c>
      <c r="B12" s="4" t="s">
        <v>8</v>
      </c>
      <c r="C12" s="248">
        <v>0</v>
      </c>
      <c r="D12" s="248">
        <v>-270.61</v>
      </c>
      <c r="E12" s="262">
        <f t="shared" si="5"/>
        <v>-270.61</v>
      </c>
      <c r="F12" s="262">
        <f t="shared" si="3"/>
        <v>-47.754705882352944</v>
      </c>
      <c r="G12" s="248">
        <v>0</v>
      </c>
      <c r="H12" s="248">
        <v>-56.3</v>
      </c>
      <c r="I12" s="248">
        <f t="shared" si="6"/>
        <v>-56.3</v>
      </c>
      <c r="J12" s="248">
        <v>0</v>
      </c>
      <c r="K12" s="248">
        <v>56.3</v>
      </c>
      <c r="L12" s="248">
        <f t="shared" si="7"/>
        <v>56.3</v>
      </c>
      <c r="M12" s="248">
        <v>0</v>
      </c>
      <c r="N12" s="248">
        <v>270.61</v>
      </c>
      <c r="O12" s="262">
        <f t="shared" si="8"/>
        <v>270.61</v>
      </c>
      <c r="P12" s="262">
        <f t="shared" si="4"/>
        <v>47.754705882352944</v>
      </c>
      <c r="Q12" s="4" t="s">
        <v>400</v>
      </c>
    </row>
    <row r="13" spans="1:22">
      <c r="A13" s="246">
        <v>4</v>
      </c>
      <c r="B13" s="4" t="s">
        <v>9</v>
      </c>
      <c r="C13" s="248">
        <v>0</v>
      </c>
      <c r="D13" s="248">
        <v>-145.58000000000001</v>
      </c>
      <c r="E13" s="262">
        <f t="shared" si="5"/>
        <v>-145.58000000000001</v>
      </c>
      <c r="F13" s="262">
        <f t="shared" si="3"/>
        <v>-25.690588235294118</v>
      </c>
      <c r="G13" s="248">
        <v>0</v>
      </c>
      <c r="H13" s="248">
        <v>-30.29</v>
      </c>
      <c r="I13" s="248">
        <f t="shared" si="6"/>
        <v>-30.29</v>
      </c>
      <c r="J13" s="248">
        <v>43.11</v>
      </c>
      <c r="K13" s="248">
        <v>73.400000000000006</v>
      </c>
      <c r="L13" s="248">
        <f t="shared" si="7"/>
        <v>30.290000000000006</v>
      </c>
      <c r="M13" s="248">
        <v>207.22</v>
      </c>
      <c r="N13" s="248">
        <v>352.8</v>
      </c>
      <c r="O13" s="262">
        <f t="shared" si="8"/>
        <v>145.58000000000001</v>
      </c>
      <c r="P13" s="262">
        <f t="shared" si="4"/>
        <v>25.690588235294118</v>
      </c>
      <c r="Q13" s="4" t="s">
        <v>401</v>
      </c>
    </row>
    <row r="14" spans="1:22">
      <c r="A14" s="246">
        <v>5</v>
      </c>
      <c r="B14" s="4" t="s">
        <v>10</v>
      </c>
      <c r="C14" s="248">
        <v>0</v>
      </c>
      <c r="D14" s="248">
        <v>-152.34</v>
      </c>
      <c r="E14" s="262">
        <f t="shared" si="5"/>
        <v>-152.34</v>
      </c>
      <c r="F14" s="262">
        <f t="shared" si="3"/>
        <v>-26.883529411764705</v>
      </c>
      <c r="G14" s="248">
        <v>0</v>
      </c>
      <c r="H14" s="248">
        <v>-31.69</v>
      </c>
      <c r="I14" s="248">
        <f t="shared" si="6"/>
        <v>-31.69</v>
      </c>
      <c r="J14" s="248">
        <v>40.909999999999997</v>
      </c>
      <c r="K14" s="248">
        <v>72.599999999999994</v>
      </c>
      <c r="L14" s="248">
        <f t="shared" si="7"/>
        <v>31.689999999999998</v>
      </c>
      <c r="M14" s="248">
        <v>196.63</v>
      </c>
      <c r="N14" s="248">
        <v>348.97</v>
      </c>
      <c r="O14" s="262">
        <f t="shared" si="8"/>
        <v>152.34000000000003</v>
      </c>
      <c r="P14" s="262">
        <f t="shared" si="4"/>
        <v>26.883529411764712</v>
      </c>
      <c r="Q14" s="4" t="s">
        <v>401</v>
      </c>
    </row>
    <row r="15" spans="1:22">
      <c r="A15" s="246">
        <v>6</v>
      </c>
      <c r="B15" s="4" t="s">
        <v>11</v>
      </c>
      <c r="C15" s="248">
        <v>0</v>
      </c>
      <c r="D15" s="248">
        <v>-224.07</v>
      </c>
      <c r="E15" s="262">
        <f t="shared" si="5"/>
        <v>-224.07</v>
      </c>
      <c r="F15" s="262">
        <f t="shared" si="3"/>
        <v>-39.54176470588235</v>
      </c>
      <c r="G15" s="248">
        <v>0</v>
      </c>
      <c r="H15" s="248">
        <v>-46.62</v>
      </c>
      <c r="I15" s="248">
        <f t="shared" si="6"/>
        <v>-46.62</v>
      </c>
      <c r="J15" s="248">
        <v>0</v>
      </c>
      <c r="K15" s="248">
        <v>46.62</v>
      </c>
      <c r="L15" s="248">
        <f t="shared" si="7"/>
        <v>46.62</v>
      </c>
      <c r="M15" s="248">
        <v>0</v>
      </c>
      <c r="N15" s="248">
        <v>224.07</v>
      </c>
      <c r="O15" s="262">
        <f t="shared" si="8"/>
        <v>224.07</v>
      </c>
      <c r="P15" s="262">
        <f t="shared" si="4"/>
        <v>39.54176470588235</v>
      </c>
      <c r="Q15" s="4" t="s">
        <v>402</v>
      </c>
    </row>
    <row r="16" spans="1:22">
      <c r="A16" s="246">
        <v>7</v>
      </c>
      <c r="B16" s="4" t="s">
        <v>12</v>
      </c>
      <c r="C16" s="248">
        <v>0</v>
      </c>
      <c r="D16" s="248">
        <v>-126.07</v>
      </c>
      <c r="E16" s="262">
        <f t="shared" si="5"/>
        <v>-126.07</v>
      </c>
      <c r="F16" s="262">
        <f t="shared" si="3"/>
        <v>-22.247647058823528</v>
      </c>
      <c r="G16" s="248">
        <v>0</v>
      </c>
      <c r="H16" s="248">
        <v>-26.23</v>
      </c>
      <c r="I16" s="248">
        <f t="shared" si="6"/>
        <v>-26.23</v>
      </c>
      <c r="J16" s="248">
        <v>23.19</v>
      </c>
      <c r="K16" s="248">
        <v>49.42</v>
      </c>
      <c r="L16" s="248">
        <f t="shared" si="7"/>
        <v>26.23</v>
      </c>
      <c r="M16" s="248">
        <v>111.45</v>
      </c>
      <c r="N16" s="248">
        <v>237.52</v>
      </c>
      <c r="O16" s="262">
        <f t="shared" si="8"/>
        <v>126.07000000000001</v>
      </c>
      <c r="P16" s="262">
        <f t="shared" si="4"/>
        <v>22.247647058823532</v>
      </c>
      <c r="Q16" s="4" t="s">
        <v>401</v>
      </c>
    </row>
    <row r="17" spans="1:20">
      <c r="A17" s="246">
        <v>8</v>
      </c>
      <c r="B17" s="4" t="s">
        <v>13</v>
      </c>
      <c r="C17" s="248">
        <v>0</v>
      </c>
      <c r="D17" s="248">
        <v>0</v>
      </c>
      <c r="E17" s="262">
        <f t="shared" si="5"/>
        <v>0</v>
      </c>
      <c r="F17" s="262">
        <f t="shared" si="3"/>
        <v>0</v>
      </c>
      <c r="G17" s="248">
        <v>0</v>
      </c>
      <c r="H17" s="248">
        <v>0</v>
      </c>
      <c r="I17" s="248">
        <f t="shared" si="6"/>
        <v>0</v>
      </c>
      <c r="J17" s="248">
        <v>0</v>
      </c>
      <c r="K17" s="248">
        <v>0</v>
      </c>
      <c r="L17" s="248">
        <f t="shared" si="7"/>
        <v>0</v>
      </c>
      <c r="M17" s="248">
        <v>0</v>
      </c>
      <c r="N17" s="248">
        <v>0</v>
      </c>
      <c r="O17" s="262">
        <f t="shared" si="8"/>
        <v>0</v>
      </c>
      <c r="P17" s="262">
        <f t="shared" si="4"/>
        <v>0</v>
      </c>
      <c r="Q17" s="4"/>
    </row>
    <row r="18" spans="1:20">
      <c r="A18" s="246">
        <v>9</v>
      </c>
      <c r="B18" s="4" t="s">
        <v>14</v>
      </c>
      <c r="C18" s="248">
        <v>0</v>
      </c>
      <c r="D18" s="248">
        <v>-148.92155447999997</v>
      </c>
      <c r="E18" s="262">
        <f t="shared" si="5"/>
        <v>-148.92155447999997</v>
      </c>
      <c r="F18" s="262">
        <f t="shared" si="3"/>
        <v>-26.280274319999993</v>
      </c>
      <c r="G18" s="248">
        <v>0</v>
      </c>
      <c r="H18" s="248">
        <v>-30.98</v>
      </c>
      <c r="I18" s="248">
        <f t="shared" si="6"/>
        <v>-30.98</v>
      </c>
      <c r="J18" s="248">
        <v>44.89</v>
      </c>
      <c r="K18" s="248">
        <v>75.87</v>
      </c>
      <c r="L18" s="248">
        <f t="shared" si="7"/>
        <v>30.980000000000004</v>
      </c>
      <c r="M18" s="248">
        <v>215.76</v>
      </c>
      <c r="N18" s="248">
        <v>364.68</v>
      </c>
      <c r="O18" s="262">
        <f t="shared" si="8"/>
        <v>148.92000000000002</v>
      </c>
      <c r="P18" s="262">
        <f t="shared" si="4"/>
        <v>26.28</v>
      </c>
      <c r="Q18" s="4" t="s">
        <v>401</v>
      </c>
    </row>
    <row r="19" spans="1:20">
      <c r="A19" s="246">
        <v>10</v>
      </c>
      <c r="B19" s="4" t="s">
        <v>15</v>
      </c>
      <c r="C19" s="248">
        <v>0</v>
      </c>
      <c r="D19" s="248">
        <v>237.71</v>
      </c>
      <c r="E19" s="262">
        <f t="shared" si="5"/>
        <v>237.71</v>
      </c>
      <c r="F19" s="262">
        <f t="shared" si="3"/>
        <v>41.948823529411769</v>
      </c>
      <c r="G19" s="248">
        <v>0</v>
      </c>
      <c r="H19" s="248">
        <v>49.45</v>
      </c>
      <c r="I19" s="248">
        <f t="shared" si="6"/>
        <v>49.45</v>
      </c>
      <c r="J19" s="248">
        <v>331.98</v>
      </c>
      <c r="K19" s="248">
        <v>282.52999999999997</v>
      </c>
      <c r="L19" s="248">
        <f t="shared" si="7"/>
        <v>-49.450000000000045</v>
      </c>
      <c r="M19" s="248">
        <v>1595.67</v>
      </c>
      <c r="N19" s="248">
        <v>1357.96</v>
      </c>
      <c r="O19" s="262">
        <f t="shared" si="8"/>
        <v>-237.71000000000004</v>
      </c>
      <c r="P19" s="262">
        <f t="shared" si="4"/>
        <v>-41.948823529411769</v>
      </c>
      <c r="Q19" s="4" t="s">
        <v>403</v>
      </c>
    </row>
    <row r="20" spans="1:20" s="19" customFormat="1">
      <c r="A20" s="246" t="s">
        <v>200</v>
      </c>
      <c r="B20" s="13" t="s">
        <v>16</v>
      </c>
      <c r="C20" s="358">
        <f>SUM(C21:C33)</f>
        <v>0</v>
      </c>
      <c r="D20" s="358">
        <f t="shared" ref="D20:O20" si="9">SUM(D21:D33)</f>
        <v>-269.55</v>
      </c>
      <c r="E20" s="359">
        <f t="shared" si="9"/>
        <v>-269.55</v>
      </c>
      <c r="F20" s="359">
        <f t="shared" si="3"/>
        <v>-47.567647058823532</v>
      </c>
      <c r="G20" s="358">
        <f t="shared" si="9"/>
        <v>0</v>
      </c>
      <c r="H20" s="358">
        <f t="shared" si="9"/>
        <v>-56.050000000000011</v>
      </c>
      <c r="I20" s="358">
        <f t="shared" si="9"/>
        <v>-56.050000000000011</v>
      </c>
      <c r="J20" s="358">
        <f t="shared" ref="J20" si="10">SUM(J21:J33)</f>
        <v>561.55000000000007</v>
      </c>
      <c r="K20" s="358">
        <f t="shared" ref="K20" si="11">SUM(K21:K33)</f>
        <v>617.6</v>
      </c>
      <c r="L20" s="358">
        <f t="shared" si="9"/>
        <v>56.050000000000026</v>
      </c>
      <c r="M20" s="358">
        <f t="shared" si="9"/>
        <v>2699.07</v>
      </c>
      <c r="N20" s="358">
        <f t="shared" si="9"/>
        <v>2968.62</v>
      </c>
      <c r="O20" s="359">
        <f t="shared" si="9"/>
        <v>269.55</v>
      </c>
      <c r="P20" s="359">
        <f t="shared" si="4"/>
        <v>47.567647058823532</v>
      </c>
      <c r="Q20" s="360"/>
      <c r="R20" s="1"/>
      <c r="S20" s="1"/>
      <c r="T20" s="1"/>
    </row>
    <row r="21" spans="1:20">
      <c r="A21" s="246">
        <v>1</v>
      </c>
      <c r="B21" s="4" t="s">
        <v>17</v>
      </c>
      <c r="C21" s="248">
        <v>0</v>
      </c>
      <c r="D21" s="248">
        <v>0</v>
      </c>
      <c r="E21" s="262">
        <f>D21-C21</f>
        <v>0</v>
      </c>
      <c r="F21" s="262">
        <f t="shared" si="3"/>
        <v>0</v>
      </c>
      <c r="G21" s="248">
        <v>0</v>
      </c>
      <c r="H21" s="248">
        <v>0</v>
      </c>
      <c r="I21" s="248">
        <f>H21-G21</f>
        <v>0</v>
      </c>
      <c r="J21" s="248">
        <v>49.59</v>
      </c>
      <c r="K21" s="248">
        <v>49.59</v>
      </c>
      <c r="L21" s="248">
        <f>K21-J21</f>
        <v>0</v>
      </c>
      <c r="M21" s="248">
        <v>238.37</v>
      </c>
      <c r="N21" s="248">
        <v>238.37</v>
      </c>
      <c r="O21" s="262">
        <f>N21-M21</f>
        <v>0</v>
      </c>
      <c r="P21" s="262">
        <f t="shared" si="4"/>
        <v>0</v>
      </c>
      <c r="Q21" s="4"/>
    </row>
    <row r="22" spans="1:20">
      <c r="A22" s="246">
        <v>2</v>
      </c>
      <c r="B22" s="4" t="s">
        <v>18</v>
      </c>
      <c r="C22" s="248">
        <v>0</v>
      </c>
      <c r="D22" s="248">
        <v>0</v>
      </c>
      <c r="E22" s="262">
        <f t="shared" ref="E22:E42" si="12">D22-C22</f>
        <v>0</v>
      </c>
      <c r="F22" s="262">
        <f t="shared" si="3"/>
        <v>0</v>
      </c>
      <c r="G22" s="248">
        <v>0</v>
      </c>
      <c r="H22" s="248">
        <v>0</v>
      </c>
      <c r="I22" s="248">
        <f t="shared" ref="I22:I33" si="13">H22-G22</f>
        <v>0</v>
      </c>
      <c r="J22" s="248">
        <v>33.93</v>
      </c>
      <c r="K22" s="248">
        <v>33.93</v>
      </c>
      <c r="L22" s="248">
        <f t="shared" ref="L22:L33" si="14">K22-J22</f>
        <v>0</v>
      </c>
      <c r="M22" s="248">
        <v>163.06</v>
      </c>
      <c r="N22" s="248">
        <v>163.06</v>
      </c>
      <c r="O22" s="262">
        <f t="shared" ref="O22:O33" si="15">N22-M22</f>
        <v>0</v>
      </c>
      <c r="P22" s="262">
        <f t="shared" si="4"/>
        <v>0</v>
      </c>
      <c r="Q22" s="4"/>
    </row>
    <row r="23" spans="1:20">
      <c r="A23" s="246">
        <v>3</v>
      </c>
      <c r="B23" s="4" t="s">
        <v>19</v>
      </c>
      <c r="C23" s="248">
        <v>0</v>
      </c>
      <c r="D23" s="248">
        <v>-19.68</v>
      </c>
      <c r="E23" s="262">
        <f t="shared" si="12"/>
        <v>-19.68</v>
      </c>
      <c r="F23" s="262">
        <f t="shared" si="3"/>
        <v>-3.472941176470588</v>
      </c>
      <c r="G23" s="248">
        <v>0</v>
      </c>
      <c r="H23" s="248">
        <v>-4.09</v>
      </c>
      <c r="I23" s="248">
        <f t="shared" si="13"/>
        <v>-4.09</v>
      </c>
      <c r="J23" s="248">
        <v>127.71</v>
      </c>
      <c r="K23" s="248">
        <v>131.80000000000001</v>
      </c>
      <c r="L23" s="248">
        <f t="shared" si="14"/>
        <v>4.0900000000000176</v>
      </c>
      <c r="M23" s="248">
        <v>613.80999999999995</v>
      </c>
      <c r="N23" s="248">
        <v>633.49</v>
      </c>
      <c r="O23" s="262">
        <f t="shared" si="15"/>
        <v>19.680000000000064</v>
      </c>
      <c r="P23" s="262">
        <f t="shared" si="4"/>
        <v>3.4729411764705991</v>
      </c>
      <c r="Q23" s="4" t="s">
        <v>405</v>
      </c>
    </row>
    <row r="24" spans="1:20">
      <c r="A24" s="246">
        <v>4</v>
      </c>
      <c r="B24" s="4" t="s">
        <v>20</v>
      </c>
      <c r="C24" s="248">
        <v>0</v>
      </c>
      <c r="D24" s="248">
        <v>390.35</v>
      </c>
      <c r="E24" s="262">
        <f t="shared" si="12"/>
        <v>390.35</v>
      </c>
      <c r="F24" s="262">
        <f t="shared" si="3"/>
        <v>68.885294117647064</v>
      </c>
      <c r="G24" s="248">
        <v>0</v>
      </c>
      <c r="H24" s="248">
        <v>81.209999999999994</v>
      </c>
      <c r="I24" s="248">
        <f t="shared" si="13"/>
        <v>81.209999999999994</v>
      </c>
      <c r="J24" s="248">
        <v>81.209999999999994</v>
      </c>
      <c r="K24" s="248">
        <v>0</v>
      </c>
      <c r="L24" s="248">
        <f t="shared" si="14"/>
        <v>-81.209999999999994</v>
      </c>
      <c r="M24" s="248">
        <v>390.35</v>
      </c>
      <c r="N24" s="248">
        <v>0</v>
      </c>
      <c r="O24" s="262">
        <f t="shared" si="15"/>
        <v>-390.35</v>
      </c>
      <c r="P24" s="262">
        <f t="shared" si="4"/>
        <v>-68.885294117647064</v>
      </c>
      <c r="Q24" s="4" t="s">
        <v>406</v>
      </c>
    </row>
    <row r="25" spans="1:20">
      <c r="A25" s="246">
        <v>5</v>
      </c>
      <c r="B25" s="4" t="s">
        <v>21</v>
      </c>
      <c r="C25" s="248">
        <v>0</v>
      </c>
      <c r="D25" s="248">
        <v>-249.47</v>
      </c>
      <c r="E25" s="262">
        <f t="shared" si="12"/>
        <v>-249.47</v>
      </c>
      <c r="F25" s="262">
        <f t="shared" si="3"/>
        <v>-44.024117647058823</v>
      </c>
      <c r="G25" s="248">
        <v>0</v>
      </c>
      <c r="H25" s="248">
        <v>-51.9</v>
      </c>
      <c r="I25" s="248">
        <f t="shared" si="13"/>
        <v>-51.9</v>
      </c>
      <c r="J25" s="248">
        <v>0</v>
      </c>
      <c r="K25" s="248">
        <v>51.9</v>
      </c>
      <c r="L25" s="248">
        <f t="shared" si="14"/>
        <v>51.9</v>
      </c>
      <c r="M25" s="248">
        <v>0</v>
      </c>
      <c r="N25" s="248">
        <v>249.47</v>
      </c>
      <c r="O25" s="262">
        <f t="shared" si="15"/>
        <v>249.47</v>
      </c>
      <c r="P25" s="262">
        <f t="shared" si="4"/>
        <v>44.024117647058823</v>
      </c>
      <c r="Q25" s="4" t="s">
        <v>400</v>
      </c>
    </row>
    <row r="26" spans="1:20">
      <c r="A26" s="246">
        <v>6</v>
      </c>
      <c r="B26" s="4" t="s">
        <v>22</v>
      </c>
      <c r="C26" s="248">
        <v>0</v>
      </c>
      <c r="D26" s="248">
        <v>-81.53</v>
      </c>
      <c r="E26" s="262">
        <f t="shared" si="12"/>
        <v>-81.53</v>
      </c>
      <c r="F26" s="262">
        <f t="shared" si="3"/>
        <v>-14.38764705882353</v>
      </c>
      <c r="G26" s="248">
        <v>0</v>
      </c>
      <c r="H26" s="248">
        <v>-16.96</v>
      </c>
      <c r="I26" s="248">
        <f t="shared" si="13"/>
        <v>-16.96</v>
      </c>
      <c r="J26" s="248">
        <v>33.93</v>
      </c>
      <c r="K26" s="248">
        <v>50.89</v>
      </c>
      <c r="L26" s="248">
        <f t="shared" si="14"/>
        <v>16.96</v>
      </c>
      <c r="M26" s="248">
        <v>163.06</v>
      </c>
      <c r="N26" s="248">
        <v>244.59</v>
      </c>
      <c r="O26" s="262">
        <f t="shared" si="15"/>
        <v>81.53</v>
      </c>
      <c r="P26" s="262">
        <f t="shared" si="4"/>
        <v>14.38764705882353</v>
      </c>
      <c r="Q26" s="4" t="s">
        <v>401</v>
      </c>
    </row>
    <row r="27" spans="1:20">
      <c r="A27" s="246">
        <v>7</v>
      </c>
      <c r="B27" s="4" t="s">
        <v>23</v>
      </c>
      <c r="C27" s="248">
        <v>0</v>
      </c>
      <c r="D27" s="248">
        <v>16.77</v>
      </c>
      <c r="E27" s="262">
        <f t="shared" si="12"/>
        <v>16.77</v>
      </c>
      <c r="F27" s="262">
        <f t="shared" si="3"/>
        <v>2.9594117647058824</v>
      </c>
      <c r="G27" s="248">
        <v>0</v>
      </c>
      <c r="H27" s="248">
        <v>3.49</v>
      </c>
      <c r="I27" s="248">
        <f t="shared" si="13"/>
        <v>3.49</v>
      </c>
      <c r="J27" s="248">
        <v>49.59</v>
      </c>
      <c r="K27" s="248">
        <v>46.1</v>
      </c>
      <c r="L27" s="248">
        <f t="shared" si="14"/>
        <v>-3.490000000000002</v>
      </c>
      <c r="M27" s="248">
        <v>238.37</v>
      </c>
      <c r="N27" s="248">
        <v>221.6</v>
      </c>
      <c r="O27" s="262">
        <f t="shared" si="15"/>
        <v>-16.77000000000001</v>
      </c>
      <c r="P27" s="262">
        <f t="shared" si="4"/>
        <v>-2.9594117647058842</v>
      </c>
      <c r="Q27" s="4" t="s">
        <v>407</v>
      </c>
    </row>
    <row r="28" spans="1:20">
      <c r="A28" s="246">
        <v>8</v>
      </c>
      <c r="B28" s="4" t="s">
        <v>24</v>
      </c>
      <c r="C28" s="248">
        <v>0</v>
      </c>
      <c r="D28" s="248">
        <v>0</v>
      </c>
      <c r="E28" s="262">
        <f t="shared" si="12"/>
        <v>0</v>
      </c>
      <c r="F28" s="262">
        <f t="shared" si="3"/>
        <v>0</v>
      </c>
      <c r="G28" s="248">
        <v>0</v>
      </c>
      <c r="H28" s="248">
        <v>0</v>
      </c>
      <c r="I28" s="248">
        <f t="shared" si="13"/>
        <v>0</v>
      </c>
      <c r="J28" s="248">
        <v>67.849999999999994</v>
      </c>
      <c r="K28" s="248">
        <v>67.849999999999994</v>
      </c>
      <c r="L28" s="248">
        <f t="shared" si="14"/>
        <v>0</v>
      </c>
      <c r="M28" s="248">
        <v>326.12</v>
      </c>
      <c r="N28" s="248">
        <v>326.12</v>
      </c>
      <c r="O28" s="262">
        <f t="shared" si="15"/>
        <v>0</v>
      </c>
      <c r="P28" s="262">
        <f t="shared" si="4"/>
        <v>0</v>
      </c>
      <c r="Q28" s="4"/>
    </row>
    <row r="29" spans="1:20">
      <c r="A29" s="246">
        <v>9</v>
      </c>
      <c r="B29" s="4" t="s">
        <v>25</v>
      </c>
      <c r="C29" s="248">
        <v>0</v>
      </c>
      <c r="D29" s="248">
        <v>0</v>
      </c>
      <c r="E29" s="262">
        <f t="shared" si="12"/>
        <v>0</v>
      </c>
      <c r="F29" s="262">
        <f t="shared" si="3"/>
        <v>0</v>
      </c>
      <c r="G29" s="248">
        <v>0</v>
      </c>
      <c r="H29" s="248">
        <v>0</v>
      </c>
      <c r="I29" s="248">
        <f t="shared" si="13"/>
        <v>0</v>
      </c>
      <c r="J29" s="248">
        <v>49.59</v>
      </c>
      <c r="K29" s="248">
        <v>49.59</v>
      </c>
      <c r="L29" s="248">
        <f t="shared" si="14"/>
        <v>0</v>
      </c>
      <c r="M29" s="248">
        <v>238.37</v>
      </c>
      <c r="N29" s="248">
        <v>238.37</v>
      </c>
      <c r="O29" s="262">
        <f t="shared" si="15"/>
        <v>0</v>
      </c>
      <c r="P29" s="262">
        <f t="shared" si="4"/>
        <v>0</v>
      </c>
      <c r="Q29" s="4"/>
    </row>
    <row r="30" spans="1:20">
      <c r="A30" s="246">
        <v>10</v>
      </c>
      <c r="B30" s="4" t="s">
        <v>26</v>
      </c>
      <c r="C30" s="248">
        <v>0</v>
      </c>
      <c r="D30" s="248">
        <v>-79.739999999999995</v>
      </c>
      <c r="E30" s="262">
        <f t="shared" si="12"/>
        <v>-79.739999999999995</v>
      </c>
      <c r="F30" s="262">
        <f t="shared" si="3"/>
        <v>-14.071764705882353</v>
      </c>
      <c r="G30" s="248">
        <v>0</v>
      </c>
      <c r="H30" s="248">
        <v>-16.559999999999999</v>
      </c>
      <c r="I30" s="248">
        <f t="shared" si="13"/>
        <v>-16.559999999999999</v>
      </c>
      <c r="J30" s="248">
        <v>0</v>
      </c>
      <c r="K30" s="248">
        <v>16.559999999999999</v>
      </c>
      <c r="L30" s="248">
        <f t="shared" si="14"/>
        <v>16.559999999999999</v>
      </c>
      <c r="M30" s="248">
        <v>0</v>
      </c>
      <c r="N30" s="248">
        <v>79.739999999999995</v>
      </c>
      <c r="O30" s="262">
        <f t="shared" si="15"/>
        <v>79.739999999999995</v>
      </c>
      <c r="P30" s="262">
        <f t="shared" si="4"/>
        <v>14.071764705882353</v>
      </c>
      <c r="Q30" s="4" t="s">
        <v>401</v>
      </c>
    </row>
    <row r="31" spans="1:20">
      <c r="A31" s="246">
        <v>11</v>
      </c>
      <c r="B31" s="4" t="s">
        <v>27</v>
      </c>
      <c r="C31" s="248">
        <v>0</v>
      </c>
      <c r="D31" s="248">
        <v>41.74</v>
      </c>
      <c r="E31" s="262">
        <f t="shared" si="12"/>
        <v>41.74</v>
      </c>
      <c r="F31" s="262">
        <f t="shared" si="3"/>
        <v>7.3658823529411768</v>
      </c>
      <c r="G31" s="248">
        <v>0</v>
      </c>
      <c r="H31" s="248">
        <v>8.68</v>
      </c>
      <c r="I31" s="248">
        <f t="shared" si="13"/>
        <v>8.68</v>
      </c>
      <c r="J31" s="248">
        <v>42.61</v>
      </c>
      <c r="K31" s="248">
        <v>33.93</v>
      </c>
      <c r="L31" s="248">
        <f t="shared" si="14"/>
        <v>-8.68</v>
      </c>
      <c r="M31" s="248">
        <v>204.8</v>
      </c>
      <c r="N31" s="248">
        <v>163.06</v>
      </c>
      <c r="O31" s="262">
        <f t="shared" si="15"/>
        <v>-41.740000000000009</v>
      </c>
      <c r="P31" s="262">
        <f t="shared" si="4"/>
        <v>-7.3658823529411777</v>
      </c>
      <c r="Q31" s="4" t="s">
        <v>408</v>
      </c>
    </row>
    <row r="32" spans="1:20">
      <c r="A32" s="246">
        <v>12</v>
      </c>
      <c r="B32" s="4" t="s">
        <v>28</v>
      </c>
      <c r="C32" s="248">
        <v>0</v>
      </c>
      <c r="D32" s="248">
        <v>-287.99</v>
      </c>
      <c r="E32" s="262">
        <f t="shared" si="12"/>
        <v>-287.99</v>
      </c>
      <c r="F32" s="262">
        <f t="shared" si="3"/>
        <v>-50.821764705882352</v>
      </c>
      <c r="G32" s="248">
        <v>0</v>
      </c>
      <c r="H32" s="248">
        <v>-59.92</v>
      </c>
      <c r="I32" s="248">
        <f t="shared" si="13"/>
        <v>-59.92</v>
      </c>
      <c r="J32" s="248">
        <v>0</v>
      </c>
      <c r="K32" s="248">
        <v>59.92</v>
      </c>
      <c r="L32" s="248">
        <f t="shared" si="14"/>
        <v>59.92</v>
      </c>
      <c r="M32" s="248">
        <v>0</v>
      </c>
      <c r="N32" s="248">
        <v>287.99</v>
      </c>
      <c r="O32" s="262">
        <f t="shared" si="15"/>
        <v>287.99</v>
      </c>
      <c r="P32" s="262">
        <f t="shared" si="4"/>
        <v>50.821764705882352</v>
      </c>
      <c r="Q32" s="4" t="s">
        <v>402</v>
      </c>
    </row>
    <row r="33" spans="1:20">
      <c r="A33" s="246">
        <v>13</v>
      </c>
      <c r="B33" s="4" t="s">
        <v>29</v>
      </c>
      <c r="C33" s="248">
        <v>0</v>
      </c>
      <c r="D33" s="248">
        <v>0</v>
      </c>
      <c r="E33" s="262">
        <f t="shared" si="12"/>
        <v>0</v>
      </c>
      <c r="F33" s="262">
        <f t="shared" si="3"/>
        <v>0</v>
      </c>
      <c r="G33" s="248">
        <v>0</v>
      </c>
      <c r="H33" s="248">
        <v>0</v>
      </c>
      <c r="I33" s="248">
        <f t="shared" si="13"/>
        <v>0</v>
      </c>
      <c r="J33" s="248">
        <v>25.54</v>
      </c>
      <c r="K33" s="248">
        <v>25.54</v>
      </c>
      <c r="L33" s="248">
        <f t="shared" si="14"/>
        <v>0</v>
      </c>
      <c r="M33" s="248">
        <v>122.76</v>
      </c>
      <c r="N33" s="248">
        <v>122.76</v>
      </c>
      <c r="O33" s="262">
        <f t="shared" si="15"/>
        <v>0</v>
      </c>
      <c r="P33" s="262">
        <f t="shared" si="4"/>
        <v>0</v>
      </c>
      <c r="Q33" s="4"/>
    </row>
    <row r="34" spans="1:20" s="19" customFormat="1">
      <c r="A34" s="246" t="s">
        <v>214</v>
      </c>
      <c r="B34" s="13" t="s">
        <v>30</v>
      </c>
      <c r="C34" s="358">
        <f>SUM(C35:C43)</f>
        <v>0</v>
      </c>
      <c r="D34" s="358">
        <f t="shared" ref="D34:N34" si="16">SUM(D35:D43)</f>
        <v>1203.92</v>
      </c>
      <c r="E34" s="359">
        <f t="shared" si="16"/>
        <v>1203.92</v>
      </c>
      <c r="F34" s="359">
        <f t="shared" si="3"/>
        <v>212.45647058823531</v>
      </c>
      <c r="G34" s="358">
        <f t="shared" si="16"/>
        <v>0</v>
      </c>
      <c r="H34" s="358">
        <f t="shared" si="16"/>
        <v>250.49</v>
      </c>
      <c r="I34" s="358">
        <f t="shared" si="16"/>
        <v>250.49</v>
      </c>
      <c r="J34" s="358">
        <f t="shared" ref="J34" si="17">SUM(J35:J43)</f>
        <v>344.42</v>
      </c>
      <c r="K34" s="358">
        <f t="shared" ref="K34" si="18">SUM(K35:K43)</f>
        <v>93.933999999999997</v>
      </c>
      <c r="L34" s="358">
        <f t="shared" si="16"/>
        <v>-250.48600000000002</v>
      </c>
      <c r="M34" s="358">
        <f t="shared" si="16"/>
        <v>1655.45</v>
      </c>
      <c r="N34" s="358">
        <f t="shared" si="16"/>
        <v>451.53</v>
      </c>
      <c r="O34" s="359">
        <f>SUM(O35:O43)</f>
        <v>-1203.92</v>
      </c>
      <c r="P34" s="359">
        <f t="shared" si="4"/>
        <v>-212.45647058823531</v>
      </c>
      <c r="Q34" s="4"/>
      <c r="R34" s="1"/>
      <c r="S34" s="1"/>
      <c r="T34" s="1"/>
    </row>
    <row r="35" spans="1:20">
      <c r="A35" s="246">
        <v>1</v>
      </c>
      <c r="B35" s="4" t="s">
        <v>28</v>
      </c>
      <c r="C35" s="248">
        <v>0</v>
      </c>
      <c r="D35" s="248">
        <v>0</v>
      </c>
      <c r="E35" s="262">
        <f t="shared" si="12"/>
        <v>0</v>
      </c>
      <c r="F35" s="262">
        <f t="shared" si="3"/>
        <v>0</v>
      </c>
      <c r="G35" s="248">
        <v>0</v>
      </c>
      <c r="H35" s="248">
        <v>0</v>
      </c>
      <c r="I35" s="248">
        <f t="shared" ref="I35:I43" si="19">H35-G35</f>
        <v>0</v>
      </c>
      <c r="J35" s="248">
        <v>0</v>
      </c>
      <c r="K35" s="248">
        <v>0</v>
      </c>
      <c r="L35" s="248">
        <f t="shared" ref="L35:L43" si="20">K35-J35</f>
        <v>0</v>
      </c>
      <c r="M35" s="248">
        <v>0</v>
      </c>
      <c r="N35" s="248">
        <v>0</v>
      </c>
      <c r="O35" s="262">
        <f t="shared" ref="O35:O43" si="21">N35-M35</f>
        <v>0</v>
      </c>
      <c r="P35" s="262">
        <f t="shared" si="4"/>
        <v>0</v>
      </c>
      <c r="Q35" s="4"/>
    </row>
    <row r="36" spans="1:20">
      <c r="A36" s="246">
        <v>2</v>
      </c>
      <c r="B36" s="4" t="s">
        <v>29</v>
      </c>
      <c r="C36" s="248">
        <v>0</v>
      </c>
      <c r="D36" s="248">
        <v>122.76</v>
      </c>
      <c r="E36" s="262">
        <f t="shared" si="12"/>
        <v>122.76</v>
      </c>
      <c r="F36" s="262">
        <f t="shared" si="3"/>
        <v>21.663529411764706</v>
      </c>
      <c r="G36" s="248">
        <v>0</v>
      </c>
      <c r="H36" s="248">
        <v>25.54</v>
      </c>
      <c r="I36" s="248">
        <f t="shared" si="19"/>
        <v>25.54</v>
      </c>
      <c r="J36" s="248">
        <v>25.54</v>
      </c>
      <c r="K36" s="248">
        <v>0</v>
      </c>
      <c r="L36" s="248">
        <f t="shared" si="20"/>
        <v>-25.54</v>
      </c>
      <c r="M36" s="248">
        <v>122.76</v>
      </c>
      <c r="N36" s="248">
        <v>0</v>
      </c>
      <c r="O36" s="262">
        <f t="shared" si="21"/>
        <v>-122.76</v>
      </c>
      <c r="P36" s="262">
        <f t="shared" si="4"/>
        <v>-21.663529411764706</v>
      </c>
      <c r="Q36" s="4" t="s">
        <v>409</v>
      </c>
    </row>
    <row r="37" spans="1:20">
      <c r="A37" s="246">
        <v>3</v>
      </c>
      <c r="B37" s="4" t="s">
        <v>31</v>
      </c>
      <c r="C37" s="248">
        <v>0</v>
      </c>
      <c r="D37" s="248">
        <v>268.7</v>
      </c>
      <c r="E37" s="262">
        <f t="shared" si="12"/>
        <v>268.7</v>
      </c>
      <c r="F37" s="262">
        <f t="shared" si="3"/>
        <v>47.417647058823526</v>
      </c>
      <c r="G37" s="248">
        <v>0</v>
      </c>
      <c r="H37" s="248">
        <v>55.9</v>
      </c>
      <c r="I37" s="248">
        <f t="shared" si="19"/>
        <v>55.9</v>
      </c>
      <c r="J37" s="248">
        <v>55.9</v>
      </c>
      <c r="K37" s="248">
        <v>0</v>
      </c>
      <c r="L37" s="248">
        <f t="shared" si="20"/>
        <v>-55.9</v>
      </c>
      <c r="M37" s="248">
        <v>268.7</v>
      </c>
      <c r="N37" s="248">
        <v>0</v>
      </c>
      <c r="O37" s="262">
        <f t="shared" si="21"/>
        <v>-268.7</v>
      </c>
      <c r="P37" s="262">
        <f t="shared" si="4"/>
        <v>-47.417647058823526</v>
      </c>
      <c r="Q37" s="4" t="s">
        <v>410</v>
      </c>
    </row>
    <row r="38" spans="1:20">
      <c r="A38" s="246">
        <v>4</v>
      </c>
      <c r="B38" s="4" t="s">
        <v>32</v>
      </c>
      <c r="C38" s="248">
        <v>0</v>
      </c>
      <c r="D38" s="248">
        <v>225.77</v>
      </c>
      <c r="E38" s="262">
        <f t="shared" si="12"/>
        <v>225.77</v>
      </c>
      <c r="F38" s="262">
        <f t="shared" si="3"/>
        <v>39.841764705882355</v>
      </c>
      <c r="G38" s="248">
        <v>0</v>
      </c>
      <c r="H38" s="248">
        <v>46.98</v>
      </c>
      <c r="I38" s="248">
        <f t="shared" si="19"/>
        <v>46.98</v>
      </c>
      <c r="J38" s="248">
        <v>78.290000000000006</v>
      </c>
      <c r="K38" s="248">
        <v>31.314</v>
      </c>
      <c r="L38" s="248">
        <f t="shared" si="20"/>
        <v>-46.976000000000006</v>
      </c>
      <c r="M38" s="248">
        <v>376.28</v>
      </c>
      <c r="N38" s="248">
        <v>150.51</v>
      </c>
      <c r="O38" s="262">
        <f t="shared" si="21"/>
        <v>-225.76999999999998</v>
      </c>
      <c r="P38" s="262">
        <f t="shared" si="4"/>
        <v>-39.841764705882355</v>
      </c>
      <c r="Q38" s="4" t="s">
        <v>406</v>
      </c>
    </row>
    <row r="39" spans="1:20">
      <c r="A39" s="246">
        <v>5</v>
      </c>
      <c r="B39" s="4" t="s">
        <v>33</v>
      </c>
      <c r="C39" s="248">
        <v>0</v>
      </c>
      <c r="D39" s="248">
        <v>150.51</v>
      </c>
      <c r="E39" s="262">
        <f t="shared" si="12"/>
        <v>150.51</v>
      </c>
      <c r="F39" s="262">
        <f t="shared" si="3"/>
        <v>26.560588235294116</v>
      </c>
      <c r="G39" s="248">
        <v>0</v>
      </c>
      <c r="H39" s="248">
        <v>31.32</v>
      </c>
      <c r="I39" s="248">
        <f t="shared" si="19"/>
        <v>31.32</v>
      </c>
      <c r="J39" s="248">
        <v>62.63</v>
      </c>
      <c r="K39" s="248">
        <v>31.31</v>
      </c>
      <c r="L39" s="248">
        <f t="shared" si="20"/>
        <v>-31.320000000000004</v>
      </c>
      <c r="M39" s="248">
        <v>301.02</v>
      </c>
      <c r="N39" s="248">
        <v>150.51</v>
      </c>
      <c r="O39" s="262">
        <f t="shared" si="21"/>
        <v>-150.51</v>
      </c>
      <c r="P39" s="262">
        <f t="shared" si="4"/>
        <v>-26.560588235294116</v>
      </c>
      <c r="Q39" s="4" t="s">
        <v>410</v>
      </c>
    </row>
    <row r="40" spans="1:20">
      <c r="A40" s="246">
        <v>6</v>
      </c>
      <c r="B40" s="4" t="s">
        <v>34</v>
      </c>
      <c r="C40" s="248">
        <v>0</v>
      </c>
      <c r="D40" s="248">
        <v>93.96</v>
      </c>
      <c r="E40" s="262">
        <f t="shared" si="12"/>
        <v>93.96</v>
      </c>
      <c r="F40" s="262">
        <f t="shared" si="3"/>
        <v>16.581176470588233</v>
      </c>
      <c r="G40" s="248">
        <v>0</v>
      </c>
      <c r="H40" s="248">
        <v>19.55</v>
      </c>
      <c r="I40" s="248">
        <f t="shared" si="19"/>
        <v>19.55</v>
      </c>
      <c r="J40" s="248">
        <v>50.86</v>
      </c>
      <c r="K40" s="248">
        <v>31.31</v>
      </c>
      <c r="L40" s="248">
        <f t="shared" si="20"/>
        <v>-19.55</v>
      </c>
      <c r="M40" s="248">
        <v>244.47</v>
      </c>
      <c r="N40" s="248">
        <v>150.51</v>
      </c>
      <c r="O40" s="262">
        <f t="shared" si="21"/>
        <v>-93.960000000000008</v>
      </c>
      <c r="P40" s="262">
        <f t="shared" si="4"/>
        <v>-16.581176470588236</v>
      </c>
      <c r="Q40" s="4" t="s">
        <v>409</v>
      </c>
    </row>
    <row r="41" spans="1:20">
      <c r="A41" s="246">
        <v>7</v>
      </c>
      <c r="B41" s="4" t="s">
        <v>35</v>
      </c>
      <c r="C41" s="248">
        <v>0</v>
      </c>
      <c r="D41" s="248">
        <v>75.78</v>
      </c>
      <c r="E41" s="262">
        <f t="shared" si="12"/>
        <v>75.78</v>
      </c>
      <c r="F41" s="262">
        <f t="shared" si="3"/>
        <v>13.372941176470588</v>
      </c>
      <c r="G41" s="248">
        <v>0</v>
      </c>
      <c r="H41" s="248">
        <v>15.77</v>
      </c>
      <c r="I41" s="248">
        <f t="shared" si="19"/>
        <v>15.77</v>
      </c>
      <c r="J41" s="248">
        <v>15.77</v>
      </c>
      <c r="K41" s="248">
        <v>0</v>
      </c>
      <c r="L41" s="248">
        <f t="shared" si="20"/>
        <v>-15.77</v>
      </c>
      <c r="M41" s="248">
        <v>75.78</v>
      </c>
      <c r="N41" s="248">
        <v>0</v>
      </c>
      <c r="O41" s="262">
        <f t="shared" si="21"/>
        <v>-75.78</v>
      </c>
      <c r="P41" s="262">
        <f t="shared" si="4"/>
        <v>-13.372941176470588</v>
      </c>
      <c r="Q41" s="4" t="s">
        <v>409</v>
      </c>
    </row>
    <row r="42" spans="1:20">
      <c r="A42" s="246">
        <v>8</v>
      </c>
      <c r="B42" s="4" t="s">
        <v>36</v>
      </c>
      <c r="C42" s="248">
        <v>0</v>
      </c>
      <c r="D42" s="248">
        <v>266.44</v>
      </c>
      <c r="E42" s="262">
        <f t="shared" si="12"/>
        <v>266.44</v>
      </c>
      <c r="F42" s="262">
        <f t="shared" si="3"/>
        <v>47.018823529411762</v>
      </c>
      <c r="G42" s="248">
        <v>0</v>
      </c>
      <c r="H42" s="248">
        <v>55.43</v>
      </c>
      <c r="I42" s="248">
        <f t="shared" si="19"/>
        <v>55.43</v>
      </c>
      <c r="J42" s="248">
        <v>55.43</v>
      </c>
      <c r="K42" s="248">
        <v>0</v>
      </c>
      <c r="L42" s="248">
        <f t="shared" si="20"/>
        <v>-55.43</v>
      </c>
      <c r="M42" s="248">
        <v>266.44</v>
      </c>
      <c r="N42" s="248">
        <v>0</v>
      </c>
      <c r="O42" s="262">
        <f t="shared" si="21"/>
        <v>-266.44</v>
      </c>
      <c r="P42" s="262">
        <f t="shared" si="4"/>
        <v>-47.018823529411762</v>
      </c>
      <c r="Q42" s="4" t="s">
        <v>410</v>
      </c>
    </row>
    <row r="43" spans="1:20">
      <c r="A43" s="249">
        <v>9</v>
      </c>
      <c r="B43" s="250" t="s">
        <v>37</v>
      </c>
      <c r="C43" s="251">
        <v>0</v>
      </c>
      <c r="D43" s="251">
        <v>0</v>
      </c>
      <c r="E43" s="262">
        <f t="shared" ref="E43" si="22">D43-C43</f>
        <v>0</v>
      </c>
      <c r="F43" s="263">
        <f t="shared" si="3"/>
        <v>0</v>
      </c>
      <c r="G43" s="251">
        <v>0</v>
      </c>
      <c r="H43" s="251">
        <v>0</v>
      </c>
      <c r="I43" s="248">
        <f t="shared" si="19"/>
        <v>0</v>
      </c>
      <c r="J43" s="251">
        <v>0</v>
      </c>
      <c r="K43" s="251">
        <v>0</v>
      </c>
      <c r="L43" s="248">
        <f t="shared" si="20"/>
        <v>0</v>
      </c>
      <c r="M43" s="251">
        <v>0</v>
      </c>
      <c r="N43" s="251">
        <v>0</v>
      </c>
      <c r="O43" s="262">
        <f t="shared" si="21"/>
        <v>0</v>
      </c>
      <c r="P43" s="263">
        <f t="shared" si="4"/>
        <v>0</v>
      </c>
      <c r="Q43" s="252"/>
    </row>
    <row r="44" spans="1:20">
      <c r="A44" s="397" t="s">
        <v>43</v>
      </c>
      <c r="B44" s="398"/>
      <c r="C44" s="253">
        <f>C9+C20+C34</f>
        <v>0</v>
      </c>
      <c r="D44" s="253">
        <f t="shared" ref="D44:O44" si="23">D9+D20+D34</f>
        <v>-47.161554479999722</v>
      </c>
      <c r="E44" s="260">
        <f t="shared" si="23"/>
        <v>-47.161554479999722</v>
      </c>
      <c r="F44" s="260">
        <f t="shared" si="3"/>
        <v>-8.3226272611764216</v>
      </c>
      <c r="G44" s="253">
        <f t="shared" si="23"/>
        <v>0</v>
      </c>
      <c r="H44" s="253">
        <f t="shared" si="23"/>
        <v>-9.7699999999999818</v>
      </c>
      <c r="I44" s="260">
        <f t="shared" si="23"/>
        <v>-9.7699999999999818</v>
      </c>
      <c r="J44" s="253">
        <f t="shared" si="23"/>
        <v>1582.58</v>
      </c>
      <c r="K44" s="253">
        <f t="shared" si="23"/>
        <v>1592.354</v>
      </c>
      <c r="L44" s="260">
        <f t="shared" si="23"/>
        <v>9.7739999999999156</v>
      </c>
      <c r="M44" s="253">
        <f t="shared" si="23"/>
        <v>7606.67</v>
      </c>
      <c r="N44" s="253">
        <f t="shared" si="23"/>
        <v>7653.83</v>
      </c>
      <c r="O44" s="260">
        <f t="shared" si="23"/>
        <v>47.159999999999854</v>
      </c>
      <c r="P44" s="260">
        <f t="shared" si="4"/>
        <v>8.3223529411764456</v>
      </c>
      <c r="Q44" s="254"/>
    </row>
    <row r="47" spans="1:20" ht="47.25" hidden="1">
      <c r="B47" s="1" t="s">
        <v>569</v>
      </c>
      <c r="C47" s="242" t="s">
        <v>570</v>
      </c>
      <c r="D47" s="266">
        <f>-E44-F44</f>
        <v>55.484181741176144</v>
      </c>
    </row>
    <row r="48" spans="1:20" ht="78.75" hidden="1">
      <c r="C48" s="242" t="s">
        <v>571</v>
      </c>
      <c r="D48" s="266">
        <f>O44+P44</f>
        <v>55.482352941176302</v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mergeCells count="12">
    <mergeCell ref="P1:Q1"/>
    <mergeCell ref="A3:Q3"/>
    <mergeCell ref="A44:B44"/>
    <mergeCell ref="J6:L6"/>
    <mergeCell ref="Q5:Q7"/>
    <mergeCell ref="A2:Q2"/>
    <mergeCell ref="G6:I6"/>
    <mergeCell ref="A5:A7"/>
    <mergeCell ref="B5:B7"/>
    <mergeCell ref="C6:F6"/>
    <mergeCell ref="M6:P6"/>
    <mergeCell ref="C5:P5"/>
  </mergeCells>
  <pageMargins left="0.7" right="0.7" top="0.75" bottom="0.75" header="0.3" footer="0.3"/>
  <pageSetup paperSize="8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opLeftCell="B9" workbookViewId="0">
      <selection activeCell="P36" sqref="P36"/>
    </sheetView>
  </sheetViews>
  <sheetFormatPr defaultColWidth="9.140625" defaultRowHeight="15.75"/>
  <cols>
    <col min="1" max="1" width="9.140625" style="154"/>
    <col min="2" max="2" width="36.7109375" style="154" customWidth="1"/>
    <col min="3" max="9" width="9.140625" style="154" customWidth="1"/>
    <col min="10" max="10" width="9.140625" style="188" customWidth="1"/>
    <col min="11" max="11" width="11.7109375" style="188" customWidth="1"/>
    <col min="12" max="18" width="9.140625" style="154" customWidth="1"/>
    <col min="19" max="19" width="9.140625" style="188" customWidth="1"/>
    <col min="20" max="21" width="9.140625" style="154" customWidth="1"/>
    <col min="22" max="24" width="8.7109375" style="154" customWidth="1"/>
    <col min="25" max="26" width="9.140625" style="154" customWidth="1"/>
    <col min="27" max="16384" width="9.140625" style="154"/>
  </cols>
  <sheetData>
    <row r="1" spans="1:27">
      <c r="U1" s="405"/>
      <c r="V1" s="405"/>
      <c r="W1" s="189"/>
      <c r="X1" s="189"/>
    </row>
    <row r="2" spans="1:27" ht="18.75">
      <c r="A2" s="406" t="s">
        <v>360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</row>
    <row r="3" spans="1:27">
      <c r="A3" s="367" t="s">
        <v>363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</row>
    <row r="4" spans="1:27" hidden="1">
      <c r="A4" s="367" t="str">
        <f>'[1]Biểu giao tự chủ'!A3:N3</f>
        <v>(Kèm theo Công văn số:         /TCKH, ngày      /     /2023 của Phòng Tài chính - Kế hoạch huyện Đăk Tô)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</row>
    <row r="5" spans="1:27" hidden="1">
      <c r="A5" s="367" t="str">
        <f>'[1]Biểu giao tự chủ'!A4:N4</f>
        <v>(Kèm theo Quyết định số:         /QĐ-UBND, ngày      /     /2023 của UBND huyện Đăk Tô)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</row>
    <row r="6" spans="1:27" ht="17.25">
      <c r="N6" s="190"/>
      <c r="O6" s="190"/>
      <c r="P6" s="190"/>
      <c r="U6" s="407"/>
      <c r="V6" s="407"/>
      <c r="W6" s="225"/>
      <c r="X6" s="225"/>
      <c r="Z6" s="191" t="s">
        <v>255</v>
      </c>
    </row>
    <row r="7" spans="1:27" s="5" customFormat="1">
      <c r="A7" s="399" t="s">
        <v>0</v>
      </c>
      <c r="B7" s="399" t="s">
        <v>328</v>
      </c>
      <c r="C7" s="361" t="s">
        <v>329</v>
      </c>
      <c r="D7" s="412" t="s">
        <v>361</v>
      </c>
      <c r="E7" s="412"/>
      <c r="F7" s="412"/>
      <c r="G7" s="361" t="s">
        <v>362</v>
      </c>
      <c r="H7" s="361"/>
      <c r="I7" s="361"/>
      <c r="J7" s="397" t="s">
        <v>330</v>
      </c>
      <c r="K7" s="414"/>
      <c r="L7" s="414"/>
      <c r="M7" s="414"/>
      <c r="N7" s="414"/>
      <c r="O7" s="192"/>
      <c r="P7" s="192"/>
      <c r="Q7" s="192"/>
      <c r="R7" s="192"/>
      <c r="S7" s="415" t="s">
        <v>331</v>
      </c>
      <c r="T7" s="416"/>
      <c r="U7" s="416"/>
      <c r="V7" s="417"/>
      <c r="W7" s="192"/>
      <c r="X7" s="192"/>
      <c r="Y7" s="192"/>
      <c r="Z7" s="192"/>
    </row>
    <row r="8" spans="1:27" s="5" customFormat="1" ht="15.75" customHeight="1">
      <c r="A8" s="400"/>
      <c r="B8" s="400"/>
      <c r="C8" s="361"/>
      <c r="D8" s="413"/>
      <c r="E8" s="413"/>
      <c r="F8" s="413"/>
      <c r="G8" s="361"/>
      <c r="H8" s="361"/>
      <c r="I8" s="361"/>
      <c r="J8" s="418" t="s">
        <v>332</v>
      </c>
      <c r="K8" s="418" t="s">
        <v>333</v>
      </c>
      <c r="L8" s="418"/>
      <c r="M8" s="418"/>
      <c r="N8" s="418"/>
      <c r="O8" s="377" t="s">
        <v>299</v>
      </c>
      <c r="P8" s="408" t="s">
        <v>301</v>
      </c>
      <c r="Q8" s="410" t="s">
        <v>48</v>
      </c>
      <c r="R8" s="411"/>
      <c r="S8" s="418" t="s">
        <v>333</v>
      </c>
      <c r="T8" s="418"/>
      <c r="U8" s="418"/>
      <c r="V8" s="418"/>
      <c r="W8" s="377" t="s">
        <v>299</v>
      </c>
      <c r="X8" s="408" t="s">
        <v>301</v>
      </c>
      <c r="Y8" s="410" t="s">
        <v>48</v>
      </c>
      <c r="Z8" s="411"/>
    </row>
    <row r="9" spans="1:27" s="5" customFormat="1" ht="78.75">
      <c r="A9" s="401"/>
      <c r="B9" s="401"/>
      <c r="C9" s="361"/>
      <c r="D9" s="193" t="s">
        <v>335</v>
      </c>
      <c r="E9" s="187" t="s">
        <v>336</v>
      </c>
      <c r="F9" s="187" t="s">
        <v>337</v>
      </c>
      <c r="G9" s="187" t="s">
        <v>335</v>
      </c>
      <c r="H9" s="187" t="s">
        <v>336</v>
      </c>
      <c r="I9" s="187" t="s">
        <v>337</v>
      </c>
      <c r="J9" s="418"/>
      <c r="K9" s="186" t="s">
        <v>338</v>
      </c>
      <c r="L9" s="6" t="s">
        <v>339</v>
      </c>
      <c r="M9" s="6" t="s">
        <v>340</v>
      </c>
      <c r="N9" s="178" t="s">
        <v>298</v>
      </c>
      <c r="O9" s="379"/>
      <c r="P9" s="409"/>
      <c r="Q9" s="226" t="s">
        <v>300</v>
      </c>
      <c r="R9" s="226" t="s">
        <v>334</v>
      </c>
      <c r="S9" s="194" t="s">
        <v>341</v>
      </c>
      <c r="T9" s="194" t="s">
        <v>342</v>
      </c>
      <c r="U9" s="194" t="s">
        <v>343</v>
      </c>
      <c r="V9" s="6" t="s">
        <v>301</v>
      </c>
      <c r="W9" s="379"/>
      <c r="X9" s="409"/>
      <c r="Y9" s="226" t="s">
        <v>300</v>
      </c>
      <c r="Z9" s="226" t="s">
        <v>334</v>
      </c>
    </row>
    <row r="10" spans="1:27" s="201" customFormat="1">
      <c r="A10" s="195" t="s">
        <v>41</v>
      </c>
      <c r="B10" s="195" t="s">
        <v>42</v>
      </c>
      <c r="C10" s="196"/>
      <c r="D10" s="196"/>
      <c r="E10" s="196"/>
      <c r="F10" s="196"/>
      <c r="G10" s="196"/>
      <c r="H10" s="196"/>
      <c r="I10" s="196"/>
      <c r="J10" s="197"/>
      <c r="K10" s="197"/>
      <c r="L10" s="198"/>
      <c r="M10" s="198"/>
      <c r="N10" s="198"/>
      <c r="O10" s="199"/>
      <c r="P10" s="227"/>
      <c r="Q10" s="227"/>
      <c r="R10" s="228"/>
      <c r="S10" s="200"/>
      <c r="T10" s="200"/>
      <c r="U10" s="200"/>
      <c r="V10" s="198"/>
      <c r="W10" s="198"/>
      <c r="X10" s="235"/>
      <c r="Y10" s="236"/>
      <c r="Z10" s="228"/>
    </row>
    <row r="11" spans="1:27" s="201" customFormat="1">
      <c r="A11" s="195"/>
      <c r="B11" s="203" t="s">
        <v>302</v>
      </c>
      <c r="C11" s="204">
        <v>124</v>
      </c>
      <c r="D11" s="204">
        <v>66</v>
      </c>
      <c r="E11" s="204">
        <v>0</v>
      </c>
      <c r="F11" s="204">
        <v>0</v>
      </c>
      <c r="G11" s="204">
        <v>66</v>
      </c>
      <c r="H11" s="204">
        <v>0</v>
      </c>
      <c r="I11" s="204">
        <v>0</v>
      </c>
      <c r="J11" s="210">
        <f>30000/1000000</f>
        <v>0.03</v>
      </c>
      <c r="K11" s="204">
        <f>(C11-D11-E11-F11)*J11*5+(C11-G11-H11-I11)*J11*4</f>
        <v>15.66</v>
      </c>
      <c r="L11" s="204">
        <f>E11*J11*30%*5+H11*J11*30%*4</f>
        <v>0</v>
      </c>
      <c r="M11" s="204">
        <f>F11*J11*50%*5+I11*J11*50%*4-0.001</f>
        <v>-1E-3</v>
      </c>
      <c r="N11" s="204">
        <f>SUM(K11:M11)</f>
        <v>15.659000000000001</v>
      </c>
      <c r="O11" s="204"/>
      <c r="P11" s="229">
        <f>N11-O11</f>
        <v>15.659000000000001</v>
      </c>
      <c r="Q11" s="229">
        <f>P11*40%</f>
        <v>6.2636000000000003</v>
      </c>
      <c r="R11" s="229">
        <f>P11*60%</f>
        <v>9.3954000000000004</v>
      </c>
      <c r="S11" s="204">
        <f t="shared" ref="S11:S21" si="0">D11*J11*5+G11*J11*4</f>
        <v>17.82</v>
      </c>
      <c r="T11" s="204">
        <f>E11*J11*70%*5+H11*J11*70%*4</f>
        <v>0</v>
      </c>
      <c r="U11" s="204">
        <f>F11*J11*50%*5+I11*J11*50%*4</f>
        <v>0</v>
      </c>
      <c r="V11" s="204">
        <f t="shared" ref="V11" si="1">SUM(S11:U11)</f>
        <v>17.82</v>
      </c>
      <c r="W11" s="204"/>
      <c r="X11" s="229">
        <f>V11-W11</f>
        <v>17.82</v>
      </c>
      <c r="Y11" s="229">
        <f>X11*40%</f>
        <v>7.1280000000000001</v>
      </c>
      <c r="Z11" s="229">
        <f>X11*60%</f>
        <v>10.692</v>
      </c>
    </row>
    <row r="12" spans="1:27" s="206" customFormat="1">
      <c r="A12" s="202">
        <v>1</v>
      </c>
      <c r="B12" s="208" t="s">
        <v>344</v>
      </c>
      <c r="C12" s="209">
        <v>639</v>
      </c>
      <c r="D12" s="209">
        <v>139</v>
      </c>
      <c r="E12" s="209">
        <v>0</v>
      </c>
      <c r="F12" s="209">
        <v>33</v>
      </c>
      <c r="G12" s="209">
        <f>D12+155</f>
        <v>294</v>
      </c>
      <c r="H12" s="209">
        <v>0</v>
      </c>
      <c r="I12" s="209">
        <v>33</v>
      </c>
      <c r="J12" s="210">
        <v>2.5000000000000001E-2</v>
      </c>
      <c r="K12" s="209">
        <f>(C12-D12-E12-F12)*J12*5+(C12-G12-H12-I12)*J12*4</f>
        <v>89.575000000000003</v>
      </c>
      <c r="L12" s="209">
        <f>E12*J12*30%*5+H12*J12*30%*4</f>
        <v>0</v>
      </c>
      <c r="M12" s="209">
        <f>F12*J12*50%*5+I12*J12*50%*4-0.001</f>
        <v>3.7115000000000005</v>
      </c>
      <c r="N12" s="209">
        <f>SUM(K12:M12)</f>
        <v>93.286500000000004</v>
      </c>
      <c r="O12" s="209"/>
      <c r="P12" s="230">
        <f>N12-O12</f>
        <v>93.286500000000004</v>
      </c>
      <c r="Q12" s="230">
        <f>P12*40%</f>
        <v>37.314600000000006</v>
      </c>
      <c r="R12" s="230">
        <f>P12*60%</f>
        <v>55.971899999999998</v>
      </c>
      <c r="S12" s="209">
        <f t="shared" si="0"/>
        <v>46.775000000000006</v>
      </c>
      <c r="T12" s="209">
        <f>E12*J12*70%*5+H12*J12*70%*4</f>
        <v>0</v>
      </c>
      <c r="U12" s="209">
        <f>F12*J12*50%*5+I12*J12*50%*4</f>
        <v>3.7125000000000004</v>
      </c>
      <c r="V12" s="209">
        <f t="shared" ref="V12:V21" si="2">SUM(S12:U12)</f>
        <v>50.487500000000004</v>
      </c>
      <c r="W12" s="209"/>
      <c r="X12" s="230">
        <f>V12-W12</f>
        <v>50.487500000000004</v>
      </c>
      <c r="Y12" s="230">
        <f>X12*40%</f>
        <v>20.195000000000004</v>
      </c>
      <c r="Z12" s="230">
        <f>X12*60%</f>
        <v>30.2925</v>
      </c>
      <c r="AA12" s="205"/>
    </row>
    <row r="13" spans="1:27" s="206" customFormat="1">
      <c r="A13" s="207">
        <v>2</v>
      </c>
      <c r="B13" s="208" t="s">
        <v>345</v>
      </c>
      <c r="C13" s="209">
        <v>319</v>
      </c>
      <c r="D13" s="209">
        <v>12</v>
      </c>
      <c r="E13" s="209">
        <v>6</v>
      </c>
      <c r="F13" s="209">
        <v>4</v>
      </c>
      <c r="G13" s="209">
        <f>D13+87</f>
        <v>99</v>
      </c>
      <c r="H13" s="209">
        <v>6</v>
      </c>
      <c r="I13" s="209">
        <v>4</v>
      </c>
      <c r="J13" s="210">
        <f>30000/1000000</f>
        <v>0.03</v>
      </c>
      <c r="K13" s="209">
        <f>(C13-D13-E13-F13)*J13*5+(C13-G13-H13-I13)*J13*4</f>
        <v>69.75</v>
      </c>
      <c r="L13" s="209">
        <f t="shared" ref="L13:L32" si="3">E13*J13*30%*5+H13*J13*30%*4</f>
        <v>0.48599999999999999</v>
      </c>
      <c r="M13" s="209">
        <f t="shared" ref="M13:M32" si="4">F13*J13*50%*5+I13*J13*50%*4</f>
        <v>0.54</v>
      </c>
      <c r="N13" s="209">
        <f>SUM(K13:M13)</f>
        <v>70.77600000000001</v>
      </c>
      <c r="O13" s="209">
        <f t="shared" ref="O13:O32" si="5">N13*2%</f>
        <v>1.4155200000000003</v>
      </c>
      <c r="P13" s="230">
        <f t="shared" ref="P13:P32" si="6">N13-O13</f>
        <v>69.36048000000001</v>
      </c>
      <c r="Q13" s="230">
        <f t="shared" ref="Q13:Q32" si="7">P13*40%</f>
        <v>27.744192000000005</v>
      </c>
      <c r="R13" s="230">
        <f t="shared" ref="R13:R32" si="8">P13*60%</f>
        <v>41.616288000000004</v>
      </c>
      <c r="S13" s="209">
        <f t="shared" si="0"/>
        <v>13.68</v>
      </c>
      <c r="T13" s="209">
        <f>E13*J13*70%*5+H13*J13*70%*4</f>
        <v>1.1339999999999999</v>
      </c>
      <c r="U13" s="209">
        <f>F13*J13*50%*5+I13*J13*50%*4-0.001</f>
        <v>0.53900000000000003</v>
      </c>
      <c r="V13" s="209">
        <f>SUM(S13:U13)-0.002</f>
        <v>15.350999999999999</v>
      </c>
      <c r="W13" s="209">
        <f t="shared" ref="W13:W31" si="9">V13*2%</f>
        <v>0.30702000000000002</v>
      </c>
      <c r="X13" s="230">
        <f t="shared" ref="X13:X21" si="10">V13-W13</f>
        <v>15.043979999999999</v>
      </c>
      <c r="Y13" s="230">
        <f t="shared" ref="Y13:Y32" si="11">X13*40%</f>
        <v>6.0175920000000005</v>
      </c>
      <c r="Z13" s="230">
        <f t="shared" ref="Z13:Z21" si="12">X13*60%</f>
        <v>9.026387999999999</v>
      </c>
      <c r="AA13" s="205"/>
    </row>
    <row r="14" spans="1:27" s="206" customFormat="1">
      <c r="A14" s="207">
        <v>4</v>
      </c>
      <c r="B14" s="208" t="s">
        <v>346</v>
      </c>
      <c r="C14" s="209">
        <v>337</v>
      </c>
      <c r="D14" s="209">
        <v>128</v>
      </c>
      <c r="E14" s="209">
        <v>68</v>
      </c>
      <c r="F14" s="209">
        <v>9</v>
      </c>
      <c r="G14" s="209">
        <f>D14+100</f>
        <v>228</v>
      </c>
      <c r="H14" s="209">
        <v>68</v>
      </c>
      <c r="I14" s="209">
        <v>9</v>
      </c>
      <c r="J14" s="210">
        <f t="shared" ref="J14:J20" si="13">25000/1000000</f>
        <v>2.5000000000000001E-2</v>
      </c>
      <c r="K14" s="209">
        <f t="shared" ref="K14:K32" si="14">(C14-D14-E14-F14)*J14*5+(C14-G14-H14-I14)*J14*4</f>
        <v>19.7</v>
      </c>
      <c r="L14" s="209">
        <f t="shared" si="3"/>
        <v>4.59</v>
      </c>
      <c r="M14" s="209">
        <f t="shared" si="4"/>
        <v>1.0125</v>
      </c>
      <c r="N14" s="209">
        <f t="shared" ref="N14:N20" si="15">SUM(K14:M14)</f>
        <v>25.302499999999998</v>
      </c>
      <c r="O14" s="209"/>
      <c r="P14" s="230">
        <f t="shared" si="6"/>
        <v>25.302499999999998</v>
      </c>
      <c r="Q14" s="230">
        <f t="shared" si="7"/>
        <v>10.121</v>
      </c>
      <c r="R14" s="230">
        <f t="shared" si="8"/>
        <v>15.181499999999998</v>
      </c>
      <c r="S14" s="209">
        <f t="shared" si="0"/>
        <v>38.799999999999997</v>
      </c>
      <c r="T14" s="209">
        <f>E14*J14*70%*5+H14*J14*70%*4</f>
        <v>10.709999999999999</v>
      </c>
      <c r="U14" s="209">
        <f t="shared" ref="U14:U21" si="16">F14*J14*50%*5+I14*J14*50%*4</f>
        <v>1.0125</v>
      </c>
      <c r="V14" s="209">
        <f>SUM(S14:U14)</f>
        <v>50.522500000000001</v>
      </c>
      <c r="W14" s="209"/>
      <c r="X14" s="230">
        <f t="shared" si="10"/>
        <v>50.522500000000001</v>
      </c>
      <c r="Y14" s="230">
        <f t="shared" si="11"/>
        <v>20.209000000000003</v>
      </c>
      <c r="Z14" s="230">
        <f t="shared" si="12"/>
        <v>30.313499999999998</v>
      </c>
      <c r="AA14" s="205"/>
    </row>
    <row r="15" spans="1:27" s="206" customFormat="1">
      <c r="A15" s="207">
        <v>5</v>
      </c>
      <c r="B15" s="208" t="s">
        <v>347</v>
      </c>
      <c r="C15" s="209">
        <v>332</v>
      </c>
      <c r="D15" s="209">
        <v>165</v>
      </c>
      <c r="E15" s="209">
        <v>138</v>
      </c>
      <c r="F15" s="209"/>
      <c r="G15" s="209">
        <v>165</v>
      </c>
      <c r="H15" s="209">
        <v>138</v>
      </c>
      <c r="I15" s="209">
        <v>0</v>
      </c>
      <c r="J15" s="210">
        <f t="shared" si="13"/>
        <v>2.5000000000000001E-2</v>
      </c>
      <c r="K15" s="209">
        <f>(C15-D15-E15-F15)*J15*5+(C15-G15-H15-I15)*J15*4</f>
        <v>6.5250000000000004</v>
      </c>
      <c r="L15" s="209">
        <f>E15*J15*30%*5+H15*J15*30%*4+0.003</f>
        <v>9.3179999999999996</v>
      </c>
      <c r="M15" s="209">
        <f t="shared" si="4"/>
        <v>0</v>
      </c>
      <c r="N15" s="209">
        <f t="shared" si="15"/>
        <v>15.843</v>
      </c>
      <c r="O15" s="209"/>
      <c r="P15" s="230">
        <f t="shared" si="6"/>
        <v>15.843</v>
      </c>
      <c r="Q15" s="230">
        <f t="shared" si="7"/>
        <v>6.3372000000000002</v>
      </c>
      <c r="R15" s="230">
        <f t="shared" si="8"/>
        <v>9.5057999999999989</v>
      </c>
      <c r="S15" s="209">
        <f t="shared" si="0"/>
        <v>37.125</v>
      </c>
      <c r="T15" s="209">
        <f>E15*J15*70%*5+H15*J15*70%*4+0.003</f>
        <v>21.738</v>
      </c>
      <c r="U15" s="209">
        <f t="shared" si="16"/>
        <v>0</v>
      </c>
      <c r="V15" s="209">
        <f t="shared" si="2"/>
        <v>58.863</v>
      </c>
      <c r="W15" s="209"/>
      <c r="X15" s="230">
        <f t="shared" si="10"/>
        <v>58.863</v>
      </c>
      <c r="Y15" s="230">
        <f t="shared" si="11"/>
        <v>23.545200000000001</v>
      </c>
      <c r="Z15" s="230">
        <f t="shared" si="12"/>
        <v>35.317799999999998</v>
      </c>
      <c r="AA15" s="205"/>
    </row>
    <row r="16" spans="1:27" s="206" customFormat="1">
      <c r="A16" s="207">
        <v>6</v>
      </c>
      <c r="B16" s="208" t="s">
        <v>348</v>
      </c>
      <c r="C16" s="209">
        <v>480</v>
      </c>
      <c r="D16" s="209">
        <v>227</v>
      </c>
      <c r="E16" s="209">
        <v>197</v>
      </c>
      <c r="F16" s="209">
        <v>0</v>
      </c>
      <c r="G16" s="209">
        <v>227</v>
      </c>
      <c r="H16" s="209">
        <v>197</v>
      </c>
      <c r="I16" s="209">
        <v>0</v>
      </c>
      <c r="J16" s="210">
        <f t="shared" si="13"/>
        <v>2.5000000000000001E-2</v>
      </c>
      <c r="K16" s="209">
        <f t="shared" si="14"/>
        <v>12.600000000000001</v>
      </c>
      <c r="L16" s="209">
        <f t="shared" si="3"/>
        <v>13.297500000000003</v>
      </c>
      <c r="M16" s="209">
        <f t="shared" si="4"/>
        <v>0</v>
      </c>
      <c r="N16" s="209">
        <f t="shared" si="15"/>
        <v>25.897500000000004</v>
      </c>
      <c r="O16" s="209">
        <f t="shared" si="5"/>
        <v>0.51795000000000013</v>
      </c>
      <c r="P16" s="230">
        <f t="shared" si="6"/>
        <v>25.379550000000005</v>
      </c>
      <c r="Q16" s="230">
        <f t="shared" si="7"/>
        <v>10.151820000000003</v>
      </c>
      <c r="R16" s="230">
        <f t="shared" si="8"/>
        <v>15.227730000000003</v>
      </c>
      <c r="S16" s="209">
        <f t="shared" si="0"/>
        <v>51.075000000000003</v>
      </c>
      <c r="T16" s="209">
        <f t="shared" ref="T16:T21" si="17">E16*J16*70%*5+H16*J16*70%*4</f>
        <v>31.027500000000003</v>
      </c>
      <c r="U16" s="209">
        <f t="shared" si="16"/>
        <v>0</v>
      </c>
      <c r="V16" s="209">
        <f t="shared" si="2"/>
        <v>82.102500000000006</v>
      </c>
      <c r="W16" s="209">
        <f t="shared" si="9"/>
        <v>1.6420500000000002</v>
      </c>
      <c r="X16" s="230">
        <f t="shared" si="10"/>
        <v>80.460450000000009</v>
      </c>
      <c r="Y16" s="230">
        <f t="shared" si="11"/>
        <v>32.184180000000005</v>
      </c>
      <c r="Z16" s="230">
        <f t="shared" si="12"/>
        <v>48.276270000000004</v>
      </c>
      <c r="AA16" s="205"/>
    </row>
    <row r="17" spans="1:27" s="206" customFormat="1">
      <c r="A17" s="207">
        <v>7</v>
      </c>
      <c r="B17" s="208" t="s">
        <v>349</v>
      </c>
      <c r="C17" s="209">
        <v>524</v>
      </c>
      <c r="D17" s="209">
        <v>287</v>
      </c>
      <c r="E17" s="209">
        <v>149</v>
      </c>
      <c r="F17" s="209"/>
      <c r="G17" s="209">
        <v>287</v>
      </c>
      <c r="H17" s="209">
        <v>149</v>
      </c>
      <c r="I17" s="209">
        <v>0</v>
      </c>
      <c r="J17" s="210">
        <f t="shared" si="13"/>
        <v>2.5000000000000001E-2</v>
      </c>
      <c r="K17" s="209">
        <f t="shared" si="14"/>
        <v>19.8</v>
      </c>
      <c r="L17" s="209">
        <f t="shared" si="3"/>
        <v>10.057499999999999</v>
      </c>
      <c r="M17" s="209">
        <f t="shared" si="4"/>
        <v>0</v>
      </c>
      <c r="N17" s="209">
        <f t="shared" si="15"/>
        <v>29.857500000000002</v>
      </c>
      <c r="O17" s="209"/>
      <c r="P17" s="230">
        <f t="shared" si="6"/>
        <v>29.857500000000002</v>
      </c>
      <c r="Q17" s="230">
        <f t="shared" si="7"/>
        <v>11.943000000000001</v>
      </c>
      <c r="R17" s="230">
        <f t="shared" si="8"/>
        <v>17.9145</v>
      </c>
      <c r="S17" s="209">
        <f t="shared" si="0"/>
        <v>64.575000000000003</v>
      </c>
      <c r="T17" s="209">
        <f t="shared" si="17"/>
        <v>23.467500000000001</v>
      </c>
      <c r="U17" s="209">
        <f t="shared" si="16"/>
        <v>0</v>
      </c>
      <c r="V17" s="209">
        <f t="shared" si="2"/>
        <v>88.042500000000004</v>
      </c>
      <c r="W17" s="209"/>
      <c r="X17" s="230">
        <f t="shared" si="10"/>
        <v>88.042500000000004</v>
      </c>
      <c r="Y17" s="230">
        <f t="shared" si="11"/>
        <v>35.217000000000006</v>
      </c>
      <c r="Z17" s="230">
        <f t="shared" si="12"/>
        <v>52.825499999999998</v>
      </c>
      <c r="AA17" s="205"/>
    </row>
    <row r="18" spans="1:27" s="206" customFormat="1">
      <c r="A18" s="207">
        <v>8</v>
      </c>
      <c r="B18" s="208" t="s">
        <v>350</v>
      </c>
      <c r="C18" s="209">
        <v>303</v>
      </c>
      <c r="D18" s="209">
        <v>140</v>
      </c>
      <c r="E18" s="209">
        <v>136</v>
      </c>
      <c r="F18" s="209">
        <v>0</v>
      </c>
      <c r="G18" s="209">
        <v>140</v>
      </c>
      <c r="H18" s="209">
        <v>136</v>
      </c>
      <c r="I18" s="209">
        <v>0</v>
      </c>
      <c r="J18" s="210">
        <f t="shared" si="13"/>
        <v>2.5000000000000001E-2</v>
      </c>
      <c r="K18" s="209">
        <f t="shared" si="14"/>
        <v>6.0750000000000002</v>
      </c>
      <c r="L18" s="209">
        <f t="shared" si="3"/>
        <v>9.18</v>
      </c>
      <c r="M18" s="209">
        <f t="shared" si="4"/>
        <v>0</v>
      </c>
      <c r="N18" s="209">
        <f>SUM(K18:M18)+0.01</f>
        <v>15.264999999999999</v>
      </c>
      <c r="O18" s="209"/>
      <c r="P18" s="230">
        <f t="shared" si="6"/>
        <v>15.264999999999999</v>
      </c>
      <c r="Q18" s="230">
        <f t="shared" si="7"/>
        <v>6.1059999999999999</v>
      </c>
      <c r="R18" s="230">
        <f t="shared" si="8"/>
        <v>9.1589999999999989</v>
      </c>
      <c r="S18" s="209">
        <f t="shared" si="0"/>
        <v>31.5</v>
      </c>
      <c r="T18" s="209">
        <f t="shared" si="17"/>
        <v>21.419999999999998</v>
      </c>
      <c r="U18" s="209">
        <f t="shared" si="16"/>
        <v>0</v>
      </c>
      <c r="V18" s="209">
        <f t="shared" si="2"/>
        <v>52.92</v>
      </c>
      <c r="W18" s="209"/>
      <c r="X18" s="230">
        <f t="shared" si="10"/>
        <v>52.92</v>
      </c>
      <c r="Y18" s="230">
        <f t="shared" si="11"/>
        <v>21.168000000000003</v>
      </c>
      <c r="Z18" s="230">
        <f t="shared" si="12"/>
        <v>31.751999999999999</v>
      </c>
      <c r="AA18" s="205"/>
    </row>
    <row r="19" spans="1:27" s="206" customFormat="1">
      <c r="A19" s="207">
        <v>9</v>
      </c>
      <c r="B19" s="208" t="s">
        <v>351</v>
      </c>
      <c r="C19" s="209">
        <v>346</v>
      </c>
      <c r="D19" s="209">
        <v>12</v>
      </c>
      <c r="E19" s="209">
        <v>1</v>
      </c>
      <c r="F19" s="209">
        <v>14</v>
      </c>
      <c r="G19" s="209">
        <f>D19+102</f>
        <v>114</v>
      </c>
      <c r="H19" s="209">
        <v>1</v>
      </c>
      <c r="I19" s="209">
        <v>14</v>
      </c>
      <c r="J19" s="210">
        <f t="shared" si="13"/>
        <v>2.5000000000000001E-2</v>
      </c>
      <c r="K19" s="209">
        <f t="shared" si="14"/>
        <v>61.575000000000003</v>
      </c>
      <c r="L19" s="209">
        <f t="shared" si="3"/>
        <v>6.7500000000000004E-2</v>
      </c>
      <c r="M19" s="209">
        <f t="shared" si="4"/>
        <v>1.5750000000000002</v>
      </c>
      <c r="N19" s="209">
        <f t="shared" si="15"/>
        <v>63.217500000000008</v>
      </c>
      <c r="O19" s="209">
        <f t="shared" si="5"/>
        <v>1.2643500000000001</v>
      </c>
      <c r="P19" s="230">
        <f t="shared" si="6"/>
        <v>61.953150000000008</v>
      </c>
      <c r="Q19" s="230">
        <f t="shared" si="7"/>
        <v>24.781260000000003</v>
      </c>
      <c r="R19" s="230">
        <f t="shared" si="8"/>
        <v>37.171890000000005</v>
      </c>
      <c r="S19" s="209">
        <f t="shared" si="0"/>
        <v>12.9</v>
      </c>
      <c r="T19" s="209">
        <f t="shared" si="17"/>
        <v>0.15749999999999997</v>
      </c>
      <c r="U19" s="209">
        <f t="shared" si="16"/>
        <v>1.5750000000000002</v>
      </c>
      <c r="V19" s="209">
        <f t="shared" si="2"/>
        <v>14.6325</v>
      </c>
      <c r="W19" s="209">
        <f t="shared" si="9"/>
        <v>0.29265000000000002</v>
      </c>
      <c r="X19" s="230">
        <f t="shared" si="10"/>
        <v>14.33985</v>
      </c>
      <c r="Y19" s="230">
        <f t="shared" si="11"/>
        <v>5.7359400000000003</v>
      </c>
      <c r="Z19" s="230">
        <f t="shared" si="12"/>
        <v>8.6039099999999991</v>
      </c>
      <c r="AA19" s="205"/>
    </row>
    <row r="20" spans="1:27" s="206" customFormat="1">
      <c r="A20" s="207">
        <v>10</v>
      </c>
      <c r="B20" s="208" t="s">
        <v>352</v>
      </c>
      <c r="C20" s="209">
        <v>343</v>
      </c>
      <c r="D20" s="209">
        <v>144</v>
      </c>
      <c r="E20" s="209">
        <v>156</v>
      </c>
      <c r="F20" s="209">
        <v>0</v>
      </c>
      <c r="G20" s="209">
        <v>144</v>
      </c>
      <c r="H20" s="209">
        <v>156</v>
      </c>
      <c r="I20" s="209">
        <v>0</v>
      </c>
      <c r="J20" s="210">
        <f t="shared" si="13"/>
        <v>2.5000000000000001E-2</v>
      </c>
      <c r="K20" s="209">
        <f t="shared" si="14"/>
        <v>9.6750000000000007</v>
      </c>
      <c r="L20" s="209">
        <f t="shared" si="3"/>
        <v>10.530000000000001</v>
      </c>
      <c r="M20" s="209">
        <f t="shared" si="4"/>
        <v>0</v>
      </c>
      <c r="N20" s="209">
        <f t="shared" si="15"/>
        <v>20.205000000000002</v>
      </c>
      <c r="O20" s="209">
        <f t="shared" si="5"/>
        <v>0.40410000000000007</v>
      </c>
      <c r="P20" s="230">
        <f t="shared" si="6"/>
        <v>19.800900000000002</v>
      </c>
      <c r="Q20" s="230">
        <f t="shared" si="7"/>
        <v>7.9203600000000014</v>
      </c>
      <c r="R20" s="230">
        <f t="shared" si="8"/>
        <v>11.880540000000002</v>
      </c>
      <c r="S20" s="209">
        <f t="shared" si="0"/>
        <v>32.4</v>
      </c>
      <c r="T20" s="209">
        <f t="shared" si="17"/>
        <v>24.57</v>
      </c>
      <c r="U20" s="209">
        <f t="shared" si="16"/>
        <v>0</v>
      </c>
      <c r="V20" s="209">
        <f t="shared" si="2"/>
        <v>56.97</v>
      </c>
      <c r="W20" s="209">
        <f t="shared" si="9"/>
        <v>1.1394</v>
      </c>
      <c r="X20" s="230">
        <f t="shared" si="10"/>
        <v>55.830599999999997</v>
      </c>
      <c r="Y20" s="230">
        <f t="shared" si="11"/>
        <v>22.332239999999999</v>
      </c>
      <c r="Z20" s="230">
        <f t="shared" si="12"/>
        <v>33.498359999999998</v>
      </c>
      <c r="AA20" s="205"/>
    </row>
    <row r="21" spans="1:27" s="206" customFormat="1">
      <c r="A21" s="207">
        <v>11</v>
      </c>
      <c r="B21" s="208" t="s">
        <v>353</v>
      </c>
      <c r="C21" s="209">
        <v>600</v>
      </c>
      <c r="D21" s="209">
        <v>7</v>
      </c>
      <c r="E21" s="209">
        <v>10</v>
      </c>
      <c r="F21" s="209"/>
      <c r="G21" s="209">
        <f>D21+202</f>
        <v>209</v>
      </c>
      <c r="H21" s="209">
        <v>10</v>
      </c>
      <c r="I21" s="209"/>
      <c r="J21" s="210">
        <f>30000/1000000</f>
        <v>0.03</v>
      </c>
      <c r="K21" s="209">
        <f>(C21-D21-E21-F21)*J21*5+(C21-G21-H21-I21)*J21*4</f>
        <v>133.16999999999999</v>
      </c>
      <c r="L21" s="209">
        <f t="shared" si="3"/>
        <v>0.80999999999999994</v>
      </c>
      <c r="M21" s="209">
        <f t="shared" si="4"/>
        <v>0</v>
      </c>
      <c r="N21" s="209">
        <f>SUM(K21:M21)</f>
        <v>133.97999999999999</v>
      </c>
      <c r="O21" s="209">
        <f t="shared" si="5"/>
        <v>2.6795999999999998</v>
      </c>
      <c r="P21" s="230">
        <f t="shared" si="6"/>
        <v>131.3004</v>
      </c>
      <c r="Q21" s="230">
        <f t="shared" si="7"/>
        <v>52.520160000000004</v>
      </c>
      <c r="R21" s="230">
        <f t="shared" si="8"/>
        <v>78.780239999999992</v>
      </c>
      <c r="S21" s="209">
        <f t="shared" si="0"/>
        <v>26.13</v>
      </c>
      <c r="T21" s="209">
        <f t="shared" si="17"/>
        <v>1.8900000000000001</v>
      </c>
      <c r="U21" s="209">
        <f t="shared" si="16"/>
        <v>0</v>
      </c>
      <c r="V21" s="209">
        <f t="shared" si="2"/>
        <v>28.02</v>
      </c>
      <c r="W21" s="209">
        <f t="shared" si="9"/>
        <v>0.56040000000000001</v>
      </c>
      <c r="X21" s="230">
        <f t="shared" si="10"/>
        <v>27.459599999999998</v>
      </c>
      <c r="Y21" s="230">
        <f t="shared" si="11"/>
        <v>10.983840000000001</v>
      </c>
      <c r="Z21" s="230">
        <f t="shared" si="12"/>
        <v>16.475759999999998</v>
      </c>
      <c r="AA21" s="205"/>
    </row>
    <row r="22" spans="1:27" s="206" customFormat="1">
      <c r="A22" s="207">
        <v>12</v>
      </c>
      <c r="B22" s="208" t="s">
        <v>354</v>
      </c>
      <c r="C22" s="209"/>
      <c r="D22" s="209"/>
      <c r="E22" s="209"/>
      <c r="F22" s="209"/>
      <c r="G22" s="209"/>
      <c r="H22" s="209"/>
      <c r="I22" s="209"/>
      <c r="J22" s="210"/>
      <c r="K22" s="209"/>
      <c r="L22" s="209"/>
      <c r="M22" s="209"/>
      <c r="N22" s="209"/>
      <c r="O22" s="209"/>
      <c r="P22" s="230"/>
      <c r="Q22" s="230"/>
      <c r="R22" s="230"/>
      <c r="S22" s="209"/>
      <c r="T22" s="209"/>
      <c r="U22" s="209"/>
      <c r="V22" s="209"/>
      <c r="W22" s="209"/>
      <c r="X22" s="230"/>
      <c r="Y22" s="230"/>
      <c r="Z22" s="230"/>
      <c r="AA22" s="205"/>
    </row>
    <row r="23" spans="1:27" s="216" customFormat="1">
      <c r="A23" s="211"/>
      <c r="B23" s="212" t="s">
        <v>215</v>
      </c>
      <c r="C23" s="213">
        <v>333</v>
      </c>
      <c r="D23" s="213">
        <v>333</v>
      </c>
      <c r="E23" s="213">
        <v>0</v>
      </c>
      <c r="F23" s="213">
        <v>0</v>
      </c>
      <c r="G23" s="213">
        <v>333</v>
      </c>
      <c r="H23" s="213">
        <v>0</v>
      </c>
      <c r="I23" s="213">
        <v>0</v>
      </c>
      <c r="J23" s="214">
        <f>19000/1000000</f>
        <v>1.9E-2</v>
      </c>
      <c r="K23" s="213">
        <f t="shared" si="14"/>
        <v>0</v>
      </c>
      <c r="L23" s="213">
        <f t="shared" si="3"/>
        <v>0</v>
      </c>
      <c r="M23" s="213">
        <f t="shared" si="4"/>
        <v>0</v>
      </c>
      <c r="N23" s="213">
        <f t="shared" ref="N23:N32" si="18">SUM(K23:M23)</f>
        <v>0</v>
      </c>
      <c r="O23" s="213">
        <f t="shared" si="5"/>
        <v>0</v>
      </c>
      <c r="P23" s="231">
        <f t="shared" si="6"/>
        <v>0</v>
      </c>
      <c r="Q23" s="231">
        <f t="shared" si="7"/>
        <v>0</v>
      </c>
      <c r="R23" s="231">
        <f t="shared" si="8"/>
        <v>0</v>
      </c>
      <c r="S23" s="213">
        <f>D23*J23*5+G23*J23*4</f>
        <v>56.942999999999998</v>
      </c>
      <c r="T23" s="213">
        <f>E23*J23*70%*5+H23*J23*70%*4</f>
        <v>0</v>
      </c>
      <c r="U23" s="213">
        <f>F23*J23*50%*5+I23*J23*50%*4</f>
        <v>0</v>
      </c>
      <c r="V23" s="213">
        <f t="shared" ref="V23:V32" si="19">SUM(S23:U23)</f>
        <v>56.942999999999998</v>
      </c>
      <c r="W23" s="213">
        <f t="shared" si="9"/>
        <v>1.13886</v>
      </c>
      <c r="X23" s="231">
        <f t="shared" ref="X23" si="20">V23-W23</f>
        <v>55.804139999999997</v>
      </c>
      <c r="Y23" s="231">
        <f t="shared" si="11"/>
        <v>22.321656000000001</v>
      </c>
      <c r="Z23" s="231">
        <f t="shared" ref="Z23" si="21">X23*60%</f>
        <v>33.482483999999999</v>
      </c>
      <c r="AA23" s="215"/>
    </row>
    <row r="24" spans="1:27" s="206" customFormat="1">
      <c r="A24" s="207">
        <v>13</v>
      </c>
      <c r="B24" s="208" t="s">
        <v>355</v>
      </c>
      <c r="C24" s="209"/>
      <c r="D24" s="209"/>
      <c r="E24" s="209"/>
      <c r="F24" s="209"/>
      <c r="G24" s="209"/>
      <c r="H24" s="209"/>
      <c r="I24" s="209"/>
      <c r="J24" s="210"/>
      <c r="K24" s="209"/>
      <c r="L24" s="209"/>
      <c r="M24" s="209"/>
      <c r="N24" s="209"/>
      <c r="O24" s="209"/>
      <c r="P24" s="230"/>
      <c r="Q24" s="230"/>
      <c r="R24" s="230"/>
      <c r="S24" s="209"/>
      <c r="T24" s="209"/>
      <c r="U24" s="209"/>
      <c r="V24" s="210"/>
      <c r="W24" s="209"/>
      <c r="X24" s="230"/>
      <c r="Y24" s="230"/>
      <c r="Z24" s="230"/>
      <c r="AA24" s="205"/>
    </row>
    <row r="25" spans="1:27" s="216" customFormat="1">
      <c r="A25" s="211"/>
      <c r="B25" s="212" t="s">
        <v>215</v>
      </c>
      <c r="C25" s="213">
        <v>268</v>
      </c>
      <c r="D25" s="213">
        <v>268</v>
      </c>
      <c r="E25" s="213">
        <v>0</v>
      </c>
      <c r="F25" s="213">
        <v>0</v>
      </c>
      <c r="G25" s="213">
        <v>268</v>
      </c>
      <c r="H25" s="213">
        <v>0</v>
      </c>
      <c r="I25" s="213">
        <v>0</v>
      </c>
      <c r="J25" s="214">
        <f>19000/1000000</f>
        <v>1.9E-2</v>
      </c>
      <c r="K25" s="213">
        <f>(C25-D25-E25-F25)*J25*5+(C25-G25-H25-I25)*J25*4</f>
        <v>0</v>
      </c>
      <c r="L25" s="213">
        <f>E25*J25*30%*5+H25*J25*30%*4</f>
        <v>0</v>
      </c>
      <c r="M25" s="213">
        <f>F25*J25*50%*5+I25*J25*50%*4</f>
        <v>0</v>
      </c>
      <c r="N25" s="213">
        <f>SUM(K25:M25)</f>
        <v>0</v>
      </c>
      <c r="O25" s="213">
        <f t="shared" si="5"/>
        <v>0</v>
      </c>
      <c r="P25" s="231">
        <f t="shared" si="6"/>
        <v>0</v>
      </c>
      <c r="Q25" s="231">
        <f t="shared" si="7"/>
        <v>0</v>
      </c>
      <c r="R25" s="231">
        <f t="shared" si="8"/>
        <v>0</v>
      </c>
      <c r="S25" s="213">
        <f>D25*J25*5+G25*J25*4+0.003</f>
        <v>45.830999999999996</v>
      </c>
      <c r="T25" s="213">
        <f t="shared" ref="T25:T32" si="22">E25*J25*70%*5+H25*J25*70%*4</f>
        <v>0</v>
      </c>
      <c r="U25" s="213">
        <f t="shared" ref="U25:U32" si="23">F25*J25*50%*5+I25*J25*50%*4</f>
        <v>0</v>
      </c>
      <c r="V25" s="213">
        <f>SUM(S25:U25)</f>
        <v>45.830999999999996</v>
      </c>
      <c r="W25" s="213">
        <f t="shared" si="9"/>
        <v>0.91661999999999999</v>
      </c>
      <c r="X25" s="231">
        <f t="shared" ref="X25:X32" si="24">V25-W25</f>
        <v>44.914379999999994</v>
      </c>
      <c r="Y25" s="231">
        <f t="shared" si="11"/>
        <v>17.965751999999998</v>
      </c>
      <c r="Z25" s="231">
        <f t="shared" ref="Z25:Z32" si="25">X25*60%</f>
        <v>26.948627999999996</v>
      </c>
      <c r="AA25" s="215"/>
    </row>
    <row r="26" spans="1:27" s="206" customFormat="1">
      <c r="A26" s="207">
        <v>14</v>
      </c>
      <c r="B26" s="208" t="s">
        <v>356</v>
      </c>
      <c r="C26" s="209">
        <v>805</v>
      </c>
      <c r="D26" s="209">
        <v>96</v>
      </c>
      <c r="E26" s="209"/>
      <c r="F26" s="209">
        <v>10</v>
      </c>
      <c r="G26" s="209">
        <v>96</v>
      </c>
      <c r="H26" s="209"/>
      <c r="I26" s="209">
        <v>10</v>
      </c>
      <c r="J26" s="210">
        <f>23000/1000000</f>
        <v>2.3E-2</v>
      </c>
      <c r="K26" s="209">
        <f t="shared" si="14"/>
        <v>144.69299999999998</v>
      </c>
      <c r="L26" s="209">
        <f t="shared" si="3"/>
        <v>0</v>
      </c>
      <c r="M26" s="209">
        <f t="shared" si="4"/>
        <v>1.0349999999999999</v>
      </c>
      <c r="N26" s="209">
        <f t="shared" si="18"/>
        <v>145.72799999999998</v>
      </c>
      <c r="O26" s="209">
        <f t="shared" si="5"/>
        <v>2.9145599999999998</v>
      </c>
      <c r="P26" s="230">
        <f t="shared" si="6"/>
        <v>142.81343999999999</v>
      </c>
      <c r="Q26" s="230">
        <f t="shared" si="7"/>
        <v>57.125375999999996</v>
      </c>
      <c r="R26" s="230">
        <f t="shared" si="8"/>
        <v>85.688063999999983</v>
      </c>
      <c r="S26" s="209">
        <f t="shared" ref="S26:S32" si="26">D26*J26*5+G26*J26*4</f>
        <v>19.872</v>
      </c>
      <c r="T26" s="209">
        <f t="shared" si="22"/>
        <v>0</v>
      </c>
      <c r="U26" s="209">
        <f t="shared" si="23"/>
        <v>1.0349999999999999</v>
      </c>
      <c r="V26" s="209">
        <f t="shared" si="19"/>
        <v>20.907</v>
      </c>
      <c r="W26" s="209">
        <f t="shared" si="9"/>
        <v>0.41814000000000001</v>
      </c>
      <c r="X26" s="230">
        <f t="shared" si="24"/>
        <v>20.488859999999999</v>
      </c>
      <c r="Y26" s="230">
        <f t="shared" si="11"/>
        <v>8.1955439999999999</v>
      </c>
      <c r="Z26" s="230">
        <f t="shared" si="25"/>
        <v>12.293315999999999</v>
      </c>
      <c r="AA26" s="205"/>
    </row>
    <row r="27" spans="1:27" s="206" customFormat="1">
      <c r="A27" s="207">
        <v>15</v>
      </c>
      <c r="B27" s="208" t="s">
        <v>155</v>
      </c>
      <c r="C27" s="209">
        <v>602</v>
      </c>
      <c r="D27" s="209">
        <v>103</v>
      </c>
      <c r="E27" s="209">
        <v>0</v>
      </c>
      <c r="F27" s="209">
        <v>31</v>
      </c>
      <c r="G27" s="209">
        <v>103</v>
      </c>
      <c r="H27" s="209">
        <v>0</v>
      </c>
      <c r="I27" s="209">
        <v>31</v>
      </c>
      <c r="J27" s="210">
        <f t="shared" ref="J27:J29" si="27">19000/1000000</f>
        <v>1.9E-2</v>
      </c>
      <c r="K27" s="209">
        <f t="shared" si="14"/>
        <v>80.027999999999992</v>
      </c>
      <c r="L27" s="209">
        <f t="shared" si="3"/>
        <v>0</v>
      </c>
      <c r="M27" s="209">
        <f t="shared" si="4"/>
        <v>2.6505000000000001</v>
      </c>
      <c r="N27" s="209">
        <f t="shared" si="18"/>
        <v>82.678499999999985</v>
      </c>
      <c r="O27" s="209"/>
      <c r="P27" s="230">
        <f t="shared" si="6"/>
        <v>82.678499999999985</v>
      </c>
      <c r="Q27" s="230">
        <f t="shared" si="7"/>
        <v>33.071399999999997</v>
      </c>
      <c r="R27" s="230">
        <f t="shared" si="8"/>
        <v>49.607099999999988</v>
      </c>
      <c r="S27" s="209">
        <f t="shared" si="26"/>
        <v>17.613</v>
      </c>
      <c r="T27" s="209">
        <f t="shared" si="22"/>
        <v>0</v>
      </c>
      <c r="U27" s="209">
        <f t="shared" si="23"/>
        <v>2.6505000000000001</v>
      </c>
      <c r="V27" s="209">
        <f>SUM(S27:U27)-0.001</f>
        <v>20.262499999999999</v>
      </c>
      <c r="W27" s="209"/>
      <c r="X27" s="230">
        <f t="shared" si="24"/>
        <v>20.262499999999999</v>
      </c>
      <c r="Y27" s="230">
        <f t="shared" si="11"/>
        <v>8.1050000000000004</v>
      </c>
      <c r="Z27" s="230">
        <f t="shared" si="25"/>
        <v>12.157499999999999</v>
      </c>
      <c r="AA27" s="205"/>
    </row>
    <row r="28" spans="1:27" s="206" customFormat="1">
      <c r="A28" s="207">
        <v>16</v>
      </c>
      <c r="B28" s="208" t="s">
        <v>158</v>
      </c>
      <c r="C28" s="209">
        <v>474</v>
      </c>
      <c r="D28" s="209">
        <v>21</v>
      </c>
      <c r="E28" s="209"/>
      <c r="F28" s="209">
        <v>8</v>
      </c>
      <c r="G28" s="209">
        <v>21</v>
      </c>
      <c r="H28" s="209"/>
      <c r="I28" s="209">
        <v>8</v>
      </c>
      <c r="J28" s="210">
        <f t="shared" si="27"/>
        <v>1.9E-2</v>
      </c>
      <c r="K28" s="209">
        <f t="shared" si="14"/>
        <v>76.094999999999999</v>
      </c>
      <c r="L28" s="209">
        <f t="shared" si="3"/>
        <v>0</v>
      </c>
      <c r="M28" s="209">
        <f t="shared" si="4"/>
        <v>0.68399999999999994</v>
      </c>
      <c r="N28" s="209">
        <f t="shared" si="18"/>
        <v>76.778999999999996</v>
      </c>
      <c r="O28" s="209">
        <f t="shared" si="5"/>
        <v>1.5355799999999999</v>
      </c>
      <c r="P28" s="230">
        <f t="shared" si="6"/>
        <v>75.24342</v>
      </c>
      <c r="Q28" s="230">
        <f t="shared" si="7"/>
        <v>30.097368000000003</v>
      </c>
      <c r="R28" s="230">
        <f t="shared" si="8"/>
        <v>45.146051999999997</v>
      </c>
      <c r="S28" s="209">
        <f t="shared" si="26"/>
        <v>3.5909999999999997</v>
      </c>
      <c r="T28" s="209">
        <f t="shared" si="22"/>
        <v>0</v>
      </c>
      <c r="U28" s="209">
        <f t="shared" si="23"/>
        <v>0.68399999999999994</v>
      </c>
      <c r="V28" s="209">
        <f t="shared" si="19"/>
        <v>4.2749999999999995</v>
      </c>
      <c r="W28" s="209">
        <f t="shared" si="9"/>
        <v>8.5499999999999993E-2</v>
      </c>
      <c r="X28" s="230">
        <f t="shared" si="24"/>
        <v>4.1894999999999998</v>
      </c>
      <c r="Y28" s="230">
        <f t="shared" si="11"/>
        <v>1.6758</v>
      </c>
      <c r="Z28" s="230">
        <f t="shared" si="25"/>
        <v>2.5136999999999996</v>
      </c>
      <c r="AA28" s="205"/>
    </row>
    <row r="29" spans="1:27" s="206" customFormat="1">
      <c r="A29" s="207">
        <v>17</v>
      </c>
      <c r="B29" s="208" t="s">
        <v>357</v>
      </c>
      <c r="C29" s="209">
        <v>421</v>
      </c>
      <c r="D29" s="209">
        <v>245</v>
      </c>
      <c r="E29" s="209">
        <v>0</v>
      </c>
      <c r="F29" s="209">
        <v>8</v>
      </c>
      <c r="G29" s="209">
        <v>245</v>
      </c>
      <c r="H29" s="209">
        <v>0</v>
      </c>
      <c r="I29" s="209">
        <v>8</v>
      </c>
      <c r="J29" s="210">
        <f t="shared" si="27"/>
        <v>1.9E-2</v>
      </c>
      <c r="K29" s="209">
        <f t="shared" si="14"/>
        <v>28.727999999999998</v>
      </c>
      <c r="L29" s="209">
        <f t="shared" si="3"/>
        <v>0</v>
      </c>
      <c r="M29" s="209">
        <f t="shared" si="4"/>
        <v>0.68399999999999994</v>
      </c>
      <c r="N29" s="209">
        <f>SUM(K29:M29)+0.001</f>
        <v>29.413</v>
      </c>
      <c r="O29" s="209"/>
      <c r="P29" s="230">
        <f t="shared" si="6"/>
        <v>29.413</v>
      </c>
      <c r="Q29" s="230">
        <f t="shared" si="7"/>
        <v>11.7652</v>
      </c>
      <c r="R29" s="230">
        <f t="shared" si="8"/>
        <v>17.6478</v>
      </c>
      <c r="S29" s="209">
        <f t="shared" si="26"/>
        <v>41.895000000000003</v>
      </c>
      <c r="T29" s="209">
        <f t="shared" si="22"/>
        <v>0</v>
      </c>
      <c r="U29" s="209">
        <f t="shared" si="23"/>
        <v>0.68399999999999994</v>
      </c>
      <c r="V29" s="209">
        <f t="shared" si="19"/>
        <v>42.579000000000001</v>
      </c>
      <c r="W29" s="209"/>
      <c r="X29" s="230">
        <f t="shared" si="24"/>
        <v>42.579000000000001</v>
      </c>
      <c r="Y29" s="230">
        <f t="shared" si="11"/>
        <v>17.031600000000001</v>
      </c>
      <c r="Z29" s="230">
        <f t="shared" si="25"/>
        <v>25.5474</v>
      </c>
      <c r="AA29" s="205"/>
    </row>
    <row r="30" spans="1:27" s="206" customFormat="1">
      <c r="A30" s="207">
        <v>18</v>
      </c>
      <c r="B30" s="208" t="s">
        <v>164</v>
      </c>
      <c r="C30" s="209">
        <v>254</v>
      </c>
      <c r="D30" s="209">
        <v>253</v>
      </c>
      <c r="E30" s="209">
        <v>0</v>
      </c>
      <c r="F30" s="209">
        <v>0</v>
      </c>
      <c r="G30" s="209">
        <v>253</v>
      </c>
      <c r="H30" s="209">
        <v>0</v>
      </c>
      <c r="I30" s="209">
        <v>0</v>
      </c>
      <c r="J30" s="210">
        <f>19000/1000000</f>
        <v>1.9E-2</v>
      </c>
      <c r="K30" s="209">
        <f t="shared" si="14"/>
        <v>0.17099999999999999</v>
      </c>
      <c r="L30" s="209">
        <f t="shared" si="3"/>
        <v>0</v>
      </c>
      <c r="M30" s="209">
        <f t="shared" si="4"/>
        <v>0</v>
      </c>
      <c r="N30" s="209">
        <f t="shared" si="18"/>
        <v>0.17099999999999999</v>
      </c>
      <c r="O30" s="209">
        <f t="shared" si="5"/>
        <v>3.4199999999999999E-3</v>
      </c>
      <c r="P30" s="230">
        <f t="shared" si="6"/>
        <v>0.16757999999999998</v>
      </c>
      <c r="Q30" s="230">
        <f t="shared" si="7"/>
        <v>6.7031999999999994E-2</v>
      </c>
      <c r="R30" s="230">
        <f t="shared" si="8"/>
        <v>0.10054799999999998</v>
      </c>
      <c r="S30" s="209">
        <f t="shared" si="26"/>
        <v>43.262999999999991</v>
      </c>
      <c r="T30" s="209">
        <f t="shared" si="22"/>
        <v>0</v>
      </c>
      <c r="U30" s="209">
        <f t="shared" si="23"/>
        <v>0</v>
      </c>
      <c r="V30" s="209">
        <f t="shared" si="19"/>
        <v>43.262999999999991</v>
      </c>
      <c r="W30" s="209">
        <f t="shared" si="9"/>
        <v>0.86525999999999981</v>
      </c>
      <c r="X30" s="230">
        <f t="shared" si="24"/>
        <v>42.397739999999992</v>
      </c>
      <c r="Y30" s="230">
        <f t="shared" si="11"/>
        <v>16.959095999999999</v>
      </c>
      <c r="Z30" s="230">
        <f t="shared" si="25"/>
        <v>25.438643999999993</v>
      </c>
      <c r="AA30" s="205"/>
    </row>
    <row r="31" spans="1:27" s="206" customFormat="1">
      <c r="A31" s="207">
        <v>19</v>
      </c>
      <c r="B31" s="208" t="s">
        <v>165</v>
      </c>
      <c r="C31" s="209">
        <v>350</v>
      </c>
      <c r="D31" s="209">
        <v>350</v>
      </c>
      <c r="E31" s="209">
        <v>0</v>
      </c>
      <c r="F31" s="209">
        <v>0</v>
      </c>
      <c r="G31" s="209">
        <v>350</v>
      </c>
      <c r="H31" s="209">
        <v>0</v>
      </c>
      <c r="I31" s="209">
        <v>0</v>
      </c>
      <c r="J31" s="210">
        <f>19000/1000000</f>
        <v>1.9E-2</v>
      </c>
      <c r="K31" s="209">
        <f t="shared" si="14"/>
        <v>0</v>
      </c>
      <c r="L31" s="209">
        <f t="shared" si="3"/>
        <v>0</v>
      </c>
      <c r="M31" s="209">
        <f t="shared" si="4"/>
        <v>0</v>
      </c>
      <c r="N31" s="209">
        <f t="shared" si="18"/>
        <v>0</v>
      </c>
      <c r="O31" s="209">
        <f t="shared" si="5"/>
        <v>0</v>
      </c>
      <c r="P31" s="230">
        <f t="shared" si="6"/>
        <v>0</v>
      </c>
      <c r="Q31" s="230">
        <f t="shared" si="7"/>
        <v>0</v>
      </c>
      <c r="R31" s="230">
        <f t="shared" si="8"/>
        <v>0</v>
      </c>
      <c r="S31" s="209">
        <f t="shared" si="26"/>
        <v>59.849999999999994</v>
      </c>
      <c r="T31" s="209">
        <f t="shared" si="22"/>
        <v>0</v>
      </c>
      <c r="U31" s="209">
        <f t="shared" si="23"/>
        <v>0</v>
      </c>
      <c r="V31" s="209">
        <f t="shared" si="19"/>
        <v>59.849999999999994</v>
      </c>
      <c r="W31" s="209">
        <f t="shared" si="9"/>
        <v>1.1969999999999998</v>
      </c>
      <c r="X31" s="230">
        <f t="shared" si="24"/>
        <v>58.652999999999992</v>
      </c>
      <c r="Y31" s="230">
        <f t="shared" si="11"/>
        <v>23.461199999999998</v>
      </c>
      <c r="Z31" s="230">
        <f t="shared" si="25"/>
        <v>35.191799999999994</v>
      </c>
      <c r="AA31" s="205"/>
    </row>
    <row r="32" spans="1:27" s="206" customFormat="1">
      <c r="A32" s="207">
        <v>20</v>
      </c>
      <c r="B32" s="217" t="s">
        <v>358</v>
      </c>
      <c r="C32" s="218">
        <v>444</v>
      </c>
      <c r="D32" s="218">
        <v>444</v>
      </c>
      <c r="E32" s="218">
        <v>0</v>
      </c>
      <c r="F32" s="218">
        <v>0</v>
      </c>
      <c r="G32" s="218">
        <v>444</v>
      </c>
      <c r="H32" s="218">
        <v>0</v>
      </c>
      <c r="I32" s="218">
        <v>0</v>
      </c>
      <c r="J32" s="219">
        <f>19000/1000000</f>
        <v>1.9E-2</v>
      </c>
      <c r="K32" s="220">
        <f t="shared" si="14"/>
        <v>0</v>
      </c>
      <c r="L32" s="220">
        <f t="shared" si="3"/>
        <v>0</v>
      </c>
      <c r="M32" s="220">
        <f t="shared" si="4"/>
        <v>0</v>
      </c>
      <c r="N32" s="218">
        <f t="shared" si="18"/>
        <v>0</v>
      </c>
      <c r="O32" s="218">
        <f t="shared" si="5"/>
        <v>0</v>
      </c>
      <c r="P32" s="232">
        <f t="shared" si="6"/>
        <v>0</v>
      </c>
      <c r="Q32" s="233">
        <f t="shared" si="7"/>
        <v>0</v>
      </c>
      <c r="R32" s="232">
        <f t="shared" si="8"/>
        <v>0</v>
      </c>
      <c r="S32" s="220">
        <f t="shared" si="26"/>
        <v>75.924000000000007</v>
      </c>
      <c r="T32" s="220">
        <f t="shared" si="22"/>
        <v>0</v>
      </c>
      <c r="U32" s="220">
        <f t="shared" si="23"/>
        <v>0</v>
      </c>
      <c r="V32" s="218">
        <f t="shared" si="19"/>
        <v>75.924000000000007</v>
      </c>
      <c r="W32" s="218"/>
      <c r="X32" s="232">
        <f t="shared" si="24"/>
        <v>75.924000000000007</v>
      </c>
      <c r="Y32" s="233">
        <f t="shared" si="11"/>
        <v>30.369600000000005</v>
      </c>
      <c r="Z32" s="232">
        <f t="shared" si="25"/>
        <v>45.554400000000001</v>
      </c>
      <c r="AA32" s="205"/>
    </row>
    <row r="33" spans="1:26" s="223" customFormat="1">
      <c r="A33" s="221"/>
      <c r="B33" s="221" t="s">
        <v>359</v>
      </c>
      <c r="C33" s="222">
        <f>SUM(C11:C32)</f>
        <v>8298</v>
      </c>
      <c r="D33" s="222">
        <f>SUM(D11:D32)</f>
        <v>3440</v>
      </c>
      <c r="E33" s="222">
        <f t="shared" ref="E33:Z33" si="28">SUM(E11:E32)</f>
        <v>861</v>
      </c>
      <c r="F33" s="222">
        <f t="shared" si="28"/>
        <v>117</v>
      </c>
      <c r="G33" s="222">
        <f t="shared" si="28"/>
        <v>4086</v>
      </c>
      <c r="H33" s="222">
        <f t="shared" si="28"/>
        <v>861</v>
      </c>
      <c r="I33" s="222">
        <f t="shared" si="28"/>
        <v>117</v>
      </c>
      <c r="J33" s="222">
        <f t="shared" si="28"/>
        <v>0.46500000000000008</v>
      </c>
      <c r="K33" s="222">
        <f t="shared" si="28"/>
        <v>773.82</v>
      </c>
      <c r="L33" s="222">
        <f t="shared" si="28"/>
        <v>58.336500000000008</v>
      </c>
      <c r="M33" s="222">
        <f t="shared" si="28"/>
        <v>11.891500000000001</v>
      </c>
      <c r="N33" s="222">
        <f t="shared" si="28"/>
        <v>844.05899999999997</v>
      </c>
      <c r="O33" s="222">
        <f t="shared" si="28"/>
        <v>10.73508</v>
      </c>
      <c r="P33" s="234">
        <f t="shared" si="28"/>
        <v>833.32392000000004</v>
      </c>
      <c r="Q33" s="234">
        <f t="shared" si="28"/>
        <v>333.32956799999999</v>
      </c>
      <c r="R33" s="234">
        <f t="shared" si="28"/>
        <v>499.99435199999999</v>
      </c>
      <c r="S33" s="222">
        <f t="shared" si="28"/>
        <v>737.56200000000001</v>
      </c>
      <c r="T33" s="222">
        <f t="shared" si="28"/>
        <v>136.11449999999999</v>
      </c>
      <c r="U33" s="222">
        <f t="shared" si="28"/>
        <v>11.892499999999998</v>
      </c>
      <c r="V33" s="222">
        <f t="shared" si="28"/>
        <v>885.56600000000003</v>
      </c>
      <c r="W33" s="222">
        <f t="shared" si="28"/>
        <v>8.5628999999999991</v>
      </c>
      <c r="X33" s="234">
        <f t="shared" si="28"/>
        <v>877.00310000000013</v>
      </c>
      <c r="Y33" s="234">
        <f t="shared" si="28"/>
        <v>350.80124000000006</v>
      </c>
      <c r="Z33" s="234">
        <f t="shared" si="28"/>
        <v>526.20186000000001</v>
      </c>
    </row>
    <row r="34" spans="1:26">
      <c r="D34" s="190"/>
      <c r="H34" s="190"/>
      <c r="S34" s="224"/>
    </row>
    <row r="35" spans="1:26">
      <c r="R35" s="190"/>
      <c r="S35" s="224"/>
    </row>
    <row r="36" spans="1:26">
      <c r="N36" s="190"/>
      <c r="P36" s="190">
        <f>P33+X33</f>
        <v>1710.3270200000002</v>
      </c>
      <c r="S36" s="224"/>
    </row>
    <row r="37" spans="1:26">
      <c r="S37" s="224"/>
    </row>
    <row r="38" spans="1:26">
      <c r="S38" s="224"/>
    </row>
    <row r="39" spans="1:26">
      <c r="S39" s="224"/>
    </row>
    <row r="40" spans="1:26">
      <c r="S40" s="224"/>
    </row>
    <row r="41" spans="1:26">
      <c r="S41" s="224"/>
    </row>
    <row r="42" spans="1:26">
      <c r="S42" s="224"/>
    </row>
    <row r="43" spans="1:26">
      <c r="S43" s="224"/>
    </row>
    <row r="44" spans="1:26">
      <c r="S44" s="224"/>
    </row>
  </sheetData>
  <mergeCells count="22">
    <mergeCell ref="W8:W9"/>
    <mergeCell ref="X8:X9"/>
    <mergeCell ref="Y8:Z8"/>
    <mergeCell ref="A7:A9"/>
    <mergeCell ref="B7:B9"/>
    <mergeCell ref="C7:C9"/>
    <mergeCell ref="D7:F8"/>
    <mergeCell ref="G7:I8"/>
    <mergeCell ref="J7:N7"/>
    <mergeCell ref="S7:V7"/>
    <mergeCell ref="J8:J9"/>
    <mergeCell ref="K8:N8"/>
    <mergeCell ref="O8:O9"/>
    <mergeCell ref="Q8:R8"/>
    <mergeCell ref="S8:V8"/>
    <mergeCell ref="P8:P9"/>
    <mergeCell ref="U1:V1"/>
    <mergeCell ref="A2:Z2"/>
    <mergeCell ref="A3:Z3"/>
    <mergeCell ref="A4:Z4"/>
    <mergeCell ref="U6:V6"/>
    <mergeCell ref="A5:Z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opLeftCell="A7" workbookViewId="0">
      <selection activeCell="P36" sqref="P36"/>
    </sheetView>
  </sheetViews>
  <sheetFormatPr defaultColWidth="9.140625" defaultRowHeight="15.75"/>
  <cols>
    <col min="1" max="1" width="9.140625" style="154"/>
    <col min="2" max="2" width="36.7109375" style="154" customWidth="1"/>
    <col min="3" max="3" width="14.42578125" style="154" customWidth="1"/>
    <col min="4" max="5" width="17.140625" style="154" customWidth="1"/>
    <col min="6" max="6" width="14.42578125" style="154" customWidth="1"/>
    <col min="7" max="8" width="17.140625" style="154" customWidth="1"/>
    <col min="9" max="9" width="13" style="154" customWidth="1"/>
    <col min="10" max="16384" width="9.140625" style="154"/>
  </cols>
  <sheetData>
    <row r="1" spans="1:10">
      <c r="H1" s="154" t="s">
        <v>364</v>
      </c>
    </row>
    <row r="2" spans="1:10" ht="47.25" customHeight="1">
      <c r="A2" s="406" t="s">
        <v>372</v>
      </c>
      <c r="B2" s="406"/>
      <c r="C2" s="406"/>
      <c r="D2" s="406"/>
      <c r="E2" s="406"/>
      <c r="F2" s="406"/>
      <c r="G2" s="406"/>
      <c r="H2" s="406"/>
    </row>
    <row r="3" spans="1:10">
      <c r="A3" s="367" t="s">
        <v>363</v>
      </c>
      <c r="B3" s="367"/>
      <c r="C3" s="367"/>
      <c r="D3" s="367"/>
      <c r="E3" s="367"/>
      <c r="F3" s="367"/>
      <c r="G3" s="367"/>
      <c r="H3" s="367"/>
    </row>
    <row r="4" spans="1:10">
      <c r="C4" s="190"/>
      <c r="D4" s="190"/>
      <c r="E4" s="190"/>
      <c r="F4" s="190"/>
      <c r="G4" s="407" t="s">
        <v>327</v>
      </c>
      <c r="H4" s="407"/>
    </row>
    <row r="5" spans="1:10" s="5" customFormat="1" ht="15.75" customHeight="1">
      <c r="A5" s="399" t="s">
        <v>0</v>
      </c>
      <c r="B5" s="399" t="s">
        <v>328</v>
      </c>
      <c r="C5" s="397" t="s">
        <v>365</v>
      </c>
      <c r="D5" s="414"/>
      <c r="E5" s="414"/>
      <c r="F5" s="403" t="s">
        <v>366</v>
      </c>
      <c r="G5" s="403"/>
      <c r="H5" s="403"/>
    </row>
    <row r="6" spans="1:10" s="5" customFormat="1" ht="15.75" customHeight="1">
      <c r="A6" s="400"/>
      <c r="B6" s="400"/>
      <c r="C6" s="419" t="s">
        <v>367</v>
      </c>
      <c r="D6" s="419" t="s">
        <v>368</v>
      </c>
      <c r="E6" s="419" t="s">
        <v>369</v>
      </c>
      <c r="F6" s="419" t="s">
        <v>367</v>
      </c>
      <c r="G6" s="419" t="s">
        <v>368</v>
      </c>
      <c r="H6" s="419" t="s">
        <v>369</v>
      </c>
    </row>
    <row r="7" spans="1:10" s="5" customFormat="1" ht="108" customHeight="1">
      <c r="A7" s="401"/>
      <c r="B7" s="401"/>
      <c r="C7" s="420"/>
      <c r="D7" s="420"/>
      <c r="E7" s="420"/>
      <c r="F7" s="420"/>
      <c r="G7" s="420"/>
      <c r="H7" s="420"/>
    </row>
    <row r="8" spans="1:10" s="201" customFormat="1">
      <c r="A8" s="195" t="s">
        <v>41</v>
      </c>
      <c r="B8" s="195" t="s">
        <v>42</v>
      </c>
      <c r="C8" s="198">
        <v>1</v>
      </c>
      <c r="D8" s="198">
        <v>2</v>
      </c>
      <c r="E8" s="195" t="s">
        <v>370</v>
      </c>
      <c r="F8" s="198">
        <v>9</v>
      </c>
      <c r="G8" s="198">
        <v>10</v>
      </c>
      <c r="H8" s="195" t="s">
        <v>371</v>
      </c>
    </row>
    <row r="9" spans="1:10" s="201" customFormat="1">
      <c r="A9" s="203"/>
      <c r="B9" s="203" t="s">
        <v>302</v>
      </c>
      <c r="C9" s="240">
        <v>62.64</v>
      </c>
      <c r="D9" s="241">
        <v>15.659000000000001</v>
      </c>
      <c r="E9" s="204">
        <f>C9-D9</f>
        <v>46.981000000000002</v>
      </c>
      <c r="F9" s="240">
        <v>71.28</v>
      </c>
      <c r="G9" s="240">
        <v>17.82</v>
      </c>
      <c r="H9" s="204">
        <f>F9-G9-0.002</f>
        <v>53.457999999999998</v>
      </c>
    </row>
    <row r="10" spans="1:10" s="206" customFormat="1">
      <c r="A10" s="239">
        <v>1</v>
      </c>
      <c r="B10" s="237" t="s">
        <v>344</v>
      </c>
      <c r="C10" s="238">
        <v>261.08999999999997</v>
      </c>
      <c r="D10" s="238">
        <v>93.286500000000004</v>
      </c>
      <c r="E10" s="238">
        <f>C10-D10</f>
        <v>167.80349999999999</v>
      </c>
      <c r="F10" s="238">
        <v>83.97</v>
      </c>
      <c r="G10" s="238">
        <v>50.487500000000004</v>
      </c>
      <c r="H10" s="238">
        <f>F10-G10-0.002</f>
        <v>33.480499999999992</v>
      </c>
      <c r="I10" s="205"/>
      <c r="J10" s="205"/>
    </row>
    <row r="11" spans="1:10" s="206" customFormat="1">
      <c r="A11" s="207">
        <v>2</v>
      </c>
      <c r="B11" s="208" t="s">
        <v>345</v>
      </c>
      <c r="C11" s="209">
        <v>162.43</v>
      </c>
      <c r="D11" s="209">
        <v>69.36048000000001</v>
      </c>
      <c r="E11" s="209">
        <f t="shared" ref="E11:E19" si="0">C11-D11</f>
        <v>93.069519999999997</v>
      </c>
      <c r="F11" s="209">
        <v>9.83</v>
      </c>
      <c r="G11" s="209">
        <v>15.043979999999999</v>
      </c>
      <c r="H11" s="209">
        <f t="shared" ref="H11:H19" si="1">F11-G11</f>
        <v>-5.2139799999999994</v>
      </c>
      <c r="J11" s="205"/>
    </row>
    <row r="12" spans="1:10" s="206" customFormat="1">
      <c r="A12" s="207">
        <v>4</v>
      </c>
      <c r="B12" s="208" t="s">
        <v>346</v>
      </c>
      <c r="C12" s="209">
        <v>84.73</v>
      </c>
      <c r="D12" s="209">
        <v>25.302499999999998</v>
      </c>
      <c r="E12" s="209">
        <f t="shared" si="0"/>
        <v>59.427500000000009</v>
      </c>
      <c r="F12" s="209">
        <v>97.25</v>
      </c>
      <c r="G12" s="209">
        <v>50.522500000000001</v>
      </c>
      <c r="H12" s="209">
        <f t="shared" si="1"/>
        <v>46.727499999999999</v>
      </c>
      <c r="J12" s="205"/>
    </row>
    <row r="13" spans="1:10" s="206" customFormat="1">
      <c r="A13" s="207">
        <v>5</v>
      </c>
      <c r="B13" s="208" t="s">
        <v>347</v>
      </c>
      <c r="C13" s="209">
        <v>31.68</v>
      </c>
      <c r="D13" s="209">
        <v>15.843</v>
      </c>
      <c r="E13" s="209">
        <f t="shared" si="0"/>
        <v>15.837</v>
      </c>
      <c r="F13" s="209">
        <v>117.72</v>
      </c>
      <c r="G13" s="209">
        <v>58.863</v>
      </c>
      <c r="H13" s="209">
        <f t="shared" si="1"/>
        <v>58.856999999999999</v>
      </c>
      <c r="J13" s="205"/>
    </row>
    <row r="14" spans="1:10" s="206" customFormat="1">
      <c r="A14" s="207">
        <v>6</v>
      </c>
      <c r="B14" s="208" t="s">
        <v>348</v>
      </c>
      <c r="C14" s="209">
        <v>51.8</v>
      </c>
      <c r="D14" s="209">
        <v>25.379550000000005</v>
      </c>
      <c r="E14" s="209">
        <f t="shared" si="0"/>
        <v>26.420449999999992</v>
      </c>
      <c r="F14" s="209">
        <v>164.21</v>
      </c>
      <c r="G14" s="209">
        <v>80.460450000000009</v>
      </c>
      <c r="H14" s="209">
        <f t="shared" si="1"/>
        <v>83.749549999999999</v>
      </c>
      <c r="J14" s="205"/>
    </row>
    <row r="15" spans="1:10" s="206" customFormat="1">
      <c r="A15" s="207">
        <v>7</v>
      </c>
      <c r="B15" s="208" t="s">
        <v>349</v>
      </c>
      <c r="C15" s="209">
        <v>59.72</v>
      </c>
      <c r="D15" s="209">
        <v>29.857500000000002</v>
      </c>
      <c r="E15" s="209">
        <f t="shared" si="0"/>
        <v>29.862499999999997</v>
      </c>
      <c r="F15" s="209">
        <v>176.09</v>
      </c>
      <c r="G15" s="209">
        <v>88.042500000000004</v>
      </c>
      <c r="H15" s="209">
        <f t="shared" si="1"/>
        <v>88.047499999999999</v>
      </c>
      <c r="J15" s="205"/>
    </row>
    <row r="16" spans="1:10" s="206" customFormat="1">
      <c r="A16" s="207">
        <v>8</v>
      </c>
      <c r="B16" s="208" t="s">
        <v>350</v>
      </c>
      <c r="C16" s="209">
        <v>30.51</v>
      </c>
      <c r="D16" s="209">
        <v>15.264999999999999</v>
      </c>
      <c r="E16" s="209">
        <f t="shared" si="0"/>
        <v>15.245000000000003</v>
      </c>
      <c r="F16" s="209">
        <v>105.84</v>
      </c>
      <c r="G16" s="209">
        <v>52.92</v>
      </c>
      <c r="H16" s="209">
        <f t="shared" si="1"/>
        <v>52.92</v>
      </c>
      <c r="J16" s="205"/>
    </row>
    <row r="17" spans="1:10" s="206" customFormat="1">
      <c r="A17" s="207">
        <v>9</v>
      </c>
      <c r="B17" s="208" t="s">
        <v>351</v>
      </c>
      <c r="C17" s="209">
        <v>176.2</v>
      </c>
      <c r="D17" s="209">
        <v>61.953150000000008</v>
      </c>
      <c r="E17" s="209">
        <f t="shared" si="0"/>
        <v>114.24684999999998</v>
      </c>
      <c r="F17" s="209">
        <v>10.64</v>
      </c>
      <c r="G17" s="209">
        <v>14.33985</v>
      </c>
      <c r="H17" s="209">
        <f t="shared" si="1"/>
        <v>-3.6998499999999996</v>
      </c>
      <c r="J17" s="205"/>
    </row>
    <row r="18" spans="1:10" s="206" customFormat="1">
      <c r="A18" s="207">
        <v>10</v>
      </c>
      <c r="B18" s="208" t="s">
        <v>352</v>
      </c>
      <c r="C18" s="209">
        <v>40.409999999999997</v>
      </c>
      <c r="D18" s="209">
        <v>19.800900000000002</v>
      </c>
      <c r="E18" s="209">
        <f t="shared" si="0"/>
        <v>20.609099999999994</v>
      </c>
      <c r="F18" s="209">
        <v>113.94</v>
      </c>
      <c r="G18" s="209">
        <v>55.830599999999997</v>
      </c>
      <c r="H18" s="209">
        <f t="shared" si="1"/>
        <v>58.109400000000001</v>
      </c>
      <c r="J18" s="205"/>
    </row>
    <row r="19" spans="1:10" s="206" customFormat="1">
      <c r="A19" s="207">
        <v>11</v>
      </c>
      <c r="B19" s="208" t="s">
        <v>353</v>
      </c>
      <c r="C19" s="209">
        <v>316.44</v>
      </c>
      <c r="D19" s="209">
        <v>131.3004</v>
      </c>
      <c r="E19" s="209">
        <f t="shared" si="0"/>
        <v>185.1396</v>
      </c>
      <c r="F19" s="209">
        <v>7.56</v>
      </c>
      <c r="G19" s="209">
        <v>27.459599999999998</v>
      </c>
      <c r="H19" s="209">
        <f t="shared" si="1"/>
        <v>-19.8996</v>
      </c>
      <c r="I19" s="205"/>
      <c r="J19" s="205"/>
    </row>
    <row r="20" spans="1:10" s="206" customFormat="1">
      <c r="A20" s="207">
        <v>12</v>
      </c>
      <c r="B20" s="208" t="s">
        <v>354</v>
      </c>
      <c r="C20" s="209"/>
      <c r="D20" s="209"/>
      <c r="E20" s="209"/>
      <c r="F20" s="209"/>
      <c r="G20" s="209"/>
      <c r="H20" s="209"/>
      <c r="J20" s="205"/>
    </row>
    <row r="21" spans="1:10" s="216" customFormat="1">
      <c r="A21" s="211"/>
      <c r="B21" s="212" t="s">
        <v>215</v>
      </c>
      <c r="C21" s="213">
        <v>0</v>
      </c>
      <c r="D21" s="213">
        <v>0</v>
      </c>
      <c r="E21" s="213">
        <f>C21-D21</f>
        <v>0</v>
      </c>
      <c r="F21" s="213">
        <v>149.85</v>
      </c>
      <c r="G21" s="213">
        <v>55.804139999999997</v>
      </c>
      <c r="H21" s="213">
        <f t="shared" ref="H21:H30" si="2">F21-G21</f>
        <v>94.045860000000005</v>
      </c>
      <c r="J21" s="205"/>
    </row>
    <row r="22" spans="1:10" s="206" customFormat="1">
      <c r="A22" s="207">
        <v>13</v>
      </c>
      <c r="B22" s="208" t="s">
        <v>355</v>
      </c>
      <c r="C22" s="209"/>
      <c r="D22" s="213"/>
      <c r="E22" s="213"/>
      <c r="F22" s="209"/>
      <c r="G22" s="213"/>
      <c r="H22" s="213"/>
      <c r="J22" s="205"/>
    </row>
    <row r="23" spans="1:10" s="216" customFormat="1">
      <c r="A23" s="211"/>
      <c r="B23" s="212" t="s">
        <v>215</v>
      </c>
      <c r="C23" s="213">
        <v>0</v>
      </c>
      <c r="D23" s="213">
        <v>0</v>
      </c>
      <c r="E23" s="213">
        <f t="shared" ref="E23:E30" si="3">C23-D23</f>
        <v>0</v>
      </c>
      <c r="F23" s="213">
        <v>120.6</v>
      </c>
      <c r="G23" s="213">
        <v>44.914379999999994</v>
      </c>
      <c r="H23" s="213">
        <f>F23-G23-0.001</f>
        <v>75.684619999999995</v>
      </c>
      <c r="J23" s="205"/>
    </row>
    <row r="24" spans="1:10" s="206" customFormat="1">
      <c r="A24" s="207">
        <v>14</v>
      </c>
      <c r="B24" s="208" t="s">
        <v>356</v>
      </c>
      <c r="C24" s="209">
        <v>443.52</v>
      </c>
      <c r="D24" s="209">
        <v>142.81343999999999</v>
      </c>
      <c r="E24" s="209">
        <f t="shared" si="3"/>
        <v>300.70655999999997</v>
      </c>
      <c r="F24" s="209">
        <v>63.63</v>
      </c>
      <c r="G24" s="209">
        <v>20.488859999999999</v>
      </c>
      <c r="H24" s="209">
        <f t="shared" si="2"/>
        <v>43.141140000000007</v>
      </c>
      <c r="J24" s="205"/>
    </row>
    <row r="25" spans="1:10" s="206" customFormat="1">
      <c r="A25" s="207">
        <v>15</v>
      </c>
      <c r="B25" s="208" t="s">
        <v>155</v>
      </c>
      <c r="C25" s="209">
        <v>304.61</v>
      </c>
      <c r="D25" s="209">
        <v>82.678499999999985</v>
      </c>
      <c r="E25" s="209">
        <f t="shared" si="3"/>
        <v>221.93150000000003</v>
      </c>
      <c r="F25" s="209">
        <v>74.650000000000006</v>
      </c>
      <c r="G25" s="209">
        <v>20.262499999999999</v>
      </c>
      <c r="H25" s="209">
        <f t="shared" si="2"/>
        <v>54.387500000000003</v>
      </c>
      <c r="J25" s="205"/>
    </row>
    <row r="26" spans="1:10" s="206" customFormat="1">
      <c r="A26" s="207">
        <v>16</v>
      </c>
      <c r="B26" s="208" t="s">
        <v>158</v>
      </c>
      <c r="C26" s="209">
        <v>282.87</v>
      </c>
      <c r="D26" s="209">
        <v>75.24342</v>
      </c>
      <c r="E26" s="209">
        <f t="shared" si="3"/>
        <v>207.62657999999999</v>
      </c>
      <c r="F26" s="209">
        <v>15.75</v>
      </c>
      <c r="G26" s="209">
        <v>4.1894999999999998</v>
      </c>
      <c r="H26" s="209">
        <f t="shared" si="2"/>
        <v>11.560500000000001</v>
      </c>
      <c r="J26" s="205"/>
    </row>
    <row r="27" spans="1:10" s="206" customFormat="1">
      <c r="A27" s="207">
        <v>17</v>
      </c>
      <c r="B27" s="208" t="s">
        <v>357</v>
      </c>
      <c r="C27" s="209">
        <v>108.36</v>
      </c>
      <c r="D27" s="209">
        <v>29.413</v>
      </c>
      <c r="E27" s="209">
        <f t="shared" si="3"/>
        <v>78.947000000000003</v>
      </c>
      <c r="F27" s="209">
        <v>156.87</v>
      </c>
      <c r="G27" s="209">
        <v>42.579000000000001</v>
      </c>
      <c r="H27" s="209">
        <f t="shared" si="2"/>
        <v>114.291</v>
      </c>
      <c r="J27" s="205"/>
    </row>
    <row r="28" spans="1:10" s="206" customFormat="1">
      <c r="A28" s="207">
        <v>18</v>
      </c>
      <c r="B28" s="208" t="s">
        <v>164</v>
      </c>
      <c r="C28" s="209">
        <v>0.45</v>
      </c>
      <c r="D28" s="209">
        <v>0.16757999999999998</v>
      </c>
      <c r="E28" s="209">
        <f t="shared" si="3"/>
        <v>0.28242</v>
      </c>
      <c r="F28" s="209">
        <v>113.85</v>
      </c>
      <c r="G28" s="209">
        <v>42.397739999999992</v>
      </c>
      <c r="H28" s="209">
        <f t="shared" si="2"/>
        <v>71.452259999999995</v>
      </c>
      <c r="J28" s="205"/>
    </row>
    <row r="29" spans="1:10" s="206" customFormat="1">
      <c r="A29" s="207">
        <v>19</v>
      </c>
      <c r="B29" s="208" t="s">
        <v>165</v>
      </c>
      <c r="C29" s="209">
        <v>0</v>
      </c>
      <c r="D29" s="209">
        <v>0</v>
      </c>
      <c r="E29" s="209">
        <f t="shared" si="3"/>
        <v>0</v>
      </c>
      <c r="F29" s="209">
        <v>157.5</v>
      </c>
      <c r="G29" s="209">
        <v>58.652999999999992</v>
      </c>
      <c r="H29" s="209">
        <f t="shared" si="2"/>
        <v>98.847000000000008</v>
      </c>
      <c r="J29" s="205"/>
    </row>
    <row r="30" spans="1:10" s="206" customFormat="1">
      <c r="A30" s="207">
        <v>20</v>
      </c>
      <c r="B30" s="217" t="s">
        <v>358</v>
      </c>
      <c r="C30" s="218">
        <v>0</v>
      </c>
      <c r="D30" s="209">
        <v>0</v>
      </c>
      <c r="E30" s="209">
        <f t="shared" si="3"/>
        <v>0</v>
      </c>
      <c r="F30" s="218">
        <v>199.8</v>
      </c>
      <c r="G30" s="209">
        <v>75.924000000000007</v>
      </c>
      <c r="H30" s="209">
        <f t="shared" si="2"/>
        <v>123.876</v>
      </c>
      <c r="J30" s="205"/>
    </row>
    <row r="31" spans="1:10" s="223" customFormat="1">
      <c r="A31" s="221"/>
      <c r="B31" s="221" t="s">
        <v>359</v>
      </c>
      <c r="C31" s="222">
        <f>SUM(C9:C30)</f>
        <v>2417.4599999999996</v>
      </c>
      <c r="D31" s="222">
        <f>SUM(D9:D30)</f>
        <v>833.32392000000004</v>
      </c>
      <c r="E31" s="222">
        <f t="shared" ref="E31:H31" si="4">SUM(E9:E30)</f>
        <v>1584.1360800000002</v>
      </c>
      <c r="F31" s="222">
        <f t="shared" si="4"/>
        <v>2010.8300000000002</v>
      </c>
      <c r="G31" s="222">
        <f t="shared" si="4"/>
        <v>877.00310000000013</v>
      </c>
      <c r="H31" s="222">
        <f t="shared" si="4"/>
        <v>1133.8218999999999</v>
      </c>
    </row>
    <row r="34" spans="3:8">
      <c r="C34" s="190"/>
      <c r="D34" s="190"/>
      <c r="E34" s="190">
        <f>E31+H31</f>
        <v>2717.9579800000001</v>
      </c>
      <c r="F34" s="190">
        <f>E34*40%</f>
        <v>1087.1831920000002</v>
      </c>
      <c r="G34" s="190"/>
      <c r="H34" s="190"/>
    </row>
    <row r="156" ht="17.25" customHeight="1"/>
  </sheetData>
  <mergeCells count="13">
    <mergeCell ref="A2:H2"/>
    <mergeCell ref="A3:H3"/>
    <mergeCell ref="G4:H4"/>
    <mergeCell ref="A5:A7"/>
    <mergeCell ref="B5:B7"/>
    <mergeCell ref="C5:E5"/>
    <mergeCell ref="F5:H5"/>
    <mergeCell ref="C6:C7"/>
    <mergeCell ref="D6:D7"/>
    <mergeCell ref="E6:E7"/>
    <mergeCell ref="F6:F7"/>
    <mergeCell ref="G6:G7"/>
    <mergeCell ref="H6:H7"/>
  </mergeCells>
  <pageMargins left="0.19" right="0.2" top="0.2" bottom="0.19" header="0.2" footer="0.19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pane xSplit="2" ySplit="6" topLeftCell="C25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9.140625" defaultRowHeight="15"/>
  <cols>
    <col min="1" max="1" width="4.7109375" style="117" bestFit="1" customWidth="1"/>
    <col min="2" max="2" width="26.5703125" style="117" customWidth="1"/>
    <col min="3" max="11" width="10.5703125" style="117" customWidth="1"/>
    <col min="12" max="14" width="10.85546875" style="117" customWidth="1"/>
    <col min="15" max="16384" width="9.140625" style="117"/>
  </cols>
  <sheetData>
    <row r="1" spans="1:14" ht="15.75">
      <c r="A1" s="402" t="s">
        <v>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4" spans="1:14" s="118" customFormat="1">
      <c r="A4" s="424" t="s">
        <v>0</v>
      </c>
      <c r="B4" s="422" t="s">
        <v>1</v>
      </c>
      <c r="C4" s="422" t="s">
        <v>229</v>
      </c>
      <c r="D4" s="426" t="s">
        <v>48</v>
      </c>
      <c r="E4" s="427"/>
      <c r="F4" s="428"/>
      <c r="G4" s="422" t="s">
        <v>233</v>
      </c>
      <c r="H4" s="426" t="s">
        <v>48</v>
      </c>
      <c r="I4" s="427"/>
      <c r="J4" s="428"/>
      <c r="K4" s="422" t="s">
        <v>38</v>
      </c>
      <c r="L4" s="425" t="s">
        <v>48</v>
      </c>
      <c r="M4" s="425"/>
      <c r="N4" s="425"/>
    </row>
    <row r="5" spans="1:14" s="118" customFormat="1" ht="114">
      <c r="A5" s="424"/>
      <c r="B5" s="423"/>
      <c r="C5" s="423"/>
      <c r="D5" s="120" t="s">
        <v>230</v>
      </c>
      <c r="E5" s="120" t="s">
        <v>231</v>
      </c>
      <c r="F5" s="120" t="s">
        <v>232</v>
      </c>
      <c r="G5" s="423"/>
      <c r="H5" s="120" t="s">
        <v>230</v>
      </c>
      <c r="I5" s="120" t="s">
        <v>231</v>
      </c>
      <c r="J5" s="120" t="s">
        <v>232</v>
      </c>
      <c r="K5" s="423"/>
      <c r="L5" s="120" t="s">
        <v>230</v>
      </c>
      <c r="M5" s="120" t="s">
        <v>231</v>
      </c>
      <c r="N5" s="120" t="s">
        <v>232</v>
      </c>
    </row>
    <row r="6" spans="1:14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  <c r="K6" s="121">
        <v>11</v>
      </c>
      <c r="L6" s="121">
        <v>12</v>
      </c>
      <c r="M6" s="121">
        <v>13</v>
      </c>
      <c r="N6" s="121">
        <v>14</v>
      </c>
    </row>
    <row r="7" spans="1:14" s="122" customFormat="1" ht="14.25">
      <c r="A7" s="123" t="s">
        <v>4</v>
      </c>
      <c r="B7" s="123" t="s">
        <v>5</v>
      </c>
      <c r="C7" s="126">
        <f>SUM(C8:C17)</f>
        <v>3928.7634336000001</v>
      </c>
      <c r="D7" s="126">
        <f t="shared" ref="D7:N7" si="0">SUM(D8:D17)</f>
        <v>0</v>
      </c>
      <c r="E7" s="126">
        <f t="shared" si="0"/>
        <v>3252.1430644799993</v>
      </c>
      <c r="F7" s="126">
        <f t="shared" si="0"/>
        <v>676.62036912000008</v>
      </c>
      <c r="G7" s="126">
        <f t="shared" si="0"/>
        <v>5114.4992567999998</v>
      </c>
      <c r="H7" s="126">
        <f t="shared" si="0"/>
        <v>0</v>
      </c>
      <c r="I7" s="126">
        <f t="shared" si="0"/>
        <v>4233.6688292399995</v>
      </c>
      <c r="J7" s="126">
        <f t="shared" si="0"/>
        <v>880.83042755999986</v>
      </c>
      <c r="K7" s="126">
        <f t="shared" si="0"/>
        <v>1185.7358231999995</v>
      </c>
      <c r="L7" s="126">
        <f t="shared" si="0"/>
        <v>0</v>
      </c>
      <c r="M7" s="126">
        <f t="shared" si="0"/>
        <v>981.52576475999967</v>
      </c>
      <c r="N7" s="126">
        <f t="shared" si="0"/>
        <v>204.21005843999993</v>
      </c>
    </row>
    <row r="8" spans="1:14">
      <c r="A8" s="124">
        <v>1</v>
      </c>
      <c r="B8" s="124" t="s">
        <v>6</v>
      </c>
      <c r="C8" s="127">
        <f>SUM(D8:F8)</f>
        <v>215.42762160000001</v>
      </c>
      <c r="D8" s="125"/>
      <c r="E8" s="125">
        <f>'DT 2024'!T10</f>
        <v>178.32619788</v>
      </c>
      <c r="F8" s="125">
        <f>'DT 2024'!U10</f>
        <v>37.10142372</v>
      </c>
      <c r="G8" s="127">
        <f>SUM(H8:J8)</f>
        <v>89.499600000000001</v>
      </c>
      <c r="H8" s="125"/>
      <c r="I8" s="125">
        <f>BCPGD!T9</f>
        <v>74.08578</v>
      </c>
      <c r="J8" s="125">
        <f>BCPGD!U9</f>
        <v>15.413820000000001</v>
      </c>
      <c r="K8" s="127">
        <f>G8-C8</f>
        <v>-125.92802160000001</v>
      </c>
      <c r="L8" s="127">
        <f>H8-D8</f>
        <v>0</v>
      </c>
      <c r="M8" s="127">
        <f>I8-E8</f>
        <v>-104.24041788</v>
      </c>
      <c r="N8" s="127">
        <f>J8-F8</f>
        <v>-21.687603719999998</v>
      </c>
    </row>
    <row r="9" spans="1:14">
      <c r="A9" s="124">
        <v>2</v>
      </c>
      <c r="B9" s="124" t="s">
        <v>7</v>
      </c>
      <c r="C9" s="127">
        <f t="shared" ref="C9:C41" si="1">SUM(D9:F9)</f>
        <v>902.52100799999994</v>
      </c>
      <c r="D9" s="125"/>
      <c r="E9" s="125">
        <f>'DT 2024'!T11</f>
        <v>747.08683439999993</v>
      </c>
      <c r="F9" s="125">
        <f>'DT 2024'!U11</f>
        <v>155.43417360000001</v>
      </c>
      <c r="G9" s="127">
        <f>SUM(H9:J9)</f>
        <v>1211.6504447999998</v>
      </c>
      <c r="H9" s="125"/>
      <c r="I9" s="125">
        <f>BCPGD!T11-H9</f>
        <v>1002.9773126399999</v>
      </c>
      <c r="J9" s="125">
        <f>BCPGD!U11</f>
        <v>208.67313215999999</v>
      </c>
      <c r="K9" s="127">
        <f t="shared" ref="K9:K17" si="2">G9-C9</f>
        <v>309.12943679999989</v>
      </c>
      <c r="L9" s="127">
        <f t="shared" ref="L9:L17" si="3">H9-D9</f>
        <v>0</v>
      </c>
      <c r="M9" s="127">
        <f t="shared" ref="M9:M17" si="4">I9-E9</f>
        <v>255.89047823999999</v>
      </c>
      <c r="N9" s="127">
        <f t="shared" ref="N9:N17" si="5">J9-F9</f>
        <v>53.238958559999986</v>
      </c>
    </row>
    <row r="10" spans="1:14">
      <c r="A10" s="124">
        <v>3</v>
      </c>
      <c r="B10" s="124" t="s">
        <v>8</v>
      </c>
      <c r="C10" s="127">
        <f t="shared" si="1"/>
        <v>0</v>
      </c>
      <c r="D10" s="125"/>
      <c r="E10" s="125">
        <f>'DT 2024'!T15</f>
        <v>0</v>
      </c>
      <c r="F10" s="125">
        <f>'DT 2024'!U15</f>
        <v>0</v>
      </c>
      <c r="G10" s="127">
        <f t="shared" ref="G10:G41" si="6">SUM(H10:J10)</f>
        <v>326.90921760000003</v>
      </c>
      <c r="H10" s="125"/>
      <c r="I10" s="125">
        <f>BCPGD!T25</f>
        <v>270.60818568000002</v>
      </c>
      <c r="J10" s="125">
        <f>BCPGD!U25</f>
        <v>56.30103192</v>
      </c>
      <c r="K10" s="127">
        <f t="shared" si="2"/>
        <v>326.90921760000003</v>
      </c>
      <c r="L10" s="127">
        <f t="shared" si="3"/>
        <v>0</v>
      </c>
      <c r="M10" s="127">
        <f t="shared" si="4"/>
        <v>270.60818568000002</v>
      </c>
      <c r="N10" s="127">
        <f t="shared" si="5"/>
        <v>56.30103192</v>
      </c>
    </row>
    <row r="11" spans="1:14">
      <c r="A11" s="124">
        <v>4</v>
      </c>
      <c r="B11" s="124" t="s">
        <v>9</v>
      </c>
      <c r="C11" s="127">
        <f t="shared" si="1"/>
        <v>250.33535999999998</v>
      </c>
      <c r="D11" s="125"/>
      <c r="E11" s="125">
        <f>'DT 2024'!T16</f>
        <v>207.22204799999997</v>
      </c>
      <c r="F11" s="125">
        <f>'DT 2024'!U16</f>
        <v>43.113312000000001</v>
      </c>
      <c r="G11" s="127">
        <f t="shared" si="6"/>
        <v>426.20425560000001</v>
      </c>
      <c r="H11" s="125"/>
      <c r="I11" s="125">
        <f>BCPGD!T29</f>
        <v>352.80241158000001</v>
      </c>
      <c r="J11" s="125">
        <f>BCPGD!U29</f>
        <v>73.401844019999999</v>
      </c>
      <c r="K11" s="127">
        <f t="shared" si="2"/>
        <v>175.86889560000003</v>
      </c>
      <c r="L11" s="127">
        <f t="shared" si="3"/>
        <v>0</v>
      </c>
      <c r="M11" s="127">
        <f t="shared" si="4"/>
        <v>145.58036358000004</v>
      </c>
      <c r="N11" s="127">
        <f t="shared" si="5"/>
        <v>30.288532019999998</v>
      </c>
    </row>
    <row r="12" spans="1:14">
      <c r="A12" s="124">
        <v>5</v>
      </c>
      <c r="B12" s="124" t="s">
        <v>10</v>
      </c>
      <c r="C12" s="127">
        <f t="shared" si="1"/>
        <v>237.5352</v>
      </c>
      <c r="D12" s="125"/>
      <c r="E12" s="125">
        <f>'DT 2024'!T19</f>
        <v>196.62636000000001</v>
      </c>
      <c r="F12" s="125">
        <f>'DT 2024'!U19</f>
        <v>40.908839999999998</v>
      </c>
      <c r="G12" s="127">
        <f t="shared" si="6"/>
        <v>421.57476000000003</v>
      </c>
      <c r="H12" s="125"/>
      <c r="I12" s="125">
        <f>BCPGD!T33</f>
        <v>348.97021800000005</v>
      </c>
      <c r="J12" s="125">
        <f>BCPGD!U33</f>
        <v>72.604541999999995</v>
      </c>
      <c r="K12" s="127">
        <f t="shared" si="2"/>
        <v>184.03956000000002</v>
      </c>
      <c r="L12" s="127">
        <f t="shared" si="3"/>
        <v>0</v>
      </c>
      <c r="M12" s="127">
        <f t="shared" si="4"/>
        <v>152.34385800000004</v>
      </c>
      <c r="N12" s="127">
        <f t="shared" si="5"/>
        <v>31.695701999999997</v>
      </c>
    </row>
    <row r="13" spans="1:14">
      <c r="A13" s="124">
        <v>6</v>
      </c>
      <c r="B13" s="124" t="s">
        <v>11</v>
      </c>
      <c r="C13" s="127">
        <f t="shared" si="1"/>
        <v>0</v>
      </c>
      <c r="D13" s="125"/>
      <c r="E13" s="125">
        <f>'DT 2024'!T22</f>
        <v>0</v>
      </c>
      <c r="F13" s="125">
        <f>'DT 2024'!U22</f>
        <v>0</v>
      </c>
      <c r="G13" s="127">
        <f t="shared" si="6"/>
        <v>270.6878304</v>
      </c>
      <c r="H13" s="125"/>
      <c r="I13" s="125">
        <f>BCPGD!T37</f>
        <v>224.06937071999999</v>
      </c>
      <c r="J13" s="125">
        <f>BCPGD!U37</f>
        <v>46.618459680000001</v>
      </c>
      <c r="K13" s="127">
        <f t="shared" si="2"/>
        <v>270.6878304</v>
      </c>
      <c r="L13" s="127">
        <f t="shared" si="3"/>
        <v>0</v>
      </c>
      <c r="M13" s="127">
        <f t="shared" si="4"/>
        <v>224.06937071999999</v>
      </c>
      <c r="N13" s="127">
        <f t="shared" si="5"/>
        <v>46.618459680000001</v>
      </c>
    </row>
    <row r="14" spans="1:14">
      <c r="A14" s="124">
        <v>7</v>
      </c>
      <c r="B14" s="124" t="s">
        <v>12</v>
      </c>
      <c r="C14" s="127">
        <f t="shared" si="1"/>
        <v>134.64359999999999</v>
      </c>
      <c r="D14" s="125"/>
      <c r="E14" s="125">
        <f>'DT 2024'!T23</f>
        <v>111.45498000000001</v>
      </c>
      <c r="F14" s="125">
        <f>'DT 2024'!U23</f>
        <v>23.18862</v>
      </c>
      <c r="G14" s="127">
        <f t="shared" si="6"/>
        <v>286.93115999999998</v>
      </c>
      <c r="H14" s="125"/>
      <c r="I14" s="125">
        <f>BCPGD!T40</f>
        <v>237.51523800000001</v>
      </c>
      <c r="J14" s="125">
        <f>BCPGD!U40</f>
        <v>49.415921999999995</v>
      </c>
      <c r="K14" s="127">
        <f t="shared" si="2"/>
        <v>152.28755999999998</v>
      </c>
      <c r="L14" s="127">
        <f t="shared" si="3"/>
        <v>0</v>
      </c>
      <c r="M14" s="127">
        <f t="shared" si="4"/>
        <v>126.060258</v>
      </c>
      <c r="N14" s="127">
        <f t="shared" si="5"/>
        <v>26.227301999999995</v>
      </c>
    </row>
    <row r="15" spans="1:14">
      <c r="A15" s="124">
        <v>8</v>
      </c>
      <c r="B15" s="124" t="s">
        <v>13</v>
      </c>
      <c r="C15" s="127">
        <f t="shared" si="1"/>
        <v>0</v>
      </c>
      <c r="D15" s="125"/>
      <c r="E15" s="125">
        <f>'DT 2024'!T25</f>
        <v>0</v>
      </c>
      <c r="F15" s="125">
        <f>'DT 2024'!U25</f>
        <v>0</v>
      </c>
      <c r="G15" s="127">
        <f t="shared" si="6"/>
        <v>0</v>
      </c>
      <c r="H15" s="125"/>
      <c r="I15" s="125">
        <f>BCPGD!T43</f>
        <v>0</v>
      </c>
      <c r="J15" s="125">
        <f>BCPGD!U43</f>
        <v>0</v>
      </c>
      <c r="K15" s="127">
        <f t="shared" si="2"/>
        <v>0</v>
      </c>
      <c r="L15" s="127">
        <f t="shared" si="3"/>
        <v>0</v>
      </c>
      <c r="M15" s="127">
        <f t="shared" si="4"/>
        <v>0</v>
      </c>
      <c r="N15" s="127">
        <f t="shared" si="5"/>
        <v>0</v>
      </c>
    </row>
    <row r="16" spans="1:14">
      <c r="A16" s="124">
        <v>9</v>
      </c>
      <c r="B16" s="124" t="s">
        <v>14</v>
      </c>
      <c r="C16" s="127">
        <f t="shared" si="1"/>
        <v>260.6472</v>
      </c>
      <c r="D16" s="125"/>
      <c r="E16" s="125">
        <f>'DT 2024'!T26</f>
        <v>215.75796</v>
      </c>
      <c r="F16" s="125">
        <f>'DT 2024'!U26</f>
        <v>44.889240000000001</v>
      </c>
      <c r="G16" s="127">
        <f t="shared" si="6"/>
        <v>440.55243359999997</v>
      </c>
      <c r="H16" s="125"/>
      <c r="I16" s="125">
        <f>BCPGD!T44</f>
        <v>364.67951447999997</v>
      </c>
      <c r="J16" s="125">
        <f>BCPGD!U44</f>
        <v>75.872919120000006</v>
      </c>
      <c r="K16" s="127">
        <f t="shared" si="2"/>
        <v>179.90523359999997</v>
      </c>
      <c r="L16" s="127">
        <f t="shared" si="3"/>
        <v>0</v>
      </c>
      <c r="M16" s="127">
        <f t="shared" si="4"/>
        <v>148.92155447999997</v>
      </c>
      <c r="N16" s="127">
        <f t="shared" si="5"/>
        <v>30.983679120000005</v>
      </c>
    </row>
    <row r="17" spans="1:14">
      <c r="A17" s="124">
        <v>10</v>
      </c>
      <c r="B17" s="124" t="s">
        <v>15</v>
      </c>
      <c r="C17" s="127">
        <f t="shared" si="1"/>
        <v>1927.653444</v>
      </c>
      <c r="D17" s="125"/>
      <c r="E17" s="125">
        <f>'DT 2024'!T28</f>
        <v>1595.6686841999999</v>
      </c>
      <c r="F17" s="125">
        <f>'DT 2024'!U28</f>
        <v>331.98475980000001</v>
      </c>
      <c r="G17" s="127">
        <f t="shared" si="6"/>
        <v>1640.4895547999995</v>
      </c>
      <c r="H17" s="125"/>
      <c r="I17" s="125">
        <f>BCPGD!T48</f>
        <v>1357.9607981399995</v>
      </c>
      <c r="J17" s="125">
        <f>BCPGD!U48</f>
        <v>282.52875665999994</v>
      </c>
      <c r="K17" s="127">
        <f t="shared" si="2"/>
        <v>-287.16388920000054</v>
      </c>
      <c r="L17" s="127">
        <f t="shared" si="3"/>
        <v>0</v>
      </c>
      <c r="M17" s="127">
        <f t="shared" si="4"/>
        <v>-237.70788606000042</v>
      </c>
      <c r="N17" s="127">
        <f t="shared" si="5"/>
        <v>-49.456003140000064</v>
      </c>
    </row>
    <row r="18" spans="1:14" s="122" customFormat="1" ht="14.25">
      <c r="A18" s="123" t="s">
        <v>200</v>
      </c>
      <c r="B18" s="123" t="s">
        <v>16</v>
      </c>
      <c r="C18" s="126">
        <f>SUM(C19:C31)</f>
        <v>3260.6518140000003</v>
      </c>
      <c r="D18" s="126">
        <f t="shared" ref="D18:N18" si="7">SUM(D19:D31)</f>
        <v>0</v>
      </c>
      <c r="E18" s="126">
        <f t="shared" si="7"/>
        <v>2699.0951126999998</v>
      </c>
      <c r="F18" s="126">
        <f t="shared" si="7"/>
        <v>561.55670129999999</v>
      </c>
      <c r="G18" s="126">
        <f t="shared" si="7"/>
        <v>3586.2704748000001</v>
      </c>
      <c r="H18" s="126">
        <f t="shared" si="7"/>
        <v>0</v>
      </c>
      <c r="I18" s="126">
        <f t="shared" si="7"/>
        <v>2968.6350041399996</v>
      </c>
      <c r="J18" s="126">
        <f t="shared" si="7"/>
        <v>617.63547066000001</v>
      </c>
      <c r="K18" s="126">
        <f t="shared" si="7"/>
        <v>325.61866079999993</v>
      </c>
      <c r="L18" s="126">
        <f t="shared" si="7"/>
        <v>0</v>
      </c>
      <c r="M18" s="126">
        <f t="shared" si="7"/>
        <v>269.53989144000002</v>
      </c>
      <c r="N18" s="126">
        <f t="shared" si="7"/>
        <v>56.078769359999995</v>
      </c>
    </row>
    <row r="19" spans="1:14">
      <c r="A19" s="124">
        <v>11</v>
      </c>
      <c r="B19" s="124" t="s">
        <v>17</v>
      </c>
      <c r="C19" s="127">
        <f t="shared" si="1"/>
        <v>287.96688</v>
      </c>
      <c r="D19" s="125"/>
      <c r="E19" s="125">
        <f>'DT 2024'!T36</f>
        <v>238.37258399999999</v>
      </c>
      <c r="F19" s="125">
        <f>'DT 2024'!U36</f>
        <v>49.594296</v>
      </c>
      <c r="G19" s="127">
        <f t="shared" si="6"/>
        <v>287.96688</v>
      </c>
      <c r="H19" s="125"/>
      <c r="I19" s="125">
        <f>BCPGD!T66</f>
        <v>238.37258399999999</v>
      </c>
      <c r="J19" s="125">
        <f>BCPGD!U66</f>
        <v>49.594296</v>
      </c>
      <c r="K19" s="127">
        <f t="shared" ref="K19:K31" si="8">G19-C19</f>
        <v>0</v>
      </c>
      <c r="L19" s="127">
        <f t="shared" ref="L19:L31" si="9">H19-D19</f>
        <v>0</v>
      </c>
      <c r="M19" s="127">
        <f t="shared" ref="M19:M31" si="10">I19-E19</f>
        <v>0</v>
      </c>
      <c r="N19" s="127">
        <f t="shared" ref="N19:N31" si="11">J19-F19</f>
        <v>0</v>
      </c>
    </row>
    <row r="20" spans="1:14">
      <c r="A20" s="124">
        <v>12</v>
      </c>
      <c r="B20" s="124" t="s">
        <v>18</v>
      </c>
      <c r="C20" s="127">
        <f t="shared" si="1"/>
        <v>196.98768000000001</v>
      </c>
      <c r="D20" s="125"/>
      <c r="E20" s="125">
        <f>'DT 2024'!T38</f>
        <v>163.06202400000001</v>
      </c>
      <c r="F20" s="125">
        <f>'DT 2024'!U38</f>
        <v>33.925655999999996</v>
      </c>
      <c r="G20" s="127">
        <f t="shared" si="6"/>
        <v>196.98768000000001</v>
      </c>
      <c r="H20" s="125"/>
      <c r="I20" s="125">
        <f>BCPGD!T69</f>
        <v>163.06202400000001</v>
      </c>
      <c r="J20" s="125">
        <f>BCPGD!U69</f>
        <v>33.925655999999996</v>
      </c>
      <c r="K20" s="127">
        <f t="shared" si="8"/>
        <v>0</v>
      </c>
      <c r="L20" s="127">
        <f t="shared" si="9"/>
        <v>0</v>
      </c>
      <c r="M20" s="127">
        <f t="shared" si="10"/>
        <v>0</v>
      </c>
      <c r="N20" s="127">
        <f t="shared" si="11"/>
        <v>0</v>
      </c>
    </row>
    <row r="21" spans="1:14">
      <c r="A21" s="124">
        <v>13</v>
      </c>
      <c r="B21" s="124" t="s">
        <v>19</v>
      </c>
      <c r="C21" s="127">
        <f t="shared" si="1"/>
        <v>741.51719999999989</v>
      </c>
      <c r="D21" s="125"/>
      <c r="E21" s="125">
        <f>'DT 2024'!T40</f>
        <v>613.8114599999999</v>
      </c>
      <c r="F21" s="125">
        <f>'DT 2024'!U40</f>
        <v>127.70573999999999</v>
      </c>
      <c r="G21" s="127">
        <f t="shared" si="6"/>
        <v>765.28522439999995</v>
      </c>
      <c r="H21" s="125"/>
      <c r="I21" s="125">
        <f>BCPGD!T72</f>
        <v>633.48610241999995</v>
      </c>
      <c r="J21" s="125">
        <f>BCPGD!U72</f>
        <v>131.79912198</v>
      </c>
      <c r="K21" s="127">
        <f t="shared" si="8"/>
        <v>23.768024400000058</v>
      </c>
      <c r="L21" s="127">
        <f t="shared" si="9"/>
        <v>0</v>
      </c>
      <c r="M21" s="127">
        <f t="shared" si="10"/>
        <v>19.674642420000055</v>
      </c>
      <c r="N21" s="127">
        <f t="shared" si="11"/>
        <v>4.0933819800000038</v>
      </c>
    </row>
    <row r="22" spans="1:14">
      <c r="A22" s="124">
        <v>14</v>
      </c>
      <c r="B22" s="124" t="s">
        <v>20</v>
      </c>
      <c r="C22" s="127">
        <f t="shared" si="1"/>
        <v>471.56623200000001</v>
      </c>
      <c r="D22" s="125"/>
      <c r="E22" s="125">
        <f>'DT 2024'!T42</f>
        <v>390.35204759999999</v>
      </c>
      <c r="F22" s="125">
        <f>'DT 2024'!U42</f>
        <v>81.214184399999994</v>
      </c>
      <c r="G22" s="127">
        <f t="shared" si="6"/>
        <v>0</v>
      </c>
      <c r="H22" s="125"/>
      <c r="I22" s="125">
        <f>BCPGD!T78</f>
        <v>0</v>
      </c>
      <c r="J22" s="125">
        <f>BCPGD!U78</f>
        <v>0</v>
      </c>
      <c r="K22" s="127">
        <f t="shared" si="8"/>
        <v>-471.56623200000001</v>
      </c>
      <c r="L22" s="127">
        <f t="shared" si="9"/>
        <v>0</v>
      </c>
      <c r="M22" s="127">
        <f t="shared" si="10"/>
        <v>-390.35204759999999</v>
      </c>
      <c r="N22" s="127">
        <f t="shared" si="11"/>
        <v>-81.214184399999994</v>
      </c>
    </row>
    <row r="23" spans="1:14">
      <c r="A23" s="124">
        <v>15</v>
      </c>
      <c r="B23" s="124" t="s">
        <v>21</v>
      </c>
      <c r="C23" s="127">
        <f t="shared" si="1"/>
        <v>0</v>
      </c>
      <c r="D23" s="125"/>
      <c r="E23" s="125">
        <f>'DT 2024'!T46</f>
        <v>0</v>
      </c>
      <c r="F23" s="125">
        <f>'DT 2024'!U46</f>
        <v>0</v>
      </c>
      <c r="G23" s="127">
        <f t="shared" si="6"/>
        <v>301.36859999999996</v>
      </c>
      <c r="H23" s="125"/>
      <c r="I23" s="125">
        <f>BCPGD!T79</f>
        <v>249.46622999999997</v>
      </c>
      <c r="J23" s="125">
        <f>BCPGD!U79</f>
        <v>51.902369999999991</v>
      </c>
      <c r="K23" s="127">
        <f t="shared" si="8"/>
        <v>301.36859999999996</v>
      </c>
      <c r="L23" s="127">
        <f t="shared" si="9"/>
        <v>0</v>
      </c>
      <c r="M23" s="127">
        <f t="shared" si="10"/>
        <v>249.46622999999997</v>
      </c>
      <c r="N23" s="127">
        <f t="shared" si="11"/>
        <v>51.902369999999991</v>
      </c>
    </row>
    <row r="24" spans="1:14">
      <c r="A24" s="124">
        <v>16</v>
      </c>
      <c r="B24" s="124" t="s">
        <v>22</v>
      </c>
      <c r="C24" s="127">
        <f t="shared" si="1"/>
        <v>196.98768000000001</v>
      </c>
      <c r="D24" s="125"/>
      <c r="E24" s="125">
        <f>'DT 2024'!T47</f>
        <v>163.06202400000001</v>
      </c>
      <c r="F24" s="125">
        <f>'DT 2024'!U47</f>
        <v>33.925655999999996</v>
      </c>
      <c r="G24" s="127">
        <f t="shared" si="6"/>
        <v>295.48151999999999</v>
      </c>
      <c r="H24" s="125"/>
      <c r="I24" s="125">
        <f>BCPGD!T83</f>
        <v>244.59303600000001</v>
      </c>
      <c r="J24" s="125">
        <f>BCPGD!U83</f>
        <v>50.888483999999991</v>
      </c>
      <c r="K24" s="127">
        <f t="shared" si="8"/>
        <v>98.493839999999977</v>
      </c>
      <c r="L24" s="127">
        <f t="shared" si="9"/>
        <v>0</v>
      </c>
      <c r="M24" s="127">
        <f t="shared" si="10"/>
        <v>81.531012000000004</v>
      </c>
      <c r="N24" s="127">
        <f t="shared" si="11"/>
        <v>16.962827999999995</v>
      </c>
    </row>
    <row r="25" spans="1:14">
      <c r="A25" s="124">
        <v>17</v>
      </c>
      <c r="B25" s="124" t="s">
        <v>23</v>
      </c>
      <c r="C25" s="127">
        <f t="shared" si="1"/>
        <v>287.96688</v>
      </c>
      <c r="D25" s="125"/>
      <c r="E25" s="125">
        <f>'DT 2024'!T49</f>
        <v>238.37258399999999</v>
      </c>
      <c r="F25" s="125">
        <f>'DT 2024'!U49</f>
        <v>49.594296</v>
      </c>
      <c r="G25" s="127">
        <f t="shared" si="6"/>
        <v>267.70607999999999</v>
      </c>
      <c r="H25" s="125"/>
      <c r="I25" s="125">
        <f>BCPGD!T87</f>
        <v>221.60114399999998</v>
      </c>
      <c r="J25" s="125">
        <f>BCPGD!U87</f>
        <v>46.104936000000002</v>
      </c>
      <c r="K25" s="127">
        <f t="shared" si="8"/>
        <v>-20.260800000000017</v>
      </c>
      <c r="L25" s="127">
        <f t="shared" si="9"/>
        <v>0</v>
      </c>
      <c r="M25" s="127">
        <f t="shared" si="10"/>
        <v>-16.771440000000013</v>
      </c>
      <c r="N25" s="127">
        <f t="shared" si="11"/>
        <v>-3.4893599999999978</v>
      </c>
    </row>
    <row r="26" spans="1:14">
      <c r="A26" s="124">
        <v>18</v>
      </c>
      <c r="B26" s="124" t="s">
        <v>24</v>
      </c>
      <c r="C26" s="127">
        <f t="shared" si="1"/>
        <v>393.97536000000002</v>
      </c>
      <c r="D26" s="125"/>
      <c r="E26" s="125">
        <f>'DT 2024'!T51</f>
        <v>326.12404800000002</v>
      </c>
      <c r="F26" s="125">
        <f>'DT 2024'!U51</f>
        <v>67.851311999999993</v>
      </c>
      <c r="G26" s="127">
        <f t="shared" si="6"/>
        <v>393.97536000000002</v>
      </c>
      <c r="H26" s="125"/>
      <c r="I26" s="125">
        <f>BCPGD!T90</f>
        <v>326.12404800000002</v>
      </c>
      <c r="J26" s="125">
        <f>BCPGD!U90</f>
        <v>67.851311999999993</v>
      </c>
      <c r="K26" s="127">
        <f t="shared" si="8"/>
        <v>0</v>
      </c>
      <c r="L26" s="127">
        <f t="shared" si="9"/>
        <v>0</v>
      </c>
      <c r="M26" s="127">
        <f t="shared" si="10"/>
        <v>0</v>
      </c>
      <c r="N26" s="127">
        <f t="shared" si="11"/>
        <v>0</v>
      </c>
    </row>
    <row r="27" spans="1:14">
      <c r="A27" s="124">
        <v>19</v>
      </c>
      <c r="B27" s="124" t="s">
        <v>25</v>
      </c>
      <c r="C27" s="127">
        <f t="shared" si="1"/>
        <v>287.96688</v>
      </c>
      <c r="D27" s="125"/>
      <c r="E27" s="125">
        <f>'DT 2024'!T55</f>
        <v>238.37258399999999</v>
      </c>
      <c r="F27" s="125">
        <f>'DT 2024'!U55</f>
        <v>49.594296</v>
      </c>
      <c r="G27" s="127">
        <f t="shared" si="6"/>
        <v>287.96688</v>
      </c>
      <c r="H27" s="125"/>
      <c r="I27" s="125">
        <f>BCPGD!T95</f>
        <v>238.37258399999999</v>
      </c>
      <c r="J27" s="125">
        <f>BCPGD!U95</f>
        <v>49.594296</v>
      </c>
      <c r="K27" s="127">
        <f t="shared" si="8"/>
        <v>0</v>
      </c>
      <c r="L27" s="127">
        <f t="shared" si="9"/>
        <v>0</v>
      </c>
      <c r="M27" s="127">
        <f t="shared" si="10"/>
        <v>0</v>
      </c>
      <c r="N27" s="127">
        <f t="shared" si="11"/>
        <v>0</v>
      </c>
    </row>
    <row r="28" spans="1:14">
      <c r="A28" s="124">
        <v>20</v>
      </c>
      <c r="B28" s="124" t="s">
        <v>26</v>
      </c>
      <c r="C28" s="127">
        <f t="shared" si="1"/>
        <v>0</v>
      </c>
      <c r="D28" s="125"/>
      <c r="E28" s="125">
        <f>'DT 2024'!T57</f>
        <v>0</v>
      </c>
      <c r="F28" s="125">
        <f>'DT 2024'!U57</f>
        <v>0</v>
      </c>
      <c r="G28" s="127">
        <f t="shared" si="6"/>
        <v>96.333839999999981</v>
      </c>
      <c r="H28" s="125"/>
      <c r="I28" s="125">
        <f>BCPGD!T98</f>
        <v>79.743011999999993</v>
      </c>
      <c r="J28" s="125">
        <f>BCPGD!U98</f>
        <v>16.590827999999995</v>
      </c>
      <c r="K28" s="127">
        <f t="shared" si="8"/>
        <v>96.333839999999981</v>
      </c>
      <c r="L28" s="127">
        <f t="shared" si="9"/>
        <v>0</v>
      </c>
      <c r="M28" s="127">
        <f t="shared" si="10"/>
        <v>79.743011999999993</v>
      </c>
      <c r="N28" s="127">
        <f t="shared" si="11"/>
        <v>16.590827999999995</v>
      </c>
    </row>
    <row r="29" spans="1:14">
      <c r="A29" s="124">
        <v>21</v>
      </c>
      <c r="B29" s="124" t="s">
        <v>27</v>
      </c>
      <c r="C29" s="127">
        <f t="shared" si="1"/>
        <v>247.41358200000002</v>
      </c>
      <c r="D29" s="125"/>
      <c r="E29" s="125">
        <f>'DT 2024'!T58</f>
        <v>204.80346510000001</v>
      </c>
      <c r="F29" s="125">
        <f>'DT 2024'!U58</f>
        <v>42.610116899999994</v>
      </c>
      <c r="G29" s="127">
        <f t="shared" si="6"/>
        <v>196.98768000000001</v>
      </c>
      <c r="H29" s="125"/>
      <c r="I29" s="125">
        <f>BCPGD!T100</f>
        <v>163.06202400000001</v>
      </c>
      <c r="J29" s="125">
        <f>BCPGD!U100</f>
        <v>33.925655999999996</v>
      </c>
      <c r="K29" s="127">
        <f t="shared" si="8"/>
        <v>-50.425902000000008</v>
      </c>
      <c r="L29" s="127">
        <f t="shared" si="9"/>
        <v>0</v>
      </c>
      <c r="M29" s="127">
        <f t="shared" si="10"/>
        <v>-41.741441100000003</v>
      </c>
      <c r="N29" s="127">
        <f t="shared" si="11"/>
        <v>-8.6844608999999977</v>
      </c>
    </row>
    <row r="30" spans="1:14">
      <c r="A30" s="124">
        <v>22</v>
      </c>
      <c r="B30" s="124" t="s">
        <v>28</v>
      </c>
      <c r="C30" s="127">
        <f t="shared" si="1"/>
        <v>0</v>
      </c>
      <c r="D30" s="125"/>
      <c r="E30" s="125">
        <f>'DT 2024'!T61</f>
        <v>0</v>
      </c>
      <c r="F30" s="125">
        <f>'DT 2024'!U61</f>
        <v>0</v>
      </c>
      <c r="G30" s="127">
        <f t="shared" si="6"/>
        <v>347.90729039999997</v>
      </c>
      <c r="H30" s="125"/>
      <c r="I30" s="125">
        <f>BCPGD!T103</f>
        <v>287.98992371999998</v>
      </c>
      <c r="J30" s="125">
        <f>BCPGD!U103</f>
        <v>59.917366680000001</v>
      </c>
      <c r="K30" s="127">
        <f t="shared" si="8"/>
        <v>347.90729039999997</v>
      </c>
      <c r="L30" s="127">
        <f t="shared" si="9"/>
        <v>0</v>
      </c>
      <c r="M30" s="127">
        <f t="shared" si="10"/>
        <v>287.98992371999998</v>
      </c>
      <c r="N30" s="127">
        <f t="shared" si="11"/>
        <v>59.917366680000001</v>
      </c>
    </row>
    <row r="31" spans="1:14">
      <c r="A31" s="124">
        <v>23</v>
      </c>
      <c r="B31" s="124" t="s">
        <v>29</v>
      </c>
      <c r="C31" s="127">
        <f t="shared" si="1"/>
        <v>148.30343999999999</v>
      </c>
      <c r="D31" s="125"/>
      <c r="E31" s="125">
        <f>'DT 2024'!T62</f>
        <v>122.762292</v>
      </c>
      <c r="F31" s="125">
        <f>'DT 2024'!U62</f>
        <v>25.541148</v>
      </c>
      <c r="G31" s="127">
        <f t="shared" si="6"/>
        <v>148.30343999999999</v>
      </c>
      <c r="H31" s="125"/>
      <c r="I31" s="125">
        <f>'DT 2024'!T62</f>
        <v>122.762292</v>
      </c>
      <c r="J31" s="125">
        <f>'DT 2024'!U62</f>
        <v>25.541148</v>
      </c>
      <c r="K31" s="127">
        <f t="shared" si="8"/>
        <v>0</v>
      </c>
      <c r="L31" s="127">
        <f t="shared" si="9"/>
        <v>0</v>
      </c>
      <c r="M31" s="127">
        <f t="shared" si="10"/>
        <v>0</v>
      </c>
      <c r="N31" s="127">
        <f t="shared" si="11"/>
        <v>0</v>
      </c>
    </row>
    <row r="32" spans="1:14" s="122" customFormat="1" ht="14.25">
      <c r="A32" s="123" t="s">
        <v>214</v>
      </c>
      <c r="B32" s="123" t="s">
        <v>30</v>
      </c>
      <c r="C32" s="126">
        <f>SUM(C33:C41)</f>
        <v>1999.864836</v>
      </c>
      <c r="D32" s="126">
        <f t="shared" ref="D32:N32" si="12">SUM(D33:D41)</f>
        <v>0</v>
      </c>
      <c r="E32" s="126">
        <f t="shared" si="12"/>
        <v>1655.4436698</v>
      </c>
      <c r="F32" s="126">
        <f t="shared" si="12"/>
        <v>344.42116620000002</v>
      </c>
      <c r="G32" s="126">
        <f t="shared" si="12"/>
        <v>545.47343999999998</v>
      </c>
      <c r="H32" s="126">
        <f t="shared" si="12"/>
        <v>0</v>
      </c>
      <c r="I32" s="126">
        <f t="shared" si="12"/>
        <v>451.53079200000002</v>
      </c>
      <c r="J32" s="126">
        <f t="shared" si="12"/>
        <v>93.942648000000005</v>
      </c>
      <c r="K32" s="126">
        <f t="shared" si="12"/>
        <v>-1454.391396</v>
      </c>
      <c r="L32" s="126">
        <f t="shared" si="12"/>
        <v>0</v>
      </c>
      <c r="M32" s="126">
        <f t="shared" si="12"/>
        <v>-1203.9128777999999</v>
      </c>
      <c r="N32" s="126">
        <f t="shared" si="12"/>
        <v>-250.47851819999994</v>
      </c>
    </row>
    <row r="33" spans="1:14">
      <c r="A33" s="124">
        <v>24</v>
      </c>
      <c r="B33" s="124" t="s">
        <v>28</v>
      </c>
      <c r="C33" s="127">
        <f t="shared" si="1"/>
        <v>0</v>
      </c>
      <c r="D33" s="125"/>
      <c r="E33" s="125">
        <f>'DT 2024'!T65</f>
        <v>0</v>
      </c>
      <c r="F33" s="125">
        <f>'DT 2024'!U65</f>
        <v>0</v>
      </c>
      <c r="G33" s="127">
        <f t="shared" si="6"/>
        <v>0</v>
      </c>
      <c r="H33" s="125"/>
      <c r="I33" s="125">
        <f>BCPGD!T109</f>
        <v>0</v>
      </c>
      <c r="J33" s="125">
        <f>BCPGD!U109</f>
        <v>0</v>
      </c>
      <c r="K33" s="127">
        <f t="shared" ref="K33:K41" si="13">G33-C33</f>
        <v>0</v>
      </c>
      <c r="L33" s="127">
        <f t="shared" ref="L33:L41" si="14">H33-D33</f>
        <v>0</v>
      </c>
      <c r="M33" s="127">
        <f t="shared" ref="M33:M41" si="15">I33-E33</f>
        <v>0</v>
      </c>
      <c r="N33" s="127">
        <f t="shared" ref="N33:N41" si="16">J33-F33</f>
        <v>0</v>
      </c>
    </row>
    <row r="34" spans="1:14">
      <c r="A34" s="124">
        <v>25</v>
      </c>
      <c r="B34" s="124" t="s">
        <v>29</v>
      </c>
      <c r="C34" s="127">
        <f t="shared" si="1"/>
        <v>148.30343999999999</v>
      </c>
      <c r="D34" s="125"/>
      <c r="E34" s="125">
        <f>'DT 2024'!T66</f>
        <v>122.762292</v>
      </c>
      <c r="F34" s="125">
        <f>'DT 2024'!U66</f>
        <v>25.541148</v>
      </c>
      <c r="G34" s="127">
        <f t="shared" si="6"/>
        <v>0</v>
      </c>
      <c r="H34" s="125"/>
      <c r="I34" s="125">
        <f>BCPGD!T110</f>
        <v>0</v>
      </c>
      <c r="J34" s="125">
        <f>BCPGD!U110</f>
        <v>0</v>
      </c>
      <c r="K34" s="127">
        <f t="shared" si="13"/>
        <v>-148.30343999999999</v>
      </c>
      <c r="L34" s="127">
        <f t="shared" si="14"/>
        <v>0</v>
      </c>
      <c r="M34" s="127">
        <f t="shared" si="15"/>
        <v>-122.762292</v>
      </c>
      <c r="N34" s="127">
        <f t="shared" si="16"/>
        <v>-25.541148</v>
      </c>
    </row>
    <row r="35" spans="1:14">
      <c r="A35" s="124">
        <v>26</v>
      </c>
      <c r="B35" s="124" t="s">
        <v>31</v>
      </c>
      <c r="C35" s="127">
        <f t="shared" si="1"/>
        <v>324.60663599999998</v>
      </c>
      <c r="D35" s="125"/>
      <c r="E35" s="125">
        <f>'DT 2024'!T68</f>
        <v>268.7021598</v>
      </c>
      <c r="F35" s="125">
        <f>'DT 2024'!U68</f>
        <v>55.904476199999998</v>
      </c>
      <c r="G35" s="127">
        <f t="shared" si="6"/>
        <v>0</v>
      </c>
      <c r="H35" s="125"/>
      <c r="I35" s="125">
        <f>BCPGD!T111</f>
        <v>0</v>
      </c>
      <c r="J35" s="125">
        <f>BCPGD!U111</f>
        <v>0</v>
      </c>
      <c r="K35" s="127">
        <f t="shared" si="13"/>
        <v>-324.60663599999998</v>
      </c>
      <c r="L35" s="127">
        <f t="shared" si="14"/>
        <v>0</v>
      </c>
      <c r="M35" s="127">
        <f t="shared" si="15"/>
        <v>-268.7021598</v>
      </c>
      <c r="N35" s="127">
        <f t="shared" si="16"/>
        <v>-55.904476199999998</v>
      </c>
    </row>
    <row r="36" spans="1:14">
      <c r="A36" s="124">
        <v>27</v>
      </c>
      <c r="B36" s="124" t="s">
        <v>32</v>
      </c>
      <c r="C36" s="127">
        <f t="shared" si="1"/>
        <v>454.56119999999999</v>
      </c>
      <c r="D36" s="125"/>
      <c r="E36" s="125">
        <f>'DT 2024'!T71</f>
        <v>376.27566000000002</v>
      </c>
      <c r="F36" s="125">
        <f>'DT 2024'!U71</f>
        <v>78.285539999999997</v>
      </c>
      <c r="G36" s="127">
        <f t="shared" si="6"/>
        <v>181.82447999999999</v>
      </c>
      <c r="H36" s="125"/>
      <c r="I36" s="125">
        <f>BCPGD!T112</f>
        <v>150.51026400000001</v>
      </c>
      <c r="J36" s="125">
        <f>BCPGD!U112</f>
        <v>31.314216000000002</v>
      </c>
      <c r="K36" s="127">
        <f t="shared" si="13"/>
        <v>-272.73671999999999</v>
      </c>
      <c r="L36" s="127">
        <f t="shared" si="14"/>
        <v>0</v>
      </c>
      <c r="M36" s="127">
        <f t="shared" si="15"/>
        <v>-225.76539600000001</v>
      </c>
      <c r="N36" s="127">
        <f t="shared" si="16"/>
        <v>-46.971323999999996</v>
      </c>
    </row>
    <row r="37" spans="1:14">
      <c r="A37" s="124">
        <v>28</v>
      </c>
      <c r="B37" s="124" t="s">
        <v>33</v>
      </c>
      <c r="C37" s="127">
        <f t="shared" si="1"/>
        <v>363.64895999999999</v>
      </c>
      <c r="D37" s="125"/>
      <c r="E37" s="125">
        <f>'DT 2024'!T73</f>
        <v>301.02052800000001</v>
      </c>
      <c r="F37" s="125">
        <f>'DT 2024'!U73</f>
        <v>62.628432000000004</v>
      </c>
      <c r="G37" s="127">
        <f t="shared" si="6"/>
        <v>181.82447999999999</v>
      </c>
      <c r="H37" s="125"/>
      <c r="I37" s="125">
        <f>BCPGD!T115</f>
        <v>150.51026400000001</v>
      </c>
      <c r="J37" s="125">
        <f>BCPGD!U115</f>
        <v>31.314216000000002</v>
      </c>
      <c r="K37" s="127">
        <f t="shared" si="13"/>
        <v>-181.82447999999999</v>
      </c>
      <c r="L37" s="127">
        <f t="shared" si="14"/>
        <v>0</v>
      </c>
      <c r="M37" s="127">
        <f t="shared" si="15"/>
        <v>-150.51026400000001</v>
      </c>
      <c r="N37" s="127">
        <f t="shared" si="16"/>
        <v>-31.314216000000002</v>
      </c>
    </row>
    <row r="38" spans="1:14">
      <c r="A38" s="124">
        <v>29</v>
      </c>
      <c r="B38" s="124" t="s">
        <v>34</v>
      </c>
      <c r="C38" s="127">
        <f t="shared" si="1"/>
        <v>295.33248000000003</v>
      </c>
      <c r="D38" s="125"/>
      <c r="E38" s="125">
        <f>'DT 2024'!T75</f>
        <v>244.46966400000002</v>
      </c>
      <c r="F38" s="125">
        <f>'DT 2024'!U75</f>
        <v>50.862816000000002</v>
      </c>
      <c r="G38" s="127">
        <f t="shared" si="6"/>
        <v>181.82447999999999</v>
      </c>
      <c r="H38" s="125"/>
      <c r="I38" s="125">
        <f>BCPGD!T118</f>
        <v>150.51026400000001</v>
      </c>
      <c r="J38" s="125">
        <f>BCPGD!U118</f>
        <v>31.314216000000002</v>
      </c>
      <c r="K38" s="127">
        <f t="shared" si="13"/>
        <v>-113.50800000000004</v>
      </c>
      <c r="L38" s="127">
        <f t="shared" si="14"/>
        <v>0</v>
      </c>
      <c r="M38" s="127">
        <f t="shared" si="15"/>
        <v>-93.959400000000016</v>
      </c>
      <c r="N38" s="127">
        <f t="shared" si="16"/>
        <v>-19.5486</v>
      </c>
    </row>
    <row r="39" spans="1:14">
      <c r="A39" s="124">
        <v>30</v>
      </c>
      <c r="B39" s="124" t="s">
        <v>35</v>
      </c>
      <c r="C39" s="127">
        <f t="shared" si="1"/>
        <v>91.542960000000008</v>
      </c>
      <c r="D39" s="125"/>
      <c r="E39" s="125">
        <f>'DT 2024'!T78</f>
        <v>75.777228000000008</v>
      </c>
      <c r="F39" s="125">
        <f>'DT 2024'!U78</f>
        <v>15.765732</v>
      </c>
      <c r="G39" s="127">
        <f t="shared" si="6"/>
        <v>0</v>
      </c>
      <c r="H39" s="125"/>
      <c r="I39" s="125">
        <f>BCPGD!T121</f>
        <v>0</v>
      </c>
      <c r="J39" s="125">
        <f>BCPGD!U121</f>
        <v>0</v>
      </c>
      <c r="K39" s="127">
        <f t="shared" si="13"/>
        <v>-91.542960000000008</v>
      </c>
      <c r="L39" s="127">
        <f t="shared" si="14"/>
        <v>0</v>
      </c>
      <c r="M39" s="127">
        <f t="shared" si="15"/>
        <v>-75.777228000000008</v>
      </c>
      <c r="N39" s="127">
        <f t="shared" si="16"/>
        <v>-15.765732</v>
      </c>
    </row>
    <row r="40" spans="1:14">
      <c r="A40" s="124">
        <v>31</v>
      </c>
      <c r="B40" s="124" t="s">
        <v>36</v>
      </c>
      <c r="C40" s="127">
        <f t="shared" si="1"/>
        <v>321.86916000000002</v>
      </c>
      <c r="D40" s="125"/>
      <c r="E40" s="125">
        <f>'DT 2024'!T80</f>
        <v>266.43613800000003</v>
      </c>
      <c r="F40" s="125">
        <f>'DT 2024'!U80</f>
        <v>55.433021999999994</v>
      </c>
      <c r="G40" s="127">
        <f t="shared" si="6"/>
        <v>0</v>
      </c>
      <c r="H40" s="125"/>
      <c r="I40" s="125">
        <f>BCPGD!T122</f>
        <v>0</v>
      </c>
      <c r="J40" s="125">
        <f>BCPGD!U122</f>
        <v>0</v>
      </c>
      <c r="K40" s="127">
        <f t="shared" si="13"/>
        <v>-321.86916000000002</v>
      </c>
      <c r="L40" s="127">
        <f t="shared" si="14"/>
        <v>0</v>
      </c>
      <c r="M40" s="127">
        <f t="shared" si="15"/>
        <v>-266.43613800000003</v>
      </c>
      <c r="N40" s="127">
        <f t="shared" si="16"/>
        <v>-55.433021999999994</v>
      </c>
    </row>
    <row r="41" spans="1:14">
      <c r="A41" s="124">
        <v>32</v>
      </c>
      <c r="B41" s="124" t="s">
        <v>37</v>
      </c>
      <c r="C41" s="127">
        <f t="shared" si="1"/>
        <v>0</v>
      </c>
      <c r="D41" s="125"/>
      <c r="E41" s="125">
        <f>'DT 2024'!T83</f>
        <v>0</v>
      </c>
      <c r="F41" s="125">
        <f>'DT 2024'!U83</f>
        <v>0</v>
      </c>
      <c r="G41" s="127">
        <f t="shared" si="6"/>
        <v>0</v>
      </c>
      <c r="H41" s="125"/>
      <c r="I41" s="125">
        <f>BCPGD!T123</f>
        <v>0</v>
      </c>
      <c r="J41" s="125">
        <f>BCPGD!U123</f>
        <v>0</v>
      </c>
      <c r="K41" s="127">
        <f t="shared" si="13"/>
        <v>0</v>
      </c>
      <c r="L41" s="127">
        <f t="shared" si="14"/>
        <v>0</v>
      </c>
      <c r="M41" s="127">
        <f t="shared" si="15"/>
        <v>0</v>
      </c>
      <c r="N41" s="127">
        <f t="shared" si="16"/>
        <v>0</v>
      </c>
    </row>
    <row r="42" spans="1:14">
      <c r="A42" s="421" t="s">
        <v>43</v>
      </c>
      <c r="B42" s="421"/>
      <c r="C42" s="152">
        <f t="shared" ref="C42:J42" si="17">C7+C18+C32</f>
        <v>9189.2800836000006</v>
      </c>
      <c r="D42" s="152">
        <f t="shared" si="17"/>
        <v>0</v>
      </c>
      <c r="E42" s="152">
        <f t="shared" si="17"/>
        <v>7606.6818469799991</v>
      </c>
      <c r="F42" s="152">
        <f t="shared" si="17"/>
        <v>1582.5982366200001</v>
      </c>
      <c r="G42" s="152">
        <f t="shared" si="17"/>
        <v>9246.2431715999992</v>
      </c>
      <c r="H42" s="152">
        <f t="shared" si="17"/>
        <v>0</v>
      </c>
      <c r="I42" s="152">
        <f t="shared" si="17"/>
        <v>7653.8346253799991</v>
      </c>
      <c r="J42" s="152">
        <f t="shared" si="17"/>
        <v>1592.4085462199998</v>
      </c>
      <c r="K42" s="152">
        <f>K7+K18+K32</f>
        <v>56.963087999999516</v>
      </c>
      <c r="L42" s="152">
        <f>L7+L18+L32</f>
        <v>0</v>
      </c>
      <c r="M42" s="152">
        <f>M7+M18+M32</f>
        <v>47.152778399999761</v>
      </c>
      <c r="N42" s="152">
        <f>N7+N18+N32</f>
        <v>9.8103095999999823</v>
      </c>
    </row>
  </sheetData>
  <mergeCells count="10">
    <mergeCell ref="A42:B42"/>
    <mergeCell ref="K4:K5"/>
    <mergeCell ref="G4:G5"/>
    <mergeCell ref="C4:C5"/>
    <mergeCell ref="A1:N1"/>
    <mergeCell ref="A4:A5"/>
    <mergeCell ref="B4:B5"/>
    <mergeCell ref="L4:N4"/>
    <mergeCell ref="H4:J4"/>
    <mergeCell ref="D4:F4"/>
  </mergeCells>
  <pageMargins left="0.7" right="0.7" top="0.2" bottom="0.2" header="0.2" footer="0.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P36" sqref="P36"/>
    </sheetView>
  </sheetViews>
  <sheetFormatPr defaultColWidth="9.140625" defaultRowHeight="15"/>
  <cols>
    <col min="1" max="1" width="32.5703125" style="129" customWidth="1"/>
    <col min="2" max="4" width="16.42578125" style="129" customWidth="1"/>
    <col min="5" max="5" width="12.140625" style="129" customWidth="1"/>
    <col min="6" max="6" width="12.85546875" style="129" customWidth="1"/>
    <col min="7" max="7" width="13" style="129" customWidth="1"/>
    <col min="8" max="8" width="9.85546875" style="129" customWidth="1"/>
    <col min="9" max="9" width="14.5703125" style="129" customWidth="1"/>
    <col min="10" max="11" width="14.7109375" style="129" hidden="1" customWidth="1"/>
    <col min="12" max="16384" width="9.140625" style="129"/>
  </cols>
  <sheetData>
    <row r="1" spans="1:11">
      <c r="A1" s="429" t="s">
        <v>237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>
      <c r="A2" s="430" t="s">
        <v>238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4" spans="1:11" ht="28.5" customHeight="1">
      <c r="A4" s="425" t="s">
        <v>1</v>
      </c>
      <c r="B4" s="426" t="s">
        <v>250</v>
      </c>
      <c r="C4" s="427"/>
      <c r="D4" s="428"/>
      <c r="E4" s="426" t="s">
        <v>239</v>
      </c>
      <c r="F4" s="427"/>
      <c r="G4" s="428"/>
      <c r="H4" s="425" t="s">
        <v>240</v>
      </c>
      <c r="I4" s="425"/>
      <c r="J4" s="425" t="s">
        <v>241</v>
      </c>
      <c r="K4" s="425"/>
    </row>
    <row r="5" spans="1:11" ht="28.5" customHeight="1">
      <c r="A5" s="425"/>
      <c r="B5" s="119" t="s">
        <v>251</v>
      </c>
      <c r="C5" s="120" t="s">
        <v>252</v>
      </c>
      <c r="D5" s="120" t="s">
        <v>253</v>
      </c>
      <c r="E5" s="119" t="s">
        <v>242</v>
      </c>
      <c r="F5" s="119" t="s">
        <v>243</v>
      </c>
      <c r="G5" s="119" t="s">
        <v>244</v>
      </c>
      <c r="H5" s="119" t="s">
        <v>245</v>
      </c>
      <c r="I5" s="119" t="s">
        <v>246</v>
      </c>
      <c r="J5" s="119" t="s">
        <v>242</v>
      </c>
      <c r="K5" s="119" t="s">
        <v>243</v>
      </c>
    </row>
    <row r="6" spans="1:11" s="138" customFormat="1" ht="14.25">
      <c r="A6" s="145" t="s">
        <v>247</v>
      </c>
      <c r="B6" s="145">
        <f>SUM(B7:B16)</f>
        <v>345</v>
      </c>
      <c r="C6" s="145">
        <f>SUM(C7:C16)</f>
        <v>307</v>
      </c>
      <c r="D6" s="145">
        <f>SUM(D7:D16)</f>
        <v>299</v>
      </c>
      <c r="E6" s="145">
        <v>46</v>
      </c>
      <c r="F6" s="145">
        <f>SUM(F7:F16)</f>
        <v>46</v>
      </c>
      <c r="G6" s="145">
        <f>SUM(G7:G16)</f>
        <v>38</v>
      </c>
      <c r="H6" s="145">
        <f>SUM(H7:H16)</f>
        <v>0</v>
      </c>
      <c r="I6" s="145">
        <f>SUM(I7:I16)</f>
        <v>8</v>
      </c>
      <c r="J6" s="139">
        <v>10</v>
      </c>
      <c r="K6" s="137">
        <f>SUM(K7:K16)</f>
        <v>10</v>
      </c>
    </row>
    <row r="7" spans="1:11">
      <c r="A7" s="124" t="s">
        <v>6</v>
      </c>
      <c r="B7" s="124">
        <v>48</v>
      </c>
      <c r="C7" s="124">
        <f>B7-G7</f>
        <v>47</v>
      </c>
      <c r="D7" s="124">
        <f>B7-F7</f>
        <v>47</v>
      </c>
      <c r="E7" s="146"/>
      <c r="F7" s="146">
        <v>1</v>
      </c>
      <c r="G7" s="146">
        <v>1</v>
      </c>
      <c r="H7" s="146"/>
      <c r="I7" s="146">
        <f t="shared" ref="I7:I16" si="0">F7-G7</f>
        <v>0</v>
      </c>
      <c r="J7" s="140"/>
      <c r="K7" s="130"/>
    </row>
    <row r="8" spans="1:11">
      <c r="A8" s="124" t="s">
        <v>7</v>
      </c>
      <c r="B8" s="124">
        <v>30</v>
      </c>
      <c r="C8" s="124">
        <f t="shared" ref="C8:C16" si="1">B8-G8</f>
        <v>20</v>
      </c>
      <c r="D8" s="124">
        <f t="shared" ref="D8:D16" si="2">B8-F8</f>
        <v>17</v>
      </c>
      <c r="E8" s="146"/>
      <c r="F8" s="146">
        <v>13</v>
      </c>
      <c r="G8" s="146">
        <v>10</v>
      </c>
      <c r="H8" s="146"/>
      <c r="I8" s="146">
        <f t="shared" si="0"/>
        <v>3</v>
      </c>
      <c r="J8" s="140"/>
      <c r="K8" s="130">
        <v>2</v>
      </c>
    </row>
    <row r="9" spans="1:11">
      <c r="A9" s="124" t="s">
        <v>8</v>
      </c>
      <c r="B9" s="124">
        <v>32</v>
      </c>
      <c r="C9" s="124">
        <f t="shared" si="1"/>
        <v>32</v>
      </c>
      <c r="D9" s="124">
        <f t="shared" si="2"/>
        <v>29</v>
      </c>
      <c r="E9" s="146"/>
      <c r="F9" s="146">
        <v>3</v>
      </c>
      <c r="G9" s="146">
        <v>0</v>
      </c>
      <c r="H9" s="146"/>
      <c r="I9" s="146">
        <f t="shared" si="0"/>
        <v>3</v>
      </c>
      <c r="J9" s="140"/>
      <c r="K9" s="130"/>
    </row>
    <row r="10" spans="1:11">
      <c r="A10" s="124" t="s">
        <v>9</v>
      </c>
      <c r="B10" s="124">
        <v>28</v>
      </c>
      <c r="C10" s="124">
        <f t="shared" si="1"/>
        <v>26</v>
      </c>
      <c r="D10" s="124">
        <f t="shared" si="2"/>
        <v>25</v>
      </c>
      <c r="E10" s="146"/>
      <c r="F10" s="146">
        <v>3</v>
      </c>
      <c r="G10" s="146">
        <v>2</v>
      </c>
      <c r="H10" s="146"/>
      <c r="I10" s="146">
        <f t="shared" si="0"/>
        <v>1</v>
      </c>
      <c r="J10" s="140"/>
      <c r="K10" s="130"/>
    </row>
    <row r="11" spans="1:11">
      <c r="A11" s="124" t="s">
        <v>10</v>
      </c>
      <c r="B11" s="124">
        <v>34</v>
      </c>
      <c r="C11" s="124">
        <f t="shared" si="1"/>
        <v>32</v>
      </c>
      <c r="D11" s="124">
        <f t="shared" si="2"/>
        <v>31</v>
      </c>
      <c r="E11" s="146"/>
      <c r="F11" s="146">
        <v>3</v>
      </c>
      <c r="G11" s="146">
        <v>2</v>
      </c>
      <c r="H11" s="146"/>
      <c r="I11" s="146">
        <f t="shared" si="0"/>
        <v>1</v>
      </c>
      <c r="J11" s="140"/>
      <c r="K11" s="130">
        <v>1</v>
      </c>
    </row>
    <row r="12" spans="1:11">
      <c r="A12" s="124" t="s">
        <v>11</v>
      </c>
      <c r="B12" s="124">
        <v>41</v>
      </c>
      <c r="C12" s="124">
        <f t="shared" si="1"/>
        <v>41</v>
      </c>
      <c r="D12" s="124">
        <f t="shared" si="2"/>
        <v>39</v>
      </c>
      <c r="E12" s="146"/>
      <c r="F12" s="146">
        <v>2</v>
      </c>
      <c r="G12" s="146">
        <v>0</v>
      </c>
      <c r="H12" s="146"/>
      <c r="I12" s="146">
        <f t="shared" si="0"/>
        <v>2</v>
      </c>
      <c r="J12" s="140"/>
      <c r="K12" s="130">
        <v>1</v>
      </c>
    </row>
    <row r="13" spans="1:11">
      <c r="A13" s="124" t="s">
        <v>12</v>
      </c>
      <c r="B13" s="124">
        <v>26</v>
      </c>
      <c r="C13" s="124">
        <f t="shared" si="1"/>
        <v>25</v>
      </c>
      <c r="D13" s="124">
        <f t="shared" si="2"/>
        <v>24</v>
      </c>
      <c r="E13" s="146"/>
      <c r="F13" s="146">
        <v>2</v>
      </c>
      <c r="G13" s="146">
        <v>1</v>
      </c>
      <c r="H13" s="146"/>
      <c r="I13" s="146">
        <f t="shared" si="0"/>
        <v>1</v>
      </c>
      <c r="J13" s="140"/>
      <c r="K13" s="130">
        <v>2</v>
      </c>
    </row>
    <row r="14" spans="1:11">
      <c r="A14" s="124" t="s">
        <v>13</v>
      </c>
      <c r="B14" s="124">
        <v>35</v>
      </c>
      <c r="C14" s="124">
        <f t="shared" si="1"/>
        <v>35</v>
      </c>
      <c r="D14" s="124">
        <f t="shared" si="2"/>
        <v>35</v>
      </c>
      <c r="E14" s="146"/>
      <c r="F14" s="146">
        <v>0</v>
      </c>
      <c r="G14" s="146">
        <v>0</v>
      </c>
      <c r="H14" s="146"/>
      <c r="I14" s="146">
        <f t="shared" si="0"/>
        <v>0</v>
      </c>
      <c r="J14" s="140"/>
      <c r="K14" s="130">
        <v>2</v>
      </c>
    </row>
    <row r="15" spans="1:11">
      <c r="A15" s="124" t="s">
        <v>14</v>
      </c>
      <c r="B15" s="124">
        <v>28</v>
      </c>
      <c r="C15" s="124">
        <f t="shared" si="1"/>
        <v>26</v>
      </c>
      <c r="D15" s="124">
        <f t="shared" si="2"/>
        <v>25</v>
      </c>
      <c r="E15" s="146"/>
      <c r="F15" s="146">
        <v>3</v>
      </c>
      <c r="G15" s="146">
        <v>2</v>
      </c>
      <c r="H15" s="146"/>
      <c r="I15" s="146">
        <f t="shared" si="0"/>
        <v>1</v>
      </c>
      <c r="J15" s="140"/>
      <c r="K15" s="130">
        <v>1</v>
      </c>
    </row>
    <row r="16" spans="1:11">
      <c r="A16" s="124" t="s">
        <v>15</v>
      </c>
      <c r="B16" s="124">
        <v>43</v>
      </c>
      <c r="C16" s="124">
        <f t="shared" si="1"/>
        <v>23</v>
      </c>
      <c r="D16" s="124">
        <f t="shared" si="2"/>
        <v>27</v>
      </c>
      <c r="E16" s="146"/>
      <c r="F16" s="146">
        <v>16</v>
      </c>
      <c r="G16" s="146">
        <v>20</v>
      </c>
      <c r="H16" s="146"/>
      <c r="I16" s="146">
        <f t="shared" si="0"/>
        <v>-4</v>
      </c>
      <c r="J16" s="140"/>
      <c r="K16" s="130">
        <v>1</v>
      </c>
    </row>
    <row r="17" spans="1:11" s="138" customFormat="1" ht="14.25">
      <c r="A17" s="145" t="s">
        <v>248</v>
      </c>
      <c r="B17" s="145">
        <f>SUM(B18:B30)</f>
        <v>415</v>
      </c>
      <c r="C17" s="145">
        <f>SUM(C18:C30)</f>
        <v>390</v>
      </c>
      <c r="D17" s="145">
        <f>SUM(D18:D30)</f>
        <v>386</v>
      </c>
      <c r="E17" s="145">
        <v>29</v>
      </c>
      <c r="F17" s="145">
        <f>SUM(F18:F30)</f>
        <v>29</v>
      </c>
      <c r="G17" s="145">
        <f>SUM(G18:G30)</f>
        <v>25</v>
      </c>
      <c r="H17" s="145">
        <f>SUM(H18:H30)</f>
        <v>0</v>
      </c>
      <c r="I17" s="145">
        <f>SUM(I18:I30)</f>
        <v>4</v>
      </c>
      <c r="J17" s="141">
        <v>9</v>
      </c>
      <c r="K17" s="134">
        <f>SUM(K18:K29)</f>
        <v>9</v>
      </c>
    </row>
    <row r="18" spans="1:11">
      <c r="A18" s="124" t="s">
        <v>17</v>
      </c>
      <c r="B18" s="124">
        <v>28</v>
      </c>
      <c r="C18" s="124">
        <f t="shared" ref="C18:C30" si="3">B18-G18</f>
        <v>26</v>
      </c>
      <c r="D18" s="124">
        <f t="shared" ref="D18:D30" si="4">B18-F18</f>
        <v>26</v>
      </c>
      <c r="E18" s="146"/>
      <c r="F18" s="146">
        <v>2</v>
      </c>
      <c r="G18" s="146">
        <v>2</v>
      </c>
      <c r="H18" s="146"/>
      <c r="I18" s="146">
        <f t="shared" ref="I18:I30" si="5">F18-G18</f>
        <v>0</v>
      </c>
      <c r="J18" s="140"/>
      <c r="K18" s="130"/>
    </row>
    <row r="19" spans="1:11">
      <c r="A19" s="124" t="s">
        <v>18</v>
      </c>
      <c r="B19" s="124">
        <v>26</v>
      </c>
      <c r="C19" s="124">
        <f t="shared" si="3"/>
        <v>24</v>
      </c>
      <c r="D19" s="124">
        <f t="shared" si="4"/>
        <v>24</v>
      </c>
      <c r="E19" s="146"/>
      <c r="F19" s="146">
        <v>2</v>
      </c>
      <c r="G19" s="146">
        <v>2</v>
      </c>
      <c r="H19" s="146"/>
      <c r="I19" s="146">
        <f t="shared" si="5"/>
        <v>0</v>
      </c>
      <c r="J19" s="140"/>
      <c r="K19" s="130"/>
    </row>
    <row r="20" spans="1:11">
      <c r="A20" s="124" t="s">
        <v>19</v>
      </c>
      <c r="B20" s="124">
        <v>41</v>
      </c>
      <c r="C20" s="124">
        <f t="shared" si="3"/>
        <v>36</v>
      </c>
      <c r="D20" s="124">
        <f t="shared" si="4"/>
        <v>36</v>
      </c>
      <c r="E20" s="146"/>
      <c r="F20" s="146">
        <v>5</v>
      </c>
      <c r="G20" s="146">
        <v>5</v>
      </c>
      <c r="H20" s="146"/>
      <c r="I20" s="146">
        <f t="shared" si="5"/>
        <v>0</v>
      </c>
      <c r="J20" s="140"/>
      <c r="K20" s="130">
        <v>3</v>
      </c>
    </row>
    <row r="21" spans="1:11">
      <c r="A21" s="124" t="s">
        <v>20</v>
      </c>
      <c r="B21" s="124">
        <v>47</v>
      </c>
      <c r="C21" s="124">
        <f t="shared" si="3"/>
        <v>44</v>
      </c>
      <c r="D21" s="124">
        <f t="shared" si="4"/>
        <v>47</v>
      </c>
      <c r="E21" s="146"/>
      <c r="F21" s="146">
        <v>0</v>
      </c>
      <c r="G21" s="146">
        <v>3</v>
      </c>
      <c r="H21" s="146"/>
      <c r="I21" s="146">
        <f t="shared" si="5"/>
        <v>-3</v>
      </c>
      <c r="J21" s="140"/>
      <c r="K21" s="130"/>
    </row>
    <row r="22" spans="1:11">
      <c r="A22" s="124" t="s">
        <v>21</v>
      </c>
      <c r="B22" s="124">
        <v>26</v>
      </c>
      <c r="C22" s="124">
        <f t="shared" si="3"/>
        <v>26</v>
      </c>
      <c r="D22" s="124">
        <f t="shared" si="4"/>
        <v>23</v>
      </c>
      <c r="E22" s="146"/>
      <c r="F22" s="146">
        <v>3</v>
      </c>
      <c r="G22" s="146">
        <v>0</v>
      </c>
      <c r="H22" s="146"/>
      <c r="I22" s="146">
        <f t="shared" si="5"/>
        <v>3</v>
      </c>
      <c r="J22" s="140"/>
      <c r="K22" s="130">
        <v>1</v>
      </c>
    </row>
    <row r="23" spans="1:11">
      <c r="A23" s="124" t="s">
        <v>22</v>
      </c>
      <c r="B23" s="124">
        <v>25</v>
      </c>
      <c r="C23" s="124">
        <f t="shared" si="3"/>
        <v>23</v>
      </c>
      <c r="D23" s="124">
        <f t="shared" si="4"/>
        <v>22</v>
      </c>
      <c r="E23" s="146"/>
      <c r="F23" s="146">
        <v>3</v>
      </c>
      <c r="G23" s="146">
        <v>2</v>
      </c>
      <c r="H23" s="146"/>
      <c r="I23" s="146">
        <f t="shared" si="5"/>
        <v>1</v>
      </c>
      <c r="J23" s="140"/>
      <c r="K23" s="130"/>
    </row>
    <row r="24" spans="1:11">
      <c r="A24" s="124" t="s">
        <v>23</v>
      </c>
      <c r="B24" s="124">
        <v>19</v>
      </c>
      <c r="C24" s="124">
        <f t="shared" si="3"/>
        <v>17</v>
      </c>
      <c r="D24" s="124">
        <f t="shared" si="4"/>
        <v>17</v>
      </c>
      <c r="E24" s="146"/>
      <c r="F24" s="146">
        <v>2</v>
      </c>
      <c r="G24" s="146">
        <v>2</v>
      </c>
      <c r="H24" s="146"/>
      <c r="I24" s="146">
        <f t="shared" si="5"/>
        <v>0</v>
      </c>
      <c r="J24" s="140"/>
      <c r="K24" s="130"/>
    </row>
    <row r="25" spans="1:11">
      <c r="A25" s="124" t="s">
        <v>24</v>
      </c>
      <c r="B25" s="124">
        <v>50</v>
      </c>
      <c r="C25" s="124">
        <f t="shared" si="3"/>
        <v>46</v>
      </c>
      <c r="D25" s="124">
        <f t="shared" si="4"/>
        <v>46</v>
      </c>
      <c r="E25" s="146"/>
      <c r="F25" s="146">
        <v>4</v>
      </c>
      <c r="G25" s="146">
        <v>4</v>
      </c>
      <c r="H25" s="146"/>
      <c r="I25" s="146">
        <f t="shared" si="5"/>
        <v>0</v>
      </c>
      <c r="J25" s="140"/>
      <c r="K25" s="130">
        <v>1</v>
      </c>
    </row>
    <row r="26" spans="1:11">
      <c r="A26" s="124" t="s">
        <v>25</v>
      </c>
      <c r="B26" s="124">
        <v>44</v>
      </c>
      <c r="C26" s="124">
        <f t="shared" si="3"/>
        <v>42</v>
      </c>
      <c r="D26" s="124">
        <f t="shared" si="4"/>
        <v>42</v>
      </c>
      <c r="E26" s="146"/>
      <c r="F26" s="146">
        <v>2</v>
      </c>
      <c r="G26" s="146">
        <v>2</v>
      </c>
      <c r="H26" s="146"/>
      <c r="I26" s="146">
        <f t="shared" si="5"/>
        <v>0</v>
      </c>
      <c r="J26" s="140"/>
      <c r="K26" s="130">
        <v>1</v>
      </c>
    </row>
    <row r="27" spans="1:11">
      <c r="A27" s="124" t="s">
        <v>26</v>
      </c>
      <c r="B27" s="124">
        <v>25</v>
      </c>
      <c r="C27" s="124">
        <f t="shared" si="3"/>
        <v>25</v>
      </c>
      <c r="D27" s="124">
        <f t="shared" si="4"/>
        <v>24</v>
      </c>
      <c r="E27" s="146"/>
      <c r="F27" s="146">
        <v>1</v>
      </c>
      <c r="G27" s="146">
        <v>0</v>
      </c>
      <c r="H27" s="146"/>
      <c r="I27" s="146">
        <f t="shared" si="5"/>
        <v>1</v>
      </c>
      <c r="J27" s="140"/>
      <c r="K27" s="130">
        <v>1</v>
      </c>
    </row>
    <row r="28" spans="1:11">
      <c r="A28" s="124" t="s">
        <v>27</v>
      </c>
      <c r="B28" s="124">
        <v>26</v>
      </c>
      <c r="C28" s="124">
        <f t="shared" si="3"/>
        <v>24</v>
      </c>
      <c r="D28" s="124">
        <f t="shared" si="4"/>
        <v>24</v>
      </c>
      <c r="E28" s="146"/>
      <c r="F28" s="146">
        <v>2</v>
      </c>
      <c r="G28" s="146">
        <v>2</v>
      </c>
      <c r="H28" s="146"/>
      <c r="I28" s="146">
        <f t="shared" si="5"/>
        <v>0</v>
      </c>
      <c r="J28" s="140"/>
      <c r="K28" s="130">
        <v>1</v>
      </c>
    </row>
    <row r="29" spans="1:11">
      <c r="A29" s="124" t="s">
        <v>28</v>
      </c>
      <c r="B29" s="124">
        <v>31</v>
      </c>
      <c r="C29" s="124">
        <f t="shared" si="3"/>
        <v>31</v>
      </c>
      <c r="D29" s="124">
        <f t="shared" si="4"/>
        <v>29</v>
      </c>
      <c r="E29" s="146"/>
      <c r="F29" s="146">
        <v>2</v>
      </c>
      <c r="G29" s="146">
        <v>0</v>
      </c>
      <c r="H29" s="146"/>
      <c r="I29" s="146">
        <f t="shared" si="5"/>
        <v>2</v>
      </c>
      <c r="J29" s="140"/>
      <c r="K29" s="130">
        <v>1</v>
      </c>
    </row>
    <row r="30" spans="1:11" s="132" customFormat="1">
      <c r="A30" s="124" t="s">
        <v>29</v>
      </c>
      <c r="B30" s="124">
        <v>27</v>
      </c>
      <c r="C30" s="124">
        <f t="shared" si="3"/>
        <v>26</v>
      </c>
      <c r="D30" s="124">
        <f t="shared" si="4"/>
        <v>26</v>
      </c>
      <c r="E30" s="147"/>
      <c r="F30" s="146">
        <v>1</v>
      </c>
      <c r="G30" s="147">
        <v>1</v>
      </c>
      <c r="H30" s="147"/>
      <c r="I30" s="146">
        <f t="shared" si="5"/>
        <v>0</v>
      </c>
      <c r="J30" s="142"/>
      <c r="K30" s="131"/>
    </row>
    <row r="31" spans="1:11" s="135" customFormat="1" ht="14.25">
      <c r="A31" s="148" t="s">
        <v>249</v>
      </c>
      <c r="B31" s="148">
        <f>SUM(B32:B40)</f>
        <v>300</v>
      </c>
      <c r="C31" s="148">
        <f>SUM(C32:C40)</f>
        <v>282</v>
      </c>
      <c r="D31" s="148">
        <f>SUM(D32:D40)</f>
        <v>294</v>
      </c>
      <c r="E31" s="145">
        <v>6</v>
      </c>
      <c r="F31" s="145">
        <f t="shared" ref="F31:K31" si="6">SUM(F32:F40)</f>
        <v>6</v>
      </c>
      <c r="G31" s="145">
        <f t="shared" si="6"/>
        <v>18</v>
      </c>
      <c r="H31" s="145">
        <f t="shared" si="6"/>
        <v>0</v>
      </c>
      <c r="I31" s="145">
        <f t="shared" si="6"/>
        <v>-12</v>
      </c>
      <c r="J31" s="141">
        <f t="shared" si="6"/>
        <v>0</v>
      </c>
      <c r="K31" s="134">
        <f t="shared" si="6"/>
        <v>3</v>
      </c>
    </row>
    <row r="32" spans="1:11">
      <c r="A32" s="124" t="s">
        <v>28</v>
      </c>
      <c r="B32" s="124">
        <v>24</v>
      </c>
      <c r="C32" s="124">
        <f t="shared" ref="C32:C40" si="7">B32-G32</f>
        <v>24</v>
      </c>
      <c r="D32" s="124">
        <f t="shared" ref="D32:D40" si="8">B32-F32</f>
        <v>24</v>
      </c>
      <c r="E32" s="146"/>
      <c r="F32" s="146"/>
      <c r="G32" s="146">
        <v>0</v>
      </c>
      <c r="H32" s="146"/>
      <c r="I32" s="146">
        <f t="shared" ref="I32:I40" si="9">F32-G32</f>
        <v>0</v>
      </c>
      <c r="J32" s="140"/>
      <c r="K32" s="130"/>
    </row>
    <row r="33" spans="1:11">
      <c r="A33" s="124" t="s">
        <v>29</v>
      </c>
      <c r="B33" s="124">
        <v>22</v>
      </c>
      <c r="C33" s="124">
        <f t="shared" si="7"/>
        <v>21</v>
      </c>
      <c r="D33" s="124">
        <f t="shared" si="8"/>
        <v>22</v>
      </c>
      <c r="E33" s="146"/>
      <c r="F33" s="146"/>
      <c r="G33" s="146">
        <v>1</v>
      </c>
      <c r="H33" s="146"/>
      <c r="I33" s="146">
        <f t="shared" si="9"/>
        <v>-1</v>
      </c>
      <c r="J33" s="140"/>
      <c r="K33" s="130"/>
    </row>
    <row r="34" spans="1:11">
      <c r="A34" s="124" t="s">
        <v>31</v>
      </c>
      <c r="B34" s="124">
        <v>65</v>
      </c>
      <c r="C34" s="124">
        <f t="shared" si="7"/>
        <v>63</v>
      </c>
      <c r="D34" s="124">
        <f t="shared" si="8"/>
        <v>65</v>
      </c>
      <c r="E34" s="146"/>
      <c r="F34" s="146"/>
      <c r="G34" s="146">
        <v>2</v>
      </c>
      <c r="H34" s="146"/>
      <c r="I34" s="146">
        <f t="shared" si="9"/>
        <v>-2</v>
      </c>
      <c r="J34" s="140"/>
      <c r="K34" s="130"/>
    </row>
    <row r="35" spans="1:11">
      <c r="A35" s="124" t="s">
        <v>32</v>
      </c>
      <c r="B35" s="124">
        <v>42</v>
      </c>
      <c r="C35" s="124">
        <f t="shared" si="7"/>
        <v>37</v>
      </c>
      <c r="D35" s="124">
        <f t="shared" si="8"/>
        <v>40</v>
      </c>
      <c r="E35" s="146"/>
      <c r="F35" s="146">
        <v>2</v>
      </c>
      <c r="G35" s="146">
        <v>5</v>
      </c>
      <c r="H35" s="146"/>
      <c r="I35" s="146">
        <f t="shared" si="9"/>
        <v>-3</v>
      </c>
      <c r="J35" s="140"/>
      <c r="K35" s="130"/>
    </row>
    <row r="36" spans="1:11">
      <c r="A36" s="124" t="s">
        <v>33</v>
      </c>
      <c r="B36" s="124">
        <v>34</v>
      </c>
      <c r="C36" s="124">
        <f t="shared" si="7"/>
        <v>30</v>
      </c>
      <c r="D36" s="124">
        <f t="shared" si="8"/>
        <v>32</v>
      </c>
      <c r="E36" s="146"/>
      <c r="F36" s="146">
        <v>2</v>
      </c>
      <c r="G36" s="146">
        <v>4</v>
      </c>
      <c r="H36" s="146"/>
      <c r="I36" s="146">
        <f t="shared" si="9"/>
        <v>-2</v>
      </c>
      <c r="J36" s="140"/>
      <c r="K36" s="130">
        <v>2</v>
      </c>
    </row>
    <row r="37" spans="1:11">
      <c r="A37" s="124" t="s">
        <v>34</v>
      </c>
      <c r="B37" s="124">
        <v>29</v>
      </c>
      <c r="C37" s="124">
        <f t="shared" si="7"/>
        <v>26</v>
      </c>
      <c r="D37" s="124">
        <f t="shared" si="8"/>
        <v>27</v>
      </c>
      <c r="E37" s="146"/>
      <c r="F37" s="146">
        <v>2</v>
      </c>
      <c r="G37" s="146">
        <v>3</v>
      </c>
      <c r="H37" s="146"/>
      <c r="I37" s="146">
        <f t="shared" si="9"/>
        <v>-1</v>
      </c>
      <c r="J37" s="140"/>
      <c r="K37" s="130"/>
    </row>
    <row r="38" spans="1:11">
      <c r="A38" s="124" t="s">
        <v>35</v>
      </c>
      <c r="B38" s="124">
        <v>22</v>
      </c>
      <c r="C38" s="124">
        <f t="shared" si="7"/>
        <v>21</v>
      </c>
      <c r="D38" s="124">
        <f t="shared" si="8"/>
        <v>22</v>
      </c>
      <c r="E38" s="146"/>
      <c r="F38" s="146"/>
      <c r="G38" s="146">
        <v>1</v>
      </c>
      <c r="H38" s="146"/>
      <c r="I38" s="146">
        <f t="shared" si="9"/>
        <v>-1</v>
      </c>
      <c r="J38" s="140"/>
      <c r="K38" s="130"/>
    </row>
    <row r="39" spans="1:11">
      <c r="A39" s="124" t="s">
        <v>36</v>
      </c>
      <c r="B39" s="124">
        <v>31</v>
      </c>
      <c r="C39" s="124">
        <f t="shared" si="7"/>
        <v>29</v>
      </c>
      <c r="D39" s="124">
        <f t="shared" si="8"/>
        <v>31</v>
      </c>
      <c r="E39" s="146"/>
      <c r="F39" s="146"/>
      <c r="G39" s="146">
        <v>2</v>
      </c>
      <c r="H39" s="146"/>
      <c r="I39" s="146">
        <f t="shared" si="9"/>
        <v>-2</v>
      </c>
      <c r="J39" s="143"/>
      <c r="K39" s="133">
        <v>1</v>
      </c>
    </row>
    <row r="40" spans="1:11">
      <c r="A40" s="124" t="s">
        <v>37</v>
      </c>
      <c r="B40" s="124">
        <v>31</v>
      </c>
      <c r="C40" s="124">
        <f t="shared" si="7"/>
        <v>31</v>
      </c>
      <c r="D40" s="124">
        <f t="shared" si="8"/>
        <v>31</v>
      </c>
      <c r="E40" s="149"/>
      <c r="F40" s="145"/>
      <c r="G40" s="146">
        <v>0</v>
      </c>
      <c r="H40" s="146"/>
      <c r="I40" s="146">
        <f t="shared" si="9"/>
        <v>0</v>
      </c>
      <c r="J40" s="144"/>
      <c r="K40" s="136"/>
    </row>
    <row r="41" spans="1:11" s="135" customFormat="1" ht="14.25">
      <c r="A41" s="150" t="s">
        <v>43</v>
      </c>
      <c r="B41" s="145">
        <f t="shared" ref="B41:I41" si="10">B6+B17+B31</f>
        <v>1060</v>
      </c>
      <c r="C41" s="145">
        <f t="shared" si="10"/>
        <v>979</v>
      </c>
      <c r="D41" s="145">
        <f t="shared" si="10"/>
        <v>979</v>
      </c>
      <c r="E41" s="145">
        <f t="shared" si="10"/>
        <v>81</v>
      </c>
      <c r="F41" s="145">
        <f t="shared" si="10"/>
        <v>81</v>
      </c>
      <c r="G41" s="145">
        <f t="shared" si="10"/>
        <v>81</v>
      </c>
      <c r="H41" s="145">
        <f t="shared" si="10"/>
        <v>0</v>
      </c>
      <c r="I41" s="145">
        <f t="shared" si="10"/>
        <v>0</v>
      </c>
    </row>
  </sheetData>
  <mergeCells count="7">
    <mergeCell ref="A1:K1"/>
    <mergeCell ref="A2:K2"/>
    <mergeCell ref="H4:I4"/>
    <mergeCell ref="J4:K4"/>
    <mergeCell ref="E4:G4"/>
    <mergeCell ref="A4:A5"/>
    <mergeCell ref="B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workbookViewId="0">
      <pane xSplit="2" ySplit="6" topLeftCell="C19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9.140625" defaultRowHeight="15.75"/>
  <cols>
    <col min="1" max="1" width="9.140625" style="1"/>
    <col min="2" max="2" width="38.140625" style="1" bestFit="1" customWidth="1"/>
    <col min="3" max="3" width="10.28515625" style="1" customWidth="1"/>
    <col min="4" max="4" width="10.5703125" style="1" customWidth="1"/>
    <col min="5" max="5" width="11.42578125" style="1" customWidth="1"/>
    <col min="6" max="6" width="9.140625" style="1"/>
    <col min="7" max="7" width="10.140625" style="1" customWidth="1"/>
    <col min="8" max="8" width="9.140625" style="1"/>
    <col min="9" max="9" width="7.5703125" style="1" customWidth="1"/>
    <col min="10" max="10" width="8.28515625" style="1" customWidth="1"/>
    <col min="11" max="11" width="9.140625" style="1"/>
    <col min="12" max="12" width="8.140625" style="1" customWidth="1"/>
    <col min="13" max="13" width="7.85546875" style="1" customWidth="1"/>
    <col min="14" max="14" width="8.140625" style="1" customWidth="1"/>
    <col min="15" max="15" width="6.7109375" style="1" customWidth="1"/>
    <col min="16" max="17" width="7.28515625" style="1" customWidth="1"/>
    <col min="18" max="19" width="10.140625" style="1" customWidth="1"/>
    <col min="20" max="20" width="16.85546875" style="1" customWidth="1"/>
    <col min="21" max="21" width="17.140625" style="1" customWidth="1"/>
    <col min="22" max="16384" width="9.140625" style="1"/>
  </cols>
  <sheetData>
    <row r="1" spans="1:21">
      <c r="A1" s="435" t="s">
        <v>235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2"/>
      <c r="T1" s="2"/>
      <c r="U1" s="2"/>
    </row>
    <row r="4" spans="1:21" ht="15.75" customHeight="1">
      <c r="A4" s="436"/>
      <c r="B4" s="436"/>
      <c r="C4" s="438" t="s">
        <v>44</v>
      </c>
      <c r="D4" s="438" t="s">
        <v>45</v>
      </c>
      <c r="E4" s="438" t="s">
        <v>43</v>
      </c>
      <c r="F4" s="438" t="s">
        <v>46</v>
      </c>
      <c r="G4" s="438" t="s">
        <v>47</v>
      </c>
      <c r="H4" s="439" t="s">
        <v>48</v>
      </c>
      <c r="I4" s="440"/>
      <c r="J4" s="440"/>
      <c r="K4" s="440"/>
      <c r="L4" s="440"/>
      <c r="M4" s="440"/>
      <c r="N4" s="440"/>
      <c r="O4" s="440"/>
      <c r="P4" s="440"/>
      <c r="Q4" s="440"/>
      <c r="R4" s="441"/>
      <c r="S4" s="433" t="s">
        <v>236</v>
      </c>
      <c r="T4" s="431" t="s">
        <v>48</v>
      </c>
      <c r="U4" s="432"/>
    </row>
    <row r="5" spans="1:21" ht="141.75">
      <c r="A5" s="437"/>
      <c r="B5" s="437"/>
      <c r="C5" s="438"/>
      <c r="D5" s="438"/>
      <c r="E5" s="438"/>
      <c r="F5" s="438"/>
      <c r="G5" s="438"/>
      <c r="H5" s="7" t="s">
        <v>49</v>
      </c>
      <c r="I5" s="7" t="s">
        <v>50</v>
      </c>
      <c r="J5" s="7" t="s">
        <v>51</v>
      </c>
      <c r="K5" s="7" t="s">
        <v>52</v>
      </c>
      <c r="L5" s="7" t="s">
        <v>53</v>
      </c>
      <c r="M5" s="7" t="s">
        <v>54</v>
      </c>
      <c r="N5" s="7" t="s">
        <v>55</v>
      </c>
      <c r="O5" s="7" t="s">
        <v>56</v>
      </c>
      <c r="P5" s="7" t="s">
        <v>57</v>
      </c>
      <c r="Q5" s="7" t="s">
        <v>58</v>
      </c>
      <c r="R5" s="7" t="s">
        <v>59</v>
      </c>
      <c r="S5" s="434"/>
      <c r="T5" s="128" t="s">
        <v>39</v>
      </c>
      <c r="U5" s="128" t="s">
        <v>40</v>
      </c>
    </row>
    <row r="6" spans="1:21" ht="31.5">
      <c r="A6" s="7" t="s">
        <v>41</v>
      </c>
      <c r="B6" s="7" t="s">
        <v>42</v>
      </c>
      <c r="C6" s="7">
        <v>1</v>
      </c>
      <c r="D6" s="7">
        <v>2</v>
      </c>
      <c r="E6" s="7" t="s">
        <v>60</v>
      </c>
      <c r="F6" s="7">
        <v>4</v>
      </c>
      <c r="G6" s="7" t="s">
        <v>61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/>
      <c r="T6" s="7" t="s">
        <v>62</v>
      </c>
      <c r="U6" s="7" t="s">
        <v>63</v>
      </c>
    </row>
    <row r="7" spans="1:21" s="3" customFormat="1">
      <c r="A7" s="8"/>
      <c r="B7" s="8" t="s">
        <v>43</v>
      </c>
      <c r="C7" s="8">
        <f>C8+C65+C108</f>
        <v>81</v>
      </c>
      <c r="D7" s="8">
        <f>D8+D65+D108</f>
        <v>81</v>
      </c>
      <c r="E7" s="9">
        <f>E8+E65+E108</f>
        <v>428.06681350000002</v>
      </c>
      <c r="F7" s="9">
        <f t="shared" ref="F7:U7" si="0">F8+F65+F108</f>
        <v>193.19000000000003</v>
      </c>
      <c r="G7" s="9">
        <f t="shared" si="0"/>
        <v>188.56909999999999</v>
      </c>
      <c r="H7" s="9">
        <f t="shared" si="0"/>
        <v>39.4</v>
      </c>
      <c r="I7" s="9">
        <f t="shared" si="0"/>
        <v>0</v>
      </c>
      <c r="J7" s="9">
        <f t="shared" si="0"/>
        <v>0</v>
      </c>
      <c r="K7" s="9">
        <f t="shared" si="0"/>
        <v>107.637</v>
      </c>
      <c r="L7" s="9">
        <f t="shared" si="0"/>
        <v>33.767999999999994</v>
      </c>
      <c r="M7" s="9">
        <f t="shared" si="0"/>
        <v>3.9000000000000004</v>
      </c>
      <c r="N7" s="9">
        <f t="shared" si="0"/>
        <v>0</v>
      </c>
      <c r="O7" s="9">
        <f t="shared" si="0"/>
        <v>0</v>
      </c>
      <c r="P7" s="9">
        <f t="shared" si="0"/>
        <v>3.8640999999999996</v>
      </c>
      <c r="Q7" s="9">
        <f t="shared" si="0"/>
        <v>0</v>
      </c>
      <c r="R7" s="9">
        <f t="shared" si="0"/>
        <v>46.307713499999998</v>
      </c>
      <c r="S7" s="9">
        <f>S8+S65+S108</f>
        <v>9246.2431715999992</v>
      </c>
      <c r="T7" s="9">
        <f t="shared" si="0"/>
        <v>7653.8346253799991</v>
      </c>
      <c r="U7" s="256">
        <f t="shared" si="0"/>
        <v>1592.4085462199998</v>
      </c>
    </row>
    <row r="8" spans="1:21" s="12" customFormat="1">
      <c r="A8" s="10">
        <v>1</v>
      </c>
      <c r="B8" s="10" t="s">
        <v>5</v>
      </c>
      <c r="C8" s="10">
        <f>C9+C11+C25+C29+C33+C37+C40+C43+C44+C48</f>
        <v>46</v>
      </c>
      <c r="D8" s="10">
        <f>D9+D11+D25+D29+D33+D37+D40+D43+D44+D48</f>
        <v>46</v>
      </c>
      <c r="E8" s="11">
        <f>E9+E11+E25+E29+E33+E37+E40+E43+E44+E48</f>
        <v>236.78237300000004</v>
      </c>
      <c r="F8" s="11">
        <f t="shared" ref="F8:U8" si="1">F9+F11+F25+F29+F33+F37+F40+F43+F44+F48</f>
        <v>109.31000000000002</v>
      </c>
      <c r="G8" s="11">
        <f t="shared" si="1"/>
        <v>101.0838</v>
      </c>
      <c r="H8" s="11">
        <f t="shared" si="1"/>
        <v>21.1</v>
      </c>
      <c r="I8" s="11">
        <f t="shared" si="1"/>
        <v>0</v>
      </c>
      <c r="J8" s="11">
        <f t="shared" si="1"/>
        <v>0</v>
      </c>
      <c r="K8" s="11">
        <f t="shared" si="1"/>
        <v>60.920999999999999</v>
      </c>
      <c r="L8" s="11">
        <f t="shared" si="1"/>
        <v>13.881</v>
      </c>
      <c r="M8" s="11">
        <f t="shared" si="1"/>
        <v>2.2000000000000002</v>
      </c>
      <c r="N8" s="11">
        <f t="shared" si="1"/>
        <v>0</v>
      </c>
      <c r="O8" s="11">
        <f t="shared" si="1"/>
        <v>0</v>
      </c>
      <c r="P8" s="11">
        <f t="shared" si="1"/>
        <v>2.9817999999999998</v>
      </c>
      <c r="Q8" s="11">
        <f t="shared" si="1"/>
        <v>0</v>
      </c>
      <c r="R8" s="11">
        <f t="shared" si="1"/>
        <v>26.388572999999997</v>
      </c>
      <c r="S8" s="11">
        <f>S9+S11+S25+S29+S33+S37+S40+S43+S44+S48</f>
        <v>5114.4992567999998</v>
      </c>
      <c r="T8" s="11">
        <f t="shared" si="1"/>
        <v>4233.6688292399995</v>
      </c>
      <c r="U8" s="257">
        <f t="shared" si="1"/>
        <v>880.83042755999986</v>
      </c>
    </row>
    <row r="9" spans="1:21" s="3" customFormat="1">
      <c r="A9" s="13"/>
      <c r="B9" s="13" t="s">
        <v>6</v>
      </c>
      <c r="C9" s="13">
        <v>1</v>
      </c>
      <c r="D9" s="13">
        <v>1</v>
      </c>
      <c r="E9" s="14">
        <f>E10</f>
        <v>4.1435000000000004</v>
      </c>
      <c r="F9" s="14">
        <f t="shared" ref="F9:U9" si="2">F10</f>
        <v>2.1</v>
      </c>
      <c r="G9" s="14">
        <f t="shared" si="2"/>
        <v>1.55</v>
      </c>
      <c r="H9" s="14">
        <f t="shared" si="2"/>
        <v>0.5</v>
      </c>
      <c r="I9" s="14">
        <f t="shared" si="2"/>
        <v>0</v>
      </c>
      <c r="J9" s="14">
        <f t="shared" si="2"/>
        <v>0</v>
      </c>
      <c r="K9" s="14">
        <f t="shared" si="2"/>
        <v>1.05</v>
      </c>
      <c r="L9" s="14">
        <f t="shared" si="2"/>
        <v>0</v>
      </c>
      <c r="M9" s="14">
        <f t="shared" si="2"/>
        <v>0</v>
      </c>
      <c r="N9" s="14">
        <f t="shared" si="2"/>
        <v>0</v>
      </c>
      <c r="O9" s="14">
        <f t="shared" si="2"/>
        <v>0</v>
      </c>
      <c r="P9" s="14">
        <f t="shared" si="2"/>
        <v>0</v>
      </c>
      <c r="Q9" s="14">
        <f t="shared" si="2"/>
        <v>0</v>
      </c>
      <c r="R9" s="14">
        <f t="shared" si="2"/>
        <v>0.49349999999999999</v>
      </c>
      <c r="S9" s="14">
        <f t="shared" si="2"/>
        <v>89.499600000000001</v>
      </c>
      <c r="T9" s="14">
        <f t="shared" si="2"/>
        <v>74.08578</v>
      </c>
      <c r="U9" s="255">
        <f t="shared" si="2"/>
        <v>15.413820000000001</v>
      </c>
    </row>
    <row r="10" spans="1:21" s="17" customFormat="1">
      <c r="A10" s="15">
        <v>1</v>
      </c>
      <c r="B10" s="15" t="s">
        <v>64</v>
      </c>
      <c r="C10" s="15"/>
      <c r="D10" s="15"/>
      <c r="E10" s="16">
        <f t="shared" ref="E10:E78" si="3">F10+G10+R10</f>
        <v>4.1435000000000004</v>
      </c>
      <c r="F10" s="16">
        <v>2.1</v>
      </c>
      <c r="G10" s="16">
        <f t="shared" ref="G10:G78" si="4">SUM(H10:Q10)</f>
        <v>1.55</v>
      </c>
      <c r="H10" s="16">
        <v>0.5</v>
      </c>
      <c r="I10" s="16"/>
      <c r="J10" s="16"/>
      <c r="K10" s="16">
        <f>(F10+I10+J10)*50%</f>
        <v>1.05</v>
      </c>
      <c r="L10" s="16"/>
      <c r="M10" s="16"/>
      <c r="N10" s="16"/>
      <c r="O10" s="16"/>
      <c r="P10" s="16"/>
      <c r="Q10" s="16"/>
      <c r="R10" s="16">
        <f t="shared" ref="R10:R78" si="5">(F10+I10+J10+P10)*23.5%</f>
        <v>0.49349999999999999</v>
      </c>
      <c r="S10" s="16">
        <f>SUM(T10:U10)</f>
        <v>89.499600000000001</v>
      </c>
      <c r="T10" s="16">
        <f>E10*1.49*12</f>
        <v>74.08578</v>
      </c>
      <c r="U10" s="258">
        <f>E10*0.31*12</f>
        <v>15.413820000000001</v>
      </c>
    </row>
    <row r="11" spans="1:21">
      <c r="A11" s="13"/>
      <c r="B11" s="13" t="s">
        <v>65</v>
      </c>
      <c r="C11" s="13">
        <v>13</v>
      </c>
      <c r="D11" s="13">
        <v>13</v>
      </c>
      <c r="E11" s="14">
        <f>SUM(E12:E24)</f>
        <v>56.09492800000001</v>
      </c>
      <c r="F11" s="14">
        <f t="shared" ref="F11:U11" si="6">SUM(F12:F24)</f>
        <v>29.160000000000007</v>
      </c>
      <c r="G11" s="14">
        <f t="shared" si="6"/>
        <v>20.024799999999999</v>
      </c>
      <c r="H11" s="14">
        <f t="shared" si="6"/>
        <v>5.2</v>
      </c>
      <c r="I11" s="14">
        <f t="shared" si="6"/>
        <v>0</v>
      </c>
      <c r="J11" s="14">
        <f t="shared" si="6"/>
        <v>0</v>
      </c>
      <c r="K11" s="14">
        <f t="shared" si="6"/>
        <v>14.580000000000004</v>
      </c>
      <c r="L11" s="14">
        <f t="shared" si="6"/>
        <v>0</v>
      </c>
      <c r="M11" s="14">
        <f t="shared" si="6"/>
        <v>0</v>
      </c>
      <c r="N11" s="14">
        <f t="shared" si="6"/>
        <v>0</v>
      </c>
      <c r="O11" s="14">
        <f t="shared" si="6"/>
        <v>0</v>
      </c>
      <c r="P11" s="14">
        <f t="shared" si="6"/>
        <v>0.24480000000000002</v>
      </c>
      <c r="Q11" s="14">
        <f t="shared" si="6"/>
        <v>0</v>
      </c>
      <c r="R11" s="14">
        <f t="shared" si="6"/>
        <v>6.9101280000000003</v>
      </c>
      <c r="S11" s="14">
        <f>SUM(S12:S24)</f>
        <v>1211.6504448000003</v>
      </c>
      <c r="T11" s="14">
        <f>SUM(T12:T24)</f>
        <v>1002.9773126399999</v>
      </c>
      <c r="U11" s="255">
        <f t="shared" si="6"/>
        <v>208.67313215999999</v>
      </c>
    </row>
    <row r="12" spans="1:21" s="17" customFormat="1">
      <c r="A12" s="15">
        <v>1</v>
      </c>
      <c r="B12" s="15" t="s">
        <v>66</v>
      </c>
      <c r="C12" s="15"/>
      <c r="D12" s="15"/>
      <c r="E12" s="16">
        <f t="shared" si="3"/>
        <v>5.4215280000000003</v>
      </c>
      <c r="F12" s="16">
        <v>2.72</v>
      </c>
      <c r="G12" s="16">
        <f t="shared" si="4"/>
        <v>2.0048000000000004</v>
      </c>
      <c r="H12" s="16">
        <v>0.4</v>
      </c>
      <c r="I12" s="16"/>
      <c r="J12" s="16"/>
      <c r="K12" s="16">
        <f t="shared" ref="K12:K28" si="7">(F12+I12+J12)*50%</f>
        <v>1.36</v>
      </c>
      <c r="L12" s="16"/>
      <c r="M12" s="16"/>
      <c r="N12" s="16"/>
      <c r="O12" s="16"/>
      <c r="P12" s="18">
        <f>(F12+I12+J12)*9%</f>
        <v>0.24480000000000002</v>
      </c>
      <c r="Q12" s="16"/>
      <c r="R12" s="16">
        <f t="shared" si="5"/>
        <v>0.69672800000000001</v>
      </c>
      <c r="S12" s="16">
        <f t="shared" ref="S12:S24" si="8">SUM(T12:U12)</f>
        <v>117.10500480000002</v>
      </c>
      <c r="T12" s="16">
        <f t="shared" ref="T12:T24" si="9">E12*1.49*12</f>
        <v>96.936920640000011</v>
      </c>
      <c r="U12" s="258">
        <f t="shared" ref="U12:U24" si="10">E12*0.31*12</f>
        <v>20.168084160000003</v>
      </c>
    </row>
    <row r="13" spans="1:21" s="17" customFormat="1">
      <c r="A13" s="15">
        <v>2</v>
      </c>
      <c r="B13" s="15" t="s">
        <v>67</v>
      </c>
      <c r="C13" s="15"/>
      <c r="D13" s="15"/>
      <c r="E13" s="16">
        <f t="shared" si="3"/>
        <v>4.0434999999999999</v>
      </c>
      <c r="F13" s="16">
        <v>2.1</v>
      </c>
      <c r="G13" s="16">
        <f t="shared" si="4"/>
        <v>1.4500000000000002</v>
      </c>
      <c r="H13" s="16">
        <v>0.4</v>
      </c>
      <c r="I13" s="16"/>
      <c r="J13" s="16"/>
      <c r="K13" s="16">
        <f t="shared" si="7"/>
        <v>1.05</v>
      </c>
      <c r="L13" s="16"/>
      <c r="M13" s="16"/>
      <c r="N13" s="16"/>
      <c r="O13" s="16"/>
      <c r="P13" s="16"/>
      <c r="Q13" s="16"/>
      <c r="R13" s="16">
        <f t="shared" si="5"/>
        <v>0.49349999999999999</v>
      </c>
      <c r="S13" s="16">
        <f t="shared" si="8"/>
        <v>87.33959999999999</v>
      </c>
      <c r="T13" s="16">
        <f t="shared" si="9"/>
        <v>72.297779999999989</v>
      </c>
      <c r="U13" s="258">
        <f t="shared" si="10"/>
        <v>15.04182</v>
      </c>
    </row>
    <row r="14" spans="1:21" s="17" customFormat="1">
      <c r="A14" s="15">
        <v>3</v>
      </c>
      <c r="B14" s="15" t="s">
        <v>68</v>
      </c>
      <c r="C14" s="15"/>
      <c r="D14" s="15"/>
      <c r="E14" s="16">
        <f t="shared" si="3"/>
        <v>4.5813500000000005</v>
      </c>
      <c r="F14" s="16">
        <v>2.41</v>
      </c>
      <c r="G14" s="16">
        <f t="shared" si="4"/>
        <v>1.605</v>
      </c>
      <c r="H14" s="16">
        <v>0.4</v>
      </c>
      <c r="I14" s="16"/>
      <c r="J14" s="16"/>
      <c r="K14" s="16">
        <f t="shared" si="7"/>
        <v>1.2050000000000001</v>
      </c>
      <c r="L14" s="16"/>
      <c r="M14" s="16"/>
      <c r="N14" s="16"/>
      <c r="O14" s="16"/>
      <c r="P14" s="16"/>
      <c r="Q14" s="16"/>
      <c r="R14" s="16">
        <f t="shared" si="5"/>
        <v>0.56635000000000002</v>
      </c>
      <c r="S14" s="16">
        <f t="shared" si="8"/>
        <v>98.957160000000016</v>
      </c>
      <c r="T14" s="16">
        <f t="shared" si="9"/>
        <v>81.914538000000007</v>
      </c>
      <c r="U14" s="258">
        <f t="shared" si="10"/>
        <v>17.042622000000001</v>
      </c>
    </row>
    <row r="15" spans="1:21" s="17" customFormat="1">
      <c r="A15" s="15">
        <v>4</v>
      </c>
      <c r="B15" s="15" t="s">
        <v>69</v>
      </c>
      <c r="C15" s="15"/>
      <c r="D15" s="15"/>
      <c r="E15" s="16">
        <f t="shared" si="3"/>
        <v>4.0434999999999999</v>
      </c>
      <c r="F15" s="16">
        <v>2.1</v>
      </c>
      <c r="G15" s="16">
        <f t="shared" si="4"/>
        <v>1.4500000000000002</v>
      </c>
      <c r="H15" s="16">
        <v>0.4</v>
      </c>
      <c r="I15" s="16"/>
      <c r="J15" s="16"/>
      <c r="K15" s="16">
        <f t="shared" si="7"/>
        <v>1.05</v>
      </c>
      <c r="L15" s="16"/>
      <c r="M15" s="16"/>
      <c r="N15" s="16"/>
      <c r="O15" s="16"/>
      <c r="P15" s="16"/>
      <c r="Q15" s="16"/>
      <c r="R15" s="16">
        <f t="shared" si="5"/>
        <v>0.49349999999999999</v>
      </c>
      <c r="S15" s="16">
        <f t="shared" si="8"/>
        <v>87.33959999999999</v>
      </c>
      <c r="T15" s="16">
        <f t="shared" si="9"/>
        <v>72.297779999999989</v>
      </c>
      <c r="U15" s="258">
        <f t="shared" si="10"/>
        <v>15.04182</v>
      </c>
    </row>
    <row r="16" spans="1:21" s="17" customFormat="1">
      <c r="A16" s="15">
        <v>5</v>
      </c>
      <c r="B16" s="15" t="s">
        <v>70</v>
      </c>
      <c r="C16" s="15"/>
      <c r="D16" s="15"/>
      <c r="E16" s="16">
        <f t="shared" si="3"/>
        <v>4.5813500000000005</v>
      </c>
      <c r="F16" s="16">
        <v>2.41</v>
      </c>
      <c r="G16" s="16">
        <f t="shared" si="4"/>
        <v>1.605</v>
      </c>
      <c r="H16" s="16">
        <v>0.4</v>
      </c>
      <c r="I16" s="16"/>
      <c r="J16" s="16"/>
      <c r="K16" s="16">
        <f t="shared" si="7"/>
        <v>1.2050000000000001</v>
      </c>
      <c r="L16" s="16"/>
      <c r="M16" s="16"/>
      <c r="N16" s="16"/>
      <c r="O16" s="16"/>
      <c r="P16" s="16"/>
      <c r="Q16" s="16"/>
      <c r="R16" s="16">
        <f t="shared" si="5"/>
        <v>0.56635000000000002</v>
      </c>
      <c r="S16" s="16">
        <f t="shared" si="8"/>
        <v>98.957160000000016</v>
      </c>
      <c r="T16" s="16">
        <f t="shared" si="9"/>
        <v>81.914538000000007</v>
      </c>
      <c r="U16" s="258">
        <f t="shared" si="10"/>
        <v>17.042622000000001</v>
      </c>
    </row>
    <row r="17" spans="1:21" s="17" customFormat="1">
      <c r="A17" s="15">
        <v>6</v>
      </c>
      <c r="B17" s="15" t="s">
        <v>71</v>
      </c>
      <c r="C17" s="15"/>
      <c r="D17" s="15"/>
      <c r="E17" s="16">
        <f t="shared" si="3"/>
        <v>4.5813500000000005</v>
      </c>
      <c r="F17" s="16">
        <v>2.41</v>
      </c>
      <c r="G17" s="16">
        <f t="shared" si="4"/>
        <v>1.605</v>
      </c>
      <c r="H17" s="16">
        <v>0.4</v>
      </c>
      <c r="I17" s="16"/>
      <c r="J17" s="16"/>
      <c r="K17" s="16">
        <f t="shared" si="7"/>
        <v>1.2050000000000001</v>
      </c>
      <c r="L17" s="16"/>
      <c r="M17" s="16"/>
      <c r="N17" s="16"/>
      <c r="O17" s="16"/>
      <c r="P17" s="16"/>
      <c r="Q17" s="16"/>
      <c r="R17" s="16">
        <f t="shared" si="5"/>
        <v>0.56635000000000002</v>
      </c>
      <c r="S17" s="16">
        <f t="shared" si="8"/>
        <v>98.957160000000016</v>
      </c>
      <c r="T17" s="16">
        <f t="shared" si="9"/>
        <v>81.914538000000007</v>
      </c>
      <c r="U17" s="258">
        <f t="shared" si="10"/>
        <v>17.042622000000001</v>
      </c>
    </row>
    <row r="18" spans="1:21" s="17" customFormat="1">
      <c r="A18" s="15">
        <v>7</v>
      </c>
      <c r="B18" s="15" t="s">
        <v>72</v>
      </c>
      <c r="C18" s="15"/>
      <c r="D18" s="15"/>
      <c r="E18" s="16">
        <f t="shared" si="3"/>
        <v>4.0434999999999999</v>
      </c>
      <c r="F18" s="16">
        <v>2.1</v>
      </c>
      <c r="G18" s="16">
        <f t="shared" si="4"/>
        <v>1.4500000000000002</v>
      </c>
      <c r="H18" s="16">
        <v>0.4</v>
      </c>
      <c r="I18" s="16"/>
      <c r="J18" s="16"/>
      <c r="K18" s="16">
        <f t="shared" si="7"/>
        <v>1.05</v>
      </c>
      <c r="L18" s="16"/>
      <c r="M18" s="16"/>
      <c r="N18" s="16"/>
      <c r="O18" s="16"/>
      <c r="P18" s="16"/>
      <c r="Q18" s="16"/>
      <c r="R18" s="16">
        <f t="shared" si="5"/>
        <v>0.49349999999999999</v>
      </c>
      <c r="S18" s="16">
        <f t="shared" si="8"/>
        <v>87.33959999999999</v>
      </c>
      <c r="T18" s="16">
        <f t="shared" si="9"/>
        <v>72.297779999999989</v>
      </c>
      <c r="U18" s="258">
        <f t="shared" si="10"/>
        <v>15.04182</v>
      </c>
    </row>
    <row r="19" spans="1:21" s="17" customFormat="1">
      <c r="A19" s="15">
        <v>8</v>
      </c>
      <c r="B19" s="15" t="s">
        <v>73</v>
      </c>
      <c r="C19" s="15"/>
      <c r="D19" s="15"/>
      <c r="E19" s="16">
        <f t="shared" si="3"/>
        <v>4.0434999999999999</v>
      </c>
      <c r="F19" s="16">
        <v>2.1</v>
      </c>
      <c r="G19" s="16">
        <f t="shared" si="4"/>
        <v>1.4500000000000002</v>
      </c>
      <c r="H19" s="16">
        <v>0.4</v>
      </c>
      <c r="I19" s="16"/>
      <c r="J19" s="16"/>
      <c r="K19" s="16">
        <f t="shared" si="7"/>
        <v>1.05</v>
      </c>
      <c r="L19" s="16"/>
      <c r="M19" s="16"/>
      <c r="N19" s="16"/>
      <c r="O19" s="16"/>
      <c r="P19" s="16"/>
      <c r="Q19" s="16"/>
      <c r="R19" s="16">
        <f t="shared" si="5"/>
        <v>0.49349999999999999</v>
      </c>
      <c r="S19" s="16">
        <f t="shared" si="8"/>
        <v>87.33959999999999</v>
      </c>
      <c r="T19" s="16">
        <f t="shared" si="9"/>
        <v>72.297779999999989</v>
      </c>
      <c r="U19" s="258">
        <f t="shared" si="10"/>
        <v>15.04182</v>
      </c>
    </row>
    <row r="20" spans="1:21" s="17" customFormat="1">
      <c r="A20" s="15">
        <v>9</v>
      </c>
      <c r="B20" s="15" t="s">
        <v>74</v>
      </c>
      <c r="C20" s="15"/>
      <c r="D20" s="15"/>
      <c r="E20" s="16">
        <f t="shared" si="3"/>
        <v>4.0434999999999999</v>
      </c>
      <c r="F20" s="16">
        <v>2.1</v>
      </c>
      <c r="G20" s="16">
        <f t="shared" si="4"/>
        <v>1.4500000000000002</v>
      </c>
      <c r="H20" s="16">
        <v>0.4</v>
      </c>
      <c r="I20" s="16"/>
      <c r="J20" s="16"/>
      <c r="K20" s="16">
        <f t="shared" si="7"/>
        <v>1.05</v>
      </c>
      <c r="L20" s="16"/>
      <c r="M20" s="16"/>
      <c r="N20" s="16"/>
      <c r="O20" s="16"/>
      <c r="P20" s="16"/>
      <c r="Q20" s="16"/>
      <c r="R20" s="16">
        <f t="shared" si="5"/>
        <v>0.49349999999999999</v>
      </c>
      <c r="S20" s="16">
        <f t="shared" si="8"/>
        <v>87.33959999999999</v>
      </c>
      <c r="T20" s="16">
        <f t="shared" si="9"/>
        <v>72.297779999999989</v>
      </c>
      <c r="U20" s="258">
        <f t="shared" si="10"/>
        <v>15.04182</v>
      </c>
    </row>
    <row r="21" spans="1:21" s="17" customFormat="1">
      <c r="A21" s="15">
        <v>10</v>
      </c>
      <c r="B21" s="15" t="s">
        <v>75</v>
      </c>
      <c r="C21" s="15"/>
      <c r="D21" s="15"/>
      <c r="E21" s="16">
        <f t="shared" si="3"/>
        <v>4.5813500000000005</v>
      </c>
      <c r="F21" s="16">
        <v>2.41</v>
      </c>
      <c r="G21" s="16">
        <f t="shared" si="4"/>
        <v>1.605</v>
      </c>
      <c r="H21" s="16">
        <v>0.4</v>
      </c>
      <c r="I21" s="16"/>
      <c r="J21" s="16"/>
      <c r="K21" s="16">
        <f t="shared" si="7"/>
        <v>1.2050000000000001</v>
      </c>
      <c r="L21" s="16"/>
      <c r="M21" s="16"/>
      <c r="N21" s="16"/>
      <c r="O21" s="16"/>
      <c r="P21" s="16"/>
      <c r="Q21" s="16"/>
      <c r="R21" s="16">
        <f t="shared" si="5"/>
        <v>0.56635000000000002</v>
      </c>
      <c r="S21" s="16">
        <f t="shared" si="8"/>
        <v>98.957160000000016</v>
      </c>
      <c r="T21" s="16">
        <f t="shared" si="9"/>
        <v>81.914538000000007</v>
      </c>
      <c r="U21" s="258">
        <f t="shared" si="10"/>
        <v>17.042622000000001</v>
      </c>
    </row>
    <row r="22" spans="1:21" s="17" customFormat="1">
      <c r="A22" s="15">
        <v>11</v>
      </c>
      <c r="B22" s="15" t="s">
        <v>76</v>
      </c>
      <c r="C22" s="15"/>
      <c r="D22" s="15"/>
      <c r="E22" s="16">
        <f t="shared" si="3"/>
        <v>4.0434999999999999</v>
      </c>
      <c r="F22" s="16">
        <v>2.1</v>
      </c>
      <c r="G22" s="16">
        <f t="shared" si="4"/>
        <v>1.4500000000000002</v>
      </c>
      <c r="H22" s="16">
        <v>0.4</v>
      </c>
      <c r="I22" s="16"/>
      <c r="J22" s="16"/>
      <c r="K22" s="16">
        <f t="shared" si="7"/>
        <v>1.05</v>
      </c>
      <c r="L22" s="16"/>
      <c r="M22" s="16"/>
      <c r="N22" s="16"/>
      <c r="O22" s="16"/>
      <c r="P22" s="16"/>
      <c r="Q22" s="16"/>
      <c r="R22" s="16">
        <f t="shared" si="5"/>
        <v>0.49349999999999999</v>
      </c>
      <c r="S22" s="16">
        <f t="shared" si="8"/>
        <v>87.33959999999999</v>
      </c>
      <c r="T22" s="16">
        <f t="shared" si="9"/>
        <v>72.297779999999989</v>
      </c>
      <c r="U22" s="258">
        <f t="shared" si="10"/>
        <v>15.04182</v>
      </c>
    </row>
    <row r="23" spans="1:21" s="17" customFormat="1">
      <c r="A23" s="15">
        <v>12</v>
      </c>
      <c r="B23" s="15" t="s">
        <v>77</v>
      </c>
      <c r="C23" s="15"/>
      <c r="D23" s="15"/>
      <c r="E23" s="16">
        <f t="shared" si="3"/>
        <v>4.0434999999999999</v>
      </c>
      <c r="F23" s="16">
        <v>2.1</v>
      </c>
      <c r="G23" s="16">
        <f t="shared" si="4"/>
        <v>1.4500000000000002</v>
      </c>
      <c r="H23" s="16">
        <v>0.4</v>
      </c>
      <c r="I23" s="16"/>
      <c r="J23" s="16"/>
      <c r="K23" s="16">
        <f t="shared" si="7"/>
        <v>1.05</v>
      </c>
      <c r="L23" s="16"/>
      <c r="M23" s="16"/>
      <c r="N23" s="16"/>
      <c r="O23" s="16"/>
      <c r="P23" s="16"/>
      <c r="Q23" s="16"/>
      <c r="R23" s="16">
        <f t="shared" si="5"/>
        <v>0.49349999999999999</v>
      </c>
      <c r="S23" s="16">
        <f t="shared" si="8"/>
        <v>87.33959999999999</v>
      </c>
      <c r="T23" s="16">
        <f t="shared" si="9"/>
        <v>72.297779999999989</v>
      </c>
      <c r="U23" s="258">
        <f t="shared" si="10"/>
        <v>15.04182</v>
      </c>
    </row>
    <row r="24" spans="1:21" s="17" customFormat="1">
      <c r="A24" s="15">
        <v>13</v>
      </c>
      <c r="B24" s="15" t="s">
        <v>78</v>
      </c>
      <c r="C24" s="15"/>
      <c r="D24" s="15"/>
      <c r="E24" s="16">
        <f t="shared" si="3"/>
        <v>4.0434999999999999</v>
      </c>
      <c r="F24" s="16">
        <v>2.1</v>
      </c>
      <c r="G24" s="16">
        <f t="shared" si="4"/>
        <v>1.4500000000000002</v>
      </c>
      <c r="H24" s="16">
        <v>0.4</v>
      </c>
      <c r="I24" s="16"/>
      <c r="J24" s="16"/>
      <c r="K24" s="16">
        <f t="shared" si="7"/>
        <v>1.05</v>
      </c>
      <c r="L24" s="16"/>
      <c r="M24" s="16"/>
      <c r="N24" s="16"/>
      <c r="O24" s="16"/>
      <c r="P24" s="16"/>
      <c r="Q24" s="16"/>
      <c r="R24" s="16">
        <f t="shared" si="5"/>
        <v>0.49349999999999999</v>
      </c>
      <c r="S24" s="16">
        <f t="shared" si="8"/>
        <v>87.33959999999999</v>
      </c>
      <c r="T24" s="16">
        <f t="shared" si="9"/>
        <v>72.297779999999989</v>
      </c>
      <c r="U24" s="258">
        <f t="shared" si="10"/>
        <v>15.04182</v>
      </c>
    </row>
    <row r="25" spans="1:21">
      <c r="A25" s="13"/>
      <c r="B25" s="13" t="s">
        <v>79</v>
      </c>
      <c r="C25" s="13">
        <v>3</v>
      </c>
      <c r="D25" s="13">
        <v>3</v>
      </c>
      <c r="E25" s="14">
        <f>SUM(E26:E28)</f>
        <v>15.134685999999999</v>
      </c>
      <c r="F25" s="14">
        <f t="shared" ref="F25:U25" si="11">SUM(F26:F28)</f>
        <v>7.5399999999999991</v>
      </c>
      <c r="G25" s="14">
        <f t="shared" si="11"/>
        <v>5.7176</v>
      </c>
      <c r="H25" s="14">
        <f t="shared" si="11"/>
        <v>1.5</v>
      </c>
      <c r="I25" s="14">
        <f t="shared" si="11"/>
        <v>0</v>
      </c>
      <c r="J25" s="14">
        <f t="shared" si="11"/>
        <v>0</v>
      </c>
      <c r="K25" s="14">
        <f t="shared" si="11"/>
        <v>3.7699999999999996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4">
        <f t="shared" si="11"/>
        <v>0.4476</v>
      </c>
      <c r="Q25" s="14">
        <f t="shared" si="11"/>
        <v>0</v>
      </c>
      <c r="R25" s="14">
        <f t="shared" si="11"/>
        <v>1.8770859999999998</v>
      </c>
      <c r="S25" s="14">
        <f t="shared" si="11"/>
        <v>326.90921759999998</v>
      </c>
      <c r="T25" s="14">
        <f t="shared" si="11"/>
        <v>270.60818568000002</v>
      </c>
      <c r="U25" s="255">
        <f t="shared" si="11"/>
        <v>56.30103192</v>
      </c>
    </row>
    <row r="26" spans="1:21" s="17" customFormat="1">
      <c r="A26" s="15">
        <v>1</v>
      </c>
      <c r="B26" s="15" t="s">
        <v>80</v>
      </c>
      <c r="C26" s="15"/>
      <c r="D26" s="15"/>
      <c r="E26" s="16">
        <f t="shared" si="3"/>
        <v>4.8599310000000004</v>
      </c>
      <c r="F26" s="16">
        <v>2.41</v>
      </c>
      <c r="G26" s="16">
        <f t="shared" si="4"/>
        <v>1.8496000000000001</v>
      </c>
      <c r="H26" s="16">
        <v>0.5</v>
      </c>
      <c r="I26" s="16"/>
      <c r="J26" s="16"/>
      <c r="K26" s="16">
        <f t="shared" si="7"/>
        <v>1.2050000000000001</v>
      </c>
      <c r="L26" s="16"/>
      <c r="M26" s="16"/>
      <c r="N26" s="16"/>
      <c r="O26" s="16"/>
      <c r="P26" s="18">
        <f>(F26+I26+J26)*6%</f>
        <v>0.14460000000000001</v>
      </c>
      <c r="Q26" s="16"/>
      <c r="R26" s="16">
        <f t="shared" si="5"/>
        <v>0.60033100000000006</v>
      </c>
      <c r="S26" s="16">
        <f>SUM(T26:U26)</f>
        <v>104.9745096</v>
      </c>
      <c r="T26" s="16">
        <f>E26*1.49*12</f>
        <v>86.895566280000011</v>
      </c>
      <c r="U26" s="258">
        <f>E26*0.31*12</f>
        <v>18.07894332</v>
      </c>
    </row>
    <row r="27" spans="1:21" s="17" customFormat="1">
      <c r="A27" s="15">
        <v>2</v>
      </c>
      <c r="B27" s="15" t="s">
        <v>81</v>
      </c>
      <c r="C27" s="15"/>
      <c r="D27" s="15"/>
      <c r="E27" s="16">
        <f t="shared" si="3"/>
        <v>4.1435000000000004</v>
      </c>
      <c r="F27" s="16">
        <v>2.1</v>
      </c>
      <c r="G27" s="16">
        <f t="shared" si="4"/>
        <v>1.55</v>
      </c>
      <c r="H27" s="16">
        <v>0.5</v>
      </c>
      <c r="I27" s="16"/>
      <c r="J27" s="16"/>
      <c r="K27" s="16">
        <f t="shared" si="7"/>
        <v>1.05</v>
      </c>
      <c r="L27" s="16"/>
      <c r="M27" s="16"/>
      <c r="N27" s="16"/>
      <c r="O27" s="16"/>
      <c r="P27" s="16"/>
      <c r="Q27" s="16"/>
      <c r="R27" s="16">
        <f t="shared" si="5"/>
        <v>0.49349999999999999</v>
      </c>
      <c r="S27" s="16">
        <f>SUM(T27:U27)</f>
        <v>89.499600000000001</v>
      </c>
      <c r="T27" s="16">
        <f>E27*1.49*12</f>
        <v>74.08578</v>
      </c>
      <c r="U27" s="258">
        <f>E27*0.31*12</f>
        <v>15.413820000000001</v>
      </c>
    </row>
    <row r="28" spans="1:21" s="17" customFormat="1">
      <c r="A28" s="15">
        <v>3</v>
      </c>
      <c r="B28" s="15" t="s">
        <v>82</v>
      </c>
      <c r="C28" s="15"/>
      <c r="D28" s="15"/>
      <c r="E28" s="16">
        <f t="shared" si="3"/>
        <v>6.1312549999999986</v>
      </c>
      <c r="F28" s="16">
        <v>3.03</v>
      </c>
      <c r="G28" s="16">
        <f t="shared" si="4"/>
        <v>2.3179999999999996</v>
      </c>
      <c r="H28" s="16">
        <v>0.5</v>
      </c>
      <c r="I28" s="16"/>
      <c r="J28" s="16"/>
      <c r="K28" s="16">
        <f t="shared" si="7"/>
        <v>1.5149999999999999</v>
      </c>
      <c r="L28" s="16"/>
      <c r="M28" s="16"/>
      <c r="N28" s="16"/>
      <c r="O28" s="16"/>
      <c r="P28" s="18">
        <f>(F28+I28+J28)*10%</f>
        <v>0.30299999999999999</v>
      </c>
      <c r="Q28" s="16"/>
      <c r="R28" s="16">
        <f t="shared" si="5"/>
        <v>0.78325499999999992</v>
      </c>
      <c r="S28" s="16">
        <f>SUM(T28:U28)</f>
        <v>132.43510799999996</v>
      </c>
      <c r="T28" s="16">
        <f>E28*1.49*12</f>
        <v>109.62683939999997</v>
      </c>
      <c r="U28" s="258">
        <f>E28*0.31*12</f>
        <v>22.808268599999995</v>
      </c>
    </row>
    <row r="29" spans="1:21">
      <c r="A29" s="13"/>
      <c r="B29" s="13" t="s">
        <v>83</v>
      </c>
      <c r="C29" s="13">
        <v>3</v>
      </c>
      <c r="D29" s="13">
        <v>3</v>
      </c>
      <c r="E29" s="14">
        <f>SUM(E30:E32)</f>
        <v>19.731678500000001</v>
      </c>
      <c r="F29" s="14">
        <f t="shared" ref="F29:U29" si="12">SUM(F30:F32)</f>
        <v>7.85</v>
      </c>
      <c r="G29" s="14">
        <f t="shared" si="12"/>
        <v>9.9280999999999988</v>
      </c>
      <c r="H29" s="14">
        <f t="shared" si="12"/>
        <v>1.5</v>
      </c>
      <c r="I29" s="14">
        <f t="shared" si="12"/>
        <v>0</v>
      </c>
      <c r="J29" s="14">
        <f t="shared" si="12"/>
        <v>0</v>
      </c>
      <c r="K29" s="14">
        <f t="shared" si="12"/>
        <v>5.4949999999999992</v>
      </c>
      <c r="L29" s="14">
        <f t="shared" si="12"/>
        <v>1.47</v>
      </c>
      <c r="M29" s="14">
        <f t="shared" si="12"/>
        <v>1</v>
      </c>
      <c r="N29" s="14">
        <f t="shared" si="12"/>
        <v>0</v>
      </c>
      <c r="O29" s="14">
        <f t="shared" si="12"/>
        <v>0</v>
      </c>
      <c r="P29" s="14">
        <f t="shared" si="12"/>
        <v>0.46310000000000007</v>
      </c>
      <c r="Q29" s="14">
        <f t="shared" si="12"/>
        <v>0</v>
      </c>
      <c r="R29" s="14">
        <f t="shared" si="12"/>
        <v>1.9535784999999999</v>
      </c>
      <c r="S29" s="14">
        <f t="shared" si="12"/>
        <v>426.20425560000001</v>
      </c>
      <c r="T29" s="14">
        <f t="shared" si="12"/>
        <v>352.80241158000001</v>
      </c>
      <c r="U29" s="255">
        <f t="shared" si="12"/>
        <v>73.401844019999999</v>
      </c>
    </row>
    <row r="30" spans="1:21" s="17" customFormat="1">
      <c r="A30" s="15">
        <v>1</v>
      </c>
      <c r="B30" s="15" t="s">
        <v>84</v>
      </c>
      <c r="C30" s="15"/>
      <c r="D30" s="15"/>
      <c r="E30" s="16">
        <f t="shared" si="3"/>
        <v>6.4983440000000003</v>
      </c>
      <c r="F30" s="16">
        <v>2.72</v>
      </c>
      <c r="G30" s="16">
        <f t="shared" si="4"/>
        <v>3.0943999999999998</v>
      </c>
      <c r="H30" s="16">
        <v>0.5</v>
      </c>
      <c r="I30" s="16"/>
      <c r="J30" s="16"/>
      <c r="K30" s="16">
        <f>(F30+I30+J30)*70%</f>
        <v>1.9039999999999999</v>
      </c>
      <c r="L30" s="16"/>
      <c r="M30" s="16">
        <v>0.5</v>
      </c>
      <c r="N30" s="16"/>
      <c r="O30" s="16"/>
      <c r="P30" s="18">
        <f>(F30+I30+J30)*7%</f>
        <v>0.19040000000000004</v>
      </c>
      <c r="Q30" s="16"/>
      <c r="R30" s="16">
        <f t="shared" si="5"/>
        <v>0.683944</v>
      </c>
      <c r="S30" s="16">
        <f>SUM(T30:U30)</f>
        <v>140.3642304</v>
      </c>
      <c r="T30" s="16">
        <f>E30*1.49*12</f>
        <v>116.19039072000001</v>
      </c>
      <c r="U30" s="258">
        <f>E30*0.31*12</f>
        <v>24.17383968</v>
      </c>
    </row>
    <row r="31" spans="1:21" s="17" customFormat="1">
      <c r="A31" s="15">
        <v>2</v>
      </c>
      <c r="B31" s="15" t="s">
        <v>85</v>
      </c>
      <c r="C31" s="15"/>
      <c r="D31" s="15"/>
      <c r="E31" s="16">
        <f t="shared" si="3"/>
        <v>6.0335000000000001</v>
      </c>
      <c r="F31" s="16">
        <v>2.1</v>
      </c>
      <c r="G31" s="16">
        <f t="shared" si="4"/>
        <v>3.44</v>
      </c>
      <c r="H31" s="16">
        <v>0.5</v>
      </c>
      <c r="I31" s="16"/>
      <c r="J31" s="16"/>
      <c r="K31" s="16">
        <f t="shared" ref="K31:K39" si="13">(F31+I31+J31)*70%</f>
        <v>1.47</v>
      </c>
      <c r="L31" s="16">
        <f>K31</f>
        <v>1.47</v>
      </c>
      <c r="M31" s="16"/>
      <c r="N31" s="16"/>
      <c r="O31" s="16"/>
      <c r="P31" s="16"/>
      <c r="Q31" s="16"/>
      <c r="R31" s="16">
        <f t="shared" si="5"/>
        <v>0.49349999999999999</v>
      </c>
      <c r="S31" s="16">
        <f>SUM(T31:U31)</f>
        <v>130.3236</v>
      </c>
      <c r="T31" s="16">
        <f>E31*1.49*12</f>
        <v>107.87898</v>
      </c>
      <c r="U31" s="258">
        <f>E31*0.31*12</f>
        <v>22.44462</v>
      </c>
    </row>
    <row r="32" spans="1:21" s="17" customFormat="1">
      <c r="A32" s="15">
        <v>3</v>
      </c>
      <c r="B32" s="15" t="s">
        <v>86</v>
      </c>
      <c r="C32" s="15"/>
      <c r="D32" s="15"/>
      <c r="E32" s="16">
        <f t="shared" si="3"/>
        <v>7.1998344999999997</v>
      </c>
      <c r="F32" s="16">
        <v>3.03</v>
      </c>
      <c r="G32" s="16">
        <f t="shared" si="4"/>
        <v>3.3936999999999995</v>
      </c>
      <c r="H32" s="16">
        <v>0.5</v>
      </c>
      <c r="I32" s="16"/>
      <c r="J32" s="16"/>
      <c r="K32" s="16">
        <f t="shared" si="13"/>
        <v>2.1209999999999996</v>
      </c>
      <c r="L32" s="16"/>
      <c r="M32" s="16">
        <v>0.5</v>
      </c>
      <c r="N32" s="16"/>
      <c r="O32" s="16"/>
      <c r="P32" s="18">
        <f>(F32+I32+J32)*9%</f>
        <v>0.2727</v>
      </c>
      <c r="Q32" s="16"/>
      <c r="R32" s="16">
        <f t="shared" si="5"/>
        <v>0.77613449999999995</v>
      </c>
      <c r="S32" s="16">
        <f>SUM(T32:U32)</f>
        <v>155.51642519999999</v>
      </c>
      <c r="T32" s="16">
        <f>E32*1.49*12</f>
        <v>128.73304085999999</v>
      </c>
      <c r="U32" s="258">
        <f>E32*0.31*12</f>
        <v>26.783384339999998</v>
      </c>
    </row>
    <row r="33" spans="1:21">
      <c r="A33" s="13"/>
      <c r="B33" s="13" t="s">
        <v>87</v>
      </c>
      <c r="C33" s="13">
        <v>3</v>
      </c>
      <c r="D33" s="13">
        <v>3</v>
      </c>
      <c r="E33" s="14">
        <f>SUM(E34:E36)</f>
        <v>19.51735</v>
      </c>
      <c r="F33" s="14">
        <f t="shared" ref="F33:U33" si="14">SUM(F34:F36)</f>
        <v>6.6099999999999994</v>
      </c>
      <c r="G33" s="14">
        <f t="shared" si="14"/>
        <v>11.353999999999999</v>
      </c>
      <c r="H33" s="14">
        <f t="shared" si="14"/>
        <v>2.0999999999999996</v>
      </c>
      <c r="I33" s="14">
        <f t="shared" si="14"/>
        <v>0</v>
      </c>
      <c r="J33" s="14">
        <f t="shared" si="14"/>
        <v>0</v>
      </c>
      <c r="K33" s="14">
        <f t="shared" si="14"/>
        <v>4.6269999999999998</v>
      </c>
      <c r="L33" s="14">
        <f t="shared" si="14"/>
        <v>4.6269999999999998</v>
      </c>
      <c r="M33" s="14">
        <f t="shared" si="14"/>
        <v>0</v>
      </c>
      <c r="N33" s="14">
        <f t="shared" si="14"/>
        <v>0</v>
      </c>
      <c r="O33" s="14">
        <f t="shared" si="14"/>
        <v>0</v>
      </c>
      <c r="P33" s="14">
        <f t="shared" si="14"/>
        <v>0</v>
      </c>
      <c r="Q33" s="14">
        <f t="shared" si="14"/>
        <v>0</v>
      </c>
      <c r="R33" s="14">
        <f t="shared" si="14"/>
        <v>1.55335</v>
      </c>
      <c r="S33" s="14">
        <f t="shared" si="14"/>
        <v>421.57475999999997</v>
      </c>
      <c r="T33" s="14">
        <f t="shared" si="14"/>
        <v>348.97021800000005</v>
      </c>
      <c r="U33" s="255">
        <f t="shared" si="14"/>
        <v>72.604541999999995</v>
      </c>
    </row>
    <row r="34" spans="1:21" s="17" customFormat="1">
      <c r="A34" s="15">
        <v>1</v>
      </c>
      <c r="B34" s="15" t="s">
        <v>88</v>
      </c>
      <c r="C34" s="15"/>
      <c r="D34" s="15"/>
      <c r="E34" s="16">
        <f t="shared" si="3"/>
        <v>7.0503499999999999</v>
      </c>
      <c r="F34" s="16">
        <v>2.41</v>
      </c>
      <c r="G34" s="16">
        <f t="shared" si="4"/>
        <v>4.0739999999999998</v>
      </c>
      <c r="H34" s="16">
        <v>0.7</v>
      </c>
      <c r="I34" s="16"/>
      <c r="J34" s="16"/>
      <c r="K34" s="16">
        <f t="shared" si="13"/>
        <v>1.6870000000000001</v>
      </c>
      <c r="L34" s="16">
        <f>(F34+I34+J34)*70%</f>
        <v>1.6870000000000001</v>
      </c>
      <c r="M34" s="16"/>
      <c r="N34" s="16"/>
      <c r="O34" s="16"/>
      <c r="P34" s="16"/>
      <c r="Q34" s="16"/>
      <c r="R34" s="16">
        <f t="shared" si="5"/>
        <v>0.56635000000000002</v>
      </c>
      <c r="S34" s="16">
        <f>SUM(T34:U34)</f>
        <v>152.28756000000001</v>
      </c>
      <c r="T34" s="16">
        <f>E34*1.49*12</f>
        <v>126.060258</v>
      </c>
      <c r="U34" s="258">
        <f>E34*0.31*12</f>
        <v>26.227301999999998</v>
      </c>
    </row>
    <row r="35" spans="1:21" s="17" customFormat="1">
      <c r="A35" s="15">
        <v>2</v>
      </c>
      <c r="B35" s="15" t="s">
        <v>89</v>
      </c>
      <c r="C35" s="15"/>
      <c r="D35" s="15"/>
      <c r="E35" s="16">
        <f t="shared" si="3"/>
        <v>6.2335000000000003</v>
      </c>
      <c r="F35" s="16">
        <v>2.1</v>
      </c>
      <c r="G35" s="16">
        <f t="shared" si="4"/>
        <v>3.6399999999999997</v>
      </c>
      <c r="H35" s="16">
        <v>0.7</v>
      </c>
      <c r="I35" s="16"/>
      <c r="J35" s="16"/>
      <c r="K35" s="16">
        <f t="shared" si="13"/>
        <v>1.47</v>
      </c>
      <c r="L35" s="16">
        <f>(F35+I35+J35)*70%</f>
        <v>1.47</v>
      </c>
      <c r="M35" s="16"/>
      <c r="N35" s="16"/>
      <c r="O35" s="16"/>
      <c r="P35" s="16"/>
      <c r="Q35" s="16"/>
      <c r="R35" s="16">
        <f t="shared" si="5"/>
        <v>0.49349999999999999</v>
      </c>
      <c r="S35" s="16">
        <f>SUM(T35:U35)</f>
        <v>134.64359999999999</v>
      </c>
      <c r="T35" s="16">
        <f>E35*1.49*12</f>
        <v>111.45498000000001</v>
      </c>
      <c r="U35" s="258">
        <f>E35*0.31*12</f>
        <v>23.18862</v>
      </c>
    </row>
    <row r="36" spans="1:21" s="17" customFormat="1">
      <c r="A36" s="15">
        <v>3</v>
      </c>
      <c r="B36" s="15" t="s">
        <v>90</v>
      </c>
      <c r="C36" s="15"/>
      <c r="D36" s="15"/>
      <c r="E36" s="16">
        <f t="shared" si="3"/>
        <v>6.2335000000000003</v>
      </c>
      <c r="F36" s="16">
        <v>2.1</v>
      </c>
      <c r="G36" s="16">
        <f t="shared" si="4"/>
        <v>3.6399999999999997</v>
      </c>
      <c r="H36" s="16">
        <v>0.7</v>
      </c>
      <c r="I36" s="16"/>
      <c r="J36" s="16"/>
      <c r="K36" s="16">
        <f t="shared" si="13"/>
        <v>1.47</v>
      </c>
      <c r="L36" s="16">
        <f>(F36+I36+J36)*70%</f>
        <v>1.47</v>
      </c>
      <c r="M36" s="16"/>
      <c r="N36" s="16"/>
      <c r="O36" s="16"/>
      <c r="P36" s="16"/>
      <c r="Q36" s="16"/>
      <c r="R36" s="16">
        <f t="shared" si="5"/>
        <v>0.49349999999999999</v>
      </c>
      <c r="S36" s="16">
        <f>SUM(T36:U36)</f>
        <v>134.64359999999999</v>
      </c>
      <c r="T36" s="16">
        <f>E36*1.49*12</f>
        <v>111.45498000000001</v>
      </c>
      <c r="U36" s="258">
        <f>E36*0.31*12</f>
        <v>23.18862</v>
      </c>
    </row>
    <row r="37" spans="1:21">
      <c r="A37" s="13"/>
      <c r="B37" s="13" t="s">
        <v>91</v>
      </c>
      <c r="C37" s="13">
        <v>2</v>
      </c>
      <c r="D37" s="13">
        <v>2</v>
      </c>
      <c r="E37" s="14">
        <f>SUM(E38:E39)</f>
        <v>12.531844</v>
      </c>
      <c r="F37" s="14">
        <f t="shared" ref="F37:U37" si="15">SUM(F38:F39)</f>
        <v>4.82</v>
      </c>
      <c r="G37" s="14">
        <f t="shared" si="15"/>
        <v>6.5343999999999998</v>
      </c>
      <c r="H37" s="14">
        <f t="shared" si="15"/>
        <v>1</v>
      </c>
      <c r="I37" s="14">
        <f t="shared" si="15"/>
        <v>0</v>
      </c>
      <c r="J37" s="14">
        <f t="shared" si="15"/>
        <v>0</v>
      </c>
      <c r="K37" s="14">
        <f t="shared" si="15"/>
        <v>3.3739999999999997</v>
      </c>
      <c r="L37" s="14">
        <f t="shared" si="15"/>
        <v>1.47</v>
      </c>
      <c r="M37" s="14">
        <f t="shared" si="15"/>
        <v>0.5</v>
      </c>
      <c r="N37" s="14">
        <f t="shared" si="15"/>
        <v>0</v>
      </c>
      <c r="O37" s="14">
        <f t="shared" si="15"/>
        <v>0</v>
      </c>
      <c r="P37" s="14">
        <f t="shared" si="15"/>
        <v>0.19040000000000004</v>
      </c>
      <c r="Q37" s="14">
        <f t="shared" si="15"/>
        <v>0</v>
      </c>
      <c r="R37" s="14">
        <f t="shared" si="15"/>
        <v>1.1774439999999999</v>
      </c>
      <c r="S37" s="14">
        <f t="shared" si="15"/>
        <v>270.6878304</v>
      </c>
      <c r="T37" s="14">
        <f t="shared" si="15"/>
        <v>224.06937071999999</v>
      </c>
      <c r="U37" s="255">
        <f t="shared" si="15"/>
        <v>46.618459680000001</v>
      </c>
    </row>
    <row r="38" spans="1:21" s="17" customFormat="1">
      <c r="A38" s="15">
        <v>1</v>
      </c>
      <c r="B38" s="15" t="s">
        <v>92</v>
      </c>
      <c r="C38" s="15"/>
      <c r="D38" s="15"/>
      <c r="E38" s="16">
        <f t="shared" si="3"/>
        <v>6.0335000000000001</v>
      </c>
      <c r="F38" s="16">
        <v>2.1</v>
      </c>
      <c r="G38" s="16">
        <f t="shared" si="4"/>
        <v>3.44</v>
      </c>
      <c r="H38" s="16">
        <v>0.5</v>
      </c>
      <c r="I38" s="16"/>
      <c r="J38" s="16"/>
      <c r="K38" s="16">
        <f t="shared" si="13"/>
        <v>1.47</v>
      </c>
      <c r="L38" s="16">
        <f>(F38+I38+J38)*70%</f>
        <v>1.47</v>
      </c>
      <c r="M38" s="16"/>
      <c r="N38" s="16"/>
      <c r="O38" s="16"/>
      <c r="P38" s="16"/>
      <c r="Q38" s="16"/>
      <c r="R38" s="16">
        <f t="shared" si="5"/>
        <v>0.49349999999999999</v>
      </c>
      <c r="S38" s="16">
        <f>SUM(T38:U38)</f>
        <v>130.3236</v>
      </c>
      <c r="T38" s="16">
        <f>E38*1.49*12</f>
        <v>107.87898</v>
      </c>
      <c r="U38" s="258">
        <f>E38*0.31*12</f>
        <v>22.44462</v>
      </c>
    </row>
    <row r="39" spans="1:21" s="17" customFormat="1">
      <c r="A39" s="15">
        <v>2</v>
      </c>
      <c r="B39" s="15" t="s">
        <v>93</v>
      </c>
      <c r="C39" s="15"/>
      <c r="D39" s="15"/>
      <c r="E39" s="16">
        <f t="shared" si="3"/>
        <v>6.4983440000000003</v>
      </c>
      <c r="F39" s="16">
        <v>2.72</v>
      </c>
      <c r="G39" s="16">
        <f t="shared" si="4"/>
        <v>3.0943999999999998</v>
      </c>
      <c r="H39" s="16">
        <v>0.5</v>
      </c>
      <c r="I39" s="16"/>
      <c r="J39" s="16"/>
      <c r="K39" s="16">
        <f t="shared" si="13"/>
        <v>1.9039999999999999</v>
      </c>
      <c r="L39" s="16"/>
      <c r="M39" s="16">
        <v>0.5</v>
      </c>
      <c r="N39" s="16"/>
      <c r="O39" s="16"/>
      <c r="P39" s="18">
        <f>(F39+I39+J39)*7%</f>
        <v>0.19040000000000004</v>
      </c>
      <c r="Q39" s="16"/>
      <c r="R39" s="16">
        <f t="shared" si="5"/>
        <v>0.683944</v>
      </c>
      <c r="S39" s="16">
        <f>SUM(T39:U39)</f>
        <v>140.3642304</v>
      </c>
      <c r="T39" s="16">
        <f>E39*1.49*12</f>
        <v>116.19039072000001</v>
      </c>
      <c r="U39" s="258">
        <f>E39*0.31*12</f>
        <v>24.17383968</v>
      </c>
    </row>
    <row r="40" spans="1:21">
      <c r="A40" s="13"/>
      <c r="B40" s="13" t="s">
        <v>94</v>
      </c>
      <c r="C40" s="13">
        <v>2</v>
      </c>
      <c r="D40" s="13">
        <v>2</v>
      </c>
      <c r="E40" s="14">
        <f>SUM(E41:E42)</f>
        <v>13.283850000000001</v>
      </c>
      <c r="F40" s="14">
        <f t="shared" ref="F40:U40" si="16">SUM(F41:F42)</f>
        <v>4.51</v>
      </c>
      <c r="G40" s="14">
        <f t="shared" si="16"/>
        <v>7.7139999999999995</v>
      </c>
      <c r="H40" s="14">
        <f t="shared" si="16"/>
        <v>1.4</v>
      </c>
      <c r="I40" s="14">
        <f t="shared" si="16"/>
        <v>0</v>
      </c>
      <c r="J40" s="14">
        <f t="shared" si="16"/>
        <v>0</v>
      </c>
      <c r="K40" s="14">
        <f t="shared" si="16"/>
        <v>3.157</v>
      </c>
      <c r="L40" s="14">
        <f t="shared" si="16"/>
        <v>3.157</v>
      </c>
      <c r="M40" s="14">
        <f t="shared" si="16"/>
        <v>0</v>
      </c>
      <c r="N40" s="14">
        <f t="shared" si="16"/>
        <v>0</v>
      </c>
      <c r="O40" s="14">
        <f t="shared" si="16"/>
        <v>0</v>
      </c>
      <c r="P40" s="14">
        <f t="shared" si="16"/>
        <v>0</v>
      </c>
      <c r="Q40" s="14">
        <f t="shared" si="16"/>
        <v>0</v>
      </c>
      <c r="R40" s="14">
        <f t="shared" si="16"/>
        <v>1.05985</v>
      </c>
      <c r="S40" s="14">
        <f t="shared" si="16"/>
        <v>286.93115999999998</v>
      </c>
      <c r="T40" s="14">
        <f t="shared" si="16"/>
        <v>237.51523800000001</v>
      </c>
      <c r="U40" s="255">
        <f t="shared" si="16"/>
        <v>49.415921999999995</v>
      </c>
    </row>
    <row r="41" spans="1:21" s="17" customFormat="1">
      <c r="A41" s="15">
        <v>1</v>
      </c>
      <c r="B41" s="15" t="s">
        <v>95</v>
      </c>
      <c r="C41" s="15"/>
      <c r="D41" s="15"/>
      <c r="E41" s="16">
        <f t="shared" si="3"/>
        <v>6.2335000000000003</v>
      </c>
      <c r="F41" s="16">
        <v>2.1</v>
      </c>
      <c r="G41" s="16">
        <f t="shared" si="4"/>
        <v>3.6399999999999997</v>
      </c>
      <c r="H41" s="16">
        <v>0.7</v>
      </c>
      <c r="I41" s="16"/>
      <c r="J41" s="16"/>
      <c r="K41" s="16">
        <f>(F41+I41+J41)*70%</f>
        <v>1.47</v>
      </c>
      <c r="L41" s="16">
        <f>(F41+I41+J41)*70%</f>
        <v>1.47</v>
      </c>
      <c r="M41" s="16"/>
      <c r="N41" s="16"/>
      <c r="O41" s="16"/>
      <c r="P41" s="16"/>
      <c r="Q41" s="16"/>
      <c r="R41" s="16">
        <f t="shared" si="5"/>
        <v>0.49349999999999999</v>
      </c>
      <c r="S41" s="16">
        <f>SUM(T41:U41)</f>
        <v>134.64359999999999</v>
      </c>
      <c r="T41" s="16">
        <f>E41*1.49*12</f>
        <v>111.45498000000001</v>
      </c>
      <c r="U41" s="258">
        <f>E41*0.31*12</f>
        <v>23.18862</v>
      </c>
    </row>
    <row r="42" spans="1:21" s="17" customFormat="1">
      <c r="A42" s="15">
        <v>2</v>
      </c>
      <c r="B42" s="15" t="s">
        <v>96</v>
      </c>
      <c r="C42" s="15"/>
      <c r="D42" s="15"/>
      <c r="E42" s="16">
        <f t="shared" si="3"/>
        <v>7.0503499999999999</v>
      </c>
      <c r="F42" s="16">
        <v>2.41</v>
      </c>
      <c r="G42" s="16">
        <f t="shared" si="4"/>
        <v>4.0739999999999998</v>
      </c>
      <c r="H42" s="16">
        <v>0.7</v>
      </c>
      <c r="I42" s="16"/>
      <c r="J42" s="16"/>
      <c r="K42" s="16">
        <f>(F42+I42+J42)*70%</f>
        <v>1.6870000000000001</v>
      </c>
      <c r="L42" s="16">
        <f>(F42+I42+J42)*70%</f>
        <v>1.6870000000000001</v>
      </c>
      <c r="M42" s="16"/>
      <c r="N42" s="16"/>
      <c r="O42" s="16"/>
      <c r="P42" s="16"/>
      <c r="Q42" s="16"/>
      <c r="R42" s="16">
        <f t="shared" si="5"/>
        <v>0.56635000000000002</v>
      </c>
      <c r="S42" s="16">
        <f>SUM(T42:U42)</f>
        <v>152.28756000000001</v>
      </c>
      <c r="T42" s="16">
        <f>E42*1.49*12</f>
        <v>126.060258</v>
      </c>
      <c r="U42" s="258">
        <f>E42*0.31*12</f>
        <v>26.227301999999998</v>
      </c>
    </row>
    <row r="43" spans="1:21">
      <c r="A43" s="13"/>
      <c r="B43" s="13" t="s">
        <v>97</v>
      </c>
      <c r="C43" s="13"/>
      <c r="D43" s="13"/>
      <c r="E43" s="14">
        <f t="shared" si="3"/>
        <v>0</v>
      </c>
      <c r="F43" s="14"/>
      <c r="G43" s="14">
        <f t="shared" si="4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f t="shared" si="5"/>
        <v>0</v>
      </c>
      <c r="S43" s="14">
        <f>(G43+J43+K43+Q43)*23.5%</f>
        <v>0</v>
      </c>
      <c r="T43" s="14">
        <f>(H43+K43+L43+R43)*23.5%</f>
        <v>0</v>
      </c>
      <c r="U43" s="255">
        <f>(I43+L43+M43+S43)*23.5%</f>
        <v>0</v>
      </c>
    </row>
    <row r="44" spans="1:21">
      <c r="A44" s="13"/>
      <c r="B44" s="13" t="s">
        <v>98</v>
      </c>
      <c r="C44" s="13">
        <v>3</v>
      </c>
      <c r="D44" s="13">
        <v>3</v>
      </c>
      <c r="E44" s="14">
        <f>SUM(E45:E47)</f>
        <v>20.395946000000002</v>
      </c>
      <c r="F44" s="14">
        <f t="shared" ref="F44:U44" si="17">SUM(F45:F47)</f>
        <v>7.54</v>
      </c>
      <c r="G44" s="14">
        <f t="shared" si="17"/>
        <v>10.9986</v>
      </c>
      <c r="H44" s="14">
        <f t="shared" si="17"/>
        <v>1.5</v>
      </c>
      <c r="I44" s="14">
        <f t="shared" si="17"/>
        <v>0</v>
      </c>
      <c r="J44" s="14">
        <f t="shared" si="17"/>
        <v>0</v>
      </c>
      <c r="K44" s="14">
        <f t="shared" si="17"/>
        <v>5.2779999999999996</v>
      </c>
      <c r="L44" s="14">
        <f t="shared" si="17"/>
        <v>3.157</v>
      </c>
      <c r="M44" s="14">
        <f t="shared" si="17"/>
        <v>0.7</v>
      </c>
      <c r="N44" s="14">
        <f t="shared" si="17"/>
        <v>0</v>
      </c>
      <c r="O44" s="14">
        <f t="shared" si="17"/>
        <v>0</v>
      </c>
      <c r="P44" s="14">
        <f t="shared" si="17"/>
        <v>0.36359999999999998</v>
      </c>
      <c r="Q44" s="14">
        <f t="shared" si="17"/>
        <v>0</v>
      </c>
      <c r="R44" s="14">
        <f t="shared" si="17"/>
        <v>1.8573459999999997</v>
      </c>
      <c r="S44" s="14">
        <f t="shared" si="17"/>
        <v>440.55243359999997</v>
      </c>
      <c r="T44" s="14">
        <f t="shared" si="17"/>
        <v>364.67951447999997</v>
      </c>
      <c r="U44" s="255">
        <f t="shared" si="17"/>
        <v>75.872919120000006</v>
      </c>
    </row>
    <row r="45" spans="1:21" s="17" customFormat="1">
      <c r="A45" s="15">
        <v>1</v>
      </c>
      <c r="B45" s="15" t="s">
        <v>99</v>
      </c>
      <c r="C45" s="15"/>
      <c r="D45" s="15"/>
      <c r="E45" s="16">
        <f t="shared" si="3"/>
        <v>7.5120959999999988</v>
      </c>
      <c r="F45" s="16">
        <v>3.03</v>
      </c>
      <c r="G45" s="16">
        <f t="shared" si="4"/>
        <v>3.6845999999999997</v>
      </c>
      <c r="H45" s="16">
        <v>0.5</v>
      </c>
      <c r="I45" s="16"/>
      <c r="J45" s="16"/>
      <c r="K45" s="16">
        <f>(F45+I45+J45)*70%</f>
        <v>2.1209999999999996</v>
      </c>
      <c r="L45" s="16"/>
      <c r="M45" s="16">
        <v>0.7</v>
      </c>
      <c r="N45" s="16"/>
      <c r="O45" s="16"/>
      <c r="P45" s="18">
        <f>(F45+I45+J45)*12%</f>
        <v>0.36359999999999998</v>
      </c>
      <c r="Q45" s="16"/>
      <c r="R45" s="16">
        <f t="shared" si="5"/>
        <v>0.79749599999999987</v>
      </c>
      <c r="S45" s="16">
        <f>SUM(T45:U45)</f>
        <v>162.26127359999998</v>
      </c>
      <c r="T45" s="16">
        <f>E45*1.49*12</f>
        <v>134.31627647999997</v>
      </c>
      <c r="U45" s="258">
        <f>E45*0.31*12</f>
        <v>27.944997119999996</v>
      </c>
    </row>
    <row r="46" spans="1:21" s="17" customFormat="1">
      <c r="A46" s="15">
        <v>2</v>
      </c>
      <c r="B46" s="15" t="s">
        <v>100</v>
      </c>
      <c r="C46" s="15"/>
      <c r="D46" s="15"/>
      <c r="E46" s="16">
        <f t="shared" si="3"/>
        <v>6.0335000000000001</v>
      </c>
      <c r="F46" s="16">
        <v>2.1</v>
      </c>
      <c r="G46" s="16">
        <f t="shared" si="4"/>
        <v>3.44</v>
      </c>
      <c r="H46" s="16">
        <v>0.5</v>
      </c>
      <c r="I46" s="16"/>
      <c r="J46" s="16"/>
      <c r="K46" s="16">
        <f>(F46+I46+J46)*70%</f>
        <v>1.47</v>
      </c>
      <c r="L46" s="16">
        <f>(F46+I46+J46)*70%</f>
        <v>1.47</v>
      </c>
      <c r="M46" s="16"/>
      <c r="N46" s="16"/>
      <c r="O46" s="16"/>
      <c r="P46" s="16"/>
      <c r="Q46" s="16"/>
      <c r="R46" s="16">
        <f t="shared" si="5"/>
        <v>0.49349999999999999</v>
      </c>
      <c r="S46" s="16">
        <f>SUM(T46:U46)</f>
        <v>130.3236</v>
      </c>
      <c r="T46" s="16">
        <f>E46*1.49*12</f>
        <v>107.87898</v>
      </c>
      <c r="U46" s="258">
        <f>E46*0.31*12</f>
        <v>22.44462</v>
      </c>
    </row>
    <row r="47" spans="1:21" s="17" customFormat="1">
      <c r="A47" s="15">
        <v>3</v>
      </c>
      <c r="B47" s="15" t="s">
        <v>101</v>
      </c>
      <c r="C47" s="15"/>
      <c r="D47" s="15"/>
      <c r="E47" s="16">
        <f t="shared" si="3"/>
        <v>6.8503500000000006</v>
      </c>
      <c r="F47" s="16">
        <v>2.41</v>
      </c>
      <c r="G47" s="16">
        <f t="shared" si="4"/>
        <v>3.8740000000000006</v>
      </c>
      <c r="H47" s="16">
        <v>0.5</v>
      </c>
      <c r="I47" s="16"/>
      <c r="J47" s="16"/>
      <c r="K47" s="16">
        <f>(F47+I47+J47)*70%</f>
        <v>1.6870000000000001</v>
      </c>
      <c r="L47" s="16">
        <f>(F47+I47+J47)*70%</f>
        <v>1.6870000000000001</v>
      </c>
      <c r="M47" s="16"/>
      <c r="N47" s="16"/>
      <c r="O47" s="16"/>
      <c r="P47" s="16"/>
      <c r="Q47" s="16"/>
      <c r="R47" s="16">
        <f t="shared" si="5"/>
        <v>0.56635000000000002</v>
      </c>
      <c r="S47" s="16">
        <f>SUM(T47:U47)</f>
        <v>147.96756000000002</v>
      </c>
      <c r="T47" s="16">
        <f>E47*1.49*12</f>
        <v>122.48425800000001</v>
      </c>
      <c r="U47" s="258">
        <f>E47*0.31*12</f>
        <v>25.483302000000002</v>
      </c>
    </row>
    <row r="48" spans="1:21">
      <c r="A48" s="13"/>
      <c r="B48" s="13" t="s">
        <v>102</v>
      </c>
      <c r="C48" s="13">
        <v>16</v>
      </c>
      <c r="D48" s="13">
        <v>16</v>
      </c>
      <c r="E48" s="14">
        <f>SUM(E49:E64)</f>
        <v>75.948590499999995</v>
      </c>
      <c r="F48" s="14">
        <f t="shared" ref="F48:U48" si="18">SUM(F49:F64)</f>
        <v>39.180000000000007</v>
      </c>
      <c r="G48" s="14">
        <f t="shared" si="18"/>
        <v>27.262299999999996</v>
      </c>
      <c r="H48" s="14">
        <f t="shared" si="18"/>
        <v>6.4000000000000012</v>
      </c>
      <c r="I48" s="14">
        <f t="shared" si="18"/>
        <v>0</v>
      </c>
      <c r="J48" s="14">
        <f t="shared" si="18"/>
        <v>0</v>
      </c>
      <c r="K48" s="14">
        <f t="shared" si="18"/>
        <v>19.590000000000003</v>
      </c>
      <c r="L48" s="14">
        <f t="shared" si="18"/>
        <v>0</v>
      </c>
      <c r="M48" s="14">
        <f t="shared" si="18"/>
        <v>0</v>
      </c>
      <c r="N48" s="14">
        <f t="shared" si="18"/>
        <v>0</v>
      </c>
      <c r="O48" s="14">
        <f t="shared" si="18"/>
        <v>0</v>
      </c>
      <c r="P48" s="14">
        <f t="shared" si="18"/>
        <v>1.2723</v>
      </c>
      <c r="Q48" s="14">
        <f t="shared" si="18"/>
        <v>0</v>
      </c>
      <c r="R48" s="14">
        <f t="shared" si="18"/>
        <v>9.5062904999999986</v>
      </c>
      <c r="S48" s="14">
        <f t="shared" si="18"/>
        <v>1640.4895548</v>
      </c>
      <c r="T48" s="14">
        <f t="shared" si="18"/>
        <v>1357.9607981399995</v>
      </c>
      <c r="U48" s="255">
        <f t="shared" si="18"/>
        <v>282.52875665999994</v>
      </c>
    </row>
    <row r="49" spans="1:21" s="17" customFormat="1">
      <c r="A49" s="15">
        <v>1</v>
      </c>
      <c r="B49" s="15" t="s">
        <v>103</v>
      </c>
      <c r="C49" s="15"/>
      <c r="D49" s="15"/>
      <c r="E49" s="16">
        <f t="shared" si="3"/>
        <v>5.3879360000000007</v>
      </c>
      <c r="F49" s="16">
        <v>2.72</v>
      </c>
      <c r="G49" s="16">
        <f t="shared" si="4"/>
        <v>1.9776000000000002</v>
      </c>
      <c r="H49" s="16">
        <v>0.4</v>
      </c>
      <c r="I49" s="16"/>
      <c r="J49" s="16"/>
      <c r="K49" s="16">
        <f>(F49+I49+J49)*50%</f>
        <v>1.36</v>
      </c>
      <c r="L49" s="16"/>
      <c r="M49" s="16"/>
      <c r="N49" s="16"/>
      <c r="O49" s="16"/>
      <c r="P49" s="18">
        <f>(F49+I49+J49)*8%</f>
        <v>0.21760000000000002</v>
      </c>
      <c r="Q49" s="16"/>
      <c r="R49" s="16">
        <f t="shared" si="5"/>
        <v>0.69033600000000006</v>
      </c>
      <c r="S49" s="16">
        <f t="shared" ref="S49:S64" si="19">SUM(T49:U49)</f>
        <v>116.37941760000002</v>
      </c>
      <c r="T49" s="16">
        <f t="shared" ref="T49:T64" si="20">E49*1.49*12</f>
        <v>96.336295680000021</v>
      </c>
      <c r="U49" s="258">
        <f t="shared" ref="U49:U64" si="21">E49*0.31*12</f>
        <v>20.043121920000004</v>
      </c>
    </row>
    <row r="50" spans="1:21" s="17" customFormat="1">
      <c r="A50" s="15">
        <v>2</v>
      </c>
      <c r="B50" s="15" t="s">
        <v>104</v>
      </c>
      <c r="C50" s="15"/>
      <c r="D50" s="15"/>
      <c r="E50" s="16">
        <f t="shared" si="3"/>
        <v>7.4990674999999998</v>
      </c>
      <c r="F50" s="16">
        <v>3.65</v>
      </c>
      <c r="G50" s="16">
        <f t="shared" si="4"/>
        <v>2.8455000000000004</v>
      </c>
      <c r="H50" s="16">
        <v>0.4</v>
      </c>
      <c r="I50" s="16"/>
      <c r="J50" s="16"/>
      <c r="K50" s="16">
        <f t="shared" ref="K50:K64" si="22">(F50+I50+J50)*50%</f>
        <v>1.825</v>
      </c>
      <c r="L50" s="16"/>
      <c r="M50" s="16"/>
      <c r="N50" s="16"/>
      <c r="O50" s="16"/>
      <c r="P50" s="18">
        <f>(F50+I50+J50)*17%</f>
        <v>0.62050000000000005</v>
      </c>
      <c r="Q50" s="16"/>
      <c r="R50" s="16">
        <f t="shared" si="5"/>
        <v>1.0035674999999999</v>
      </c>
      <c r="S50" s="16">
        <f t="shared" si="19"/>
        <v>161.97985800000001</v>
      </c>
      <c r="T50" s="16">
        <f t="shared" si="20"/>
        <v>134.0833269</v>
      </c>
      <c r="U50" s="258">
        <f t="shared" si="21"/>
        <v>27.896531099999997</v>
      </c>
    </row>
    <row r="51" spans="1:21" s="17" customFormat="1">
      <c r="A51" s="15">
        <v>3</v>
      </c>
      <c r="B51" s="15" t="s">
        <v>105</v>
      </c>
      <c r="C51" s="15"/>
      <c r="D51" s="15"/>
      <c r="E51" s="16">
        <f t="shared" si="3"/>
        <v>6.7311369999999995</v>
      </c>
      <c r="F51" s="16">
        <v>3.34</v>
      </c>
      <c r="G51" s="16">
        <f t="shared" si="4"/>
        <v>2.5042</v>
      </c>
      <c r="H51" s="16">
        <v>0.4</v>
      </c>
      <c r="I51" s="16"/>
      <c r="J51" s="16"/>
      <c r="K51" s="16">
        <f t="shared" si="22"/>
        <v>1.67</v>
      </c>
      <c r="L51" s="16"/>
      <c r="M51" s="16"/>
      <c r="N51" s="16"/>
      <c r="O51" s="16"/>
      <c r="P51" s="18">
        <f>(F51+I51+J51)*13%</f>
        <v>0.43419999999999997</v>
      </c>
      <c r="Q51" s="16"/>
      <c r="R51" s="16">
        <f t="shared" si="5"/>
        <v>0.88693699999999998</v>
      </c>
      <c r="S51" s="16">
        <f t="shared" si="19"/>
        <v>145.39255919999999</v>
      </c>
      <c r="T51" s="16">
        <f t="shared" si="20"/>
        <v>120.35272956</v>
      </c>
      <c r="U51" s="258">
        <f t="shared" si="21"/>
        <v>25.039829639999997</v>
      </c>
    </row>
    <row r="52" spans="1:21" s="17" customFormat="1">
      <c r="A52" s="15">
        <v>4</v>
      </c>
      <c r="B52" s="15" t="s">
        <v>106</v>
      </c>
      <c r="C52" s="15"/>
      <c r="D52" s="15"/>
      <c r="E52" s="16">
        <f t="shared" si="3"/>
        <v>4.5813500000000005</v>
      </c>
      <c r="F52" s="16">
        <v>2.41</v>
      </c>
      <c r="G52" s="16">
        <f t="shared" si="4"/>
        <v>1.605</v>
      </c>
      <c r="H52" s="16">
        <v>0.4</v>
      </c>
      <c r="I52" s="16"/>
      <c r="J52" s="16"/>
      <c r="K52" s="16">
        <f t="shared" si="22"/>
        <v>1.2050000000000001</v>
      </c>
      <c r="L52" s="16"/>
      <c r="M52" s="16"/>
      <c r="N52" s="16"/>
      <c r="O52" s="16"/>
      <c r="P52" s="16"/>
      <c r="Q52" s="16"/>
      <c r="R52" s="16">
        <f t="shared" si="5"/>
        <v>0.56635000000000002</v>
      </c>
      <c r="S52" s="16">
        <f t="shared" si="19"/>
        <v>98.957160000000016</v>
      </c>
      <c r="T52" s="16">
        <f t="shared" si="20"/>
        <v>81.914538000000007</v>
      </c>
      <c r="U52" s="258">
        <f t="shared" si="21"/>
        <v>17.042622000000001</v>
      </c>
    </row>
    <row r="53" spans="1:21" s="17" customFormat="1">
      <c r="A53" s="15">
        <v>5</v>
      </c>
      <c r="B53" s="15" t="s">
        <v>107</v>
      </c>
      <c r="C53" s="15"/>
      <c r="D53" s="15"/>
      <c r="E53" s="16">
        <f t="shared" si="3"/>
        <v>5.1192000000000002</v>
      </c>
      <c r="F53" s="16">
        <v>2.72</v>
      </c>
      <c r="G53" s="16">
        <f t="shared" si="4"/>
        <v>1.7600000000000002</v>
      </c>
      <c r="H53" s="16">
        <v>0.4</v>
      </c>
      <c r="I53" s="16"/>
      <c r="J53" s="16"/>
      <c r="K53" s="16">
        <f t="shared" si="22"/>
        <v>1.36</v>
      </c>
      <c r="L53" s="16"/>
      <c r="M53" s="16"/>
      <c r="N53" s="16"/>
      <c r="O53" s="16"/>
      <c r="P53" s="16"/>
      <c r="Q53" s="16"/>
      <c r="R53" s="16">
        <f t="shared" si="5"/>
        <v>0.63919999999999999</v>
      </c>
      <c r="S53" s="16">
        <f t="shared" si="19"/>
        <v>110.57472</v>
      </c>
      <c r="T53" s="16">
        <f t="shared" si="20"/>
        <v>91.531295999999998</v>
      </c>
      <c r="U53" s="258">
        <f t="shared" si="21"/>
        <v>19.043424000000002</v>
      </c>
    </row>
    <row r="54" spans="1:21" s="17" customFormat="1">
      <c r="A54" s="15">
        <v>6</v>
      </c>
      <c r="B54" s="15" t="s">
        <v>108</v>
      </c>
      <c r="C54" s="15"/>
      <c r="D54" s="15"/>
      <c r="E54" s="16">
        <f t="shared" si="3"/>
        <v>4.5813500000000005</v>
      </c>
      <c r="F54" s="16">
        <v>2.41</v>
      </c>
      <c r="G54" s="16">
        <f t="shared" si="4"/>
        <v>1.605</v>
      </c>
      <c r="H54" s="16">
        <v>0.4</v>
      </c>
      <c r="I54" s="16"/>
      <c r="J54" s="16"/>
      <c r="K54" s="16">
        <f t="shared" si="22"/>
        <v>1.2050000000000001</v>
      </c>
      <c r="L54" s="16"/>
      <c r="M54" s="16"/>
      <c r="N54" s="16"/>
      <c r="O54" s="16"/>
      <c r="P54" s="16"/>
      <c r="Q54" s="16"/>
      <c r="R54" s="16">
        <f t="shared" si="5"/>
        <v>0.56635000000000002</v>
      </c>
      <c r="S54" s="16">
        <f t="shared" si="19"/>
        <v>98.957160000000016</v>
      </c>
      <c r="T54" s="16">
        <f t="shared" si="20"/>
        <v>81.914538000000007</v>
      </c>
      <c r="U54" s="258">
        <f t="shared" si="21"/>
        <v>17.042622000000001</v>
      </c>
    </row>
    <row r="55" spans="1:21" s="17" customFormat="1">
      <c r="A55" s="15">
        <v>7</v>
      </c>
      <c r="B55" s="15" t="s">
        <v>109</v>
      </c>
      <c r="C55" s="15"/>
      <c r="D55" s="15"/>
      <c r="E55" s="16">
        <f t="shared" si="3"/>
        <v>4.0434999999999999</v>
      </c>
      <c r="F55" s="16">
        <v>2.1</v>
      </c>
      <c r="G55" s="16">
        <f t="shared" si="4"/>
        <v>1.4500000000000002</v>
      </c>
      <c r="H55" s="16">
        <v>0.4</v>
      </c>
      <c r="I55" s="16"/>
      <c r="J55" s="16"/>
      <c r="K55" s="16">
        <f t="shared" si="22"/>
        <v>1.05</v>
      </c>
      <c r="L55" s="16"/>
      <c r="M55" s="16"/>
      <c r="N55" s="16"/>
      <c r="O55" s="16"/>
      <c r="P55" s="16"/>
      <c r="Q55" s="16"/>
      <c r="R55" s="16">
        <f t="shared" si="5"/>
        <v>0.49349999999999999</v>
      </c>
      <c r="S55" s="16">
        <f t="shared" si="19"/>
        <v>87.33959999999999</v>
      </c>
      <c r="T55" s="16">
        <f t="shared" si="20"/>
        <v>72.297779999999989</v>
      </c>
      <c r="U55" s="258">
        <f t="shared" si="21"/>
        <v>15.04182</v>
      </c>
    </row>
    <row r="56" spans="1:21" s="17" customFormat="1">
      <c r="A56" s="15">
        <v>8</v>
      </c>
      <c r="B56" s="15" t="s">
        <v>110</v>
      </c>
      <c r="C56" s="15"/>
      <c r="D56" s="15"/>
      <c r="E56" s="16">
        <f t="shared" si="3"/>
        <v>4.0434999999999999</v>
      </c>
      <c r="F56" s="16">
        <v>2.1</v>
      </c>
      <c r="G56" s="16">
        <f t="shared" si="4"/>
        <v>1.4500000000000002</v>
      </c>
      <c r="H56" s="16">
        <v>0.4</v>
      </c>
      <c r="I56" s="16"/>
      <c r="J56" s="16"/>
      <c r="K56" s="16">
        <f t="shared" si="22"/>
        <v>1.05</v>
      </c>
      <c r="L56" s="16"/>
      <c r="M56" s="16"/>
      <c r="N56" s="16"/>
      <c r="O56" s="16"/>
      <c r="P56" s="16"/>
      <c r="Q56" s="16"/>
      <c r="R56" s="16">
        <f t="shared" si="5"/>
        <v>0.49349999999999999</v>
      </c>
      <c r="S56" s="16">
        <f t="shared" si="19"/>
        <v>87.33959999999999</v>
      </c>
      <c r="T56" s="16">
        <f t="shared" si="20"/>
        <v>72.297779999999989</v>
      </c>
      <c r="U56" s="258">
        <f t="shared" si="21"/>
        <v>15.04182</v>
      </c>
    </row>
    <row r="57" spans="1:21" s="17" customFormat="1">
      <c r="A57" s="15">
        <v>9</v>
      </c>
      <c r="B57" s="15" t="s">
        <v>111</v>
      </c>
      <c r="C57" s="15"/>
      <c r="D57" s="15"/>
      <c r="E57" s="16">
        <f t="shared" si="3"/>
        <v>4.0434999999999999</v>
      </c>
      <c r="F57" s="16">
        <v>2.1</v>
      </c>
      <c r="G57" s="16">
        <f t="shared" si="4"/>
        <v>1.4500000000000002</v>
      </c>
      <c r="H57" s="16">
        <v>0.4</v>
      </c>
      <c r="I57" s="16"/>
      <c r="J57" s="16"/>
      <c r="K57" s="16">
        <f t="shared" si="22"/>
        <v>1.05</v>
      </c>
      <c r="L57" s="16"/>
      <c r="M57" s="16"/>
      <c r="N57" s="16"/>
      <c r="O57" s="16"/>
      <c r="P57" s="16"/>
      <c r="Q57" s="16"/>
      <c r="R57" s="16">
        <f t="shared" si="5"/>
        <v>0.49349999999999999</v>
      </c>
      <c r="S57" s="16">
        <f t="shared" si="19"/>
        <v>87.33959999999999</v>
      </c>
      <c r="T57" s="16">
        <f t="shared" si="20"/>
        <v>72.297779999999989</v>
      </c>
      <c r="U57" s="258">
        <f t="shared" si="21"/>
        <v>15.04182</v>
      </c>
    </row>
    <row r="58" spans="1:21" s="17" customFormat="1">
      <c r="A58" s="15">
        <v>10</v>
      </c>
      <c r="B58" s="15" t="s">
        <v>112</v>
      </c>
      <c r="C58" s="15"/>
      <c r="D58" s="15"/>
      <c r="E58" s="16">
        <f t="shared" si="3"/>
        <v>4.5813500000000005</v>
      </c>
      <c r="F58" s="16">
        <v>2.41</v>
      </c>
      <c r="G58" s="16">
        <f t="shared" si="4"/>
        <v>1.605</v>
      </c>
      <c r="H58" s="16">
        <v>0.4</v>
      </c>
      <c r="I58" s="16"/>
      <c r="J58" s="16"/>
      <c r="K58" s="16">
        <f t="shared" si="22"/>
        <v>1.2050000000000001</v>
      </c>
      <c r="L58" s="16"/>
      <c r="M58" s="16"/>
      <c r="N58" s="16"/>
      <c r="O58" s="16"/>
      <c r="P58" s="16"/>
      <c r="Q58" s="16"/>
      <c r="R58" s="16">
        <f t="shared" si="5"/>
        <v>0.56635000000000002</v>
      </c>
      <c r="S58" s="16">
        <f t="shared" si="19"/>
        <v>98.957160000000016</v>
      </c>
      <c r="T58" s="16">
        <f t="shared" si="20"/>
        <v>81.914538000000007</v>
      </c>
      <c r="U58" s="258">
        <f t="shared" si="21"/>
        <v>17.042622000000001</v>
      </c>
    </row>
    <row r="59" spans="1:21" s="17" customFormat="1">
      <c r="A59" s="15">
        <v>11</v>
      </c>
      <c r="B59" s="15" t="s">
        <v>113</v>
      </c>
      <c r="C59" s="15"/>
      <c r="D59" s="15"/>
      <c r="E59" s="16">
        <f t="shared" si="3"/>
        <v>4.5813500000000005</v>
      </c>
      <c r="F59" s="16">
        <v>2.41</v>
      </c>
      <c r="G59" s="16">
        <f t="shared" si="4"/>
        <v>1.605</v>
      </c>
      <c r="H59" s="16">
        <v>0.4</v>
      </c>
      <c r="I59" s="16"/>
      <c r="J59" s="16"/>
      <c r="K59" s="16">
        <f t="shared" si="22"/>
        <v>1.2050000000000001</v>
      </c>
      <c r="L59" s="16"/>
      <c r="M59" s="16"/>
      <c r="N59" s="16"/>
      <c r="O59" s="16"/>
      <c r="P59" s="16"/>
      <c r="Q59" s="16"/>
      <c r="R59" s="16">
        <f t="shared" si="5"/>
        <v>0.56635000000000002</v>
      </c>
      <c r="S59" s="16">
        <f t="shared" si="19"/>
        <v>98.957160000000016</v>
      </c>
      <c r="T59" s="16">
        <f t="shared" si="20"/>
        <v>81.914538000000007</v>
      </c>
      <c r="U59" s="258">
        <f t="shared" si="21"/>
        <v>17.042622000000001</v>
      </c>
    </row>
    <row r="60" spans="1:21" s="17" customFormat="1">
      <c r="A60" s="15">
        <v>12</v>
      </c>
      <c r="B60" s="15" t="s">
        <v>114</v>
      </c>
      <c r="C60" s="15"/>
      <c r="D60" s="15"/>
      <c r="E60" s="16">
        <f t="shared" si="3"/>
        <v>4.0434999999999999</v>
      </c>
      <c r="F60" s="16">
        <v>2.1</v>
      </c>
      <c r="G60" s="16">
        <f t="shared" si="4"/>
        <v>1.4500000000000002</v>
      </c>
      <c r="H60" s="16">
        <v>0.4</v>
      </c>
      <c r="I60" s="16"/>
      <c r="J60" s="16"/>
      <c r="K60" s="16">
        <f t="shared" si="22"/>
        <v>1.05</v>
      </c>
      <c r="L60" s="16"/>
      <c r="M60" s="16"/>
      <c r="N60" s="16"/>
      <c r="O60" s="16"/>
      <c r="P60" s="16"/>
      <c r="Q60" s="16"/>
      <c r="R60" s="16">
        <f t="shared" si="5"/>
        <v>0.49349999999999999</v>
      </c>
      <c r="S60" s="16">
        <f t="shared" si="19"/>
        <v>87.33959999999999</v>
      </c>
      <c r="T60" s="16">
        <f t="shared" si="20"/>
        <v>72.297779999999989</v>
      </c>
      <c r="U60" s="258">
        <f t="shared" si="21"/>
        <v>15.04182</v>
      </c>
    </row>
    <row r="61" spans="1:21" s="17" customFormat="1">
      <c r="A61" s="15">
        <v>13</v>
      </c>
      <c r="B61" s="15" t="s">
        <v>115</v>
      </c>
      <c r="C61" s="15"/>
      <c r="D61" s="15"/>
      <c r="E61" s="16">
        <f t="shared" si="3"/>
        <v>4.0434999999999999</v>
      </c>
      <c r="F61" s="16">
        <v>2.1</v>
      </c>
      <c r="G61" s="16">
        <f t="shared" si="4"/>
        <v>1.4500000000000002</v>
      </c>
      <c r="H61" s="16">
        <v>0.4</v>
      </c>
      <c r="I61" s="16"/>
      <c r="J61" s="16"/>
      <c r="K61" s="16">
        <f t="shared" si="22"/>
        <v>1.05</v>
      </c>
      <c r="L61" s="16"/>
      <c r="M61" s="16"/>
      <c r="N61" s="16"/>
      <c r="O61" s="16"/>
      <c r="P61" s="16"/>
      <c r="Q61" s="16"/>
      <c r="R61" s="16">
        <f t="shared" si="5"/>
        <v>0.49349999999999999</v>
      </c>
      <c r="S61" s="16">
        <f t="shared" si="19"/>
        <v>87.33959999999999</v>
      </c>
      <c r="T61" s="16">
        <f t="shared" si="20"/>
        <v>72.297779999999989</v>
      </c>
      <c r="U61" s="258">
        <f t="shared" si="21"/>
        <v>15.04182</v>
      </c>
    </row>
    <row r="62" spans="1:21" s="17" customFormat="1">
      <c r="A62" s="15">
        <v>14</v>
      </c>
      <c r="B62" s="15" t="s">
        <v>116</v>
      </c>
      <c r="C62" s="15"/>
      <c r="D62" s="15"/>
      <c r="E62" s="16">
        <f t="shared" si="3"/>
        <v>4.5813500000000005</v>
      </c>
      <c r="F62" s="16">
        <v>2.41</v>
      </c>
      <c r="G62" s="16">
        <f t="shared" si="4"/>
        <v>1.605</v>
      </c>
      <c r="H62" s="16">
        <v>0.4</v>
      </c>
      <c r="I62" s="16"/>
      <c r="J62" s="16"/>
      <c r="K62" s="16">
        <f t="shared" si="22"/>
        <v>1.2050000000000001</v>
      </c>
      <c r="L62" s="16"/>
      <c r="M62" s="16"/>
      <c r="N62" s="16"/>
      <c r="O62" s="16"/>
      <c r="P62" s="16"/>
      <c r="Q62" s="16"/>
      <c r="R62" s="16">
        <f t="shared" si="5"/>
        <v>0.56635000000000002</v>
      </c>
      <c r="S62" s="16">
        <f t="shared" si="19"/>
        <v>98.957160000000016</v>
      </c>
      <c r="T62" s="16">
        <f t="shared" si="20"/>
        <v>81.914538000000007</v>
      </c>
      <c r="U62" s="258">
        <f t="shared" si="21"/>
        <v>17.042622000000001</v>
      </c>
    </row>
    <row r="63" spans="1:21" s="17" customFormat="1">
      <c r="A63" s="15">
        <v>15</v>
      </c>
      <c r="B63" s="15" t="s">
        <v>117</v>
      </c>
      <c r="C63" s="15"/>
      <c r="D63" s="15"/>
      <c r="E63" s="16">
        <f t="shared" si="3"/>
        <v>4.0434999999999999</v>
      </c>
      <c r="F63" s="16">
        <v>2.1</v>
      </c>
      <c r="G63" s="16">
        <f t="shared" si="4"/>
        <v>1.4500000000000002</v>
      </c>
      <c r="H63" s="16">
        <v>0.4</v>
      </c>
      <c r="I63" s="16"/>
      <c r="J63" s="16"/>
      <c r="K63" s="16">
        <f t="shared" si="22"/>
        <v>1.05</v>
      </c>
      <c r="L63" s="16"/>
      <c r="M63" s="16"/>
      <c r="N63" s="16"/>
      <c r="O63" s="16"/>
      <c r="P63" s="16"/>
      <c r="Q63" s="16"/>
      <c r="R63" s="16">
        <f t="shared" si="5"/>
        <v>0.49349999999999999</v>
      </c>
      <c r="S63" s="16">
        <f t="shared" si="19"/>
        <v>87.33959999999999</v>
      </c>
      <c r="T63" s="16">
        <f t="shared" si="20"/>
        <v>72.297779999999989</v>
      </c>
      <c r="U63" s="258">
        <f t="shared" si="21"/>
        <v>15.04182</v>
      </c>
    </row>
    <row r="64" spans="1:21" s="17" customFormat="1">
      <c r="A64" s="15">
        <v>16</v>
      </c>
      <c r="B64" s="15" t="s">
        <v>118</v>
      </c>
      <c r="C64" s="15"/>
      <c r="D64" s="15"/>
      <c r="E64" s="16">
        <f t="shared" si="3"/>
        <v>4.0434999999999999</v>
      </c>
      <c r="F64" s="16">
        <v>2.1</v>
      </c>
      <c r="G64" s="16">
        <f t="shared" si="4"/>
        <v>1.4500000000000002</v>
      </c>
      <c r="H64" s="16">
        <v>0.4</v>
      </c>
      <c r="I64" s="16"/>
      <c r="J64" s="16"/>
      <c r="K64" s="16">
        <f t="shared" si="22"/>
        <v>1.05</v>
      </c>
      <c r="L64" s="16"/>
      <c r="M64" s="16"/>
      <c r="N64" s="16"/>
      <c r="O64" s="16"/>
      <c r="P64" s="16"/>
      <c r="Q64" s="16"/>
      <c r="R64" s="16">
        <f t="shared" si="5"/>
        <v>0.49349999999999999</v>
      </c>
      <c r="S64" s="16">
        <f t="shared" si="19"/>
        <v>87.33959999999999</v>
      </c>
      <c r="T64" s="16">
        <f t="shared" si="20"/>
        <v>72.297779999999989</v>
      </c>
      <c r="U64" s="258">
        <f t="shared" si="21"/>
        <v>15.04182</v>
      </c>
    </row>
    <row r="65" spans="1:21">
      <c r="A65" s="10">
        <v>2</v>
      </c>
      <c r="B65" s="10" t="s">
        <v>16</v>
      </c>
      <c r="C65" s="10">
        <f>C66+C69+C72+C78+C79+C83+C87+C90+C95+C98+C100+C103+C106</f>
        <v>29</v>
      </c>
      <c r="D65" s="10">
        <f>D66+D69+D72+D78+D79+D83+D87+D90+D95+D98+D100+D103+D106</f>
        <v>29</v>
      </c>
      <c r="E65" s="11">
        <f>E66+E69+E72+E78+E79+E83+E87+E90+E95+E98+E100+E103+E106</f>
        <v>166.03104049999999</v>
      </c>
      <c r="F65" s="11">
        <f>F66+F69+F72+F78+F79+F83+F87+F90+F95+F98+F100+F103+F106</f>
        <v>69.84</v>
      </c>
      <c r="G65" s="11">
        <f t="shared" ref="G65:U65" si="23">G66+G69+G72+G78+G79+G83+G87+G90+G95+G98+G100+G103+G106</f>
        <v>79.571299999999994</v>
      </c>
      <c r="H65" s="11">
        <f t="shared" si="23"/>
        <v>15.299999999999999</v>
      </c>
      <c r="I65" s="11">
        <f t="shared" si="23"/>
        <v>0</v>
      </c>
      <c r="J65" s="11">
        <f t="shared" si="23"/>
        <v>0</v>
      </c>
      <c r="K65" s="11">
        <f t="shared" si="23"/>
        <v>41.802</v>
      </c>
      <c r="L65" s="11">
        <f t="shared" si="23"/>
        <v>19.886999999999993</v>
      </c>
      <c r="M65" s="11">
        <f t="shared" si="23"/>
        <v>1.7</v>
      </c>
      <c r="N65" s="11">
        <f t="shared" si="23"/>
        <v>0</v>
      </c>
      <c r="O65" s="11">
        <f t="shared" si="23"/>
        <v>0</v>
      </c>
      <c r="P65" s="11">
        <f t="shared" si="23"/>
        <v>0.88230000000000008</v>
      </c>
      <c r="Q65" s="11">
        <f t="shared" si="23"/>
        <v>0</v>
      </c>
      <c r="R65" s="11">
        <f t="shared" si="23"/>
        <v>16.619740499999999</v>
      </c>
      <c r="S65" s="11">
        <f>S66+S69+S72+S78+S79+S83+S87+S90+S95+S98+S100+S103+S106</f>
        <v>3586.2704748000001</v>
      </c>
      <c r="T65" s="11">
        <f t="shared" si="23"/>
        <v>2968.6350041399996</v>
      </c>
      <c r="U65" s="257">
        <f t="shared" si="23"/>
        <v>617.63547066000001</v>
      </c>
    </row>
    <row r="66" spans="1:21">
      <c r="A66" s="13"/>
      <c r="B66" s="13" t="s">
        <v>119</v>
      </c>
      <c r="C66" s="13">
        <v>2</v>
      </c>
      <c r="D66" s="13">
        <v>2</v>
      </c>
      <c r="E66" s="14">
        <f>SUM(E67:E68)</f>
        <v>13.331799999999999</v>
      </c>
      <c r="F66" s="14">
        <f t="shared" ref="F66:U66" si="24">SUM(F67:F68)</f>
        <v>4.68</v>
      </c>
      <c r="G66" s="14">
        <f t="shared" si="24"/>
        <v>7.5519999999999996</v>
      </c>
      <c r="H66" s="14">
        <f t="shared" si="24"/>
        <v>1</v>
      </c>
      <c r="I66" s="14">
        <f t="shared" si="24"/>
        <v>0</v>
      </c>
      <c r="J66" s="14">
        <f t="shared" si="24"/>
        <v>0</v>
      </c>
      <c r="K66" s="14">
        <f t="shared" si="24"/>
        <v>3.2759999999999998</v>
      </c>
      <c r="L66" s="14">
        <f t="shared" si="24"/>
        <v>3.2759999999999998</v>
      </c>
      <c r="M66" s="14">
        <f t="shared" si="24"/>
        <v>0</v>
      </c>
      <c r="N66" s="14">
        <f t="shared" si="24"/>
        <v>0</v>
      </c>
      <c r="O66" s="14">
        <f t="shared" si="24"/>
        <v>0</v>
      </c>
      <c r="P66" s="14">
        <f t="shared" si="24"/>
        <v>0</v>
      </c>
      <c r="Q66" s="14">
        <f t="shared" si="24"/>
        <v>0</v>
      </c>
      <c r="R66" s="14">
        <f t="shared" si="24"/>
        <v>1.0997999999999999</v>
      </c>
      <c r="S66" s="14">
        <f>SUM(S67:S68)</f>
        <v>287.96688</v>
      </c>
      <c r="T66" s="14">
        <f t="shared" si="24"/>
        <v>238.37258399999999</v>
      </c>
      <c r="U66" s="255">
        <f t="shared" si="24"/>
        <v>49.594296</v>
      </c>
    </row>
    <row r="67" spans="1:21" s="17" customFormat="1">
      <c r="A67" s="15">
        <v>1</v>
      </c>
      <c r="B67" s="15" t="s">
        <v>120</v>
      </c>
      <c r="C67" s="15"/>
      <c r="D67" s="15"/>
      <c r="E67" s="16">
        <f t="shared" si="3"/>
        <v>6.6658999999999997</v>
      </c>
      <c r="F67" s="16">
        <v>2.34</v>
      </c>
      <c r="G67" s="16">
        <f t="shared" si="4"/>
        <v>3.7759999999999998</v>
      </c>
      <c r="H67" s="16">
        <v>0.5</v>
      </c>
      <c r="I67" s="16"/>
      <c r="J67" s="16"/>
      <c r="K67" s="16">
        <f>(F67+I67+J67)*70%</f>
        <v>1.6379999999999999</v>
      </c>
      <c r="L67" s="16">
        <f>(F67+I67+J67)*70%</f>
        <v>1.6379999999999999</v>
      </c>
      <c r="M67" s="16"/>
      <c r="N67" s="16"/>
      <c r="O67" s="16"/>
      <c r="P67" s="16"/>
      <c r="Q67" s="16"/>
      <c r="R67" s="16">
        <f t="shared" si="5"/>
        <v>0.54989999999999994</v>
      </c>
      <c r="S67" s="16">
        <f>SUM(T67:U67)</f>
        <v>143.98344</v>
      </c>
      <c r="T67" s="16">
        <f>E67*1.49*12</f>
        <v>119.18629199999999</v>
      </c>
      <c r="U67" s="258">
        <f>E67*0.31*12</f>
        <v>24.797148</v>
      </c>
    </row>
    <row r="68" spans="1:21" s="17" customFormat="1">
      <c r="A68" s="15">
        <v>2</v>
      </c>
      <c r="B68" s="15" t="s">
        <v>121</v>
      </c>
      <c r="C68" s="15"/>
      <c r="D68" s="15"/>
      <c r="E68" s="16">
        <f t="shared" si="3"/>
        <v>6.6658999999999997</v>
      </c>
      <c r="F68" s="16">
        <v>2.34</v>
      </c>
      <c r="G68" s="16">
        <f t="shared" si="4"/>
        <v>3.7759999999999998</v>
      </c>
      <c r="H68" s="16">
        <v>0.5</v>
      </c>
      <c r="I68" s="16"/>
      <c r="J68" s="16"/>
      <c r="K68" s="16">
        <f>(F68+I68+J68)*70%</f>
        <v>1.6379999999999999</v>
      </c>
      <c r="L68" s="16">
        <f>(F68+I68+J68)*70%</f>
        <v>1.6379999999999999</v>
      </c>
      <c r="M68" s="16"/>
      <c r="N68" s="16"/>
      <c r="O68" s="16"/>
      <c r="P68" s="16"/>
      <c r="Q68" s="16"/>
      <c r="R68" s="16">
        <f t="shared" si="5"/>
        <v>0.54989999999999994</v>
      </c>
      <c r="S68" s="16">
        <f>SUM(T68:U68)</f>
        <v>143.98344</v>
      </c>
      <c r="T68" s="16">
        <f>E68*1.49*12</f>
        <v>119.18629199999999</v>
      </c>
      <c r="U68" s="258">
        <f>E68*0.31*12</f>
        <v>24.797148</v>
      </c>
    </row>
    <row r="69" spans="1:21">
      <c r="A69" s="13"/>
      <c r="B69" s="13" t="s">
        <v>122</v>
      </c>
      <c r="C69" s="13">
        <v>2</v>
      </c>
      <c r="D69" s="13">
        <v>2</v>
      </c>
      <c r="E69" s="14">
        <f>SUM(E70:E71)</f>
        <v>9.1197999999999997</v>
      </c>
      <c r="F69" s="14">
        <f t="shared" ref="F69:U69" si="25">SUM(F70:F71)</f>
        <v>4.68</v>
      </c>
      <c r="G69" s="14">
        <f t="shared" si="25"/>
        <v>3.34</v>
      </c>
      <c r="H69" s="14">
        <f t="shared" si="25"/>
        <v>1</v>
      </c>
      <c r="I69" s="14">
        <f t="shared" si="25"/>
        <v>0</v>
      </c>
      <c r="J69" s="14">
        <f t="shared" si="25"/>
        <v>0</v>
      </c>
      <c r="K69" s="14">
        <f t="shared" si="25"/>
        <v>2.34</v>
      </c>
      <c r="L69" s="14">
        <f t="shared" si="25"/>
        <v>0</v>
      </c>
      <c r="M69" s="14">
        <f t="shared" si="25"/>
        <v>0</v>
      </c>
      <c r="N69" s="14">
        <f t="shared" si="25"/>
        <v>0</v>
      </c>
      <c r="O69" s="14">
        <f t="shared" si="25"/>
        <v>0</v>
      </c>
      <c r="P69" s="14">
        <f t="shared" si="25"/>
        <v>0</v>
      </c>
      <c r="Q69" s="14">
        <f t="shared" si="25"/>
        <v>0</v>
      </c>
      <c r="R69" s="14">
        <f t="shared" si="25"/>
        <v>1.0997999999999999</v>
      </c>
      <c r="S69" s="14">
        <f t="shared" si="25"/>
        <v>196.98768000000001</v>
      </c>
      <c r="T69" s="14">
        <f t="shared" si="25"/>
        <v>163.06202400000001</v>
      </c>
      <c r="U69" s="255">
        <f t="shared" si="25"/>
        <v>33.925655999999996</v>
      </c>
    </row>
    <row r="70" spans="1:21" s="17" customFormat="1">
      <c r="A70" s="15">
        <v>1</v>
      </c>
      <c r="B70" s="15" t="s">
        <v>123</v>
      </c>
      <c r="C70" s="15"/>
      <c r="D70" s="15"/>
      <c r="E70" s="16">
        <f t="shared" si="3"/>
        <v>4.5598999999999998</v>
      </c>
      <c r="F70" s="16">
        <v>2.34</v>
      </c>
      <c r="G70" s="16">
        <f t="shared" si="4"/>
        <v>1.67</v>
      </c>
      <c r="H70" s="16">
        <v>0.5</v>
      </c>
      <c r="I70" s="16"/>
      <c r="J70" s="16"/>
      <c r="K70" s="16">
        <f>(F70+I70+J70)*50%</f>
        <v>1.17</v>
      </c>
      <c r="L70" s="16"/>
      <c r="M70" s="16"/>
      <c r="N70" s="16"/>
      <c r="O70" s="16"/>
      <c r="P70" s="16"/>
      <c r="Q70" s="16"/>
      <c r="R70" s="16">
        <f t="shared" si="5"/>
        <v>0.54989999999999994</v>
      </c>
      <c r="S70" s="16">
        <f>SUM(T70:U70)</f>
        <v>98.493840000000006</v>
      </c>
      <c r="T70" s="16">
        <f>E70*1.49*12</f>
        <v>81.531012000000004</v>
      </c>
      <c r="U70" s="258">
        <f>E70*0.31*12</f>
        <v>16.962827999999998</v>
      </c>
    </row>
    <row r="71" spans="1:21" s="17" customFormat="1">
      <c r="A71" s="15">
        <v>2</v>
      </c>
      <c r="B71" s="15" t="s">
        <v>124</v>
      </c>
      <c r="C71" s="15"/>
      <c r="D71" s="15"/>
      <c r="E71" s="16">
        <f t="shared" si="3"/>
        <v>4.5598999999999998</v>
      </c>
      <c r="F71" s="16">
        <v>2.34</v>
      </c>
      <c r="G71" s="16">
        <f t="shared" si="4"/>
        <v>1.67</v>
      </c>
      <c r="H71" s="16">
        <v>0.5</v>
      </c>
      <c r="I71" s="16"/>
      <c r="J71" s="16"/>
      <c r="K71" s="16">
        <f>(F71+I71+J71)*50%</f>
        <v>1.17</v>
      </c>
      <c r="L71" s="16"/>
      <c r="M71" s="16"/>
      <c r="N71" s="16"/>
      <c r="O71" s="16"/>
      <c r="P71" s="16"/>
      <c r="Q71" s="16"/>
      <c r="R71" s="16">
        <f t="shared" si="5"/>
        <v>0.54989999999999994</v>
      </c>
      <c r="S71" s="16">
        <f>SUM(T71:U71)</f>
        <v>98.493840000000006</v>
      </c>
      <c r="T71" s="16">
        <f>E71*1.49*12</f>
        <v>81.531012000000004</v>
      </c>
      <c r="U71" s="258">
        <f>E71*0.31*12</f>
        <v>16.962827999999998</v>
      </c>
    </row>
    <row r="72" spans="1:21">
      <c r="A72" s="13"/>
      <c r="B72" s="13" t="s">
        <v>125</v>
      </c>
      <c r="C72" s="13">
        <v>5</v>
      </c>
      <c r="D72" s="13">
        <v>5</v>
      </c>
      <c r="E72" s="14">
        <f>SUM(E73:E77)</f>
        <v>35.429871499999997</v>
      </c>
      <c r="F72" s="14">
        <f t="shared" ref="F72:U72" si="26">SUM(F73:F77)</f>
        <v>12.03</v>
      </c>
      <c r="G72" s="14">
        <f t="shared" si="26"/>
        <v>20.5289</v>
      </c>
      <c r="H72" s="14">
        <f t="shared" si="26"/>
        <v>3.5</v>
      </c>
      <c r="I72" s="14">
        <f t="shared" si="26"/>
        <v>0</v>
      </c>
      <c r="J72" s="14">
        <f t="shared" si="26"/>
        <v>0</v>
      </c>
      <c r="K72" s="14">
        <f t="shared" si="26"/>
        <v>8.4209999999999994</v>
      </c>
      <c r="L72" s="14">
        <f t="shared" si="26"/>
        <v>8.4209999999999994</v>
      </c>
      <c r="M72" s="14">
        <f t="shared" si="26"/>
        <v>0</v>
      </c>
      <c r="N72" s="14">
        <f t="shared" si="26"/>
        <v>0</v>
      </c>
      <c r="O72" s="14">
        <f t="shared" si="26"/>
        <v>0</v>
      </c>
      <c r="P72" s="14">
        <f t="shared" si="26"/>
        <v>0.18690000000000001</v>
      </c>
      <c r="Q72" s="14">
        <f t="shared" si="26"/>
        <v>0</v>
      </c>
      <c r="R72" s="14">
        <f t="shared" si="26"/>
        <v>2.8709714999999996</v>
      </c>
      <c r="S72" s="14">
        <f t="shared" si="26"/>
        <v>765.28522439999995</v>
      </c>
      <c r="T72" s="14">
        <f t="shared" si="26"/>
        <v>633.48610241999995</v>
      </c>
      <c r="U72" s="255">
        <f t="shared" si="26"/>
        <v>131.79912198</v>
      </c>
    </row>
    <row r="73" spans="1:21" s="17" customFormat="1">
      <c r="A73" s="15">
        <v>1</v>
      </c>
      <c r="B73" s="15" t="s">
        <v>123</v>
      </c>
      <c r="C73" s="15"/>
      <c r="D73" s="15"/>
      <c r="E73" s="16">
        <f t="shared" si="3"/>
        <v>6.8658999999999999</v>
      </c>
      <c r="F73" s="16">
        <v>2.34</v>
      </c>
      <c r="G73" s="16">
        <f t="shared" si="4"/>
        <v>3.976</v>
      </c>
      <c r="H73" s="16">
        <v>0.7</v>
      </c>
      <c r="I73" s="16"/>
      <c r="J73" s="16"/>
      <c r="K73" s="16">
        <f>(F73+I73+J73)*70%</f>
        <v>1.6379999999999999</v>
      </c>
      <c r="L73" s="16">
        <f>(F73+I73+J73)*70%</f>
        <v>1.6379999999999999</v>
      </c>
      <c r="M73" s="16"/>
      <c r="N73" s="16"/>
      <c r="O73" s="16"/>
      <c r="P73" s="16"/>
      <c r="Q73" s="16"/>
      <c r="R73" s="16">
        <f t="shared" si="5"/>
        <v>0.54989999999999994</v>
      </c>
      <c r="S73" s="16">
        <f>SUM(T73:U73)</f>
        <v>148.30343999999999</v>
      </c>
      <c r="T73" s="16">
        <f>E73*1.49*12</f>
        <v>122.762292</v>
      </c>
      <c r="U73" s="258">
        <f>E73*0.31*12</f>
        <v>25.541148</v>
      </c>
    </row>
    <row r="74" spans="1:21" s="17" customFormat="1">
      <c r="A74" s="15">
        <v>2</v>
      </c>
      <c r="B74" s="15" t="s">
        <v>126</v>
      </c>
      <c r="C74" s="15"/>
      <c r="D74" s="15"/>
      <c r="E74" s="16">
        <f t="shared" si="3"/>
        <v>6.8658999999999999</v>
      </c>
      <c r="F74" s="16">
        <v>2.34</v>
      </c>
      <c r="G74" s="16">
        <f t="shared" si="4"/>
        <v>3.976</v>
      </c>
      <c r="H74" s="16">
        <v>0.7</v>
      </c>
      <c r="I74" s="16"/>
      <c r="J74" s="16"/>
      <c r="K74" s="16">
        <f>(F74+I74+J74)*70%</f>
        <v>1.6379999999999999</v>
      </c>
      <c r="L74" s="16">
        <f>(F74+I74+J74)*70%</f>
        <v>1.6379999999999999</v>
      </c>
      <c r="M74" s="16"/>
      <c r="N74" s="16"/>
      <c r="O74" s="16"/>
      <c r="P74" s="16"/>
      <c r="Q74" s="16"/>
      <c r="R74" s="16">
        <f t="shared" si="5"/>
        <v>0.54989999999999994</v>
      </c>
      <c r="S74" s="16">
        <f>SUM(T74:U74)</f>
        <v>148.30343999999999</v>
      </c>
      <c r="T74" s="16">
        <f>E74*1.49*12</f>
        <v>122.762292</v>
      </c>
      <c r="U74" s="258">
        <f>E74*0.31*12</f>
        <v>25.541148</v>
      </c>
    </row>
    <row r="75" spans="1:21" s="17" customFormat="1">
      <c r="A75" s="15">
        <v>3</v>
      </c>
      <c r="B75" s="15" t="s">
        <v>127</v>
      </c>
      <c r="C75" s="15"/>
      <c r="D75" s="15"/>
      <c r="E75" s="16">
        <f t="shared" si="3"/>
        <v>6.8658999999999999</v>
      </c>
      <c r="F75" s="16">
        <v>2.34</v>
      </c>
      <c r="G75" s="16">
        <f t="shared" si="4"/>
        <v>3.976</v>
      </c>
      <c r="H75" s="16">
        <v>0.7</v>
      </c>
      <c r="I75" s="16"/>
      <c r="J75" s="16"/>
      <c r="K75" s="16">
        <f>(F75+I75+J75)*70%</f>
        <v>1.6379999999999999</v>
      </c>
      <c r="L75" s="16">
        <f>(F75+I75+J75)*70%</f>
        <v>1.6379999999999999</v>
      </c>
      <c r="M75" s="16"/>
      <c r="N75" s="16"/>
      <c r="O75" s="16"/>
      <c r="P75" s="16"/>
      <c r="Q75" s="16"/>
      <c r="R75" s="16">
        <f t="shared" si="5"/>
        <v>0.54989999999999994</v>
      </c>
      <c r="S75" s="16">
        <f>SUM(T75:U75)</f>
        <v>148.30343999999999</v>
      </c>
      <c r="T75" s="16">
        <f>E75*1.49*12</f>
        <v>122.762292</v>
      </c>
      <c r="U75" s="258">
        <f>E75*0.31*12</f>
        <v>25.541148</v>
      </c>
    </row>
    <row r="76" spans="1:21" s="17" customFormat="1">
      <c r="A76" s="15">
        <v>4</v>
      </c>
      <c r="B76" s="15" t="s">
        <v>128</v>
      </c>
      <c r="C76" s="15"/>
      <c r="D76" s="15"/>
      <c r="E76" s="16">
        <f t="shared" si="3"/>
        <v>6.8658999999999999</v>
      </c>
      <c r="F76" s="16">
        <v>2.34</v>
      </c>
      <c r="G76" s="16">
        <f t="shared" si="4"/>
        <v>3.976</v>
      </c>
      <c r="H76" s="16">
        <v>0.7</v>
      </c>
      <c r="I76" s="16"/>
      <c r="J76" s="16"/>
      <c r="K76" s="16">
        <f>(F76+I76+J76)*70%</f>
        <v>1.6379999999999999</v>
      </c>
      <c r="L76" s="16">
        <f>(F76+I76+J76)*70%</f>
        <v>1.6379999999999999</v>
      </c>
      <c r="M76" s="16"/>
      <c r="N76" s="16"/>
      <c r="O76" s="16"/>
      <c r="P76" s="16"/>
      <c r="Q76" s="16"/>
      <c r="R76" s="16">
        <f t="shared" si="5"/>
        <v>0.54989999999999994</v>
      </c>
      <c r="S76" s="16">
        <f>SUM(T76:U76)</f>
        <v>148.30343999999999</v>
      </c>
      <c r="T76" s="16">
        <f>E76*1.49*12</f>
        <v>122.762292</v>
      </c>
      <c r="U76" s="258">
        <f>E76*0.31*12</f>
        <v>25.541148</v>
      </c>
    </row>
    <row r="77" spans="1:21" s="17" customFormat="1">
      <c r="A77" s="15">
        <v>5</v>
      </c>
      <c r="B77" s="15" t="s">
        <v>129</v>
      </c>
      <c r="C77" s="15"/>
      <c r="D77" s="15"/>
      <c r="E77" s="16">
        <f t="shared" si="3"/>
        <v>7.9662714999999995</v>
      </c>
      <c r="F77" s="16">
        <v>2.67</v>
      </c>
      <c r="G77" s="16">
        <f t="shared" si="4"/>
        <v>4.6248999999999993</v>
      </c>
      <c r="H77" s="16">
        <v>0.7</v>
      </c>
      <c r="I77" s="16"/>
      <c r="J77" s="16"/>
      <c r="K77" s="16">
        <f>(F77+I77+J77)*70%</f>
        <v>1.8689999999999998</v>
      </c>
      <c r="L77" s="16">
        <f>(F77+I77+J77)*70%</f>
        <v>1.8689999999999998</v>
      </c>
      <c r="M77" s="16"/>
      <c r="N77" s="16"/>
      <c r="O77" s="16"/>
      <c r="P77" s="18">
        <f>(F77+I77+J77)*7%</f>
        <v>0.18690000000000001</v>
      </c>
      <c r="Q77" s="16"/>
      <c r="R77" s="16">
        <f t="shared" si="5"/>
        <v>0.67137150000000001</v>
      </c>
      <c r="S77" s="16">
        <f>SUM(T77:U77)</f>
        <v>172.0714644</v>
      </c>
      <c r="T77" s="16">
        <f>E77*1.49*12</f>
        <v>142.43693442</v>
      </c>
      <c r="U77" s="258">
        <f>E77*0.31*12</f>
        <v>29.634529979999996</v>
      </c>
    </row>
    <row r="78" spans="1:21">
      <c r="A78" s="13"/>
      <c r="B78" s="13" t="s">
        <v>20</v>
      </c>
      <c r="C78" s="13"/>
      <c r="D78" s="13"/>
      <c r="E78" s="14">
        <f t="shared" si="3"/>
        <v>0</v>
      </c>
      <c r="F78" s="14"/>
      <c r="G78" s="14">
        <f t="shared" si="4"/>
        <v>0</v>
      </c>
      <c r="H78" s="16"/>
      <c r="I78" s="14"/>
      <c r="J78" s="14"/>
      <c r="K78" s="14"/>
      <c r="L78" s="14"/>
      <c r="M78" s="14"/>
      <c r="N78" s="14"/>
      <c r="O78" s="14"/>
      <c r="P78" s="14"/>
      <c r="Q78" s="14"/>
      <c r="R78" s="14">
        <f t="shared" si="5"/>
        <v>0</v>
      </c>
      <c r="S78" s="14">
        <f>(G78+J78+K78+Q78)*23.5%</f>
        <v>0</v>
      </c>
      <c r="T78" s="14">
        <f>(H78+K78+L78+R78)*23.5%</f>
        <v>0</v>
      </c>
      <c r="U78" s="255">
        <f>(I78+L78+M78+S78)*23.5%</f>
        <v>0</v>
      </c>
    </row>
    <row r="79" spans="1:21">
      <c r="A79" s="13"/>
      <c r="B79" s="13" t="s">
        <v>130</v>
      </c>
      <c r="C79" s="13">
        <v>3</v>
      </c>
      <c r="D79" s="13">
        <v>3</v>
      </c>
      <c r="E79" s="14">
        <f>SUM(E80:E82)</f>
        <v>13.952249999999998</v>
      </c>
      <c r="F79" s="14">
        <f t="shared" ref="F79:U79" si="27">SUM(F80:F82)</f>
        <v>7.35</v>
      </c>
      <c r="G79" s="14">
        <f t="shared" si="27"/>
        <v>4.875</v>
      </c>
      <c r="H79" s="14">
        <f t="shared" si="27"/>
        <v>1.2000000000000002</v>
      </c>
      <c r="I79" s="14">
        <f t="shared" si="27"/>
        <v>0</v>
      </c>
      <c r="J79" s="14">
        <f t="shared" si="27"/>
        <v>0</v>
      </c>
      <c r="K79" s="14">
        <f t="shared" si="27"/>
        <v>3.6749999999999998</v>
      </c>
      <c r="L79" s="14">
        <f t="shared" si="27"/>
        <v>0</v>
      </c>
      <c r="M79" s="14">
        <f t="shared" si="27"/>
        <v>0</v>
      </c>
      <c r="N79" s="14">
        <f t="shared" si="27"/>
        <v>0</v>
      </c>
      <c r="O79" s="14">
        <f t="shared" si="27"/>
        <v>0</v>
      </c>
      <c r="P79" s="14">
        <f t="shared" si="27"/>
        <v>0</v>
      </c>
      <c r="Q79" s="14">
        <f t="shared" si="27"/>
        <v>0</v>
      </c>
      <c r="R79" s="14">
        <f t="shared" si="27"/>
        <v>1.7272499999999997</v>
      </c>
      <c r="S79" s="14">
        <f t="shared" si="27"/>
        <v>301.36859999999996</v>
      </c>
      <c r="T79" s="14">
        <f t="shared" si="27"/>
        <v>249.46622999999997</v>
      </c>
      <c r="U79" s="255">
        <f t="shared" si="27"/>
        <v>51.902369999999991</v>
      </c>
    </row>
    <row r="80" spans="1:21" s="17" customFormat="1">
      <c r="A80" s="15">
        <v>1</v>
      </c>
      <c r="B80" s="15" t="s">
        <v>131</v>
      </c>
      <c r="C80" s="15"/>
      <c r="D80" s="15"/>
      <c r="E80" s="16">
        <f>F80+G80+R80</f>
        <v>4.4598999999999993</v>
      </c>
      <c r="F80" s="16">
        <v>2.34</v>
      </c>
      <c r="G80" s="16">
        <f>SUM(H80:Q80)</f>
        <v>1.5699999999999998</v>
      </c>
      <c r="H80" s="16">
        <v>0.4</v>
      </c>
      <c r="I80" s="16"/>
      <c r="J80" s="16"/>
      <c r="K80" s="16">
        <f>(F80+I80+J80)*50%</f>
        <v>1.17</v>
      </c>
      <c r="L80" s="16"/>
      <c r="M80" s="16"/>
      <c r="N80" s="16"/>
      <c r="O80" s="16"/>
      <c r="P80" s="16"/>
      <c r="Q80" s="16"/>
      <c r="R80" s="16">
        <f>(F80+I80+J80+P80)*23.5%</f>
        <v>0.54989999999999994</v>
      </c>
      <c r="S80" s="16">
        <f>SUM(T80:U80)</f>
        <v>96.333839999999981</v>
      </c>
      <c r="T80" s="16">
        <f>E80*1.49*12</f>
        <v>79.743011999999993</v>
      </c>
      <c r="U80" s="258">
        <f>E80*0.31*12</f>
        <v>16.590827999999995</v>
      </c>
    </row>
    <row r="81" spans="1:21" s="17" customFormat="1">
      <c r="A81" s="15">
        <v>2</v>
      </c>
      <c r="B81" s="15" t="s">
        <v>132</v>
      </c>
      <c r="C81" s="15"/>
      <c r="D81" s="15"/>
      <c r="E81" s="16">
        <f>F81+G81+R81</f>
        <v>4.4598999999999993</v>
      </c>
      <c r="F81" s="16">
        <v>2.34</v>
      </c>
      <c r="G81" s="16">
        <f>SUM(H81:Q81)</f>
        <v>1.5699999999999998</v>
      </c>
      <c r="H81" s="16">
        <v>0.4</v>
      </c>
      <c r="I81" s="16"/>
      <c r="J81" s="16"/>
      <c r="K81" s="16">
        <f t="shared" ref="K81:K94" si="28">(F81+I81+J81)*50%</f>
        <v>1.17</v>
      </c>
      <c r="L81" s="16"/>
      <c r="M81" s="16"/>
      <c r="N81" s="16"/>
      <c r="O81" s="16"/>
      <c r="P81" s="16"/>
      <c r="Q81" s="16"/>
      <c r="R81" s="16">
        <f>(F81+I81+J81+P81)*23.5%</f>
        <v>0.54989999999999994</v>
      </c>
      <c r="S81" s="16">
        <f>SUM(T81:U81)</f>
        <v>96.333839999999981</v>
      </c>
      <c r="T81" s="16">
        <f>E81*1.49*12</f>
        <v>79.743011999999993</v>
      </c>
      <c r="U81" s="258">
        <f>E81*0.31*12</f>
        <v>16.590827999999995</v>
      </c>
    </row>
    <row r="82" spans="1:21" s="17" customFormat="1">
      <c r="A82" s="15">
        <v>3</v>
      </c>
      <c r="B82" s="15" t="s">
        <v>133</v>
      </c>
      <c r="C82" s="15"/>
      <c r="D82" s="15"/>
      <c r="E82" s="16">
        <f>F82+G82+R82</f>
        <v>5.032449999999999</v>
      </c>
      <c r="F82" s="16">
        <v>2.67</v>
      </c>
      <c r="G82" s="16">
        <f>SUM(H82:Q82)</f>
        <v>1.7349999999999999</v>
      </c>
      <c r="H82" s="16">
        <v>0.4</v>
      </c>
      <c r="I82" s="16"/>
      <c r="J82" s="16"/>
      <c r="K82" s="16">
        <f t="shared" si="28"/>
        <v>1.335</v>
      </c>
      <c r="L82" s="16"/>
      <c r="M82" s="16"/>
      <c r="N82" s="16"/>
      <c r="O82" s="16"/>
      <c r="P82" s="16"/>
      <c r="Q82" s="16"/>
      <c r="R82" s="16">
        <f>(F82+I82+J82+P82)*23.5%</f>
        <v>0.62744999999999995</v>
      </c>
      <c r="S82" s="16">
        <f>SUM(T82:U82)</f>
        <v>108.70091999999998</v>
      </c>
      <c r="T82" s="16">
        <f>E82*1.49*12</f>
        <v>89.980205999999981</v>
      </c>
      <c r="U82" s="258">
        <f>E82*0.31*12</f>
        <v>18.720713999999997</v>
      </c>
    </row>
    <row r="83" spans="1:21">
      <c r="A83" s="13"/>
      <c r="B83" s="13" t="s">
        <v>134</v>
      </c>
      <c r="C83" s="13">
        <v>3</v>
      </c>
      <c r="D83" s="13">
        <v>3</v>
      </c>
      <c r="E83" s="14">
        <f>SUM(E84:E86)</f>
        <v>13.6797</v>
      </c>
      <c r="F83" s="14">
        <f t="shared" ref="F83:U83" si="29">SUM(F84:F86)</f>
        <v>7.02</v>
      </c>
      <c r="G83" s="14">
        <f t="shared" si="29"/>
        <v>5.01</v>
      </c>
      <c r="H83" s="14">
        <f t="shared" si="29"/>
        <v>1.5</v>
      </c>
      <c r="I83" s="14">
        <f t="shared" si="29"/>
        <v>0</v>
      </c>
      <c r="J83" s="14">
        <f t="shared" si="29"/>
        <v>0</v>
      </c>
      <c r="K83" s="14">
        <f t="shared" si="29"/>
        <v>3.51</v>
      </c>
      <c r="L83" s="14">
        <f t="shared" si="29"/>
        <v>0</v>
      </c>
      <c r="M83" s="14">
        <f t="shared" si="29"/>
        <v>0</v>
      </c>
      <c r="N83" s="14">
        <f t="shared" si="29"/>
        <v>0</v>
      </c>
      <c r="O83" s="14">
        <f t="shared" si="29"/>
        <v>0</v>
      </c>
      <c r="P83" s="14">
        <f t="shared" si="29"/>
        <v>0</v>
      </c>
      <c r="Q83" s="14">
        <f t="shared" si="29"/>
        <v>0</v>
      </c>
      <c r="R83" s="14">
        <f t="shared" si="29"/>
        <v>1.6496999999999997</v>
      </c>
      <c r="S83" s="14">
        <f t="shared" si="29"/>
        <v>295.48152000000005</v>
      </c>
      <c r="T83" s="14">
        <f t="shared" si="29"/>
        <v>244.59303600000001</v>
      </c>
      <c r="U83" s="255">
        <f t="shared" si="29"/>
        <v>50.888483999999991</v>
      </c>
    </row>
    <row r="84" spans="1:21" s="17" customFormat="1">
      <c r="A84" s="15">
        <v>1</v>
      </c>
      <c r="B84" s="15" t="s">
        <v>123</v>
      </c>
      <c r="C84" s="15"/>
      <c r="D84" s="15"/>
      <c r="E84" s="16">
        <f t="shared" ref="E84:E124" si="30">F84+G84+R84</f>
        <v>4.5598999999999998</v>
      </c>
      <c r="F84" s="16">
        <v>2.34</v>
      </c>
      <c r="G84" s="16">
        <f t="shared" ref="G84:G124" si="31">SUM(H84:Q84)</f>
        <v>1.67</v>
      </c>
      <c r="H84" s="16">
        <v>0.5</v>
      </c>
      <c r="I84" s="16"/>
      <c r="J84" s="16"/>
      <c r="K84" s="16">
        <f>(F84+I84+J84)*50%</f>
        <v>1.17</v>
      </c>
      <c r="L84" s="16"/>
      <c r="M84" s="16"/>
      <c r="N84" s="16"/>
      <c r="O84" s="16"/>
      <c r="P84" s="16"/>
      <c r="Q84" s="16"/>
      <c r="R84" s="16">
        <f>(F84+I84+J84+P84)*23.5%</f>
        <v>0.54989999999999994</v>
      </c>
      <c r="S84" s="16">
        <f>SUM(T84:U84)</f>
        <v>98.493840000000006</v>
      </c>
      <c r="T84" s="16">
        <f>E84*1.49*12</f>
        <v>81.531012000000004</v>
      </c>
      <c r="U84" s="258">
        <f>E84*0.31*12</f>
        <v>16.962827999999998</v>
      </c>
    </row>
    <row r="85" spans="1:21" s="17" customFormat="1">
      <c r="A85" s="15">
        <v>2</v>
      </c>
      <c r="B85" s="15" t="s">
        <v>135</v>
      </c>
      <c r="C85" s="15"/>
      <c r="D85" s="15"/>
      <c r="E85" s="16">
        <f t="shared" si="30"/>
        <v>4.5598999999999998</v>
      </c>
      <c r="F85" s="16">
        <v>2.34</v>
      </c>
      <c r="G85" s="16">
        <f t="shared" si="31"/>
        <v>1.67</v>
      </c>
      <c r="H85" s="16">
        <v>0.5</v>
      </c>
      <c r="I85" s="16"/>
      <c r="J85" s="16"/>
      <c r="K85" s="16">
        <f t="shared" si="28"/>
        <v>1.17</v>
      </c>
      <c r="L85" s="16"/>
      <c r="M85" s="16"/>
      <c r="N85" s="16"/>
      <c r="O85" s="16"/>
      <c r="P85" s="16"/>
      <c r="Q85" s="16"/>
      <c r="R85" s="16">
        <f>(F85+I85+J85+P85)*23.5%</f>
        <v>0.54989999999999994</v>
      </c>
      <c r="S85" s="16">
        <f>SUM(T85:U85)</f>
        <v>98.493840000000006</v>
      </c>
      <c r="T85" s="16">
        <f>E85*1.49*12</f>
        <v>81.531012000000004</v>
      </c>
      <c r="U85" s="258">
        <f>E85*0.31*12</f>
        <v>16.962827999999998</v>
      </c>
    </row>
    <row r="86" spans="1:21" s="17" customFormat="1">
      <c r="A86" s="15">
        <v>3</v>
      </c>
      <c r="B86" s="15" t="s">
        <v>136</v>
      </c>
      <c r="C86" s="15"/>
      <c r="D86" s="15"/>
      <c r="E86" s="16">
        <f t="shared" si="30"/>
        <v>4.5598999999999998</v>
      </c>
      <c r="F86" s="16">
        <v>2.34</v>
      </c>
      <c r="G86" s="16">
        <f t="shared" si="31"/>
        <v>1.67</v>
      </c>
      <c r="H86" s="16">
        <v>0.5</v>
      </c>
      <c r="I86" s="16"/>
      <c r="J86" s="16"/>
      <c r="K86" s="16">
        <f t="shared" si="28"/>
        <v>1.17</v>
      </c>
      <c r="L86" s="16"/>
      <c r="M86" s="16"/>
      <c r="N86" s="16"/>
      <c r="O86" s="16"/>
      <c r="P86" s="16"/>
      <c r="Q86" s="16"/>
      <c r="R86" s="16">
        <f>(F86+I86+J86+P86)*23.5%</f>
        <v>0.54989999999999994</v>
      </c>
      <c r="S86" s="16">
        <f>SUM(T86:U86)</f>
        <v>98.493840000000006</v>
      </c>
      <c r="T86" s="16">
        <f>E86*1.49*12</f>
        <v>81.531012000000004</v>
      </c>
      <c r="U86" s="258">
        <f>E86*0.31*12</f>
        <v>16.962827999999998</v>
      </c>
    </row>
    <row r="87" spans="1:21">
      <c r="A87" s="13"/>
      <c r="B87" s="13" t="s">
        <v>23</v>
      </c>
      <c r="C87" s="13">
        <v>2</v>
      </c>
      <c r="D87" s="13">
        <v>2</v>
      </c>
      <c r="E87" s="14">
        <f>SUM(E88:E89)</f>
        <v>12.393799999999999</v>
      </c>
      <c r="F87" s="14">
        <f t="shared" ref="F87:U87" si="32">SUM(F88:F89)</f>
        <v>4.68</v>
      </c>
      <c r="G87" s="14">
        <f t="shared" si="32"/>
        <v>6.6139999999999999</v>
      </c>
      <c r="H87" s="14">
        <f t="shared" si="32"/>
        <v>1</v>
      </c>
      <c r="I87" s="14">
        <f t="shared" si="32"/>
        <v>0</v>
      </c>
      <c r="J87" s="14">
        <f t="shared" si="32"/>
        <v>0</v>
      </c>
      <c r="K87" s="14">
        <f t="shared" si="32"/>
        <v>3.2759999999999998</v>
      </c>
      <c r="L87" s="14">
        <f t="shared" si="32"/>
        <v>1.6379999999999999</v>
      </c>
      <c r="M87" s="14">
        <f t="shared" si="32"/>
        <v>0.7</v>
      </c>
      <c r="N87" s="14">
        <f t="shared" si="32"/>
        <v>0</v>
      </c>
      <c r="O87" s="14">
        <f t="shared" si="32"/>
        <v>0</v>
      </c>
      <c r="P87" s="14">
        <f t="shared" si="32"/>
        <v>0</v>
      </c>
      <c r="Q87" s="14">
        <f t="shared" si="32"/>
        <v>0</v>
      </c>
      <c r="R87" s="14">
        <f t="shared" si="32"/>
        <v>1.0997999999999999</v>
      </c>
      <c r="S87" s="14">
        <f t="shared" si="32"/>
        <v>267.70607999999999</v>
      </c>
      <c r="T87" s="14">
        <f t="shared" si="32"/>
        <v>221.60114399999998</v>
      </c>
      <c r="U87" s="255">
        <f t="shared" si="32"/>
        <v>46.104936000000002</v>
      </c>
    </row>
    <row r="88" spans="1:21" s="17" customFormat="1">
      <c r="A88" s="15">
        <v>1</v>
      </c>
      <c r="B88" s="15" t="s">
        <v>137</v>
      </c>
      <c r="C88" s="15"/>
      <c r="D88" s="15"/>
      <c r="E88" s="16">
        <f>F88+G88+R88</f>
        <v>5.7279</v>
      </c>
      <c r="F88" s="16">
        <v>2.34</v>
      </c>
      <c r="G88" s="16">
        <f>SUM(H88:Q88)</f>
        <v>2.8380000000000001</v>
      </c>
      <c r="H88" s="16">
        <v>0.5</v>
      </c>
      <c r="I88" s="16"/>
      <c r="J88" s="16"/>
      <c r="K88" s="16">
        <f>(F88+I88+J88)*70%</f>
        <v>1.6379999999999999</v>
      </c>
      <c r="L88" s="16"/>
      <c r="M88" s="16">
        <v>0.7</v>
      </c>
      <c r="N88" s="16"/>
      <c r="O88" s="16"/>
      <c r="P88" s="16"/>
      <c r="Q88" s="16"/>
      <c r="R88" s="16">
        <f>(F88+I88+J88+P88)*23.5%</f>
        <v>0.54989999999999994</v>
      </c>
      <c r="S88" s="16">
        <f>SUM(T88:U88)</f>
        <v>123.72264</v>
      </c>
      <c r="T88" s="16">
        <f>E88*1.49*12</f>
        <v>102.414852</v>
      </c>
      <c r="U88" s="258">
        <f>E88*0.31*12</f>
        <v>21.307788000000002</v>
      </c>
    </row>
    <row r="89" spans="1:21" s="17" customFormat="1">
      <c r="A89" s="15">
        <v>2</v>
      </c>
      <c r="B89" s="15" t="s">
        <v>138</v>
      </c>
      <c r="C89" s="15"/>
      <c r="D89" s="15"/>
      <c r="E89" s="16">
        <f>F89+G89+R89</f>
        <v>6.6658999999999997</v>
      </c>
      <c r="F89" s="16">
        <v>2.34</v>
      </c>
      <c r="G89" s="16">
        <f>SUM(H89:Q89)</f>
        <v>3.7759999999999998</v>
      </c>
      <c r="H89" s="16">
        <v>0.5</v>
      </c>
      <c r="I89" s="16"/>
      <c r="J89" s="16"/>
      <c r="K89" s="16">
        <f>(F89+I89+J89)*70%</f>
        <v>1.6379999999999999</v>
      </c>
      <c r="L89" s="16">
        <f>(F89+I89+J89)*70%</f>
        <v>1.6379999999999999</v>
      </c>
      <c r="M89" s="16"/>
      <c r="N89" s="16"/>
      <c r="O89" s="16"/>
      <c r="P89" s="16"/>
      <c r="Q89" s="16"/>
      <c r="R89" s="16">
        <f>(F89+I89+J89+P89)*23.5%</f>
        <v>0.54989999999999994</v>
      </c>
      <c r="S89" s="16">
        <f>SUM(T89:U89)</f>
        <v>143.98344</v>
      </c>
      <c r="T89" s="16">
        <f>E89*1.49*12</f>
        <v>119.18629199999999</v>
      </c>
      <c r="U89" s="258">
        <f>E89*0.31*12</f>
        <v>24.797148</v>
      </c>
    </row>
    <row r="90" spans="1:21">
      <c r="A90" s="13"/>
      <c r="B90" s="13" t="s">
        <v>24</v>
      </c>
      <c r="C90" s="13">
        <v>4</v>
      </c>
      <c r="D90" s="13">
        <v>4</v>
      </c>
      <c r="E90" s="14">
        <f>SUM(E91:E94)</f>
        <v>18.239599999999999</v>
      </c>
      <c r="F90" s="14">
        <f t="shared" ref="F90:U90" si="33">SUM(F91:F94)</f>
        <v>9.36</v>
      </c>
      <c r="G90" s="14">
        <f t="shared" si="33"/>
        <v>6.68</v>
      </c>
      <c r="H90" s="14">
        <f t="shared" si="33"/>
        <v>2</v>
      </c>
      <c r="I90" s="14">
        <f t="shared" si="33"/>
        <v>0</v>
      </c>
      <c r="J90" s="14">
        <f t="shared" si="33"/>
        <v>0</v>
      </c>
      <c r="K90" s="14">
        <f t="shared" si="33"/>
        <v>4.68</v>
      </c>
      <c r="L90" s="14">
        <f t="shared" si="33"/>
        <v>0</v>
      </c>
      <c r="M90" s="14">
        <f t="shared" si="33"/>
        <v>0</v>
      </c>
      <c r="N90" s="14">
        <f t="shared" si="33"/>
        <v>0</v>
      </c>
      <c r="O90" s="14">
        <f t="shared" si="33"/>
        <v>0</v>
      </c>
      <c r="P90" s="14">
        <f t="shared" si="33"/>
        <v>0</v>
      </c>
      <c r="Q90" s="14">
        <f t="shared" si="33"/>
        <v>0</v>
      </c>
      <c r="R90" s="14">
        <f t="shared" si="33"/>
        <v>2.1995999999999998</v>
      </c>
      <c r="S90" s="14">
        <f t="shared" si="33"/>
        <v>393.97536000000002</v>
      </c>
      <c r="T90" s="14">
        <f t="shared" si="33"/>
        <v>326.12404800000002</v>
      </c>
      <c r="U90" s="255">
        <f t="shared" si="33"/>
        <v>67.851311999999993</v>
      </c>
    </row>
    <row r="91" spans="1:21" s="17" customFormat="1">
      <c r="A91" s="15">
        <v>1</v>
      </c>
      <c r="B91" s="15" t="s">
        <v>139</v>
      </c>
      <c r="C91" s="15"/>
      <c r="D91" s="15"/>
      <c r="E91" s="16">
        <f t="shared" si="30"/>
        <v>4.5598999999999998</v>
      </c>
      <c r="F91" s="16">
        <v>2.34</v>
      </c>
      <c r="G91" s="16">
        <f t="shared" si="31"/>
        <v>1.67</v>
      </c>
      <c r="H91" s="16">
        <v>0.5</v>
      </c>
      <c r="I91" s="16"/>
      <c r="J91" s="16"/>
      <c r="K91" s="16">
        <f t="shared" si="28"/>
        <v>1.17</v>
      </c>
      <c r="L91" s="16"/>
      <c r="M91" s="16"/>
      <c r="N91" s="16"/>
      <c r="O91" s="16"/>
      <c r="P91" s="16"/>
      <c r="Q91" s="16"/>
      <c r="R91" s="16">
        <f>(F91+I91+J91+P91)*23.5%</f>
        <v>0.54989999999999994</v>
      </c>
      <c r="S91" s="16">
        <f>SUM(T91:U91)</f>
        <v>98.493840000000006</v>
      </c>
      <c r="T91" s="16">
        <f>E91*1.49*12</f>
        <v>81.531012000000004</v>
      </c>
      <c r="U91" s="258">
        <f>E91*0.31*12</f>
        <v>16.962827999999998</v>
      </c>
    </row>
    <row r="92" spans="1:21" s="17" customFormat="1">
      <c r="A92" s="15">
        <v>2</v>
      </c>
      <c r="B92" s="15" t="s">
        <v>140</v>
      </c>
      <c r="C92" s="15"/>
      <c r="D92" s="15"/>
      <c r="E92" s="16">
        <f t="shared" si="30"/>
        <v>4.5598999999999998</v>
      </c>
      <c r="F92" s="16">
        <v>2.34</v>
      </c>
      <c r="G92" s="16">
        <f t="shared" si="31"/>
        <v>1.67</v>
      </c>
      <c r="H92" s="16">
        <v>0.5</v>
      </c>
      <c r="I92" s="16"/>
      <c r="J92" s="16"/>
      <c r="K92" s="16">
        <f t="shared" si="28"/>
        <v>1.17</v>
      </c>
      <c r="L92" s="16"/>
      <c r="M92" s="16"/>
      <c r="N92" s="16"/>
      <c r="O92" s="16"/>
      <c r="P92" s="16"/>
      <c r="Q92" s="16"/>
      <c r="R92" s="16">
        <f>(F92+I92+J92+P92)*23.5%</f>
        <v>0.54989999999999994</v>
      </c>
      <c r="S92" s="16">
        <f>SUM(T92:U92)</f>
        <v>98.493840000000006</v>
      </c>
      <c r="T92" s="16">
        <f>E92*1.49*12</f>
        <v>81.531012000000004</v>
      </c>
      <c r="U92" s="258">
        <f>E92*0.31*12</f>
        <v>16.962827999999998</v>
      </c>
    </row>
    <row r="93" spans="1:21" s="17" customFormat="1">
      <c r="A93" s="15">
        <v>3</v>
      </c>
      <c r="B93" s="15" t="s">
        <v>141</v>
      </c>
      <c r="C93" s="15"/>
      <c r="D93" s="15"/>
      <c r="E93" s="16">
        <f t="shared" si="30"/>
        <v>4.5598999999999998</v>
      </c>
      <c r="F93" s="16">
        <v>2.34</v>
      </c>
      <c r="G93" s="16">
        <f t="shared" si="31"/>
        <v>1.67</v>
      </c>
      <c r="H93" s="16">
        <v>0.5</v>
      </c>
      <c r="I93" s="16"/>
      <c r="J93" s="16"/>
      <c r="K93" s="16">
        <f t="shared" si="28"/>
        <v>1.17</v>
      </c>
      <c r="L93" s="16"/>
      <c r="M93" s="16"/>
      <c r="N93" s="16"/>
      <c r="O93" s="16"/>
      <c r="P93" s="16"/>
      <c r="Q93" s="16"/>
      <c r="R93" s="16">
        <f>(F93+I93+J93+P93)*23.5%</f>
        <v>0.54989999999999994</v>
      </c>
      <c r="S93" s="16">
        <f>SUM(T93:U93)</f>
        <v>98.493840000000006</v>
      </c>
      <c r="T93" s="16">
        <f>E93*1.49*12</f>
        <v>81.531012000000004</v>
      </c>
      <c r="U93" s="258">
        <f>E93*0.31*12</f>
        <v>16.962827999999998</v>
      </c>
    </row>
    <row r="94" spans="1:21" s="17" customFormat="1">
      <c r="A94" s="15">
        <v>4</v>
      </c>
      <c r="B94" s="15" t="s">
        <v>123</v>
      </c>
      <c r="C94" s="15"/>
      <c r="D94" s="15"/>
      <c r="E94" s="16">
        <f t="shared" si="30"/>
        <v>4.5598999999999998</v>
      </c>
      <c r="F94" s="16">
        <v>2.34</v>
      </c>
      <c r="G94" s="16">
        <f t="shared" si="31"/>
        <v>1.67</v>
      </c>
      <c r="H94" s="16">
        <v>0.5</v>
      </c>
      <c r="I94" s="16"/>
      <c r="J94" s="16"/>
      <c r="K94" s="16">
        <f t="shared" si="28"/>
        <v>1.17</v>
      </c>
      <c r="L94" s="16"/>
      <c r="M94" s="16"/>
      <c r="N94" s="16"/>
      <c r="O94" s="16"/>
      <c r="P94" s="16"/>
      <c r="Q94" s="16"/>
      <c r="R94" s="16">
        <f>(F94+I94+J94+P94)*23.5%</f>
        <v>0.54989999999999994</v>
      </c>
      <c r="S94" s="16">
        <f>SUM(T94:U94)</f>
        <v>98.493840000000006</v>
      </c>
      <c r="T94" s="16">
        <f>E94*1.49*12</f>
        <v>81.531012000000004</v>
      </c>
      <c r="U94" s="258">
        <f>E94*0.31*12</f>
        <v>16.962827999999998</v>
      </c>
    </row>
    <row r="95" spans="1:21">
      <c r="A95" s="13"/>
      <c r="B95" s="13" t="s">
        <v>142</v>
      </c>
      <c r="C95" s="13">
        <v>2</v>
      </c>
      <c r="D95" s="13">
        <v>2</v>
      </c>
      <c r="E95" s="14">
        <f>SUM(E96:E97)</f>
        <v>13.331799999999999</v>
      </c>
      <c r="F95" s="14">
        <f t="shared" ref="F95:U95" si="34">SUM(F96:F97)</f>
        <v>4.68</v>
      </c>
      <c r="G95" s="14">
        <f t="shared" si="34"/>
        <v>7.5519999999999996</v>
      </c>
      <c r="H95" s="14">
        <f t="shared" si="34"/>
        <v>1</v>
      </c>
      <c r="I95" s="14">
        <f t="shared" si="34"/>
        <v>0</v>
      </c>
      <c r="J95" s="14">
        <f t="shared" si="34"/>
        <v>0</v>
      </c>
      <c r="K95" s="14">
        <f t="shared" si="34"/>
        <v>3.2759999999999998</v>
      </c>
      <c r="L95" s="14">
        <f t="shared" si="34"/>
        <v>3.2759999999999998</v>
      </c>
      <c r="M95" s="14">
        <f t="shared" si="34"/>
        <v>0</v>
      </c>
      <c r="N95" s="14">
        <f t="shared" si="34"/>
        <v>0</v>
      </c>
      <c r="O95" s="14">
        <f t="shared" si="34"/>
        <v>0</v>
      </c>
      <c r="P95" s="14">
        <f t="shared" si="34"/>
        <v>0</v>
      </c>
      <c r="Q95" s="14">
        <f t="shared" si="34"/>
        <v>0</v>
      </c>
      <c r="R95" s="14">
        <f t="shared" si="34"/>
        <v>1.0997999999999999</v>
      </c>
      <c r="S95" s="14">
        <f t="shared" si="34"/>
        <v>287.96688</v>
      </c>
      <c r="T95" s="14">
        <f t="shared" si="34"/>
        <v>238.37258399999999</v>
      </c>
      <c r="U95" s="255">
        <f t="shared" si="34"/>
        <v>49.594296</v>
      </c>
    </row>
    <row r="96" spans="1:21" s="17" customFormat="1">
      <c r="A96" s="15">
        <v>1</v>
      </c>
      <c r="B96" s="15" t="s">
        <v>143</v>
      </c>
      <c r="C96" s="15"/>
      <c r="D96" s="15"/>
      <c r="E96" s="16">
        <f t="shared" si="30"/>
        <v>6.6658999999999997</v>
      </c>
      <c r="F96" s="16">
        <v>2.34</v>
      </c>
      <c r="G96" s="16">
        <f t="shared" si="31"/>
        <v>3.7759999999999998</v>
      </c>
      <c r="H96" s="16">
        <v>0.5</v>
      </c>
      <c r="I96" s="16"/>
      <c r="J96" s="16"/>
      <c r="K96" s="16">
        <f>(F96+I96+J96)*70%</f>
        <v>1.6379999999999999</v>
      </c>
      <c r="L96" s="16">
        <f>(F96+I96+J96)*70%</f>
        <v>1.6379999999999999</v>
      </c>
      <c r="M96" s="16"/>
      <c r="N96" s="16"/>
      <c r="O96" s="16"/>
      <c r="P96" s="16"/>
      <c r="Q96" s="16"/>
      <c r="R96" s="16">
        <f>(F96+I96+J96+P96)*23.5%</f>
        <v>0.54989999999999994</v>
      </c>
      <c r="S96" s="16">
        <f>SUM(T96:U96)</f>
        <v>143.98344</v>
      </c>
      <c r="T96" s="16">
        <f>E96*1.49*12</f>
        <v>119.18629199999999</v>
      </c>
      <c r="U96" s="258">
        <f>E96*0.31*12</f>
        <v>24.797148</v>
      </c>
    </row>
    <row r="97" spans="1:21" s="17" customFormat="1">
      <c r="A97" s="15">
        <v>1</v>
      </c>
      <c r="B97" s="15" t="s">
        <v>144</v>
      </c>
      <c r="C97" s="15"/>
      <c r="D97" s="15"/>
      <c r="E97" s="16">
        <f t="shared" si="30"/>
        <v>6.6658999999999997</v>
      </c>
      <c r="F97" s="16">
        <v>2.34</v>
      </c>
      <c r="G97" s="16">
        <f t="shared" si="31"/>
        <v>3.7759999999999998</v>
      </c>
      <c r="H97" s="16">
        <v>0.5</v>
      </c>
      <c r="I97" s="16"/>
      <c r="J97" s="16"/>
      <c r="K97" s="16">
        <f>(F97+I97+J97)*70%</f>
        <v>1.6379999999999999</v>
      </c>
      <c r="L97" s="16">
        <f>(F97+I97+J97)*70%</f>
        <v>1.6379999999999999</v>
      </c>
      <c r="M97" s="16"/>
      <c r="N97" s="16"/>
      <c r="O97" s="16"/>
      <c r="P97" s="16"/>
      <c r="Q97" s="16"/>
      <c r="R97" s="16">
        <f>(F97+I97+J97+P97)*23.5%</f>
        <v>0.54989999999999994</v>
      </c>
      <c r="S97" s="16">
        <f>SUM(T97:U97)</f>
        <v>143.98344</v>
      </c>
      <c r="T97" s="16">
        <f>E97*1.49*12</f>
        <v>119.18629199999999</v>
      </c>
      <c r="U97" s="258">
        <f>E97*0.31*12</f>
        <v>24.797148</v>
      </c>
    </row>
    <row r="98" spans="1:21">
      <c r="A98" s="13"/>
      <c r="B98" s="13" t="s">
        <v>26</v>
      </c>
      <c r="C98" s="13">
        <v>1</v>
      </c>
      <c r="D98" s="13">
        <v>1</v>
      </c>
      <c r="E98" s="14">
        <f>E99</f>
        <v>4.4598999999999993</v>
      </c>
      <c r="F98" s="14">
        <f t="shared" ref="F98:U98" si="35">F99</f>
        <v>2.34</v>
      </c>
      <c r="G98" s="14">
        <f t="shared" si="35"/>
        <v>1.5699999999999998</v>
      </c>
      <c r="H98" s="14">
        <f t="shared" si="35"/>
        <v>0.4</v>
      </c>
      <c r="I98" s="14">
        <f t="shared" si="35"/>
        <v>0</v>
      </c>
      <c r="J98" s="14">
        <f t="shared" si="35"/>
        <v>0</v>
      </c>
      <c r="K98" s="14">
        <f t="shared" si="35"/>
        <v>1.17</v>
      </c>
      <c r="L98" s="14">
        <f t="shared" si="35"/>
        <v>0</v>
      </c>
      <c r="M98" s="14">
        <f t="shared" si="35"/>
        <v>0</v>
      </c>
      <c r="N98" s="14">
        <f t="shared" si="35"/>
        <v>0</v>
      </c>
      <c r="O98" s="14">
        <f t="shared" si="35"/>
        <v>0</v>
      </c>
      <c r="P98" s="14">
        <f t="shared" si="35"/>
        <v>0</v>
      </c>
      <c r="Q98" s="14">
        <f t="shared" si="35"/>
        <v>0</v>
      </c>
      <c r="R98" s="14">
        <f t="shared" si="35"/>
        <v>0.54989999999999994</v>
      </c>
      <c r="S98" s="14">
        <f t="shared" si="35"/>
        <v>96.333839999999981</v>
      </c>
      <c r="T98" s="14">
        <f t="shared" si="35"/>
        <v>79.743011999999993</v>
      </c>
      <c r="U98" s="255">
        <f t="shared" si="35"/>
        <v>16.590827999999995</v>
      </c>
    </row>
    <row r="99" spans="1:21" s="17" customFormat="1">
      <c r="A99" s="15">
        <v>1</v>
      </c>
      <c r="B99" s="15" t="s">
        <v>145</v>
      </c>
      <c r="C99" s="15"/>
      <c r="D99" s="15"/>
      <c r="E99" s="16">
        <f t="shared" si="30"/>
        <v>4.4598999999999993</v>
      </c>
      <c r="F99" s="16">
        <v>2.34</v>
      </c>
      <c r="G99" s="16">
        <f t="shared" si="31"/>
        <v>1.5699999999999998</v>
      </c>
      <c r="H99" s="16">
        <v>0.4</v>
      </c>
      <c r="I99" s="16"/>
      <c r="J99" s="16"/>
      <c r="K99" s="16">
        <f>(F99+I99+J99)*50%</f>
        <v>1.17</v>
      </c>
      <c r="L99" s="16"/>
      <c r="M99" s="16"/>
      <c r="N99" s="16"/>
      <c r="O99" s="16"/>
      <c r="P99" s="16"/>
      <c r="Q99" s="16"/>
      <c r="R99" s="16">
        <f>(F99+I99+J99+P99)*23.5%</f>
        <v>0.54989999999999994</v>
      </c>
      <c r="S99" s="16">
        <f>SUM(T99:U99)</f>
        <v>96.333839999999981</v>
      </c>
      <c r="T99" s="16">
        <f>E99*1.49*12</f>
        <v>79.743011999999993</v>
      </c>
      <c r="U99" s="258">
        <f>E99*0.31*12</f>
        <v>16.590827999999995</v>
      </c>
    </row>
    <row r="100" spans="1:21">
      <c r="A100" s="13"/>
      <c r="B100" s="13" t="s">
        <v>146</v>
      </c>
      <c r="C100" s="13">
        <v>2</v>
      </c>
      <c r="D100" s="13">
        <v>2</v>
      </c>
      <c r="E100" s="14">
        <f>SUM(E101:E102)</f>
        <v>9.1197999999999997</v>
      </c>
      <c r="F100" s="14">
        <f t="shared" ref="F100:U100" si="36">SUM(F101:F102)</f>
        <v>4.68</v>
      </c>
      <c r="G100" s="14">
        <f t="shared" si="36"/>
        <v>3.34</v>
      </c>
      <c r="H100" s="14">
        <f t="shared" si="36"/>
        <v>1</v>
      </c>
      <c r="I100" s="14">
        <f t="shared" si="36"/>
        <v>0</v>
      </c>
      <c r="J100" s="14">
        <f t="shared" si="36"/>
        <v>0</v>
      </c>
      <c r="K100" s="14">
        <f t="shared" si="36"/>
        <v>2.34</v>
      </c>
      <c r="L100" s="14">
        <f t="shared" si="36"/>
        <v>0</v>
      </c>
      <c r="M100" s="14">
        <f t="shared" si="36"/>
        <v>0</v>
      </c>
      <c r="N100" s="14">
        <f t="shared" si="36"/>
        <v>0</v>
      </c>
      <c r="O100" s="14">
        <f t="shared" si="36"/>
        <v>0</v>
      </c>
      <c r="P100" s="14">
        <f t="shared" si="36"/>
        <v>0</v>
      </c>
      <c r="Q100" s="14">
        <f t="shared" si="36"/>
        <v>0</v>
      </c>
      <c r="R100" s="14">
        <f t="shared" si="36"/>
        <v>1.0997999999999999</v>
      </c>
      <c r="S100" s="14">
        <f t="shared" si="36"/>
        <v>196.98768000000001</v>
      </c>
      <c r="T100" s="14">
        <f t="shared" si="36"/>
        <v>163.06202400000001</v>
      </c>
      <c r="U100" s="255">
        <f t="shared" si="36"/>
        <v>33.925655999999996</v>
      </c>
    </row>
    <row r="101" spans="1:21" s="17" customFormat="1">
      <c r="A101" s="15">
        <v>1</v>
      </c>
      <c r="B101" s="15" t="s">
        <v>147</v>
      </c>
      <c r="C101" s="15"/>
      <c r="D101" s="15"/>
      <c r="E101" s="16">
        <f t="shared" si="30"/>
        <v>4.5598999999999998</v>
      </c>
      <c r="F101" s="16">
        <v>2.34</v>
      </c>
      <c r="G101" s="16">
        <f t="shared" si="31"/>
        <v>1.67</v>
      </c>
      <c r="H101" s="16">
        <v>0.5</v>
      </c>
      <c r="I101" s="16"/>
      <c r="J101" s="16"/>
      <c r="K101" s="16">
        <f>(F101+I101+J101)*50%</f>
        <v>1.17</v>
      </c>
      <c r="L101" s="16"/>
      <c r="M101" s="16"/>
      <c r="N101" s="16"/>
      <c r="O101" s="16"/>
      <c r="P101" s="16"/>
      <c r="Q101" s="16"/>
      <c r="R101" s="16">
        <f>(F101+I101+J101+P101)*23.5%</f>
        <v>0.54989999999999994</v>
      </c>
      <c r="S101" s="16">
        <f>SUM(T101:U101)</f>
        <v>98.493840000000006</v>
      </c>
      <c r="T101" s="16">
        <f>E101*1.49*12</f>
        <v>81.531012000000004</v>
      </c>
      <c r="U101" s="258">
        <f>E101*0.31*12</f>
        <v>16.962827999999998</v>
      </c>
    </row>
    <row r="102" spans="1:21" s="17" customFormat="1">
      <c r="A102" s="15">
        <v>2</v>
      </c>
      <c r="B102" s="15" t="s">
        <v>148</v>
      </c>
      <c r="C102" s="15"/>
      <c r="D102" s="15"/>
      <c r="E102" s="16">
        <f t="shared" si="30"/>
        <v>4.5598999999999998</v>
      </c>
      <c r="F102" s="16">
        <v>2.34</v>
      </c>
      <c r="G102" s="16">
        <f t="shared" si="31"/>
        <v>1.67</v>
      </c>
      <c r="H102" s="16">
        <v>0.5</v>
      </c>
      <c r="I102" s="16"/>
      <c r="J102" s="16"/>
      <c r="K102" s="16">
        <f>(F102+I102+J102)*50%</f>
        <v>1.17</v>
      </c>
      <c r="L102" s="16"/>
      <c r="M102" s="16"/>
      <c r="N102" s="16"/>
      <c r="O102" s="16"/>
      <c r="P102" s="16"/>
      <c r="Q102" s="16"/>
      <c r="R102" s="16">
        <f>(F102+I102+J102+P102)*23.5%</f>
        <v>0.54989999999999994</v>
      </c>
      <c r="S102" s="16">
        <f>SUM(T102:U102)</f>
        <v>98.493840000000006</v>
      </c>
      <c r="T102" s="16">
        <f>E102*1.49*12</f>
        <v>81.531012000000004</v>
      </c>
      <c r="U102" s="258">
        <f>E102*0.31*12</f>
        <v>16.962827999999998</v>
      </c>
    </row>
    <row r="103" spans="1:21">
      <c r="A103" s="13"/>
      <c r="B103" s="13" t="s">
        <v>149</v>
      </c>
      <c r="C103" s="13">
        <v>2</v>
      </c>
      <c r="D103" s="13">
        <v>2</v>
      </c>
      <c r="E103" s="14">
        <f>SUM(E104:E105)</f>
        <v>16.106819000000002</v>
      </c>
      <c r="F103" s="14">
        <f t="shared" ref="F103:U103" si="37">SUM(F104:F105)</f>
        <v>6</v>
      </c>
      <c r="G103" s="14">
        <f t="shared" si="37"/>
        <v>8.5334000000000003</v>
      </c>
      <c r="H103" s="14">
        <f t="shared" si="37"/>
        <v>1</v>
      </c>
      <c r="I103" s="14">
        <f t="shared" si="37"/>
        <v>0</v>
      </c>
      <c r="J103" s="14">
        <f t="shared" si="37"/>
        <v>0</v>
      </c>
      <c r="K103" s="14">
        <f t="shared" si="37"/>
        <v>4.1999999999999993</v>
      </c>
      <c r="L103" s="14">
        <f t="shared" si="37"/>
        <v>1.6379999999999999</v>
      </c>
      <c r="M103" s="14">
        <f t="shared" si="37"/>
        <v>1</v>
      </c>
      <c r="N103" s="14">
        <f t="shared" si="37"/>
        <v>0</v>
      </c>
      <c r="O103" s="14">
        <f t="shared" si="37"/>
        <v>0</v>
      </c>
      <c r="P103" s="14">
        <f t="shared" si="37"/>
        <v>0.69540000000000002</v>
      </c>
      <c r="Q103" s="14">
        <f t="shared" si="37"/>
        <v>0</v>
      </c>
      <c r="R103" s="14">
        <f t="shared" si="37"/>
        <v>1.5734189999999999</v>
      </c>
      <c r="S103" s="14">
        <f t="shared" si="37"/>
        <v>347.90729039999997</v>
      </c>
      <c r="T103" s="14">
        <f t="shared" si="37"/>
        <v>287.98992371999998</v>
      </c>
      <c r="U103" s="255">
        <f t="shared" si="37"/>
        <v>59.917366680000001</v>
      </c>
    </row>
    <row r="104" spans="1:21" s="17" customFormat="1">
      <c r="A104" s="15">
        <v>1</v>
      </c>
      <c r="B104" s="15" t="s">
        <v>150</v>
      </c>
      <c r="C104" s="15"/>
      <c r="D104" s="15"/>
      <c r="E104" s="16">
        <f>F104+G104+R104</f>
        <v>9.4409190000000009</v>
      </c>
      <c r="F104" s="16">
        <v>3.66</v>
      </c>
      <c r="G104" s="16">
        <f>SUM(H104:Q104)</f>
        <v>4.7573999999999996</v>
      </c>
      <c r="H104" s="16">
        <v>0.5</v>
      </c>
      <c r="I104" s="16"/>
      <c r="J104" s="16"/>
      <c r="K104" s="16">
        <f>(F104+I104+J104)*70%</f>
        <v>2.5619999999999998</v>
      </c>
      <c r="L104" s="16"/>
      <c r="M104" s="16">
        <v>1</v>
      </c>
      <c r="N104" s="16"/>
      <c r="O104" s="16"/>
      <c r="P104" s="18">
        <f>(F104+I104+J104)*19%</f>
        <v>0.69540000000000002</v>
      </c>
      <c r="Q104" s="16"/>
      <c r="R104" s="16">
        <f>(F104+I104+J104+P104)*23.5%</f>
        <v>1.0235190000000001</v>
      </c>
      <c r="S104" s="16">
        <f>SUM(T104:U104)</f>
        <v>203.92385039999999</v>
      </c>
      <c r="T104" s="16">
        <f>E104*1.49*12</f>
        <v>168.80363172</v>
      </c>
      <c r="U104" s="258">
        <f>E104*0.31*12</f>
        <v>35.120218680000001</v>
      </c>
    </row>
    <row r="105" spans="1:21" s="17" customFormat="1">
      <c r="A105" s="15">
        <v>2</v>
      </c>
      <c r="B105" s="15" t="s">
        <v>151</v>
      </c>
      <c r="C105" s="15"/>
      <c r="D105" s="15"/>
      <c r="E105" s="16">
        <f>F105+G105+R105</f>
        <v>6.6658999999999997</v>
      </c>
      <c r="F105" s="16">
        <v>2.34</v>
      </c>
      <c r="G105" s="16">
        <f>SUM(H105:Q105)</f>
        <v>3.7759999999999998</v>
      </c>
      <c r="H105" s="16">
        <v>0.5</v>
      </c>
      <c r="I105" s="16"/>
      <c r="J105" s="16"/>
      <c r="K105" s="16">
        <f>(F105+I105+J105)*70%</f>
        <v>1.6379999999999999</v>
      </c>
      <c r="L105" s="16">
        <f>(F105+I105+J105)*70%</f>
        <v>1.6379999999999999</v>
      </c>
      <c r="M105" s="16"/>
      <c r="N105" s="16"/>
      <c r="O105" s="16"/>
      <c r="P105" s="16"/>
      <c r="Q105" s="16"/>
      <c r="R105" s="16">
        <f>(F105+I105+J105+P105)*23.5%</f>
        <v>0.54989999999999994</v>
      </c>
      <c r="S105" s="16">
        <f>SUM(T105:U105)</f>
        <v>143.98344</v>
      </c>
      <c r="T105" s="16">
        <f>E105*1.49*12</f>
        <v>119.18629199999999</v>
      </c>
      <c r="U105" s="258">
        <f>E105*0.31*12</f>
        <v>24.797148</v>
      </c>
    </row>
    <row r="106" spans="1:21">
      <c r="A106" s="13"/>
      <c r="B106" s="13" t="s">
        <v>152</v>
      </c>
      <c r="C106" s="13">
        <v>1</v>
      </c>
      <c r="D106" s="13">
        <v>1</v>
      </c>
      <c r="E106" s="14">
        <f>E107</f>
        <v>6.8658999999999999</v>
      </c>
      <c r="F106" s="14">
        <f t="shared" ref="F106:U106" si="38">F107</f>
        <v>2.34</v>
      </c>
      <c r="G106" s="14">
        <f t="shared" si="38"/>
        <v>3.976</v>
      </c>
      <c r="H106" s="14">
        <f t="shared" si="38"/>
        <v>0.7</v>
      </c>
      <c r="I106" s="14">
        <f t="shared" si="38"/>
        <v>0</v>
      </c>
      <c r="J106" s="14">
        <f t="shared" si="38"/>
        <v>0</v>
      </c>
      <c r="K106" s="14">
        <f t="shared" si="38"/>
        <v>1.6379999999999999</v>
      </c>
      <c r="L106" s="14">
        <f t="shared" si="38"/>
        <v>1.6379999999999999</v>
      </c>
      <c r="M106" s="14">
        <f t="shared" si="38"/>
        <v>0</v>
      </c>
      <c r="N106" s="14">
        <f t="shared" si="38"/>
        <v>0</v>
      </c>
      <c r="O106" s="14">
        <f t="shared" si="38"/>
        <v>0</v>
      </c>
      <c r="P106" s="14">
        <f t="shared" si="38"/>
        <v>0</v>
      </c>
      <c r="Q106" s="14">
        <f t="shared" si="38"/>
        <v>0</v>
      </c>
      <c r="R106" s="14">
        <f t="shared" si="38"/>
        <v>0.54989999999999994</v>
      </c>
      <c r="S106" s="14">
        <f t="shared" si="38"/>
        <v>148.30343999999999</v>
      </c>
      <c r="T106" s="14">
        <f t="shared" si="38"/>
        <v>122.762292</v>
      </c>
      <c r="U106" s="255">
        <f t="shared" si="38"/>
        <v>25.541148</v>
      </c>
    </row>
    <row r="107" spans="1:21" s="17" customFormat="1">
      <c r="A107" s="15">
        <v>1</v>
      </c>
      <c r="B107" s="15" t="s">
        <v>123</v>
      </c>
      <c r="C107" s="15"/>
      <c r="D107" s="15"/>
      <c r="E107" s="16">
        <f t="shared" si="30"/>
        <v>6.8658999999999999</v>
      </c>
      <c r="F107" s="16">
        <v>2.34</v>
      </c>
      <c r="G107" s="16">
        <f t="shared" si="31"/>
        <v>3.976</v>
      </c>
      <c r="H107" s="16">
        <v>0.7</v>
      </c>
      <c r="I107" s="16"/>
      <c r="J107" s="16"/>
      <c r="K107" s="16">
        <f>(F107+I107+J107)*70%</f>
        <v>1.6379999999999999</v>
      </c>
      <c r="L107" s="16">
        <f>(F107+I107+J107)*70%</f>
        <v>1.6379999999999999</v>
      </c>
      <c r="M107" s="16"/>
      <c r="N107" s="16"/>
      <c r="O107" s="16"/>
      <c r="P107" s="16"/>
      <c r="Q107" s="16"/>
      <c r="R107" s="16">
        <f>(F107+I107+J107+P107)*23.5%</f>
        <v>0.54989999999999994</v>
      </c>
      <c r="S107" s="16">
        <f>SUM(T107:U107)</f>
        <v>148.30343999999999</v>
      </c>
      <c r="T107" s="16">
        <f>E107*1.49*12</f>
        <v>122.762292</v>
      </c>
      <c r="U107" s="258">
        <f>E107*0.31*12</f>
        <v>25.541148</v>
      </c>
    </row>
    <row r="108" spans="1:21" s="19" customFormat="1">
      <c r="A108" s="10">
        <v>3</v>
      </c>
      <c r="B108" s="10" t="s">
        <v>30</v>
      </c>
      <c r="C108" s="10">
        <f>C109+C110+C111+C112+C115+C118+C121+C122+C123</f>
        <v>6</v>
      </c>
      <c r="D108" s="10">
        <f>D109+D110+D111+D112+D115+D118+D121+D122+D123</f>
        <v>6</v>
      </c>
      <c r="E108" s="11">
        <f>E109+E110+E111+E112+E115+E118+E121+E122+E123</f>
        <v>25.253399999999999</v>
      </c>
      <c r="F108" s="11">
        <f t="shared" ref="F108:U108" si="39">F109+F110+F111+F112+F115+F118+F121+F122+F123</f>
        <v>14.04</v>
      </c>
      <c r="G108" s="11">
        <f t="shared" si="39"/>
        <v>7.9139999999999997</v>
      </c>
      <c r="H108" s="11">
        <f t="shared" si="39"/>
        <v>3</v>
      </c>
      <c r="I108" s="11">
        <f t="shared" si="39"/>
        <v>0</v>
      </c>
      <c r="J108" s="11">
        <f t="shared" si="39"/>
        <v>0</v>
      </c>
      <c r="K108" s="11">
        <f t="shared" si="39"/>
        <v>4.9139999999999997</v>
      </c>
      <c r="L108" s="11">
        <f t="shared" si="39"/>
        <v>0</v>
      </c>
      <c r="M108" s="11">
        <f t="shared" si="39"/>
        <v>0</v>
      </c>
      <c r="N108" s="11">
        <f t="shared" si="39"/>
        <v>0</v>
      </c>
      <c r="O108" s="11">
        <f t="shared" si="39"/>
        <v>0</v>
      </c>
      <c r="P108" s="11">
        <f t="shared" si="39"/>
        <v>0</v>
      </c>
      <c r="Q108" s="11">
        <f t="shared" si="39"/>
        <v>0</v>
      </c>
      <c r="R108" s="11">
        <f t="shared" si="39"/>
        <v>3.2993999999999994</v>
      </c>
      <c r="S108" s="11">
        <f>S109+S110+S111+S112+S115+S118+S121+S122+S123</f>
        <v>545.47343999999998</v>
      </c>
      <c r="T108" s="11">
        <f t="shared" si="39"/>
        <v>451.53079200000002</v>
      </c>
      <c r="U108" s="257">
        <f t="shared" si="39"/>
        <v>93.942648000000005</v>
      </c>
    </row>
    <row r="109" spans="1:21">
      <c r="A109" s="13"/>
      <c r="B109" s="13" t="s">
        <v>149</v>
      </c>
      <c r="C109" s="13"/>
      <c r="D109" s="13"/>
      <c r="E109" s="14">
        <f t="shared" si="30"/>
        <v>0</v>
      </c>
      <c r="F109" s="14"/>
      <c r="G109" s="14">
        <f t="shared" si="31"/>
        <v>0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f t="shared" ref="R109:S111" si="40">(F109+I109+J109+P109)*23.5%</f>
        <v>0</v>
      </c>
      <c r="S109" s="14">
        <f t="shared" si="40"/>
        <v>0</v>
      </c>
      <c r="T109" s="14">
        <f t="shared" ref="T109:U111" si="41">(G109+J109+K109+Q109)*23.5%</f>
        <v>0</v>
      </c>
      <c r="U109" s="255">
        <f t="shared" si="41"/>
        <v>0</v>
      </c>
    </row>
    <row r="110" spans="1:21">
      <c r="A110" s="13"/>
      <c r="B110" s="13" t="s">
        <v>153</v>
      </c>
      <c r="C110" s="13"/>
      <c r="D110" s="13"/>
      <c r="E110" s="14">
        <f t="shared" si="30"/>
        <v>0</v>
      </c>
      <c r="F110" s="14"/>
      <c r="G110" s="14">
        <f t="shared" si="31"/>
        <v>0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>
        <f t="shared" si="40"/>
        <v>0</v>
      </c>
      <c r="S110" s="14">
        <f t="shared" si="40"/>
        <v>0</v>
      </c>
      <c r="T110" s="14">
        <f t="shared" si="41"/>
        <v>0</v>
      </c>
      <c r="U110" s="255">
        <f t="shared" si="41"/>
        <v>0</v>
      </c>
    </row>
    <row r="111" spans="1:21">
      <c r="A111" s="13"/>
      <c r="B111" s="13" t="s">
        <v>154</v>
      </c>
      <c r="C111" s="13"/>
      <c r="D111" s="13"/>
      <c r="E111" s="14">
        <f t="shared" si="30"/>
        <v>0</v>
      </c>
      <c r="F111" s="14"/>
      <c r="G111" s="14">
        <f t="shared" si="31"/>
        <v>0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>
        <f t="shared" si="40"/>
        <v>0</v>
      </c>
      <c r="S111" s="14">
        <f t="shared" si="40"/>
        <v>0</v>
      </c>
      <c r="T111" s="14">
        <f t="shared" si="41"/>
        <v>0</v>
      </c>
      <c r="U111" s="255">
        <f t="shared" si="41"/>
        <v>0</v>
      </c>
    </row>
    <row r="112" spans="1:21">
      <c r="A112" s="13"/>
      <c r="B112" s="13" t="s">
        <v>155</v>
      </c>
      <c r="C112" s="13">
        <v>2</v>
      </c>
      <c r="D112" s="13">
        <v>2</v>
      </c>
      <c r="E112" s="14">
        <f>SUM(E113:E114)</f>
        <v>8.4177999999999997</v>
      </c>
      <c r="F112" s="14">
        <f t="shared" ref="F112:U112" si="42">SUM(F113:F114)</f>
        <v>4.68</v>
      </c>
      <c r="G112" s="14">
        <f t="shared" si="42"/>
        <v>2.6379999999999999</v>
      </c>
      <c r="H112" s="14">
        <f t="shared" si="42"/>
        <v>1</v>
      </c>
      <c r="I112" s="14">
        <f t="shared" si="42"/>
        <v>0</v>
      </c>
      <c r="J112" s="14">
        <f t="shared" si="42"/>
        <v>0</v>
      </c>
      <c r="K112" s="14">
        <f t="shared" si="42"/>
        <v>1.6379999999999999</v>
      </c>
      <c r="L112" s="14">
        <f t="shared" si="42"/>
        <v>0</v>
      </c>
      <c r="M112" s="14">
        <f t="shared" si="42"/>
        <v>0</v>
      </c>
      <c r="N112" s="14">
        <f t="shared" si="42"/>
        <v>0</v>
      </c>
      <c r="O112" s="14">
        <f t="shared" si="42"/>
        <v>0</v>
      </c>
      <c r="P112" s="14">
        <f t="shared" si="42"/>
        <v>0</v>
      </c>
      <c r="Q112" s="14">
        <f t="shared" si="42"/>
        <v>0</v>
      </c>
      <c r="R112" s="14">
        <f t="shared" si="42"/>
        <v>1.0997999999999999</v>
      </c>
      <c r="S112" s="14">
        <f>SUM(S113:S114)</f>
        <v>181.82447999999999</v>
      </c>
      <c r="T112" s="14">
        <f t="shared" si="42"/>
        <v>150.51026400000001</v>
      </c>
      <c r="U112" s="255">
        <f t="shared" si="42"/>
        <v>31.314216000000002</v>
      </c>
    </row>
    <row r="113" spans="1:21" s="17" customFormat="1">
      <c r="A113" s="15"/>
      <c r="B113" s="15" t="s">
        <v>156</v>
      </c>
      <c r="C113" s="15"/>
      <c r="D113" s="15"/>
      <c r="E113" s="16">
        <f t="shared" si="30"/>
        <v>4.2088999999999999</v>
      </c>
      <c r="F113" s="16">
        <v>2.34</v>
      </c>
      <c r="G113" s="16">
        <f t="shared" si="31"/>
        <v>1.319</v>
      </c>
      <c r="H113" s="16">
        <v>0.5</v>
      </c>
      <c r="I113" s="16"/>
      <c r="J113" s="16"/>
      <c r="K113" s="16">
        <f>(F113+I113+J113)*35%</f>
        <v>0.81899999999999995</v>
      </c>
      <c r="L113" s="16"/>
      <c r="M113" s="16"/>
      <c r="N113" s="16"/>
      <c r="O113" s="16"/>
      <c r="P113" s="16"/>
      <c r="Q113" s="16"/>
      <c r="R113" s="16">
        <f>(F113+I113+J113+P113)*23.5%</f>
        <v>0.54989999999999994</v>
      </c>
      <c r="S113" s="16">
        <f>SUM(T113:U113)</f>
        <v>90.912239999999997</v>
      </c>
      <c r="T113" s="16">
        <f>E113*1.49*12</f>
        <v>75.255132000000003</v>
      </c>
      <c r="U113" s="258">
        <f>E113*0.31*12</f>
        <v>15.657108000000001</v>
      </c>
    </row>
    <row r="114" spans="1:21" s="17" customFormat="1">
      <c r="A114" s="15"/>
      <c r="B114" s="15" t="s">
        <v>157</v>
      </c>
      <c r="C114" s="15"/>
      <c r="D114" s="15"/>
      <c r="E114" s="16">
        <f t="shared" si="30"/>
        <v>4.2088999999999999</v>
      </c>
      <c r="F114" s="16">
        <v>2.34</v>
      </c>
      <c r="G114" s="16">
        <f t="shared" si="31"/>
        <v>1.319</v>
      </c>
      <c r="H114" s="16">
        <v>0.5</v>
      </c>
      <c r="I114" s="16"/>
      <c r="J114" s="16"/>
      <c r="K114" s="16">
        <f>(F114+I114+J114)*35%</f>
        <v>0.81899999999999995</v>
      </c>
      <c r="L114" s="16"/>
      <c r="M114" s="16"/>
      <c r="N114" s="16"/>
      <c r="O114" s="16"/>
      <c r="P114" s="16"/>
      <c r="Q114" s="16"/>
      <c r="R114" s="16">
        <f>(F114+I114+J114+P114)*23.5%</f>
        <v>0.54989999999999994</v>
      </c>
      <c r="S114" s="16">
        <f>SUM(T114:U114)</f>
        <v>90.912239999999997</v>
      </c>
      <c r="T114" s="16">
        <f>E114*1.49*12</f>
        <v>75.255132000000003</v>
      </c>
      <c r="U114" s="258">
        <f>E114*0.31*12</f>
        <v>15.657108000000001</v>
      </c>
    </row>
    <row r="115" spans="1:21">
      <c r="A115" s="13"/>
      <c r="B115" s="13" t="s">
        <v>158</v>
      </c>
      <c r="C115" s="13">
        <v>2</v>
      </c>
      <c r="D115" s="13">
        <v>2</v>
      </c>
      <c r="E115" s="14">
        <f>SUM(E116:E117)</f>
        <v>8.4177999999999997</v>
      </c>
      <c r="F115" s="14">
        <f t="shared" ref="F115:U115" si="43">SUM(F116:F117)</f>
        <v>4.68</v>
      </c>
      <c r="G115" s="14">
        <f t="shared" si="43"/>
        <v>2.6379999999999999</v>
      </c>
      <c r="H115" s="14">
        <f t="shared" si="43"/>
        <v>1</v>
      </c>
      <c r="I115" s="14">
        <f t="shared" si="43"/>
        <v>0</v>
      </c>
      <c r="J115" s="14">
        <f t="shared" si="43"/>
        <v>0</v>
      </c>
      <c r="K115" s="14">
        <f t="shared" si="43"/>
        <v>1.6379999999999999</v>
      </c>
      <c r="L115" s="14">
        <f t="shared" si="43"/>
        <v>0</v>
      </c>
      <c r="M115" s="14">
        <f t="shared" si="43"/>
        <v>0</v>
      </c>
      <c r="N115" s="14">
        <f t="shared" si="43"/>
        <v>0</v>
      </c>
      <c r="O115" s="14">
        <f t="shared" si="43"/>
        <v>0</v>
      </c>
      <c r="P115" s="14">
        <f t="shared" si="43"/>
        <v>0</v>
      </c>
      <c r="Q115" s="14">
        <f t="shared" si="43"/>
        <v>0</v>
      </c>
      <c r="R115" s="14">
        <f t="shared" si="43"/>
        <v>1.0997999999999999</v>
      </c>
      <c r="S115" s="14">
        <f t="shared" si="43"/>
        <v>181.82447999999999</v>
      </c>
      <c r="T115" s="14">
        <f t="shared" si="43"/>
        <v>150.51026400000001</v>
      </c>
      <c r="U115" s="255">
        <f t="shared" si="43"/>
        <v>31.314216000000002</v>
      </c>
    </row>
    <row r="116" spans="1:21" s="17" customFormat="1">
      <c r="A116" s="15"/>
      <c r="B116" s="15" t="s">
        <v>159</v>
      </c>
      <c r="C116" s="15"/>
      <c r="D116" s="15"/>
      <c r="E116" s="16">
        <f t="shared" si="30"/>
        <v>4.2088999999999999</v>
      </c>
      <c r="F116" s="16">
        <v>2.34</v>
      </c>
      <c r="G116" s="16">
        <f t="shared" si="31"/>
        <v>1.319</v>
      </c>
      <c r="H116" s="16">
        <v>0.5</v>
      </c>
      <c r="I116" s="16"/>
      <c r="J116" s="16"/>
      <c r="K116" s="16">
        <f>(F116+I116+J116)*35%</f>
        <v>0.81899999999999995</v>
      </c>
      <c r="L116" s="16"/>
      <c r="M116" s="16"/>
      <c r="N116" s="16"/>
      <c r="O116" s="16"/>
      <c r="P116" s="16"/>
      <c r="Q116" s="16"/>
      <c r="R116" s="16">
        <f>(F116+I116+J116+P116)*23.5%</f>
        <v>0.54989999999999994</v>
      </c>
      <c r="S116" s="16">
        <f>SUM(T116:U116)</f>
        <v>90.912239999999997</v>
      </c>
      <c r="T116" s="16">
        <f>E116*1.49*12</f>
        <v>75.255132000000003</v>
      </c>
      <c r="U116" s="258">
        <f>E116*0.31*12</f>
        <v>15.657108000000001</v>
      </c>
    </row>
    <row r="117" spans="1:21" s="17" customFormat="1">
      <c r="A117" s="15"/>
      <c r="B117" s="15" t="s">
        <v>160</v>
      </c>
      <c r="C117" s="15"/>
      <c r="D117" s="15"/>
      <c r="E117" s="16">
        <f t="shared" si="30"/>
        <v>4.2088999999999999</v>
      </c>
      <c r="F117" s="16">
        <v>2.34</v>
      </c>
      <c r="G117" s="16">
        <f t="shared" si="31"/>
        <v>1.319</v>
      </c>
      <c r="H117" s="16">
        <v>0.5</v>
      </c>
      <c r="I117" s="16"/>
      <c r="J117" s="16"/>
      <c r="K117" s="16">
        <f>(F117+I117+J117)*35%</f>
        <v>0.81899999999999995</v>
      </c>
      <c r="L117" s="16"/>
      <c r="M117" s="16"/>
      <c r="N117" s="16"/>
      <c r="O117" s="16"/>
      <c r="P117" s="16"/>
      <c r="Q117" s="16"/>
      <c r="R117" s="16">
        <f>(F117+I117+J117+P117)*23.5%</f>
        <v>0.54989999999999994</v>
      </c>
      <c r="S117" s="16">
        <f>SUM(T117:U117)</f>
        <v>90.912239999999997</v>
      </c>
      <c r="T117" s="16">
        <f>E117*1.49*12</f>
        <v>75.255132000000003</v>
      </c>
      <c r="U117" s="258">
        <f>E117*0.31*12</f>
        <v>15.657108000000001</v>
      </c>
    </row>
    <row r="118" spans="1:21">
      <c r="A118" s="13"/>
      <c r="B118" s="13" t="s">
        <v>161</v>
      </c>
      <c r="C118" s="13">
        <v>2</v>
      </c>
      <c r="D118" s="13">
        <v>2</v>
      </c>
      <c r="E118" s="14">
        <f>SUM(E119:E120)</f>
        <v>8.4177999999999997</v>
      </c>
      <c r="F118" s="14">
        <f t="shared" ref="F118:U118" si="44">SUM(F119:F120)</f>
        <v>4.68</v>
      </c>
      <c r="G118" s="14">
        <f t="shared" si="44"/>
        <v>2.6379999999999999</v>
      </c>
      <c r="H118" s="14">
        <f t="shared" si="44"/>
        <v>1</v>
      </c>
      <c r="I118" s="14">
        <f t="shared" si="44"/>
        <v>0</v>
      </c>
      <c r="J118" s="14">
        <f t="shared" si="44"/>
        <v>0</v>
      </c>
      <c r="K118" s="14">
        <f t="shared" si="44"/>
        <v>1.6379999999999999</v>
      </c>
      <c r="L118" s="14">
        <f t="shared" si="44"/>
        <v>0</v>
      </c>
      <c r="M118" s="14">
        <f t="shared" si="44"/>
        <v>0</v>
      </c>
      <c r="N118" s="14">
        <f t="shared" si="44"/>
        <v>0</v>
      </c>
      <c r="O118" s="14">
        <f t="shared" si="44"/>
        <v>0</v>
      </c>
      <c r="P118" s="14">
        <f t="shared" si="44"/>
        <v>0</v>
      </c>
      <c r="Q118" s="14">
        <f t="shared" si="44"/>
        <v>0</v>
      </c>
      <c r="R118" s="14">
        <f t="shared" si="44"/>
        <v>1.0997999999999999</v>
      </c>
      <c r="S118" s="14">
        <f t="shared" si="44"/>
        <v>181.82447999999999</v>
      </c>
      <c r="T118" s="14">
        <f t="shared" si="44"/>
        <v>150.51026400000001</v>
      </c>
      <c r="U118" s="255">
        <f t="shared" si="44"/>
        <v>31.314216000000002</v>
      </c>
    </row>
    <row r="119" spans="1:21" s="17" customFormat="1">
      <c r="A119" s="15"/>
      <c r="B119" s="15" t="s">
        <v>162</v>
      </c>
      <c r="C119" s="15"/>
      <c r="D119" s="15"/>
      <c r="E119" s="16">
        <f t="shared" si="30"/>
        <v>4.2088999999999999</v>
      </c>
      <c r="F119" s="16">
        <v>2.34</v>
      </c>
      <c r="G119" s="16">
        <f t="shared" si="31"/>
        <v>1.319</v>
      </c>
      <c r="H119" s="16">
        <v>0.5</v>
      </c>
      <c r="I119" s="16"/>
      <c r="J119" s="16"/>
      <c r="K119" s="16">
        <f>(F119+I119+J119)*35%</f>
        <v>0.81899999999999995</v>
      </c>
      <c r="L119" s="16"/>
      <c r="M119" s="16"/>
      <c r="N119" s="16"/>
      <c r="O119" s="16"/>
      <c r="P119" s="16"/>
      <c r="Q119" s="16"/>
      <c r="R119" s="16">
        <f t="shared" ref="R119:R124" si="45">(F119+I119+J119+P119)*23.5%</f>
        <v>0.54989999999999994</v>
      </c>
      <c r="S119" s="16">
        <f>SUM(T119:U119)</f>
        <v>90.912239999999997</v>
      </c>
      <c r="T119" s="16">
        <f>E119*1.49*12</f>
        <v>75.255132000000003</v>
      </c>
      <c r="U119" s="258">
        <f>E119*0.31*12</f>
        <v>15.657108000000001</v>
      </c>
    </row>
    <row r="120" spans="1:21" s="17" customFormat="1">
      <c r="A120" s="15"/>
      <c r="B120" s="15" t="s">
        <v>163</v>
      </c>
      <c r="C120" s="15"/>
      <c r="D120" s="15"/>
      <c r="E120" s="16">
        <f t="shared" si="30"/>
        <v>4.2088999999999999</v>
      </c>
      <c r="F120" s="16">
        <v>2.34</v>
      </c>
      <c r="G120" s="16">
        <f t="shared" si="31"/>
        <v>1.319</v>
      </c>
      <c r="H120" s="16">
        <v>0.5</v>
      </c>
      <c r="I120" s="16"/>
      <c r="J120" s="16"/>
      <c r="K120" s="16">
        <f>(F120+I120+J120)*35%</f>
        <v>0.81899999999999995</v>
      </c>
      <c r="L120" s="16"/>
      <c r="M120" s="16"/>
      <c r="N120" s="16"/>
      <c r="O120" s="16"/>
      <c r="P120" s="16"/>
      <c r="Q120" s="16"/>
      <c r="R120" s="16">
        <f t="shared" si="45"/>
        <v>0.54989999999999994</v>
      </c>
      <c r="S120" s="16">
        <f>SUM(T120:U120)</f>
        <v>90.912239999999997</v>
      </c>
      <c r="T120" s="16">
        <f>E120*1.49*12</f>
        <v>75.255132000000003</v>
      </c>
      <c r="U120" s="258">
        <f>E120*0.31*12</f>
        <v>15.657108000000001</v>
      </c>
    </row>
    <row r="121" spans="1:21">
      <c r="A121" s="13"/>
      <c r="B121" s="13" t="s">
        <v>164</v>
      </c>
      <c r="C121" s="13"/>
      <c r="D121" s="13"/>
      <c r="E121" s="14">
        <f t="shared" si="30"/>
        <v>0</v>
      </c>
      <c r="F121" s="14">
        <v>0</v>
      </c>
      <c r="G121" s="14">
        <f t="shared" si="31"/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f t="shared" si="45"/>
        <v>0</v>
      </c>
      <c r="S121" s="14">
        <f t="shared" ref="S121:T123" si="46">D121*1.49*12</f>
        <v>0</v>
      </c>
      <c r="T121" s="14">
        <f t="shared" si="46"/>
        <v>0</v>
      </c>
      <c r="U121" s="255">
        <f>E121*0.31*12</f>
        <v>0</v>
      </c>
    </row>
    <row r="122" spans="1:21">
      <c r="A122" s="13"/>
      <c r="B122" s="13" t="s">
        <v>165</v>
      </c>
      <c r="C122" s="13"/>
      <c r="D122" s="13"/>
      <c r="E122" s="14">
        <f t="shared" si="30"/>
        <v>0</v>
      </c>
      <c r="F122" s="14">
        <v>0</v>
      </c>
      <c r="G122" s="14">
        <f t="shared" si="31"/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f t="shared" si="45"/>
        <v>0</v>
      </c>
      <c r="S122" s="14">
        <f t="shared" si="46"/>
        <v>0</v>
      </c>
      <c r="T122" s="14">
        <f t="shared" si="46"/>
        <v>0</v>
      </c>
      <c r="U122" s="255">
        <f>E122*0.31*12</f>
        <v>0</v>
      </c>
    </row>
    <row r="123" spans="1:21">
      <c r="A123" s="13"/>
      <c r="B123" s="13" t="s">
        <v>166</v>
      </c>
      <c r="C123" s="13"/>
      <c r="D123" s="13"/>
      <c r="E123" s="14">
        <f t="shared" si="30"/>
        <v>0</v>
      </c>
      <c r="F123" s="14">
        <v>0</v>
      </c>
      <c r="G123" s="14">
        <f t="shared" si="31"/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f t="shared" si="45"/>
        <v>0</v>
      </c>
      <c r="S123" s="14">
        <f t="shared" si="46"/>
        <v>0</v>
      </c>
      <c r="T123" s="14">
        <f t="shared" si="46"/>
        <v>0</v>
      </c>
      <c r="U123" s="255">
        <f>E123*0.31*12</f>
        <v>0</v>
      </c>
    </row>
    <row r="124" spans="1:21">
      <c r="A124" s="20">
        <v>4</v>
      </c>
      <c r="B124" s="20" t="s">
        <v>167</v>
      </c>
      <c r="C124" s="20"/>
      <c r="D124" s="20"/>
      <c r="E124" s="20">
        <f t="shared" si="30"/>
        <v>0</v>
      </c>
      <c r="F124" s="20"/>
      <c r="G124" s="20">
        <f t="shared" si="31"/>
        <v>0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>
        <f t="shared" si="45"/>
        <v>0</v>
      </c>
      <c r="S124" s="20"/>
      <c r="T124" s="20"/>
      <c r="U124" s="259"/>
    </row>
  </sheetData>
  <mergeCells count="11">
    <mergeCell ref="T4:U4"/>
    <mergeCell ref="S4:S5"/>
    <mergeCell ref="A1:R1"/>
    <mergeCell ref="A4:A5"/>
    <mergeCell ref="B4:B5"/>
    <mergeCell ref="C4:C5"/>
    <mergeCell ref="D4:D5"/>
    <mergeCell ref="E4:E5"/>
    <mergeCell ref="F4:F5"/>
    <mergeCell ref="G4:G5"/>
    <mergeCell ref="H4:R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5"/>
  <sheetViews>
    <sheetView topLeftCell="B1" workbookViewId="0">
      <pane xSplit="2" ySplit="6" topLeftCell="D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11.28515625" defaultRowHeight="15.75"/>
  <cols>
    <col min="1" max="1" width="5.42578125" style="114" customWidth="1"/>
    <col min="2" max="2" width="45.42578125" style="22" customWidth="1"/>
    <col min="3" max="3" width="14.7109375" style="25" customWidth="1"/>
    <col min="4" max="4" width="8.140625" style="115" customWidth="1"/>
    <col min="5" max="5" width="6.7109375" style="115" customWidth="1"/>
    <col min="6" max="6" width="11.42578125" style="116" customWidth="1"/>
    <col min="7" max="7" width="10" style="116" customWidth="1"/>
    <col min="8" max="8" width="10.140625" style="116" customWidth="1"/>
    <col min="9" max="9" width="11.28515625" style="116" customWidth="1"/>
    <col min="10" max="11" width="9.140625" style="116" customWidth="1"/>
    <col min="12" max="12" width="11.28515625" style="116" customWidth="1"/>
    <col min="13" max="13" width="9" style="116" customWidth="1"/>
    <col min="14" max="14" width="9.28515625" style="116" customWidth="1"/>
    <col min="15" max="15" width="8.7109375" style="116" customWidth="1"/>
    <col min="16" max="16" width="10.7109375" style="116" customWidth="1"/>
    <col min="17" max="17" width="10.140625" style="116" customWidth="1"/>
    <col min="18" max="18" width="8.7109375" style="116" customWidth="1"/>
    <col min="19" max="19" width="12.140625" style="116" customWidth="1"/>
    <col min="20" max="20" width="19.140625" style="116" customWidth="1"/>
    <col min="21" max="21" width="18" style="116" customWidth="1"/>
    <col min="22" max="247" width="11.28515625" style="22"/>
    <col min="248" max="248" width="5.42578125" style="22" customWidth="1"/>
    <col min="249" max="249" width="54.28515625" style="22" customWidth="1"/>
    <col min="250" max="250" width="14.7109375" style="22" customWidth="1"/>
    <col min="251" max="251" width="11.42578125" style="22" customWidth="1"/>
    <col min="252" max="252" width="12.140625" style="22" customWidth="1"/>
    <col min="253" max="253" width="11.42578125" style="22" customWidth="1"/>
    <col min="254" max="254" width="12.85546875" style="22" customWidth="1"/>
    <col min="255" max="255" width="12" style="22" customWidth="1"/>
    <col min="256" max="262" width="11.28515625" style="22" customWidth="1"/>
    <col min="263" max="263" width="12.7109375" style="22" customWidth="1"/>
    <col min="264" max="265" width="11.28515625" style="22" customWidth="1"/>
    <col min="266" max="266" width="12.140625" style="22" customWidth="1"/>
    <col min="267" max="267" width="20.28515625" style="22" customWidth="1"/>
    <col min="268" max="269" width="19.85546875" style="22" customWidth="1"/>
    <col min="270" max="270" width="0" style="22" hidden="1" customWidth="1"/>
    <col min="271" max="271" width="13.7109375" style="22" customWidth="1"/>
    <col min="272" max="274" width="0" style="22" hidden="1" customWidth="1"/>
    <col min="275" max="276" width="11.28515625" style="22" customWidth="1"/>
    <col min="277" max="503" width="11.28515625" style="22"/>
    <col min="504" max="504" width="5.42578125" style="22" customWidth="1"/>
    <col min="505" max="505" width="54.28515625" style="22" customWidth="1"/>
    <col min="506" max="506" width="14.7109375" style="22" customWidth="1"/>
    <col min="507" max="507" width="11.42578125" style="22" customWidth="1"/>
    <col min="508" max="508" width="12.140625" style="22" customWidth="1"/>
    <col min="509" max="509" width="11.42578125" style="22" customWidth="1"/>
    <col min="510" max="510" width="12.85546875" style="22" customWidth="1"/>
    <col min="511" max="511" width="12" style="22" customWidth="1"/>
    <col min="512" max="518" width="11.28515625" style="22" customWidth="1"/>
    <col min="519" max="519" width="12.7109375" style="22" customWidth="1"/>
    <col min="520" max="521" width="11.28515625" style="22" customWidth="1"/>
    <col min="522" max="522" width="12.140625" style="22" customWidth="1"/>
    <col min="523" max="523" width="20.28515625" style="22" customWidth="1"/>
    <col min="524" max="525" width="19.85546875" style="22" customWidth="1"/>
    <col min="526" max="526" width="0" style="22" hidden="1" customWidth="1"/>
    <col min="527" max="527" width="13.7109375" style="22" customWidth="1"/>
    <col min="528" max="530" width="0" style="22" hidden="1" customWidth="1"/>
    <col min="531" max="532" width="11.28515625" style="22" customWidth="1"/>
    <col min="533" max="759" width="11.28515625" style="22"/>
    <col min="760" max="760" width="5.42578125" style="22" customWidth="1"/>
    <col min="761" max="761" width="54.28515625" style="22" customWidth="1"/>
    <col min="762" max="762" width="14.7109375" style="22" customWidth="1"/>
    <col min="763" max="763" width="11.42578125" style="22" customWidth="1"/>
    <col min="764" max="764" width="12.140625" style="22" customWidth="1"/>
    <col min="765" max="765" width="11.42578125" style="22" customWidth="1"/>
    <col min="766" max="766" width="12.85546875" style="22" customWidth="1"/>
    <col min="767" max="767" width="12" style="22" customWidth="1"/>
    <col min="768" max="774" width="11.28515625" style="22" customWidth="1"/>
    <col min="775" max="775" width="12.7109375" style="22" customWidth="1"/>
    <col min="776" max="777" width="11.28515625" style="22" customWidth="1"/>
    <col min="778" max="778" width="12.140625" style="22" customWidth="1"/>
    <col min="779" max="779" width="20.28515625" style="22" customWidth="1"/>
    <col min="780" max="781" width="19.85546875" style="22" customWidth="1"/>
    <col min="782" max="782" width="0" style="22" hidden="1" customWidth="1"/>
    <col min="783" max="783" width="13.7109375" style="22" customWidth="1"/>
    <col min="784" max="786" width="0" style="22" hidden="1" customWidth="1"/>
    <col min="787" max="788" width="11.28515625" style="22" customWidth="1"/>
    <col min="789" max="1015" width="11.28515625" style="22"/>
    <col min="1016" max="1016" width="5.42578125" style="22" customWidth="1"/>
    <col min="1017" max="1017" width="54.28515625" style="22" customWidth="1"/>
    <col min="1018" max="1018" width="14.7109375" style="22" customWidth="1"/>
    <col min="1019" max="1019" width="11.42578125" style="22" customWidth="1"/>
    <col min="1020" max="1020" width="12.140625" style="22" customWidth="1"/>
    <col min="1021" max="1021" width="11.42578125" style="22" customWidth="1"/>
    <col min="1022" max="1022" width="12.85546875" style="22" customWidth="1"/>
    <col min="1023" max="1023" width="12" style="22" customWidth="1"/>
    <col min="1024" max="1030" width="11.28515625" style="22" customWidth="1"/>
    <col min="1031" max="1031" width="12.7109375" style="22" customWidth="1"/>
    <col min="1032" max="1033" width="11.28515625" style="22" customWidth="1"/>
    <col min="1034" max="1034" width="12.140625" style="22" customWidth="1"/>
    <col min="1035" max="1035" width="20.28515625" style="22" customWidth="1"/>
    <col min="1036" max="1037" width="19.85546875" style="22" customWidth="1"/>
    <col min="1038" max="1038" width="0" style="22" hidden="1" customWidth="1"/>
    <col min="1039" max="1039" width="13.7109375" style="22" customWidth="1"/>
    <col min="1040" max="1042" width="0" style="22" hidden="1" customWidth="1"/>
    <col min="1043" max="1044" width="11.28515625" style="22" customWidth="1"/>
    <col min="1045" max="1271" width="11.28515625" style="22"/>
    <col min="1272" max="1272" width="5.42578125" style="22" customWidth="1"/>
    <col min="1273" max="1273" width="54.28515625" style="22" customWidth="1"/>
    <col min="1274" max="1274" width="14.7109375" style="22" customWidth="1"/>
    <col min="1275" max="1275" width="11.42578125" style="22" customWidth="1"/>
    <col min="1276" max="1276" width="12.140625" style="22" customWidth="1"/>
    <col min="1277" max="1277" width="11.42578125" style="22" customWidth="1"/>
    <col min="1278" max="1278" width="12.85546875" style="22" customWidth="1"/>
    <col min="1279" max="1279" width="12" style="22" customWidth="1"/>
    <col min="1280" max="1286" width="11.28515625" style="22" customWidth="1"/>
    <col min="1287" max="1287" width="12.7109375" style="22" customWidth="1"/>
    <col min="1288" max="1289" width="11.28515625" style="22" customWidth="1"/>
    <col min="1290" max="1290" width="12.140625" style="22" customWidth="1"/>
    <col min="1291" max="1291" width="20.28515625" style="22" customWidth="1"/>
    <col min="1292" max="1293" width="19.85546875" style="22" customWidth="1"/>
    <col min="1294" max="1294" width="0" style="22" hidden="1" customWidth="1"/>
    <col min="1295" max="1295" width="13.7109375" style="22" customWidth="1"/>
    <col min="1296" max="1298" width="0" style="22" hidden="1" customWidth="1"/>
    <col min="1299" max="1300" width="11.28515625" style="22" customWidth="1"/>
    <col min="1301" max="1527" width="11.28515625" style="22"/>
    <col min="1528" max="1528" width="5.42578125" style="22" customWidth="1"/>
    <col min="1529" max="1529" width="54.28515625" style="22" customWidth="1"/>
    <col min="1530" max="1530" width="14.7109375" style="22" customWidth="1"/>
    <col min="1531" max="1531" width="11.42578125" style="22" customWidth="1"/>
    <col min="1532" max="1532" width="12.140625" style="22" customWidth="1"/>
    <col min="1533" max="1533" width="11.42578125" style="22" customWidth="1"/>
    <col min="1534" max="1534" width="12.85546875" style="22" customWidth="1"/>
    <col min="1535" max="1535" width="12" style="22" customWidth="1"/>
    <col min="1536" max="1542" width="11.28515625" style="22" customWidth="1"/>
    <col min="1543" max="1543" width="12.7109375" style="22" customWidth="1"/>
    <col min="1544" max="1545" width="11.28515625" style="22" customWidth="1"/>
    <col min="1546" max="1546" width="12.140625" style="22" customWidth="1"/>
    <col min="1547" max="1547" width="20.28515625" style="22" customWidth="1"/>
    <col min="1548" max="1549" width="19.85546875" style="22" customWidth="1"/>
    <col min="1550" max="1550" width="0" style="22" hidden="1" customWidth="1"/>
    <col min="1551" max="1551" width="13.7109375" style="22" customWidth="1"/>
    <col min="1552" max="1554" width="0" style="22" hidden="1" customWidth="1"/>
    <col min="1555" max="1556" width="11.28515625" style="22" customWidth="1"/>
    <col min="1557" max="1783" width="11.28515625" style="22"/>
    <col min="1784" max="1784" width="5.42578125" style="22" customWidth="1"/>
    <col min="1785" max="1785" width="54.28515625" style="22" customWidth="1"/>
    <col min="1786" max="1786" width="14.7109375" style="22" customWidth="1"/>
    <col min="1787" max="1787" width="11.42578125" style="22" customWidth="1"/>
    <col min="1788" max="1788" width="12.140625" style="22" customWidth="1"/>
    <col min="1789" max="1789" width="11.42578125" style="22" customWidth="1"/>
    <col min="1790" max="1790" width="12.85546875" style="22" customWidth="1"/>
    <col min="1791" max="1791" width="12" style="22" customWidth="1"/>
    <col min="1792" max="1798" width="11.28515625" style="22" customWidth="1"/>
    <col min="1799" max="1799" width="12.7109375" style="22" customWidth="1"/>
    <col min="1800" max="1801" width="11.28515625" style="22" customWidth="1"/>
    <col min="1802" max="1802" width="12.140625" style="22" customWidth="1"/>
    <col min="1803" max="1803" width="20.28515625" style="22" customWidth="1"/>
    <col min="1804" max="1805" width="19.85546875" style="22" customWidth="1"/>
    <col min="1806" max="1806" width="0" style="22" hidden="1" customWidth="1"/>
    <col min="1807" max="1807" width="13.7109375" style="22" customWidth="1"/>
    <col min="1808" max="1810" width="0" style="22" hidden="1" customWidth="1"/>
    <col min="1811" max="1812" width="11.28515625" style="22" customWidth="1"/>
    <col min="1813" max="2039" width="11.28515625" style="22"/>
    <col min="2040" max="2040" width="5.42578125" style="22" customWidth="1"/>
    <col min="2041" max="2041" width="54.28515625" style="22" customWidth="1"/>
    <col min="2042" max="2042" width="14.7109375" style="22" customWidth="1"/>
    <col min="2043" max="2043" width="11.42578125" style="22" customWidth="1"/>
    <col min="2044" max="2044" width="12.140625" style="22" customWidth="1"/>
    <col min="2045" max="2045" width="11.42578125" style="22" customWidth="1"/>
    <col min="2046" max="2046" width="12.85546875" style="22" customWidth="1"/>
    <col min="2047" max="2047" width="12" style="22" customWidth="1"/>
    <col min="2048" max="2054" width="11.28515625" style="22" customWidth="1"/>
    <col min="2055" max="2055" width="12.7109375" style="22" customWidth="1"/>
    <col min="2056" max="2057" width="11.28515625" style="22" customWidth="1"/>
    <col min="2058" max="2058" width="12.140625" style="22" customWidth="1"/>
    <col min="2059" max="2059" width="20.28515625" style="22" customWidth="1"/>
    <col min="2060" max="2061" width="19.85546875" style="22" customWidth="1"/>
    <col min="2062" max="2062" width="0" style="22" hidden="1" customWidth="1"/>
    <col min="2063" max="2063" width="13.7109375" style="22" customWidth="1"/>
    <col min="2064" max="2066" width="0" style="22" hidden="1" customWidth="1"/>
    <col min="2067" max="2068" width="11.28515625" style="22" customWidth="1"/>
    <col min="2069" max="2295" width="11.28515625" style="22"/>
    <col min="2296" max="2296" width="5.42578125" style="22" customWidth="1"/>
    <col min="2297" max="2297" width="54.28515625" style="22" customWidth="1"/>
    <col min="2298" max="2298" width="14.7109375" style="22" customWidth="1"/>
    <col min="2299" max="2299" width="11.42578125" style="22" customWidth="1"/>
    <col min="2300" max="2300" width="12.140625" style="22" customWidth="1"/>
    <col min="2301" max="2301" width="11.42578125" style="22" customWidth="1"/>
    <col min="2302" max="2302" width="12.85546875" style="22" customWidth="1"/>
    <col min="2303" max="2303" width="12" style="22" customWidth="1"/>
    <col min="2304" max="2310" width="11.28515625" style="22" customWidth="1"/>
    <col min="2311" max="2311" width="12.7109375" style="22" customWidth="1"/>
    <col min="2312" max="2313" width="11.28515625" style="22" customWidth="1"/>
    <col min="2314" max="2314" width="12.140625" style="22" customWidth="1"/>
    <col min="2315" max="2315" width="20.28515625" style="22" customWidth="1"/>
    <col min="2316" max="2317" width="19.85546875" style="22" customWidth="1"/>
    <col min="2318" max="2318" width="0" style="22" hidden="1" customWidth="1"/>
    <col min="2319" max="2319" width="13.7109375" style="22" customWidth="1"/>
    <col min="2320" max="2322" width="0" style="22" hidden="1" customWidth="1"/>
    <col min="2323" max="2324" width="11.28515625" style="22" customWidth="1"/>
    <col min="2325" max="2551" width="11.28515625" style="22"/>
    <col min="2552" max="2552" width="5.42578125" style="22" customWidth="1"/>
    <col min="2553" max="2553" width="54.28515625" style="22" customWidth="1"/>
    <col min="2554" max="2554" width="14.7109375" style="22" customWidth="1"/>
    <col min="2555" max="2555" width="11.42578125" style="22" customWidth="1"/>
    <col min="2556" max="2556" width="12.140625" style="22" customWidth="1"/>
    <col min="2557" max="2557" width="11.42578125" style="22" customWidth="1"/>
    <col min="2558" max="2558" width="12.85546875" style="22" customWidth="1"/>
    <col min="2559" max="2559" width="12" style="22" customWidth="1"/>
    <col min="2560" max="2566" width="11.28515625" style="22" customWidth="1"/>
    <col min="2567" max="2567" width="12.7109375" style="22" customWidth="1"/>
    <col min="2568" max="2569" width="11.28515625" style="22" customWidth="1"/>
    <col min="2570" max="2570" width="12.140625" style="22" customWidth="1"/>
    <col min="2571" max="2571" width="20.28515625" style="22" customWidth="1"/>
    <col min="2572" max="2573" width="19.85546875" style="22" customWidth="1"/>
    <col min="2574" max="2574" width="0" style="22" hidden="1" customWidth="1"/>
    <col min="2575" max="2575" width="13.7109375" style="22" customWidth="1"/>
    <col min="2576" max="2578" width="0" style="22" hidden="1" customWidth="1"/>
    <col min="2579" max="2580" width="11.28515625" style="22" customWidth="1"/>
    <col min="2581" max="2807" width="11.28515625" style="22"/>
    <col min="2808" max="2808" width="5.42578125" style="22" customWidth="1"/>
    <col min="2809" max="2809" width="54.28515625" style="22" customWidth="1"/>
    <col min="2810" max="2810" width="14.7109375" style="22" customWidth="1"/>
    <col min="2811" max="2811" width="11.42578125" style="22" customWidth="1"/>
    <col min="2812" max="2812" width="12.140625" style="22" customWidth="1"/>
    <col min="2813" max="2813" width="11.42578125" style="22" customWidth="1"/>
    <col min="2814" max="2814" width="12.85546875" style="22" customWidth="1"/>
    <col min="2815" max="2815" width="12" style="22" customWidth="1"/>
    <col min="2816" max="2822" width="11.28515625" style="22" customWidth="1"/>
    <col min="2823" max="2823" width="12.7109375" style="22" customWidth="1"/>
    <col min="2824" max="2825" width="11.28515625" style="22" customWidth="1"/>
    <col min="2826" max="2826" width="12.140625" style="22" customWidth="1"/>
    <col min="2827" max="2827" width="20.28515625" style="22" customWidth="1"/>
    <col min="2828" max="2829" width="19.85546875" style="22" customWidth="1"/>
    <col min="2830" max="2830" width="0" style="22" hidden="1" customWidth="1"/>
    <col min="2831" max="2831" width="13.7109375" style="22" customWidth="1"/>
    <col min="2832" max="2834" width="0" style="22" hidden="1" customWidth="1"/>
    <col min="2835" max="2836" width="11.28515625" style="22" customWidth="1"/>
    <col min="2837" max="3063" width="11.28515625" style="22"/>
    <col min="3064" max="3064" width="5.42578125" style="22" customWidth="1"/>
    <col min="3065" max="3065" width="54.28515625" style="22" customWidth="1"/>
    <col min="3066" max="3066" width="14.7109375" style="22" customWidth="1"/>
    <col min="3067" max="3067" width="11.42578125" style="22" customWidth="1"/>
    <col min="3068" max="3068" width="12.140625" style="22" customWidth="1"/>
    <col min="3069" max="3069" width="11.42578125" style="22" customWidth="1"/>
    <col min="3070" max="3070" width="12.85546875" style="22" customWidth="1"/>
    <col min="3071" max="3071" width="12" style="22" customWidth="1"/>
    <col min="3072" max="3078" width="11.28515625" style="22" customWidth="1"/>
    <col min="3079" max="3079" width="12.7109375" style="22" customWidth="1"/>
    <col min="3080" max="3081" width="11.28515625" style="22" customWidth="1"/>
    <col min="3082" max="3082" width="12.140625" style="22" customWidth="1"/>
    <col min="3083" max="3083" width="20.28515625" style="22" customWidth="1"/>
    <col min="3084" max="3085" width="19.85546875" style="22" customWidth="1"/>
    <col min="3086" max="3086" width="0" style="22" hidden="1" customWidth="1"/>
    <col min="3087" max="3087" width="13.7109375" style="22" customWidth="1"/>
    <col min="3088" max="3090" width="0" style="22" hidden="1" customWidth="1"/>
    <col min="3091" max="3092" width="11.28515625" style="22" customWidth="1"/>
    <col min="3093" max="3319" width="11.28515625" style="22"/>
    <col min="3320" max="3320" width="5.42578125" style="22" customWidth="1"/>
    <col min="3321" max="3321" width="54.28515625" style="22" customWidth="1"/>
    <col min="3322" max="3322" width="14.7109375" style="22" customWidth="1"/>
    <col min="3323" max="3323" width="11.42578125" style="22" customWidth="1"/>
    <col min="3324" max="3324" width="12.140625" style="22" customWidth="1"/>
    <col min="3325" max="3325" width="11.42578125" style="22" customWidth="1"/>
    <col min="3326" max="3326" width="12.85546875" style="22" customWidth="1"/>
    <col min="3327" max="3327" width="12" style="22" customWidth="1"/>
    <col min="3328" max="3334" width="11.28515625" style="22" customWidth="1"/>
    <col min="3335" max="3335" width="12.7109375" style="22" customWidth="1"/>
    <col min="3336" max="3337" width="11.28515625" style="22" customWidth="1"/>
    <col min="3338" max="3338" width="12.140625" style="22" customWidth="1"/>
    <col min="3339" max="3339" width="20.28515625" style="22" customWidth="1"/>
    <col min="3340" max="3341" width="19.85546875" style="22" customWidth="1"/>
    <col min="3342" max="3342" width="0" style="22" hidden="1" customWidth="1"/>
    <col min="3343" max="3343" width="13.7109375" style="22" customWidth="1"/>
    <col min="3344" max="3346" width="0" style="22" hidden="1" customWidth="1"/>
    <col min="3347" max="3348" width="11.28515625" style="22" customWidth="1"/>
    <col min="3349" max="3575" width="11.28515625" style="22"/>
    <col min="3576" max="3576" width="5.42578125" style="22" customWidth="1"/>
    <col min="3577" max="3577" width="54.28515625" style="22" customWidth="1"/>
    <col min="3578" max="3578" width="14.7109375" style="22" customWidth="1"/>
    <col min="3579" max="3579" width="11.42578125" style="22" customWidth="1"/>
    <col min="3580" max="3580" width="12.140625" style="22" customWidth="1"/>
    <col min="3581" max="3581" width="11.42578125" style="22" customWidth="1"/>
    <col min="3582" max="3582" width="12.85546875" style="22" customWidth="1"/>
    <col min="3583" max="3583" width="12" style="22" customWidth="1"/>
    <col min="3584" max="3590" width="11.28515625" style="22" customWidth="1"/>
    <col min="3591" max="3591" width="12.7109375" style="22" customWidth="1"/>
    <col min="3592" max="3593" width="11.28515625" style="22" customWidth="1"/>
    <col min="3594" max="3594" width="12.140625" style="22" customWidth="1"/>
    <col min="3595" max="3595" width="20.28515625" style="22" customWidth="1"/>
    <col min="3596" max="3597" width="19.85546875" style="22" customWidth="1"/>
    <col min="3598" max="3598" width="0" style="22" hidden="1" customWidth="1"/>
    <col min="3599" max="3599" width="13.7109375" style="22" customWidth="1"/>
    <col min="3600" max="3602" width="0" style="22" hidden="1" customWidth="1"/>
    <col min="3603" max="3604" width="11.28515625" style="22" customWidth="1"/>
    <col min="3605" max="3831" width="11.28515625" style="22"/>
    <col min="3832" max="3832" width="5.42578125" style="22" customWidth="1"/>
    <col min="3833" max="3833" width="54.28515625" style="22" customWidth="1"/>
    <col min="3834" max="3834" width="14.7109375" style="22" customWidth="1"/>
    <col min="3835" max="3835" width="11.42578125" style="22" customWidth="1"/>
    <col min="3836" max="3836" width="12.140625" style="22" customWidth="1"/>
    <col min="3837" max="3837" width="11.42578125" style="22" customWidth="1"/>
    <col min="3838" max="3838" width="12.85546875" style="22" customWidth="1"/>
    <col min="3839" max="3839" width="12" style="22" customWidth="1"/>
    <col min="3840" max="3846" width="11.28515625" style="22" customWidth="1"/>
    <col min="3847" max="3847" width="12.7109375" style="22" customWidth="1"/>
    <col min="3848" max="3849" width="11.28515625" style="22" customWidth="1"/>
    <col min="3850" max="3850" width="12.140625" style="22" customWidth="1"/>
    <col min="3851" max="3851" width="20.28515625" style="22" customWidth="1"/>
    <col min="3852" max="3853" width="19.85546875" style="22" customWidth="1"/>
    <col min="3854" max="3854" width="0" style="22" hidden="1" customWidth="1"/>
    <col min="3855" max="3855" width="13.7109375" style="22" customWidth="1"/>
    <col min="3856" max="3858" width="0" style="22" hidden="1" customWidth="1"/>
    <col min="3859" max="3860" width="11.28515625" style="22" customWidth="1"/>
    <col min="3861" max="4087" width="11.28515625" style="22"/>
    <col min="4088" max="4088" width="5.42578125" style="22" customWidth="1"/>
    <col min="4089" max="4089" width="54.28515625" style="22" customWidth="1"/>
    <col min="4090" max="4090" width="14.7109375" style="22" customWidth="1"/>
    <col min="4091" max="4091" width="11.42578125" style="22" customWidth="1"/>
    <col min="4092" max="4092" width="12.140625" style="22" customWidth="1"/>
    <col min="4093" max="4093" width="11.42578125" style="22" customWidth="1"/>
    <col min="4094" max="4094" width="12.85546875" style="22" customWidth="1"/>
    <col min="4095" max="4095" width="12" style="22" customWidth="1"/>
    <col min="4096" max="4102" width="11.28515625" style="22" customWidth="1"/>
    <col min="4103" max="4103" width="12.7109375" style="22" customWidth="1"/>
    <col min="4104" max="4105" width="11.28515625" style="22" customWidth="1"/>
    <col min="4106" max="4106" width="12.140625" style="22" customWidth="1"/>
    <col min="4107" max="4107" width="20.28515625" style="22" customWidth="1"/>
    <col min="4108" max="4109" width="19.85546875" style="22" customWidth="1"/>
    <col min="4110" max="4110" width="0" style="22" hidden="1" customWidth="1"/>
    <col min="4111" max="4111" width="13.7109375" style="22" customWidth="1"/>
    <col min="4112" max="4114" width="0" style="22" hidden="1" customWidth="1"/>
    <col min="4115" max="4116" width="11.28515625" style="22" customWidth="1"/>
    <col min="4117" max="4343" width="11.28515625" style="22"/>
    <col min="4344" max="4344" width="5.42578125" style="22" customWidth="1"/>
    <col min="4345" max="4345" width="54.28515625" style="22" customWidth="1"/>
    <col min="4346" max="4346" width="14.7109375" style="22" customWidth="1"/>
    <col min="4347" max="4347" width="11.42578125" style="22" customWidth="1"/>
    <col min="4348" max="4348" width="12.140625" style="22" customWidth="1"/>
    <col min="4349" max="4349" width="11.42578125" style="22" customWidth="1"/>
    <col min="4350" max="4350" width="12.85546875" style="22" customWidth="1"/>
    <col min="4351" max="4351" width="12" style="22" customWidth="1"/>
    <col min="4352" max="4358" width="11.28515625" style="22" customWidth="1"/>
    <col min="4359" max="4359" width="12.7109375" style="22" customWidth="1"/>
    <col min="4360" max="4361" width="11.28515625" style="22" customWidth="1"/>
    <col min="4362" max="4362" width="12.140625" style="22" customWidth="1"/>
    <col min="4363" max="4363" width="20.28515625" style="22" customWidth="1"/>
    <col min="4364" max="4365" width="19.85546875" style="22" customWidth="1"/>
    <col min="4366" max="4366" width="0" style="22" hidden="1" customWidth="1"/>
    <col min="4367" max="4367" width="13.7109375" style="22" customWidth="1"/>
    <col min="4368" max="4370" width="0" style="22" hidden="1" customWidth="1"/>
    <col min="4371" max="4372" width="11.28515625" style="22" customWidth="1"/>
    <col min="4373" max="4599" width="11.28515625" style="22"/>
    <col min="4600" max="4600" width="5.42578125" style="22" customWidth="1"/>
    <col min="4601" max="4601" width="54.28515625" style="22" customWidth="1"/>
    <col min="4602" max="4602" width="14.7109375" style="22" customWidth="1"/>
    <col min="4603" max="4603" width="11.42578125" style="22" customWidth="1"/>
    <col min="4604" max="4604" width="12.140625" style="22" customWidth="1"/>
    <col min="4605" max="4605" width="11.42578125" style="22" customWidth="1"/>
    <col min="4606" max="4606" width="12.85546875" style="22" customWidth="1"/>
    <col min="4607" max="4607" width="12" style="22" customWidth="1"/>
    <col min="4608" max="4614" width="11.28515625" style="22" customWidth="1"/>
    <col min="4615" max="4615" width="12.7109375" style="22" customWidth="1"/>
    <col min="4616" max="4617" width="11.28515625" style="22" customWidth="1"/>
    <col min="4618" max="4618" width="12.140625" style="22" customWidth="1"/>
    <col min="4619" max="4619" width="20.28515625" style="22" customWidth="1"/>
    <col min="4620" max="4621" width="19.85546875" style="22" customWidth="1"/>
    <col min="4622" max="4622" width="0" style="22" hidden="1" customWidth="1"/>
    <col min="4623" max="4623" width="13.7109375" style="22" customWidth="1"/>
    <col min="4624" max="4626" width="0" style="22" hidden="1" customWidth="1"/>
    <col min="4627" max="4628" width="11.28515625" style="22" customWidth="1"/>
    <col min="4629" max="4855" width="11.28515625" style="22"/>
    <col min="4856" max="4856" width="5.42578125" style="22" customWidth="1"/>
    <col min="4857" max="4857" width="54.28515625" style="22" customWidth="1"/>
    <col min="4858" max="4858" width="14.7109375" style="22" customWidth="1"/>
    <col min="4859" max="4859" width="11.42578125" style="22" customWidth="1"/>
    <col min="4860" max="4860" width="12.140625" style="22" customWidth="1"/>
    <col min="4861" max="4861" width="11.42578125" style="22" customWidth="1"/>
    <col min="4862" max="4862" width="12.85546875" style="22" customWidth="1"/>
    <col min="4863" max="4863" width="12" style="22" customWidth="1"/>
    <col min="4864" max="4870" width="11.28515625" style="22" customWidth="1"/>
    <col min="4871" max="4871" width="12.7109375" style="22" customWidth="1"/>
    <col min="4872" max="4873" width="11.28515625" style="22" customWidth="1"/>
    <col min="4874" max="4874" width="12.140625" style="22" customWidth="1"/>
    <col min="4875" max="4875" width="20.28515625" style="22" customWidth="1"/>
    <col min="4876" max="4877" width="19.85546875" style="22" customWidth="1"/>
    <col min="4878" max="4878" width="0" style="22" hidden="1" customWidth="1"/>
    <col min="4879" max="4879" width="13.7109375" style="22" customWidth="1"/>
    <col min="4880" max="4882" width="0" style="22" hidden="1" customWidth="1"/>
    <col min="4883" max="4884" width="11.28515625" style="22" customWidth="1"/>
    <col min="4885" max="5111" width="11.28515625" style="22"/>
    <col min="5112" max="5112" width="5.42578125" style="22" customWidth="1"/>
    <col min="5113" max="5113" width="54.28515625" style="22" customWidth="1"/>
    <col min="5114" max="5114" width="14.7109375" style="22" customWidth="1"/>
    <col min="5115" max="5115" width="11.42578125" style="22" customWidth="1"/>
    <col min="5116" max="5116" width="12.140625" style="22" customWidth="1"/>
    <col min="5117" max="5117" width="11.42578125" style="22" customWidth="1"/>
    <col min="5118" max="5118" width="12.85546875" style="22" customWidth="1"/>
    <col min="5119" max="5119" width="12" style="22" customWidth="1"/>
    <col min="5120" max="5126" width="11.28515625" style="22" customWidth="1"/>
    <col min="5127" max="5127" width="12.7109375" style="22" customWidth="1"/>
    <col min="5128" max="5129" width="11.28515625" style="22" customWidth="1"/>
    <col min="5130" max="5130" width="12.140625" style="22" customWidth="1"/>
    <col min="5131" max="5131" width="20.28515625" style="22" customWidth="1"/>
    <col min="5132" max="5133" width="19.85546875" style="22" customWidth="1"/>
    <col min="5134" max="5134" width="0" style="22" hidden="1" customWidth="1"/>
    <col min="5135" max="5135" width="13.7109375" style="22" customWidth="1"/>
    <col min="5136" max="5138" width="0" style="22" hidden="1" customWidth="1"/>
    <col min="5139" max="5140" width="11.28515625" style="22" customWidth="1"/>
    <col min="5141" max="5367" width="11.28515625" style="22"/>
    <col min="5368" max="5368" width="5.42578125" style="22" customWidth="1"/>
    <col min="5369" max="5369" width="54.28515625" style="22" customWidth="1"/>
    <col min="5370" max="5370" width="14.7109375" style="22" customWidth="1"/>
    <col min="5371" max="5371" width="11.42578125" style="22" customWidth="1"/>
    <col min="5372" max="5372" width="12.140625" style="22" customWidth="1"/>
    <col min="5373" max="5373" width="11.42578125" style="22" customWidth="1"/>
    <col min="5374" max="5374" width="12.85546875" style="22" customWidth="1"/>
    <col min="5375" max="5375" width="12" style="22" customWidth="1"/>
    <col min="5376" max="5382" width="11.28515625" style="22" customWidth="1"/>
    <col min="5383" max="5383" width="12.7109375" style="22" customWidth="1"/>
    <col min="5384" max="5385" width="11.28515625" style="22" customWidth="1"/>
    <col min="5386" max="5386" width="12.140625" style="22" customWidth="1"/>
    <col min="5387" max="5387" width="20.28515625" style="22" customWidth="1"/>
    <col min="5388" max="5389" width="19.85546875" style="22" customWidth="1"/>
    <col min="5390" max="5390" width="0" style="22" hidden="1" customWidth="1"/>
    <col min="5391" max="5391" width="13.7109375" style="22" customWidth="1"/>
    <col min="5392" max="5394" width="0" style="22" hidden="1" customWidth="1"/>
    <col min="5395" max="5396" width="11.28515625" style="22" customWidth="1"/>
    <col min="5397" max="5623" width="11.28515625" style="22"/>
    <col min="5624" max="5624" width="5.42578125" style="22" customWidth="1"/>
    <col min="5625" max="5625" width="54.28515625" style="22" customWidth="1"/>
    <col min="5626" max="5626" width="14.7109375" style="22" customWidth="1"/>
    <col min="5627" max="5627" width="11.42578125" style="22" customWidth="1"/>
    <col min="5628" max="5628" width="12.140625" style="22" customWidth="1"/>
    <col min="5629" max="5629" width="11.42578125" style="22" customWidth="1"/>
    <col min="5630" max="5630" width="12.85546875" style="22" customWidth="1"/>
    <col min="5631" max="5631" width="12" style="22" customWidth="1"/>
    <col min="5632" max="5638" width="11.28515625" style="22" customWidth="1"/>
    <col min="5639" max="5639" width="12.7109375" style="22" customWidth="1"/>
    <col min="5640" max="5641" width="11.28515625" style="22" customWidth="1"/>
    <col min="5642" max="5642" width="12.140625" style="22" customWidth="1"/>
    <col min="5643" max="5643" width="20.28515625" style="22" customWidth="1"/>
    <col min="5644" max="5645" width="19.85546875" style="22" customWidth="1"/>
    <col min="5646" max="5646" width="0" style="22" hidden="1" customWidth="1"/>
    <col min="5647" max="5647" width="13.7109375" style="22" customWidth="1"/>
    <col min="5648" max="5650" width="0" style="22" hidden="1" customWidth="1"/>
    <col min="5651" max="5652" width="11.28515625" style="22" customWidth="1"/>
    <col min="5653" max="5879" width="11.28515625" style="22"/>
    <col min="5880" max="5880" width="5.42578125" style="22" customWidth="1"/>
    <col min="5881" max="5881" width="54.28515625" style="22" customWidth="1"/>
    <col min="5882" max="5882" width="14.7109375" style="22" customWidth="1"/>
    <col min="5883" max="5883" width="11.42578125" style="22" customWidth="1"/>
    <col min="5884" max="5884" width="12.140625" style="22" customWidth="1"/>
    <col min="5885" max="5885" width="11.42578125" style="22" customWidth="1"/>
    <col min="5886" max="5886" width="12.85546875" style="22" customWidth="1"/>
    <col min="5887" max="5887" width="12" style="22" customWidth="1"/>
    <col min="5888" max="5894" width="11.28515625" style="22" customWidth="1"/>
    <col min="5895" max="5895" width="12.7109375" style="22" customWidth="1"/>
    <col min="5896" max="5897" width="11.28515625" style="22" customWidth="1"/>
    <col min="5898" max="5898" width="12.140625" style="22" customWidth="1"/>
    <col min="5899" max="5899" width="20.28515625" style="22" customWidth="1"/>
    <col min="5900" max="5901" width="19.85546875" style="22" customWidth="1"/>
    <col min="5902" max="5902" width="0" style="22" hidden="1" customWidth="1"/>
    <col min="5903" max="5903" width="13.7109375" style="22" customWidth="1"/>
    <col min="5904" max="5906" width="0" style="22" hidden="1" customWidth="1"/>
    <col min="5907" max="5908" width="11.28515625" style="22" customWidth="1"/>
    <col min="5909" max="6135" width="11.28515625" style="22"/>
    <col min="6136" max="6136" width="5.42578125" style="22" customWidth="1"/>
    <col min="6137" max="6137" width="54.28515625" style="22" customWidth="1"/>
    <col min="6138" max="6138" width="14.7109375" style="22" customWidth="1"/>
    <col min="6139" max="6139" width="11.42578125" style="22" customWidth="1"/>
    <col min="6140" max="6140" width="12.140625" style="22" customWidth="1"/>
    <col min="6141" max="6141" width="11.42578125" style="22" customWidth="1"/>
    <col min="6142" max="6142" width="12.85546875" style="22" customWidth="1"/>
    <col min="6143" max="6143" width="12" style="22" customWidth="1"/>
    <col min="6144" max="6150" width="11.28515625" style="22" customWidth="1"/>
    <col min="6151" max="6151" width="12.7109375" style="22" customWidth="1"/>
    <col min="6152" max="6153" width="11.28515625" style="22" customWidth="1"/>
    <col min="6154" max="6154" width="12.140625" style="22" customWidth="1"/>
    <col min="6155" max="6155" width="20.28515625" style="22" customWidth="1"/>
    <col min="6156" max="6157" width="19.85546875" style="22" customWidth="1"/>
    <col min="6158" max="6158" width="0" style="22" hidden="1" customWidth="1"/>
    <col min="6159" max="6159" width="13.7109375" style="22" customWidth="1"/>
    <col min="6160" max="6162" width="0" style="22" hidden="1" customWidth="1"/>
    <col min="6163" max="6164" width="11.28515625" style="22" customWidth="1"/>
    <col min="6165" max="6391" width="11.28515625" style="22"/>
    <col min="6392" max="6392" width="5.42578125" style="22" customWidth="1"/>
    <col min="6393" max="6393" width="54.28515625" style="22" customWidth="1"/>
    <col min="6394" max="6394" width="14.7109375" style="22" customWidth="1"/>
    <col min="6395" max="6395" width="11.42578125" style="22" customWidth="1"/>
    <col min="6396" max="6396" width="12.140625" style="22" customWidth="1"/>
    <col min="6397" max="6397" width="11.42578125" style="22" customWidth="1"/>
    <col min="6398" max="6398" width="12.85546875" style="22" customWidth="1"/>
    <col min="6399" max="6399" width="12" style="22" customWidth="1"/>
    <col min="6400" max="6406" width="11.28515625" style="22" customWidth="1"/>
    <col min="6407" max="6407" width="12.7109375" style="22" customWidth="1"/>
    <col min="6408" max="6409" width="11.28515625" style="22" customWidth="1"/>
    <col min="6410" max="6410" width="12.140625" style="22" customWidth="1"/>
    <col min="6411" max="6411" width="20.28515625" style="22" customWidth="1"/>
    <col min="6412" max="6413" width="19.85546875" style="22" customWidth="1"/>
    <col min="6414" max="6414" width="0" style="22" hidden="1" customWidth="1"/>
    <col min="6415" max="6415" width="13.7109375" style="22" customWidth="1"/>
    <col min="6416" max="6418" width="0" style="22" hidden="1" customWidth="1"/>
    <col min="6419" max="6420" width="11.28515625" style="22" customWidth="1"/>
    <col min="6421" max="6647" width="11.28515625" style="22"/>
    <col min="6648" max="6648" width="5.42578125" style="22" customWidth="1"/>
    <col min="6649" max="6649" width="54.28515625" style="22" customWidth="1"/>
    <col min="6650" max="6650" width="14.7109375" style="22" customWidth="1"/>
    <col min="6651" max="6651" width="11.42578125" style="22" customWidth="1"/>
    <col min="6652" max="6652" width="12.140625" style="22" customWidth="1"/>
    <col min="6653" max="6653" width="11.42578125" style="22" customWidth="1"/>
    <col min="6654" max="6654" width="12.85546875" style="22" customWidth="1"/>
    <col min="6655" max="6655" width="12" style="22" customWidth="1"/>
    <col min="6656" max="6662" width="11.28515625" style="22" customWidth="1"/>
    <col min="6663" max="6663" width="12.7109375" style="22" customWidth="1"/>
    <col min="6664" max="6665" width="11.28515625" style="22" customWidth="1"/>
    <col min="6666" max="6666" width="12.140625" style="22" customWidth="1"/>
    <col min="6667" max="6667" width="20.28515625" style="22" customWidth="1"/>
    <col min="6668" max="6669" width="19.85546875" style="22" customWidth="1"/>
    <col min="6670" max="6670" width="0" style="22" hidden="1" customWidth="1"/>
    <col min="6671" max="6671" width="13.7109375" style="22" customWidth="1"/>
    <col min="6672" max="6674" width="0" style="22" hidden="1" customWidth="1"/>
    <col min="6675" max="6676" width="11.28515625" style="22" customWidth="1"/>
    <col min="6677" max="6903" width="11.28515625" style="22"/>
    <col min="6904" max="6904" width="5.42578125" style="22" customWidth="1"/>
    <col min="6905" max="6905" width="54.28515625" style="22" customWidth="1"/>
    <col min="6906" max="6906" width="14.7109375" style="22" customWidth="1"/>
    <col min="6907" max="6907" width="11.42578125" style="22" customWidth="1"/>
    <col min="6908" max="6908" width="12.140625" style="22" customWidth="1"/>
    <col min="6909" max="6909" width="11.42578125" style="22" customWidth="1"/>
    <col min="6910" max="6910" width="12.85546875" style="22" customWidth="1"/>
    <col min="6911" max="6911" width="12" style="22" customWidth="1"/>
    <col min="6912" max="6918" width="11.28515625" style="22" customWidth="1"/>
    <col min="6919" max="6919" width="12.7109375" style="22" customWidth="1"/>
    <col min="6920" max="6921" width="11.28515625" style="22" customWidth="1"/>
    <col min="6922" max="6922" width="12.140625" style="22" customWidth="1"/>
    <col min="6923" max="6923" width="20.28515625" style="22" customWidth="1"/>
    <col min="6924" max="6925" width="19.85546875" style="22" customWidth="1"/>
    <col min="6926" max="6926" width="0" style="22" hidden="1" customWidth="1"/>
    <col min="6927" max="6927" width="13.7109375" style="22" customWidth="1"/>
    <col min="6928" max="6930" width="0" style="22" hidden="1" customWidth="1"/>
    <col min="6931" max="6932" width="11.28515625" style="22" customWidth="1"/>
    <col min="6933" max="7159" width="11.28515625" style="22"/>
    <col min="7160" max="7160" width="5.42578125" style="22" customWidth="1"/>
    <col min="7161" max="7161" width="54.28515625" style="22" customWidth="1"/>
    <col min="7162" max="7162" width="14.7109375" style="22" customWidth="1"/>
    <col min="7163" max="7163" width="11.42578125" style="22" customWidth="1"/>
    <col min="7164" max="7164" width="12.140625" style="22" customWidth="1"/>
    <col min="7165" max="7165" width="11.42578125" style="22" customWidth="1"/>
    <col min="7166" max="7166" width="12.85546875" style="22" customWidth="1"/>
    <col min="7167" max="7167" width="12" style="22" customWidth="1"/>
    <col min="7168" max="7174" width="11.28515625" style="22" customWidth="1"/>
    <col min="7175" max="7175" width="12.7109375" style="22" customWidth="1"/>
    <col min="7176" max="7177" width="11.28515625" style="22" customWidth="1"/>
    <col min="7178" max="7178" width="12.140625" style="22" customWidth="1"/>
    <col min="7179" max="7179" width="20.28515625" style="22" customWidth="1"/>
    <col min="7180" max="7181" width="19.85546875" style="22" customWidth="1"/>
    <col min="7182" max="7182" width="0" style="22" hidden="1" customWidth="1"/>
    <col min="7183" max="7183" width="13.7109375" style="22" customWidth="1"/>
    <col min="7184" max="7186" width="0" style="22" hidden="1" customWidth="1"/>
    <col min="7187" max="7188" width="11.28515625" style="22" customWidth="1"/>
    <col min="7189" max="7415" width="11.28515625" style="22"/>
    <col min="7416" max="7416" width="5.42578125" style="22" customWidth="1"/>
    <col min="7417" max="7417" width="54.28515625" style="22" customWidth="1"/>
    <col min="7418" max="7418" width="14.7109375" style="22" customWidth="1"/>
    <col min="7419" max="7419" width="11.42578125" style="22" customWidth="1"/>
    <col min="7420" max="7420" width="12.140625" style="22" customWidth="1"/>
    <col min="7421" max="7421" width="11.42578125" style="22" customWidth="1"/>
    <col min="7422" max="7422" width="12.85546875" style="22" customWidth="1"/>
    <col min="7423" max="7423" width="12" style="22" customWidth="1"/>
    <col min="7424" max="7430" width="11.28515625" style="22" customWidth="1"/>
    <col min="7431" max="7431" width="12.7109375" style="22" customWidth="1"/>
    <col min="7432" max="7433" width="11.28515625" style="22" customWidth="1"/>
    <col min="7434" max="7434" width="12.140625" style="22" customWidth="1"/>
    <col min="7435" max="7435" width="20.28515625" style="22" customWidth="1"/>
    <col min="7436" max="7437" width="19.85546875" style="22" customWidth="1"/>
    <col min="7438" max="7438" width="0" style="22" hidden="1" customWidth="1"/>
    <col min="7439" max="7439" width="13.7109375" style="22" customWidth="1"/>
    <col min="7440" max="7442" width="0" style="22" hidden="1" customWidth="1"/>
    <col min="7443" max="7444" width="11.28515625" style="22" customWidth="1"/>
    <col min="7445" max="7671" width="11.28515625" style="22"/>
    <col min="7672" max="7672" width="5.42578125" style="22" customWidth="1"/>
    <col min="7673" max="7673" width="54.28515625" style="22" customWidth="1"/>
    <col min="7674" max="7674" width="14.7109375" style="22" customWidth="1"/>
    <col min="7675" max="7675" width="11.42578125" style="22" customWidth="1"/>
    <col min="7676" max="7676" width="12.140625" style="22" customWidth="1"/>
    <col min="7677" max="7677" width="11.42578125" style="22" customWidth="1"/>
    <col min="7678" max="7678" width="12.85546875" style="22" customWidth="1"/>
    <col min="7679" max="7679" width="12" style="22" customWidth="1"/>
    <col min="7680" max="7686" width="11.28515625" style="22" customWidth="1"/>
    <col min="7687" max="7687" width="12.7109375" style="22" customWidth="1"/>
    <col min="7688" max="7689" width="11.28515625" style="22" customWidth="1"/>
    <col min="7690" max="7690" width="12.140625" style="22" customWidth="1"/>
    <col min="7691" max="7691" width="20.28515625" style="22" customWidth="1"/>
    <col min="7692" max="7693" width="19.85546875" style="22" customWidth="1"/>
    <col min="7694" max="7694" width="0" style="22" hidden="1" customWidth="1"/>
    <col min="7695" max="7695" width="13.7109375" style="22" customWidth="1"/>
    <col min="7696" max="7698" width="0" style="22" hidden="1" customWidth="1"/>
    <col min="7699" max="7700" width="11.28515625" style="22" customWidth="1"/>
    <col min="7701" max="7927" width="11.28515625" style="22"/>
    <col min="7928" max="7928" width="5.42578125" style="22" customWidth="1"/>
    <col min="7929" max="7929" width="54.28515625" style="22" customWidth="1"/>
    <col min="7930" max="7930" width="14.7109375" style="22" customWidth="1"/>
    <col min="7931" max="7931" width="11.42578125" style="22" customWidth="1"/>
    <col min="7932" max="7932" width="12.140625" style="22" customWidth="1"/>
    <col min="7933" max="7933" width="11.42578125" style="22" customWidth="1"/>
    <col min="7934" max="7934" width="12.85546875" style="22" customWidth="1"/>
    <col min="7935" max="7935" width="12" style="22" customWidth="1"/>
    <col min="7936" max="7942" width="11.28515625" style="22" customWidth="1"/>
    <col min="7943" max="7943" width="12.7109375" style="22" customWidth="1"/>
    <col min="7944" max="7945" width="11.28515625" style="22" customWidth="1"/>
    <col min="7946" max="7946" width="12.140625" style="22" customWidth="1"/>
    <col min="7947" max="7947" width="20.28515625" style="22" customWidth="1"/>
    <col min="7948" max="7949" width="19.85546875" style="22" customWidth="1"/>
    <col min="7950" max="7950" width="0" style="22" hidden="1" customWidth="1"/>
    <col min="7951" max="7951" width="13.7109375" style="22" customWidth="1"/>
    <col min="7952" max="7954" width="0" style="22" hidden="1" customWidth="1"/>
    <col min="7955" max="7956" width="11.28515625" style="22" customWidth="1"/>
    <col min="7957" max="8183" width="11.28515625" style="22"/>
    <col min="8184" max="8184" width="5.42578125" style="22" customWidth="1"/>
    <col min="8185" max="8185" width="54.28515625" style="22" customWidth="1"/>
    <col min="8186" max="8186" width="14.7109375" style="22" customWidth="1"/>
    <col min="8187" max="8187" width="11.42578125" style="22" customWidth="1"/>
    <col min="8188" max="8188" width="12.140625" style="22" customWidth="1"/>
    <col min="8189" max="8189" width="11.42578125" style="22" customWidth="1"/>
    <col min="8190" max="8190" width="12.85546875" style="22" customWidth="1"/>
    <col min="8191" max="8191" width="12" style="22" customWidth="1"/>
    <col min="8192" max="8198" width="11.28515625" style="22" customWidth="1"/>
    <col min="8199" max="8199" width="12.7109375" style="22" customWidth="1"/>
    <col min="8200" max="8201" width="11.28515625" style="22" customWidth="1"/>
    <col min="8202" max="8202" width="12.140625" style="22" customWidth="1"/>
    <col min="8203" max="8203" width="20.28515625" style="22" customWidth="1"/>
    <col min="8204" max="8205" width="19.85546875" style="22" customWidth="1"/>
    <col min="8206" max="8206" width="0" style="22" hidden="1" customWidth="1"/>
    <col min="8207" max="8207" width="13.7109375" style="22" customWidth="1"/>
    <col min="8208" max="8210" width="0" style="22" hidden="1" customWidth="1"/>
    <col min="8211" max="8212" width="11.28515625" style="22" customWidth="1"/>
    <col min="8213" max="8439" width="11.28515625" style="22"/>
    <col min="8440" max="8440" width="5.42578125" style="22" customWidth="1"/>
    <col min="8441" max="8441" width="54.28515625" style="22" customWidth="1"/>
    <col min="8442" max="8442" width="14.7109375" style="22" customWidth="1"/>
    <col min="8443" max="8443" width="11.42578125" style="22" customWidth="1"/>
    <col min="8444" max="8444" width="12.140625" style="22" customWidth="1"/>
    <col min="8445" max="8445" width="11.42578125" style="22" customWidth="1"/>
    <col min="8446" max="8446" width="12.85546875" style="22" customWidth="1"/>
    <col min="8447" max="8447" width="12" style="22" customWidth="1"/>
    <col min="8448" max="8454" width="11.28515625" style="22" customWidth="1"/>
    <col min="8455" max="8455" width="12.7109375" style="22" customWidth="1"/>
    <col min="8456" max="8457" width="11.28515625" style="22" customWidth="1"/>
    <col min="8458" max="8458" width="12.140625" style="22" customWidth="1"/>
    <col min="8459" max="8459" width="20.28515625" style="22" customWidth="1"/>
    <col min="8460" max="8461" width="19.85546875" style="22" customWidth="1"/>
    <col min="8462" max="8462" width="0" style="22" hidden="1" customWidth="1"/>
    <col min="8463" max="8463" width="13.7109375" style="22" customWidth="1"/>
    <col min="8464" max="8466" width="0" style="22" hidden="1" customWidth="1"/>
    <col min="8467" max="8468" width="11.28515625" style="22" customWidth="1"/>
    <col min="8469" max="8695" width="11.28515625" style="22"/>
    <col min="8696" max="8696" width="5.42578125" style="22" customWidth="1"/>
    <col min="8697" max="8697" width="54.28515625" style="22" customWidth="1"/>
    <col min="8698" max="8698" width="14.7109375" style="22" customWidth="1"/>
    <col min="8699" max="8699" width="11.42578125" style="22" customWidth="1"/>
    <col min="8700" max="8700" width="12.140625" style="22" customWidth="1"/>
    <col min="8701" max="8701" width="11.42578125" style="22" customWidth="1"/>
    <col min="8702" max="8702" width="12.85546875" style="22" customWidth="1"/>
    <col min="8703" max="8703" width="12" style="22" customWidth="1"/>
    <col min="8704" max="8710" width="11.28515625" style="22" customWidth="1"/>
    <col min="8711" max="8711" width="12.7109375" style="22" customWidth="1"/>
    <col min="8712" max="8713" width="11.28515625" style="22" customWidth="1"/>
    <col min="8714" max="8714" width="12.140625" style="22" customWidth="1"/>
    <col min="8715" max="8715" width="20.28515625" style="22" customWidth="1"/>
    <col min="8716" max="8717" width="19.85546875" style="22" customWidth="1"/>
    <col min="8718" max="8718" width="0" style="22" hidden="1" customWidth="1"/>
    <col min="8719" max="8719" width="13.7109375" style="22" customWidth="1"/>
    <col min="8720" max="8722" width="0" style="22" hidden="1" customWidth="1"/>
    <col min="8723" max="8724" width="11.28515625" style="22" customWidth="1"/>
    <col min="8725" max="8951" width="11.28515625" style="22"/>
    <col min="8952" max="8952" width="5.42578125" style="22" customWidth="1"/>
    <col min="8953" max="8953" width="54.28515625" style="22" customWidth="1"/>
    <col min="8954" max="8954" width="14.7109375" style="22" customWidth="1"/>
    <col min="8955" max="8955" width="11.42578125" style="22" customWidth="1"/>
    <col min="8956" max="8956" width="12.140625" style="22" customWidth="1"/>
    <col min="8957" max="8957" width="11.42578125" style="22" customWidth="1"/>
    <col min="8958" max="8958" width="12.85546875" style="22" customWidth="1"/>
    <col min="8959" max="8959" width="12" style="22" customWidth="1"/>
    <col min="8960" max="8966" width="11.28515625" style="22" customWidth="1"/>
    <col min="8967" max="8967" width="12.7109375" style="22" customWidth="1"/>
    <col min="8968" max="8969" width="11.28515625" style="22" customWidth="1"/>
    <col min="8970" max="8970" width="12.140625" style="22" customWidth="1"/>
    <col min="8971" max="8971" width="20.28515625" style="22" customWidth="1"/>
    <col min="8972" max="8973" width="19.85546875" style="22" customWidth="1"/>
    <col min="8974" max="8974" width="0" style="22" hidden="1" customWidth="1"/>
    <col min="8975" max="8975" width="13.7109375" style="22" customWidth="1"/>
    <col min="8976" max="8978" width="0" style="22" hidden="1" customWidth="1"/>
    <col min="8979" max="8980" width="11.28515625" style="22" customWidth="1"/>
    <col min="8981" max="9207" width="11.28515625" style="22"/>
    <col min="9208" max="9208" width="5.42578125" style="22" customWidth="1"/>
    <col min="9209" max="9209" width="54.28515625" style="22" customWidth="1"/>
    <col min="9210" max="9210" width="14.7109375" style="22" customWidth="1"/>
    <col min="9211" max="9211" width="11.42578125" style="22" customWidth="1"/>
    <col min="9212" max="9212" width="12.140625" style="22" customWidth="1"/>
    <col min="9213" max="9213" width="11.42578125" style="22" customWidth="1"/>
    <col min="9214" max="9214" width="12.85546875" style="22" customWidth="1"/>
    <col min="9215" max="9215" width="12" style="22" customWidth="1"/>
    <col min="9216" max="9222" width="11.28515625" style="22" customWidth="1"/>
    <col min="9223" max="9223" width="12.7109375" style="22" customWidth="1"/>
    <col min="9224" max="9225" width="11.28515625" style="22" customWidth="1"/>
    <col min="9226" max="9226" width="12.140625" style="22" customWidth="1"/>
    <col min="9227" max="9227" width="20.28515625" style="22" customWidth="1"/>
    <col min="9228" max="9229" width="19.85546875" style="22" customWidth="1"/>
    <col min="9230" max="9230" width="0" style="22" hidden="1" customWidth="1"/>
    <col min="9231" max="9231" width="13.7109375" style="22" customWidth="1"/>
    <col min="9232" max="9234" width="0" style="22" hidden="1" customWidth="1"/>
    <col min="9235" max="9236" width="11.28515625" style="22" customWidth="1"/>
    <col min="9237" max="9463" width="11.28515625" style="22"/>
    <col min="9464" max="9464" width="5.42578125" style="22" customWidth="1"/>
    <col min="9465" max="9465" width="54.28515625" style="22" customWidth="1"/>
    <col min="9466" max="9466" width="14.7109375" style="22" customWidth="1"/>
    <col min="9467" max="9467" width="11.42578125" style="22" customWidth="1"/>
    <col min="9468" max="9468" width="12.140625" style="22" customWidth="1"/>
    <col min="9469" max="9469" width="11.42578125" style="22" customWidth="1"/>
    <col min="9470" max="9470" width="12.85546875" style="22" customWidth="1"/>
    <col min="9471" max="9471" width="12" style="22" customWidth="1"/>
    <col min="9472" max="9478" width="11.28515625" style="22" customWidth="1"/>
    <col min="9479" max="9479" width="12.7109375" style="22" customWidth="1"/>
    <col min="9480" max="9481" width="11.28515625" style="22" customWidth="1"/>
    <col min="9482" max="9482" width="12.140625" style="22" customWidth="1"/>
    <col min="9483" max="9483" width="20.28515625" style="22" customWidth="1"/>
    <col min="9484" max="9485" width="19.85546875" style="22" customWidth="1"/>
    <col min="9486" max="9486" width="0" style="22" hidden="1" customWidth="1"/>
    <col min="9487" max="9487" width="13.7109375" style="22" customWidth="1"/>
    <col min="9488" max="9490" width="0" style="22" hidden="1" customWidth="1"/>
    <col min="9491" max="9492" width="11.28515625" style="22" customWidth="1"/>
    <col min="9493" max="9719" width="11.28515625" style="22"/>
    <col min="9720" max="9720" width="5.42578125" style="22" customWidth="1"/>
    <col min="9721" max="9721" width="54.28515625" style="22" customWidth="1"/>
    <col min="9722" max="9722" width="14.7109375" style="22" customWidth="1"/>
    <col min="9723" max="9723" width="11.42578125" style="22" customWidth="1"/>
    <col min="9724" max="9724" width="12.140625" style="22" customWidth="1"/>
    <col min="9725" max="9725" width="11.42578125" style="22" customWidth="1"/>
    <col min="9726" max="9726" width="12.85546875" style="22" customWidth="1"/>
    <col min="9727" max="9727" width="12" style="22" customWidth="1"/>
    <col min="9728" max="9734" width="11.28515625" style="22" customWidth="1"/>
    <col min="9735" max="9735" width="12.7109375" style="22" customWidth="1"/>
    <col min="9736" max="9737" width="11.28515625" style="22" customWidth="1"/>
    <col min="9738" max="9738" width="12.140625" style="22" customWidth="1"/>
    <col min="9739" max="9739" width="20.28515625" style="22" customWidth="1"/>
    <col min="9740" max="9741" width="19.85546875" style="22" customWidth="1"/>
    <col min="9742" max="9742" width="0" style="22" hidden="1" customWidth="1"/>
    <col min="9743" max="9743" width="13.7109375" style="22" customWidth="1"/>
    <col min="9744" max="9746" width="0" style="22" hidden="1" customWidth="1"/>
    <col min="9747" max="9748" width="11.28515625" style="22" customWidth="1"/>
    <col min="9749" max="9975" width="11.28515625" style="22"/>
    <col min="9976" max="9976" width="5.42578125" style="22" customWidth="1"/>
    <col min="9977" max="9977" width="54.28515625" style="22" customWidth="1"/>
    <col min="9978" max="9978" width="14.7109375" style="22" customWidth="1"/>
    <col min="9979" max="9979" width="11.42578125" style="22" customWidth="1"/>
    <col min="9980" max="9980" width="12.140625" style="22" customWidth="1"/>
    <col min="9981" max="9981" width="11.42578125" style="22" customWidth="1"/>
    <col min="9982" max="9982" width="12.85546875" style="22" customWidth="1"/>
    <col min="9983" max="9983" width="12" style="22" customWidth="1"/>
    <col min="9984" max="9990" width="11.28515625" style="22" customWidth="1"/>
    <col min="9991" max="9991" width="12.7109375" style="22" customWidth="1"/>
    <col min="9992" max="9993" width="11.28515625" style="22" customWidth="1"/>
    <col min="9994" max="9994" width="12.140625" style="22" customWidth="1"/>
    <col min="9995" max="9995" width="20.28515625" style="22" customWidth="1"/>
    <col min="9996" max="9997" width="19.85546875" style="22" customWidth="1"/>
    <col min="9998" max="9998" width="0" style="22" hidden="1" customWidth="1"/>
    <col min="9999" max="9999" width="13.7109375" style="22" customWidth="1"/>
    <col min="10000" max="10002" width="0" style="22" hidden="1" customWidth="1"/>
    <col min="10003" max="10004" width="11.28515625" style="22" customWidth="1"/>
    <col min="10005" max="10231" width="11.28515625" style="22"/>
    <col min="10232" max="10232" width="5.42578125" style="22" customWidth="1"/>
    <col min="10233" max="10233" width="54.28515625" style="22" customWidth="1"/>
    <col min="10234" max="10234" width="14.7109375" style="22" customWidth="1"/>
    <col min="10235" max="10235" width="11.42578125" style="22" customWidth="1"/>
    <col min="10236" max="10236" width="12.140625" style="22" customWidth="1"/>
    <col min="10237" max="10237" width="11.42578125" style="22" customWidth="1"/>
    <col min="10238" max="10238" width="12.85546875" style="22" customWidth="1"/>
    <col min="10239" max="10239" width="12" style="22" customWidth="1"/>
    <col min="10240" max="10246" width="11.28515625" style="22" customWidth="1"/>
    <col min="10247" max="10247" width="12.7109375" style="22" customWidth="1"/>
    <col min="10248" max="10249" width="11.28515625" style="22" customWidth="1"/>
    <col min="10250" max="10250" width="12.140625" style="22" customWidth="1"/>
    <col min="10251" max="10251" width="20.28515625" style="22" customWidth="1"/>
    <col min="10252" max="10253" width="19.85546875" style="22" customWidth="1"/>
    <col min="10254" max="10254" width="0" style="22" hidden="1" customWidth="1"/>
    <col min="10255" max="10255" width="13.7109375" style="22" customWidth="1"/>
    <col min="10256" max="10258" width="0" style="22" hidden="1" customWidth="1"/>
    <col min="10259" max="10260" width="11.28515625" style="22" customWidth="1"/>
    <col min="10261" max="10487" width="11.28515625" style="22"/>
    <col min="10488" max="10488" width="5.42578125" style="22" customWidth="1"/>
    <col min="10489" max="10489" width="54.28515625" style="22" customWidth="1"/>
    <col min="10490" max="10490" width="14.7109375" style="22" customWidth="1"/>
    <col min="10491" max="10491" width="11.42578125" style="22" customWidth="1"/>
    <col min="10492" max="10492" width="12.140625" style="22" customWidth="1"/>
    <col min="10493" max="10493" width="11.42578125" style="22" customWidth="1"/>
    <col min="10494" max="10494" width="12.85546875" style="22" customWidth="1"/>
    <col min="10495" max="10495" width="12" style="22" customWidth="1"/>
    <col min="10496" max="10502" width="11.28515625" style="22" customWidth="1"/>
    <col min="10503" max="10503" width="12.7109375" style="22" customWidth="1"/>
    <col min="10504" max="10505" width="11.28515625" style="22" customWidth="1"/>
    <col min="10506" max="10506" width="12.140625" style="22" customWidth="1"/>
    <col min="10507" max="10507" width="20.28515625" style="22" customWidth="1"/>
    <col min="10508" max="10509" width="19.85546875" style="22" customWidth="1"/>
    <col min="10510" max="10510" width="0" style="22" hidden="1" customWidth="1"/>
    <col min="10511" max="10511" width="13.7109375" style="22" customWidth="1"/>
    <col min="10512" max="10514" width="0" style="22" hidden="1" customWidth="1"/>
    <col min="10515" max="10516" width="11.28515625" style="22" customWidth="1"/>
    <col min="10517" max="10743" width="11.28515625" style="22"/>
    <col min="10744" max="10744" width="5.42578125" style="22" customWidth="1"/>
    <col min="10745" max="10745" width="54.28515625" style="22" customWidth="1"/>
    <col min="10746" max="10746" width="14.7109375" style="22" customWidth="1"/>
    <col min="10747" max="10747" width="11.42578125" style="22" customWidth="1"/>
    <col min="10748" max="10748" width="12.140625" style="22" customWidth="1"/>
    <col min="10749" max="10749" width="11.42578125" style="22" customWidth="1"/>
    <col min="10750" max="10750" width="12.85546875" style="22" customWidth="1"/>
    <col min="10751" max="10751" width="12" style="22" customWidth="1"/>
    <col min="10752" max="10758" width="11.28515625" style="22" customWidth="1"/>
    <col min="10759" max="10759" width="12.7109375" style="22" customWidth="1"/>
    <col min="10760" max="10761" width="11.28515625" style="22" customWidth="1"/>
    <col min="10762" max="10762" width="12.140625" style="22" customWidth="1"/>
    <col min="10763" max="10763" width="20.28515625" style="22" customWidth="1"/>
    <col min="10764" max="10765" width="19.85546875" style="22" customWidth="1"/>
    <col min="10766" max="10766" width="0" style="22" hidden="1" customWidth="1"/>
    <col min="10767" max="10767" width="13.7109375" style="22" customWidth="1"/>
    <col min="10768" max="10770" width="0" style="22" hidden="1" customWidth="1"/>
    <col min="10771" max="10772" width="11.28515625" style="22" customWidth="1"/>
    <col min="10773" max="10999" width="11.28515625" style="22"/>
    <col min="11000" max="11000" width="5.42578125" style="22" customWidth="1"/>
    <col min="11001" max="11001" width="54.28515625" style="22" customWidth="1"/>
    <col min="11002" max="11002" width="14.7109375" style="22" customWidth="1"/>
    <col min="11003" max="11003" width="11.42578125" style="22" customWidth="1"/>
    <col min="11004" max="11004" width="12.140625" style="22" customWidth="1"/>
    <col min="11005" max="11005" width="11.42578125" style="22" customWidth="1"/>
    <col min="11006" max="11006" width="12.85546875" style="22" customWidth="1"/>
    <col min="11007" max="11007" width="12" style="22" customWidth="1"/>
    <col min="11008" max="11014" width="11.28515625" style="22" customWidth="1"/>
    <col min="11015" max="11015" width="12.7109375" style="22" customWidth="1"/>
    <col min="11016" max="11017" width="11.28515625" style="22" customWidth="1"/>
    <col min="11018" max="11018" width="12.140625" style="22" customWidth="1"/>
    <col min="11019" max="11019" width="20.28515625" style="22" customWidth="1"/>
    <col min="11020" max="11021" width="19.85546875" style="22" customWidth="1"/>
    <col min="11022" max="11022" width="0" style="22" hidden="1" customWidth="1"/>
    <col min="11023" max="11023" width="13.7109375" style="22" customWidth="1"/>
    <col min="11024" max="11026" width="0" style="22" hidden="1" customWidth="1"/>
    <col min="11027" max="11028" width="11.28515625" style="22" customWidth="1"/>
    <col min="11029" max="11255" width="11.28515625" style="22"/>
    <col min="11256" max="11256" width="5.42578125" style="22" customWidth="1"/>
    <col min="11257" max="11257" width="54.28515625" style="22" customWidth="1"/>
    <col min="11258" max="11258" width="14.7109375" style="22" customWidth="1"/>
    <col min="11259" max="11259" width="11.42578125" style="22" customWidth="1"/>
    <col min="11260" max="11260" width="12.140625" style="22" customWidth="1"/>
    <col min="11261" max="11261" width="11.42578125" style="22" customWidth="1"/>
    <col min="11262" max="11262" width="12.85546875" style="22" customWidth="1"/>
    <col min="11263" max="11263" width="12" style="22" customWidth="1"/>
    <col min="11264" max="11270" width="11.28515625" style="22" customWidth="1"/>
    <col min="11271" max="11271" width="12.7109375" style="22" customWidth="1"/>
    <col min="11272" max="11273" width="11.28515625" style="22" customWidth="1"/>
    <col min="11274" max="11274" width="12.140625" style="22" customWidth="1"/>
    <col min="11275" max="11275" width="20.28515625" style="22" customWidth="1"/>
    <col min="11276" max="11277" width="19.85546875" style="22" customWidth="1"/>
    <col min="11278" max="11278" width="0" style="22" hidden="1" customWidth="1"/>
    <col min="11279" max="11279" width="13.7109375" style="22" customWidth="1"/>
    <col min="11280" max="11282" width="0" style="22" hidden="1" customWidth="1"/>
    <col min="11283" max="11284" width="11.28515625" style="22" customWidth="1"/>
    <col min="11285" max="11511" width="11.28515625" style="22"/>
    <col min="11512" max="11512" width="5.42578125" style="22" customWidth="1"/>
    <col min="11513" max="11513" width="54.28515625" style="22" customWidth="1"/>
    <col min="11514" max="11514" width="14.7109375" style="22" customWidth="1"/>
    <col min="11515" max="11515" width="11.42578125" style="22" customWidth="1"/>
    <col min="11516" max="11516" width="12.140625" style="22" customWidth="1"/>
    <col min="11517" max="11517" width="11.42578125" style="22" customWidth="1"/>
    <col min="11518" max="11518" width="12.85546875" style="22" customWidth="1"/>
    <col min="11519" max="11519" width="12" style="22" customWidth="1"/>
    <col min="11520" max="11526" width="11.28515625" style="22" customWidth="1"/>
    <col min="11527" max="11527" width="12.7109375" style="22" customWidth="1"/>
    <col min="11528" max="11529" width="11.28515625" style="22" customWidth="1"/>
    <col min="11530" max="11530" width="12.140625" style="22" customWidth="1"/>
    <col min="11531" max="11531" width="20.28515625" style="22" customWidth="1"/>
    <col min="11532" max="11533" width="19.85546875" style="22" customWidth="1"/>
    <col min="11534" max="11534" width="0" style="22" hidden="1" customWidth="1"/>
    <col min="11535" max="11535" width="13.7109375" style="22" customWidth="1"/>
    <col min="11536" max="11538" width="0" style="22" hidden="1" customWidth="1"/>
    <col min="11539" max="11540" width="11.28515625" style="22" customWidth="1"/>
    <col min="11541" max="11767" width="11.28515625" style="22"/>
    <col min="11768" max="11768" width="5.42578125" style="22" customWidth="1"/>
    <col min="11769" max="11769" width="54.28515625" style="22" customWidth="1"/>
    <col min="11770" max="11770" width="14.7109375" style="22" customWidth="1"/>
    <col min="11771" max="11771" width="11.42578125" style="22" customWidth="1"/>
    <col min="11772" max="11772" width="12.140625" style="22" customWidth="1"/>
    <col min="11773" max="11773" width="11.42578125" style="22" customWidth="1"/>
    <col min="11774" max="11774" width="12.85546875" style="22" customWidth="1"/>
    <col min="11775" max="11775" width="12" style="22" customWidth="1"/>
    <col min="11776" max="11782" width="11.28515625" style="22" customWidth="1"/>
    <col min="11783" max="11783" width="12.7109375" style="22" customWidth="1"/>
    <col min="11784" max="11785" width="11.28515625" style="22" customWidth="1"/>
    <col min="11786" max="11786" width="12.140625" style="22" customWidth="1"/>
    <col min="11787" max="11787" width="20.28515625" style="22" customWidth="1"/>
    <col min="11788" max="11789" width="19.85546875" style="22" customWidth="1"/>
    <col min="11790" max="11790" width="0" style="22" hidden="1" customWidth="1"/>
    <col min="11791" max="11791" width="13.7109375" style="22" customWidth="1"/>
    <col min="11792" max="11794" width="0" style="22" hidden="1" customWidth="1"/>
    <col min="11795" max="11796" width="11.28515625" style="22" customWidth="1"/>
    <col min="11797" max="12023" width="11.28515625" style="22"/>
    <col min="12024" max="12024" width="5.42578125" style="22" customWidth="1"/>
    <col min="12025" max="12025" width="54.28515625" style="22" customWidth="1"/>
    <col min="12026" max="12026" width="14.7109375" style="22" customWidth="1"/>
    <col min="12027" max="12027" width="11.42578125" style="22" customWidth="1"/>
    <col min="12028" max="12028" width="12.140625" style="22" customWidth="1"/>
    <col min="12029" max="12029" width="11.42578125" style="22" customWidth="1"/>
    <col min="12030" max="12030" width="12.85546875" style="22" customWidth="1"/>
    <col min="12031" max="12031" width="12" style="22" customWidth="1"/>
    <col min="12032" max="12038" width="11.28515625" style="22" customWidth="1"/>
    <col min="12039" max="12039" width="12.7109375" style="22" customWidth="1"/>
    <col min="12040" max="12041" width="11.28515625" style="22" customWidth="1"/>
    <col min="12042" max="12042" width="12.140625" style="22" customWidth="1"/>
    <col min="12043" max="12043" width="20.28515625" style="22" customWidth="1"/>
    <col min="12044" max="12045" width="19.85546875" style="22" customWidth="1"/>
    <col min="12046" max="12046" width="0" style="22" hidden="1" customWidth="1"/>
    <col min="12047" max="12047" width="13.7109375" style="22" customWidth="1"/>
    <col min="12048" max="12050" width="0" style="22" hidden="1" customWidth="1"/>
    <col min="12051" max="12052" width="11.28515625" style="22" customWidth="1"/>
    <col min="12053" max="12279" width="11.28515625" style="22"/>
    <col min="12280" max="12280" width="5.42578125" style="22" customWidth="1"/>
    <col min="12281" max="12281" width="54.28515625" style="22" customWidth="1"/>
    <col min="12282" max="12282" width="14.7109375" style="22" customWidth="1"/>
    <col min="12283" max="12283" width="11.42578125" style="22" customWidth="1"/>
    <col min="12284" max="12284" width="12.140625" style="22" customWidth="1"/>
    <col min="12285" max="12285" width="11.42578125" style="22" customWidth="1"/>
    <col min="12286" max="12286" width="12.85546875" style="22" customWidth="1"/>
    <col min="12287" max="12287" width="12" style="22" customWidth="1"/>
    <col min="12288" max="12294" width="11.28515625" style="22" customWidth="1"/>
    <col min="12295" max="12295" width="12.7109375" style="22" customWidth="1"/>
    <col min="12296" max="12297" width="11.28515625" style="22" customWidth="1"/>
    <col min="12298" max="12298" width="12.140625" style="22" customWidth="1"/>
    <col min="12299" max="12299" width="20.28515625" style="22" customWidth="1"/>
    <col min="12300" max="12301" width="19.85546875" style="22" customWidth="1"/>
    <col min="12302" max="12302" width="0" style="22" hidden="1" customWidth="1"/>
    <col min="12303" max="12303" width="13.7109375" style="22" customWidth="1"/>
    <col min="12304" max="12306" width="0" style="22" hidden="1" customWidth="1"/>
    <col min="12307" max="12308" width="11.28515625" style="22" customWidth="1"/>
    <col min="12309" max="12535" width="11.28515625" style="22"/>
    <col min="12536" max="12536" width="5.42578125" style="22" customWidth="1"/>
    <col min="12537" max="12537" width="54.28515625" style="22" customWidth="1"/>
    <col min="12538" max="12538" width="14.7109375" style="22" customWidth="1"/>
    <col min="12539" max="12539" width="11.42578125" style="22" customWidth="1"/>
    <col min="12540" max="12540" width="12.140625" style="22" customWidth="1"/>
    <col min="12541" max="12541" width="11.42578125" style="22" customWidth="1"/>
    <col min="12542" max="12542" width="12.85546875" style="22" customWidth="1"/>
    <col min="12543" max="12543" width="12" style="22" customWidth="1"/>
    <col min="12544" max="12550" width="11.28515625" style="22" customWidth="1"/>
    <col min="12551" max="12551" width="12.7109375" style="22" customWidth="1"/>
    <col min="12552" max="12553" width="11.28515625" style="22" customWidth="1"/>
    <col min="12554" max="12554" width="12.140625" style="22" customWidth="1"/>
    <col min="12555" max="12555" width="20.28515625" style="22" customWidth="1"/>
    <col min="12556" max="12557" width="19.85546875" style="22" customWidth="1"/>
    <col min="12558" max="12558" width="0" style="22" hidden="1" customWidth="1"/>
    <col min="12559" max="12559" width="13.7109375" style="22" customWidth="1"/>
    <col min="12560" max="12562" width="0" style="22" hidden="1" customWidth="1"/>
    <col min="12563" max="12564" width="11.28515625" style="22" customWidth="1"/>
    <col min="12565" max="12791" width="11.28515625" style="22"/>
    <col min="12792" max="12792" width="5.42578125" style="22" customWidth="1"/>
    <col min="12793" max="12793" width="54.28515625" style="22" customWidth="1"/>
    <col min="12794" max="12794" width="14.7109375" style="22" customWidth="1"/>
    <col min="12795" max="12795" width="11.42578125" style="22" customWidth="1"/>
    <col min="12796" max="12796" width="12.140625" style="22" customWidth="1"/>
    <col min="12797" max="12797" width="11.42578125" style="22" customWidth="1"/>
    <col min="12798" max="12798" width="12.85546875" style="22" customWidth="1"/>
    <col min="12799" max="12799" width="12" style="22" customWidth="1"/>
    <col min="12800" max="12806" width="11.28515625" style="22" customWidth="1"/>
    <col min="12807" max="12807" width="12.7109375" style="22" customWidth="1"/>
    <col min="12808" max="12809" width="11.28515625" style="22" customWidth="1"/>
    <col min="12810" max="12810" width="12.140625" style="22" customWidth="1"/>
    <col min="12811" max="12811" width="20.28515625" style="22" customWidth="1"/>
    <col min="12812" max="12813" width="19.85546875" style="22" customWidth="1"/>
    <col min="12814" max="12814" width="0" style="22" hidden="1" customWidth="1"/>
    <col min="12815" max="12815" width="13.7109375" style="22" customWidth="1"/>
    <col min="12816" max="12818" width="0" style="22" hidden="1" customWidth="1"/>
    <col min="12819" max="12820" width="11.28515625" style="22" customWidth="1"/>
    <col min="12821" max="13047" width="11.28515625" style="22"/>
    <col min="13048" max="13048" width="5.42578125" style="22" customWidth="1"/>
    <col min="13049" max="13049" width="54.28515625" style="22" customWidth="1"/>
    <col min="13050" max="13050" width="14.7109375" style="22" customWidth="1"/>
    <col min="13051" max="13051" width="11.42578125" style="22" customWidth="1"/>
    <col min="13052" max="13052" width="12.140625" style="22" customWidth="1"/>
    <col min="13053" max="13053" width="11.42578125" style="22" customWidth="1"/>
    <col min="13054" max="13054" width="12.85546875" style="22" customWidth="1"/>
    <col min="13055" max="13055" width="12" style="22" customWidth="1"/>
    <col min="13056" max="13062" width="11.28515625" style="22" customWidth="1"/>
    <col min="13063" max="13063" width="12.7109375" style="22" customWidth="1"/>
    <col min="13064" max="13065" width="11.28515625" style="22" customWidth="1"/>
    <col min="13066" max="13066" width="12.140625" style="22" customWidth="1"/>
    <col min="13067" max="13067" width="20.28515625" style="22" customWidth="1"/>
    <col min="13068" max="13069" width="19.85546875" style="22" customWidth="1"/>
    <col min="13070" max="13070" width="0" style="22" hidden="1" customWidth="1"/>
    <col min="13071" max="13071" width="13.7109375" style="22" customWidth="1"/>
    <col min="13072" max="13074" width="0" style="22" hidden="1" customWidth="1"/>
    <col min="13075" max="13076" width="11.28515625" style="22" customWidth="1"/>
    <col min="13077" max="13303" width="11.28515625" style="22"/>
    <col min="13304" max="13304" width="5.42578125" style="22" customWidth="1"/>
    <col min="13305" max="13305" width="54.28515625" style="22" customWidth="1"/>
    <col min="13306" max="13306" width="14.7109375" style="22" customWidth="1"/>
    <col min="13307" max="13307" width="11.42578125" style="22" customWidth="1"/>
    <col min="13308" max="13308" width="12.140625" style="22" customWidth="1"/>
    <col min="13309" max="13309" width="11.42578125" style="22" customWidth="1"/>
    <col min="13310" max="13310" width="12.85546875" style="22" customWidth="1"/>
    <col min="13311" max="13311" width="12" style="22" customWidth="1"/>
    <col min="13312" max="13318" width="11.28515625" style="22" customWidth="1"/>
    <col min="13319" max="13319" width="12.7109375" style="22" customWidth="1"/>
    <col min="13320" max="13321" width="11.28515625" style="22" customWidth="1"/>
    <col min="13322" max="13322" width="12.140625" style="22" customWidth="1"/>
    <col min="13323" max="13323" width="20.28515625" style="22" customWidth="1"/>
    <col min="13324" max="13325" width="19.85546875" style="22" customWidth="1"/>
    <col min="13326" max="13326" width="0" style="22" hidden="1" customWidth="1"/>
    <col min="13327" max="13327" width="13.7109375" style="22" customWidth="1"/>
    <col min="13328" max="13330" width="0" style="22" hidden="1" customWidth="1"/>
    <col min="13331" max="13332" width="11.28515625" style="22" customWidth="1"/>
    <col min="13333" max="13559" width="11.28515625" style="22"/>
    <col min="13560" max="13560" width="5.42578125" style="22" customWidth="1"/>
    <col min="13561" max="13561" width="54.28515625" style="22" customWidth="1"/>
    <col min="13562" max="13562" width="14.7109375" style="22" customWidth="1"/>
    <col min="13563" max="13563" width="11.42578125" style="22" customWidth="1"/>
    <col min="13564" max="13564" width="12.140625" style="22" customWidth="1"/>
    <col min="13565" max="13565" width="11.42578125" style="22" customWidth="1"/>
    <col min="13566" max="13566" width="12.85546875" style="22" customWidth="1"/>
    <col min="13567" max="13567" width="12" style="22" customWidth="1"/>
    <col min="13568" max="13574" width="11.28515625" style="22" customWidth="1"/>
    <col min="13575" max="13575" width="12.7109375" style="22" customWidth="1"/>
    <col min="13576" max="13577" width="11.28515625" style="22" customWidth="1"/>
    <col min="13578" max="13578" width="12.140625" style="22" customWidth="1"/>
    <col min="13579" max="13579" width="20.28515625" style="22" customWidth="1"/>
    <col min="13580" max="13581" width="19.85546875" style="22" customWidth="1"/>
    <col min="13582" max="13582" width="0" style="22" hidden="1" customWidth="1"/>
    <col min="13583" max="13583" width="13.7109375" style="22" customWidth="1"/>
    <col min="13584" max="13586" width="0" style="22" hidden="1" customWidth="1"/>
    <col min="13587" max="13588" width="11.28515625" style="22" customWidth="1"/>
    <col min="13589" max="13815" width="11.28515625" style="22"/>
    <col min="13816" max="13816" width="5.42578125" style="22" customWidth="1"/>
    <col min="13817" max="13817" width="54.28515625" style="22" customWidth="1"/>
    <col min="13818" max="13818" width="14.7109375" style="22" customWidth="1"/>
    <col min="13819" max="13819" width="11.42578125" style="22" customWidth="1"/>
    <col min="13820" max="13820" width="12.140625" style="22" customWidth="1"/>
    <col min="13821" max="13821" width="11.42578125" style="22" customWidth="1"/>
    <col min="13822" max="13822" width="12.85546875" style="22" customWidth="1"/>
    <col min="13823" max="13823" width="12" style="22" customWidth="1"/>
    <col min="13824" max="13830" width="11.28515625" style="22" customWidth="1"/>
    <col min="13831" max="13831" width="12.7109375" style="22" customWidth="1"/>
    <col min="13832" max="13833" width="11.28515625" style="22" customWidth="1"/>
    <col min="13834" max="13834" width="12.140625" style="22" customWidth="1"/>
    <col min="13835" max="13835" width="20.28515625" style="22" customWidth="1"/>
    <col min="13836" max="13837" width="19.85546875" style="22" customWidth="1"/>
    <col min="13838" max="13838" width="0" style="22" hidden="1" customWidth="1"/>
    <col min="13839" max="13839" width="13.7109375" style="22" customWidth="1"/>
    <col min="13840" max="13842" width="0" style="22" hidden="1" customWidth="1"/>
    <col min="13843" max="13844" width="11.28515625" style="22" customWidth="1"/>
    <col min="13845" max="14071" width="11.28515625" style="22"/>
    <col min="14072" max="14072" width="5.42578125" style="22" customWidth="1"/>
    <col min="14073" max="14073" width="54.28515625" style="22" customWidth="1"/>
    <col min="14074" max="14074" width="14.7109375" style="22" customWidth="1"/>
    <col min="14075" max="14075" width="11.42578125" style="22" customWidth="1"/>
    <col min="14076" max="14076" width="12.140625" style="22" customWidth="1"/>
    <col min="14077" max="14077" width="11.42578125" style="22" customWidth="1"/>
    <col min="14078" max="14078" width="12.85546875" style="22" customWidth="1"/>
    <col min="14079" max="14079" width="12" style="22" customWidth="1"/>
    <col min="14080" max="14086" width="11.28515625" style="22" customWidth="1"/>
    <col min="14087" max="14087" width="12.7109375" style="22" customWidth="1"/>
    <col min="14088" max="14089" width="11.28515625" style="22" customWidth="1"/>
    <col min="14090" max="14090" width="12.140625" style="22" customWidth="1"/>
    <col min="14091" max="14091" width="20.28515625" style="22" customWidth="1"/>
    <col min="14092" max="14093" width="19.85546875" style="22" customWidth="1"/>
    <col min="14094" max="14094" width="0" style="22" hidden="1" customWidth="1"/>
    <col min="14095" max="14095" width="13.7109375" style="22" customWidth="1"/>
    <col min="14096" max="14098" width="0" style="22" hidden="1" customWidth="1"/>
    <col min="14099" max="14100" width="11.28515625" style="22" customWidth="1"/>
    <col min="14101" max="14327" width="11.28515625" style="22"/>
    <col min="14328" max="14328" width="5.42578125" style="22" customWidth="1"/>
    <col min="14329" max="14329" width="54.28515625" style="22" customWidth="1"/>
    <col min="14330" max="14330" width="14.7109375" style="22" customWidth="1"/>
    <col min="14331" max="14331" width="11.42578125" style="22" customWidth="1"/>
    <col min="14332" max="14332" width="12.140625" style="22" customWidth="1"/>
    <col min="14333" max="14333" width="11.42578125" style="22" customWidth="1"/>
    <col min="14334" max="14334" width="12.85546875" style="22" customWidth="1"/>
    <col min="14335" max="14335" width="12" style="22" customWidth="1"/>
    <col min="14336" max="14342" width="11.28515625" style="22" customWidth="1"/>
    <col min="14343" max="14343" width="12.7109375" style="22" customWidth="1"/>
    <col min="14344" max="14345" width="11.28515625" style="22" customWidth="1"/>
    <col min="14346" max="14346" width="12.140625" style="22" customWidth="1"/>
    <col min="14347" max="14347" width="20.28515625" style="22" customWidth="1"/>
    <col min="14348" max="14349" width="19.85546875" style="22" customWidth="1"/>
    <col min="14350" max="14350" width="0" style="22" hidden="1" customWidth="1"/>
    <col min="14351" max="14351" width="13.7109375" style="22" customWidth="1"/>
    <col min="14352" max="14354" width="0" style="22" hidden="1" customWidth="1"/>
    <col min="14355" max="14356" width="11.28515625" style="22" customWidth="1"/>
    <col min="14357" max="14583" width="11.28515625" style="22"/>
    <col min="14584" max="14584" width="5.42578125" style="22" customWidth="1"/>
    <col min="14585" max="14585" width="54.28515625" style="22" customWidth="1"/>
    <col min="14586" max="14586" width="14.7109375" style="22" customWidth="1"/>
    <col min="14587" max="14587" width="11.42578125" style="22" customWidth="1"/>
    <col min="14588" max="14588" width="12.140625" style="22" customWidth="1"/>
    <col min="14589" max="14589" width="11.42578125" style="22" customWidth="1"/>
    <col min="14590" max="14590" width="12.85546875" style="22" customWidth="1"/>
    <col min="14591" max="14591" width="12" style="22" customWidth="1"/>
    <col min="14592" max="14598" width="11.28515625" style="22" customWidth="1"/>
    <col min="14599" max="14599" width="12.7109375" style="22" customWidth="1"/>
    <col min="14600" max="14601" width="11.28515625" style="22" customWidth="1"/>
    <col min="14602" max="14602" width="12.140625" style="22" customWidth="1"/>
    <col min="14603" max="14603" width="20.28515625" style="22" customWidth="1"/>
    <col min="14604" max="14605" width="19.85546875" style="22" customWidth="1"/>
    <col min="14606" max="14606" width="0" style="22" hidden="1" customWidth="1"/>
    <col min="14607" max="14607" width="13.7109375" style="22" customWidth="1"/>
    <col min="14608" max="14610" width="0" style="22" hidden="1" customWidth="1"/>
    <col min="14611" max="14612" width="11.28515625" style="22" customWidth="1"/>
    <col min="14613" max="14839" width="11.28515625" style="22"/>
    <col min="14840" max="14840" width="5.42578125" style="22" customWidth="1"/>
    <col min="14841" max="14841" width="54.28515625" style="22" customWidth="1"/>
    <col min="14842" max="14842" width="14.7109375" style="22" customWidth="1"/>
    <col min="14843" max="14843" width="11.42578125" style="22" customWidth="1"/>
    <col min="14844" max="14844" width="12.140625" style="22" customWidth="1"/>
    <col min="14845" max="14845" width="11.42578125" style="22" customWidth="1"/>
    <col min="14846" max="14846" width="12.85546875" style="22" customWidth="1"/>
    <col min="14847" max="14847" width="12" style="22" customWidth="1"/>
    <col min="14848" max="14854" width="11.28515625" style="22" customWidth="1"/>
    <col min="14855" max="14855" width="12.7109375" style="22" customWidth="1"/>
    <col min="14856" max="14857" width="11.28515625" style="22" customWidth="1"/>
    <col min="14858" max="14858" width="12.140625" style="22" customWidth="1"/>
    <col min="14859" max="14859" width="20.28515625" style="22" customWidth="1"/>
    <col min="14860" max="14861" width="19.85546875" style="22" customWidth="1"/>
    <col min="14862" max="14862" width="0" style="22" hidden="1" customWidth="1"/>
    <col min="14863" max="14863" width="13.7109375" style="22" customWidth="1"/>
    <col min="14864" max="14866" width="0" style="22" hidden="1" customWidth="1"/>
    <col min="14867" max="14868" width="11.28515625" style="22" customWidth="1"/>
    <col min="14869" max="15095" width="11.28515625" style="22"/>
    <col min="15096" max="15096" width="5.42578125" style="22" customWidth="1"/>
    <col min="15097" max="15097" width="54.28515625" style="22" customWidth="1"/>
    <col min="15098" max="15098" width="14.7109375" style="22" customWidth="1"/>
    <col min="15099" max="15099" width="11.42578125" style="22" customWidth="1"/>
    <col min="15100" max="15100" width="12.140625" style="22" customWidth="1"/>
    <col min="15101" max="15101" width="11.42578125" style="22" customWidth="1"/>
    <col min="15102" max="15102" width="12.85546875" style="22" customWidth="1"/>
    <col min="15103" max="15103" width="12" style="22" customWidth="1"/>
    <col min="15104" max="15110" width="11.28515625" style="22" customWidth="1"/>
    <col min="15111" max="15111" width="12.7109375" style="22" customWidth="1"/>
    <col min="15112" max="15113" width="11.28515625" style="22" customWidth="1"/>
    <col min="15114" max="15114" width="12.140625" style="22" customWidth="1"/>
    <col min="15115" max="15115" width="20.28515625" style="22" customWidth="1"/>
    <col min="15116" max="15117" width="19.85546875" style="22" customWidth="1"/>
    <col min="15118" max="15118" width="0" style="22" hidden="1" customWidth="1"/>
    <col min="15119" max="15119" width="13.7109375" style="22" customWidth="1"/>
    <col min="15120" max="15122" width="0" style="22" hidden="1" customWidth="1"/>
    <col min="15123" max="15124" width="11.28515625" style="22" customWidth="1"/>
    <col min="15125" max="15351" width="11.28515625" style="22"/>
    <col min="15352" max="15352" width="5.42578125" style="22" customWidth="1"/>
    <col min="15353" max="15353" width="54.28515625" style="22" customWidth="1"/>
    <col min="15354" max="15354" width="14.7109375" style="22" customWidth="1"/>
    <col min="15355" max="15355" width="11.42578125" style="22" customWidth="1"/>
    <col min="15356" max="15356" width="12.140625" style="22" customWidth="1"/>
    <col min="15357" max="15357" width="11.42578125" style="22" customWidth="1"/>
    <col min="15358" max="15358" width="12.85546875" style="22" customWidth="1"/>
    <col min="15359" max="15359" width="12" style="22" customWidth="1"/>
    <col min="15360" max="15366" width="11.28515625" style="22" customWidth="1"/>
    <col min="15367" max="15367" width="12.7109375" style="22" customWidth="1"/>
    <col min="15368" max="15369" width="11.28515625" style="22" customWidth="1"/>
    <col min="15370" max="15370" width="12.140625" style="22" customWidth="1"/>
    <col min="15371" max="15371" width="20.28515625" style="22" customWidth="1"/>
    <col min="15372" max="15373" width="19.85546875" style="22" customWidth="1"/>
    <col min="15374" max="15374" width="0" style="22" hidden="1" customWidth="1"/>
    <col min="15375" max="15375" width="13.7109375" style="22" customWidth="1"/>
    <col min="15376" max="15378" width="0" style="22" hidden="1" customWidth="1"/>
    <col min="15379" max="15380" width="11.28515625" style="22" customWidth="1"/>
    <col min="15381" max="15607" width="11.28515625" style="22"/>
    <col min="15608" max="15608" width="5.42578125" style="22" customWidth="1"/>
    <col min="15609" max="15609" width="54.28515625" style="22" customWidth="1"/>
    <col min="15610" max="15610" width="14.7109375" style="22" customWidth="1"/>
    <col min="15611" max="15611" width="11.42578125" style="22" customWidth="1"/>
    <col min="15612" max="15612" width="12.140625" style="22" customWidth="1"/>
    <col min="15613" max="15613" width="11.42578125" style="22" customWidth="1"/>
    <col min="15614" max="15614" width="12.85546875" style="22" customWidth="1"/>
    <col min="15615" max="15615" width="12" style="22" customWidth="1"/>
    <col min="15616" max="15622" width="11.28515625" style="22" customWidth="1"/>
    <col min="15623" max="15623" width="12.7109375" style="22" customWidth="1"/>
    <col min="15624" max="15625" width="11.28515625" style="22" customWidth="1"/>
    <col min="15626" max="15626" width="12.140625" style="22" customWidth="1"/>
    <col min="15627" max="15627" width="20.28515625" style="22" customWidth="1"/>
    <col min="15628" max="15629" width="19.85546875" style="22" customWidth="1"/>
    <col min="15630" max="15630" width="0" style="22" hidden="1" customWidth="1"/>
    <col min="15631" max="15631" width="13.7109375" style="22" customWidth="1"/>
    <col min="15632" max="15634" width="0" style="22" hidden="1" customWidth="1"/>
    <col min="15635" max="15636" width="11.28515625" style="22" customWidth="1"/>
    <col min="15637" max="15863" width="11.28515625" style="22"/>
    <col min="15864" max="15864" width="5.42578125" style="22" customWidth="1"/>
    <col min="15865" max="15865" width="54.28515625" style="22" customWidth="1"/>
    <col min="15866" max="15866" width="14.7109375" style="22" customWidth="1"/>
    <col min="15867" max="15867" width="11.42578125" style="22" customWidth="1"/>
    <col min="15868" max="15868" width="12.140625" style="22" customWidth="1"/>
    <col min="15869" max="15869" width="11.42578125" style="22" customWidth="1"/>
    <col min="15870" max="15870" width="12.85546875" style="22" customWidth="1"/>
    <col min="15871" max="15871" width="12" style="22" customWidth="1"/>
    <col min="15872" max="15878" width="11.28515625" style="22" customWidth="1"/>
    <col min="15879" max="15879" width="12.7109375" style="22" customWidth="1"/>
    <col min="15880" max="15881" width="11.28515625" style="22" customWidth="1"/>
    <col min="15882" max="15882" width="12.140625" style="22" customWidth="1"/>
    <col min="15883" max="15883" width="20.28515625" style="22" customWidth="1"/>
    <col min="15884" max="15885" width="19.85546875" style="22" customWidth="1"/>
    <col min="15886" max="15886" width="0" style="22" hidden="1" customWidth="1"/>
    <col min="15887" max="15887" width="13.7109375" style="22" customWidth="1"/>
    <col min="15888" max="15890" width="0" style="22" hidden="1" customWidth="1"/>
    <col min="15891" max="15892" width="11.28515625" style="22" customWidth="1"/>
    <col min="15893" max="16119" width="11.28515625" style="22"/>
    <col min="16120" max="16120" width="5.42578125" style="22" customWidth="1"/>
    <col min="16121" max="16121" width="54.28515625" style="22" customWidth="1"/>
    <col min="16122" max="16122" width="14.7109375" style="22" customWidth="1"/>
    <col min="16123" max="16123" width="11.42578125" style="22" customWidth="1"/>
    <col min="16124" max="16124" width="12.140625" style="22" customWidth="1"/>
    <col min="16125" max="16125" width="11.42578125" style="22" customWidth="1"/>
    <col min="16126" max="16126" width="12.85546875" style="22" customWidth="1"/>
    <col min="16127" max="16127" width="12" style="22" customWidth="1"/>
    <col min="16128" max="16134" width="11.28515625" style="22" customWidth="1"/>
    <col min="16135" max="16135" width="12.7109375" style="22" customWidth="1"/>
    <col min="16136" max="16137" width="11.28515625" style="22" customWidth="1"/>
    <col min="16138" max="16138" width="12.140625" style="22" customWidth="1"/>
    <col min="16139" max="16139" width="20.28515625" style="22" customWidth="1"/>
    <col min="16140" max="16141" width="19.85546875" style="22" customWidth="1"/>
    <col min="16142" max="16142" width="0" style="22" hidden="1" customWidth="1"/>
    <col min="16143" max="16143" width="13.7109375" style="22" customWidth="1"/>
    <col min="16144" max="16146" width="0" style="22" hidden="1" customWidth="1"/>
    <col min="16147" max="16148" width="11.28515625" style="22" customWidth="1"/>
    <col min="16149" max="16384" width="11.28515625" style="22"/>
  </cols>
  <sheetData>
    <row r="1" spans="1:23">
      <c r="A1" s="447" t="s">
        <v>234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21"/>
      <c r="U1" s="21"/>
    </row>
    <row r="2" spans="1:23" ht="19.5" hidden="1" customHeight="1">
      <c r="A2" s="449" t="s">
        <v>168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23"/>
      <c r="U2" s="23"/>
    </row>
    <row r="4" spans="1:23" ht="25.9" customHeight="1">
      <c r="A4" s="450" t="s">
        <v>0</v>
      </c>
      <c r="B4" s="443" t="s">
        <v>1</v>
      </c>
      <c r="C4" s="445" t="s">
        <v>3</v>
      </c>
      <c r="D4" s="445" t="s">
        <v>44</v>
      </c>
      <c r="E4" s="451" t="s">
        <v>45</v>
      </c>
      <c r="F4" s="444" t="s">
        <v>169</v>
      </c>
      <c r="G4" s="444" t="s">
        <v>170</v>
      </c>
      <c r="H4" s="444" t="s">
        <v>171</v>
      </c>
      <c r="I4" s="443" t="s">
        <v>48</v>
      </c>
      <c r="J4" s="443"/>
      <c r="K4" s="443"/>
      <c r="L4" s="443"/>
      <c r="M4" s="443"/>
      <c r="N4" s="443"/>
      <c r="O4" s="443"/>
      <c r="P4" s="443"/>
      <c r="Q4" s="443"/>
      <c r="R4" s="443"/>
      <c r="S4" s="444" t="s">
        <v>172</v>
      </c>
      <c r="T4" s="445" t="s">
        <v>39</v>
      </c>
      <c r="U4" s="445" t="s">
        <v>40</v>
      </c>
    </row>
    <row r="5" spans="1:23" s="25" customFormat="1" ht="131.25" customHeight="1">
      <c r="A5" s="450"/>
      <c r="B5" s="443"/>
      <c r="C5" s="446"/>
      <c r="D5" s="446"/>
      <c r="E5" s="452"/>
      <c r="F5" s="444"/>
      <c r="G5" s="444"/>
      <c r="H5" s="444"/>
      <c r="I5" s="24" t="s">
        <v>173</v>
      </c>
      <c r="J5" s="24" t="s">
        <v>174</v>
      </c>
      <c r="K5" s="24" t="s">
        <v>175</v>
      </c>
      <c r="L5" s="24" t="s">
        <v>176</v>
      </c>
      <c r="M5" s="24" t="s">
        <v>177</v>
      </c>
      <c r="N5" s="24" t="s">
        <v>178</v>
      </c>
      <c r="O5" s="24" t="s">
        <v>179</v>
      </c>
      <c r="P5" s="24" t="s">
        <v>180</v>
      </c>
      <c r="Q5" s="24" t="s">
        <v>181</v>
      </c>
      <c r="R5" s="24" t="s">
        <v>182</v>
      </c>
      <c r="S5" s="444"/>
      <c r="T5" s="446"/>
      <c r="U5" s="446"/>
    </row>
    <row r="6" spans="1:23" s="25" customFormat="1" ht="31.5">
      <c r="A6" s="26" t="s">
        <v>41</v>
      </c>
      <c r="B6" s="27" t="s">
        <v>42</v>
      </c>
      <c r="C6" s="27" t="s">
        <v>183</v>
      </c>
      <c r="D6" s="7">
        <v>1</v>
      </c>
      <c r="E6" s="7">
        <v>2</v>
      </c>
      <c r="F6" s="7" t="s">
        <v>60</v>
      </c>
      <c r="G6" s="7">
        <v>4</v>
      </c>
      <c r="H6" s="7" t="s">
        <v>61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>
        <v>11</v>
      </c>
      <c r="O6" s="7">
        <v>12</v>
      </c>
      <c r="P6" s="7">
        <v>13</v>
      </c>
      <c r="Q6" s="7">
        <v>14</v>
      </c>
      <c r="R6" s="7">
        <v>15</v>
      </c>
      <c r="S6" s="7">
        <v>16</v>
      </c>
      <c r="T6" s="7" t="s">
        <v>62</v>
      </c>
      <c r="U6" s="7" t="s">
        <v>63</v>
      </c>
      <c r="V6" s="442"/>
      <c r="W6" s="442"/>
    </row>
    <row r="7" spans="1:23" ht="16.5" customHeight="1">
      <c r="A7" s="28"/>
      <c r="B7" s="29" t="s">
        <v>184</v>
      </c>
      <c r="C7" s="30" t="s">
        <v>185</v>
      </c>
      <c r="D7" s="31">
        <f t="shared" ref="D7:U7" si="0">D8+D35+D64</f>
        <v>81</v>
      </c>
      <c r="E7" s="31">
        <f t="shared" si="0"/>
        <v>19</v>
      </c>
      <c r="F7" s="32">
        <f t="shared" si="0"/>
        <v>425.42963350000002</v>
      </c>
      <c r="G7" s="32">
        <f t="shared" si="0"/>
        <v>197.71000000000004</v>
      </c>
      <c r="H7" s="32">
        <f t="shared" si="0"/>
        <v>179.78039999999999</v>
      </c>
      <c r="I7" s="32">
        <f t="shared" si="0"/>
        <v>39.4</v>
      </c>
      <c r="J7" s="32">
        <f t="shared" si="0"/>
        <v>0.15</v>
      </c>
      <c r="K7" s="32">
        <f t="shared" si="0"/>
        <v>0</v>
      </c>
      <c r="L7" s="32">
        <f t="shared" si="0"/>
        <v>97.344500000000011</v>
      </c>
      <c r="M7" s="32">
        <f t="shared" si="0"/>
        <v>35.622999999999998</v>
      </c>
      <c r="N7" s="32">
        <f t="shared" si="0"/>
        <v>0.5</v>
      </c>
      <c r="O7" s="32">
        <f t="shared" si="0"/>
        <v>0</v>
      </c>
      <c r="P7" s="32">
        <f t="shared" si="0"/>
        <v>0</v>
      </c>
      <c r="Q7" s="32">
        <f t="shared" si="0"/>
        <v>6.2629000000000001</v>
      </c>
      <c r="R7" s="32">
        <f t="shared" si="0"/>
        <v>0.5</v>
      </c>
      <c r="S7" s="32">
        <f t="shared" si="0"/>
        <v>47.9392335</v>
      </c>
      <c r="T7" s="32">
        <f t="shared" si="0"/>
        <v>7606.6818469799991</v>
      </c>
      <c r="U7" s="32">
        <f t="shared" si="0"/>
        <v>1582.5982366200001</v>
      </c>
      <c r="V7" s="22">
        <f>F7*0.54*6</f>
        <v>1378.3920125400002</v>
      </c>
      <c r="W7" s="22">
        <f>G7*2.34*10%*6</f>
        <v>277.58484000000004</v>
      </c>
    </row>
    <row r="8" spans="1:23" s="39" customFormat="1" ht="16.5" customHeight="1">
      <c r="A8" s="34" t="s">
        <v>4</v>
      </c>
      <c r="B8" s="35" t="s">
        <v>186</v>
      </c>
      <c r="C8" s="36" t="s">
        <v>187</v>
      </c>
      <c r="D8" s="37">
        <f>D9+D11+D15+D16+D19+D22+D23+D25+D26+D28</f>
        <v>38</v>
      </c>
      <c r="E8" s="37">
        <f>E9+E11+E15+E16+E19+E22+E23+E25+E26+E28</f>
        <v>8</v>
      </c>
      <c r="F8" s="38">
        <f t="shared" ref="F8:U8" si="1">F9+F11+F15+F16+F19+F22+F23+F25+F26+F28</f>
        <v>181.88719600000002</v>
      </c>
      <c r="G8" s="38">
        <f t="shared" si="1"/>
        <v>88.010000000000019</v>
      </c>
      <c r="H8" s="38">
        <f t="shared" si="1"/>
        <v>72.51939999999999</v>
      </c>
      <c r="I8" s="38">
        <f t="shared" si="1"/>
        <v>16.600000000000001</v>
      </c>
      <c r="J8" s="38">
        <f t="shared" si="1"/>
        <v>0</v>
      </c>
      <c r="K8" s="38">
        <f t="shared" si="1"/>
        <v>0</v>
      </c>
      <c r="L8" s="38">
        <f t="shared" si="1"/>
        <v>42.097000000000008</v>
      </c>
      <c r="M8" s="38">
        <f t="shared" si="1"/>
        <v>10.821999999999999</v>
      </c>
      <c r="N8" s="38">
        <f t="shared" si="1"/>
        <v>0</v>
      </c>
      <c r="O8" s="38">
        <f t="shared" si="1"/>
        <v>0</v>
      </c>
      <c r="P8" s="38">
        <f t="shared" si="1"/>
        <v>0</v>
      </c>
      <c r="Q8" s="38">
        <f t="shared" si="1"/>
        <v>3.0004</v>
      </c>
      <c r="R8" s="38">
        <f t="shared" si="1"/>
        <v>0</v>
      </c>
      <c r="S8" s="38">
        <f t="shared" si="1"/>
        <v>21.357796</v>
      </c>
      <c r="T8" s="38">
        <f t="shared" si="1"/>
        <v>3252.1430644799993</v>
      </c>
      <c r="U8" s="38">
        <f t="shared" si="1"/>
        <v>676.62036912000008</v>
      </c>
    </row>
    <row r="9" spans="1:23" s="45" customFormat="1">
      <c r="A9" s="40">
        <v>1</v>
      </c>
      <c r="B9" s="41" t="s">
        <v>188</v>
      </c>
      <c r="C9" s="42" t="s">
        <v>189</v>
      </c>
      <c r="D9" s="43">
        <v>1</v>
      </c>
      <c r="E9" s="43">
        <v>1</v>
      </c>
      <c r="F9" s="44">
        <f t="shared" ref="F9:U9" si="2">SUM(F10:F10)</f>
        <v>9.9735010000000006</v>
      </c>
      <c r="G9" s="44">
        <f t="shared" si="2"/>
        <v>4.58</v>
      </c>
      <c r="H9" s="44">
        <f t="shared" si="2"/>
        <v>4.0266000000000002</v>
      </c>
      <c r="I9" s="44">
        <f t="shared" si="2"/>
        <v>0.5</v>
      </c>
      <c r="J9" s="44">
        <f t="shared" si="2"/>
        <v>0</v>
      </c>
      <c r="K9" s="44">
        <f t="shared" si="2"/>
        <v>0</v>
      </c>
      <c r="L9" s="44">
        <f t="shared" si="2"/>
        <v>2.29</v>
      </c>
      <c r="M9" s="44">
        <f t="shared" si="2"/>
        <v>0</v>
      </c>
      <c r="N9" s="44">
        <f t="shared" si="2"/>
        <v>0</v>
      </c>
      <c r="O9" s="44">
        <f t="shared" si="2"/>
        <v>0</v>
      </c>
      <c r="P9" s="44">
        <f t="shared" si="2"/>
        <v>0</v>
      </c>
      <c r="Q9" s="44">
        <f t="shared" si="2"/>
        <v>1.2366000000000001</v>
      </c>
      <c r="R9" s="44">
        <f t="shared" si="2"/>
        <v>0</v>
      </c>
      <c r="S9" s="44">
        <f t="shared" si="2"/>
        <v>1.3669009999999999</v>
      </c>
      <c r="T9" s="44">
        <f t="shared" si="2"/>
        <v>178.32619788</v>
      </c>
      <c r="U9" s="44">
        <f t="shared" si="2"/>
        <v>37.10142372</v>
      </c>
    </row>
    <row r="10" spans="1:23" s="51" customFormat="1">
      <c r="A10" s="46">
        <v>1</v>
      </c>
      <c r="B10" s="47" t="s">
        <v>382</v>
      </c>
      <c r="C10" s="48" t="s">
        <v>189</v>
      </c>
      <c r="D10" s="49"/>
      <c r="E10" s="49"/>
      <c r="F10" s="50">
        <v>9.9735010000000006</v>
      </c>
      <c r="G10" s="50">
        <v>4.58</v>
      </c>
      <c r="H10" s="50">
        <v>4.0266000000000002</v>
      </c>
      <c r="I10" s="50">
        <v>0.5</v>
      </c>
      <c r="J10" s="50"/>
      <c r="K10" s="50"/>
      <c r="L10" s="50">
        <v>2.29</v>
      </c>
      <c r="M10" s="50"/>
      <c r="N10" s="50"/>
      <c r="O10" s="50"/>
      <c r="P10" s="50"/>
      <c r="Q10" s="50">
        <f>(G10+J10+K10)*27%</f>
        <v>1.2366000000000001</v>
      </c>
      <c r="R10" s="50"/>
      <c r="S10" s="50">
        <v>1.3669009999999999</v>
      </c>
      <c r="T10" s="50">
        <f>F10*1.49*12</f>
        <v>178.32619788</v>
      </c>
      <c r="U10" s="50">
        <f>F10*0.31*12</f>
        <v>37.10142372</v>
      </c>
    </row>
    <row r="11" spans="1:23" s="53" customFormat="1">
      <c r="A11" s="52">
        <v>2</v>
      </c>
      <c r="B11" s="41" t="s">
        <v>65</v>
      </c>
      <c r="C11" s="30" t="s">
        <v>190</v>
      </c>
      <c r="D11" s="31">
        <v>10</v>
      </c>
      <c r="E11" s="31">
        <v>2</v>
      </c>
      <c r="F11" s="32">
        <f t="shared" ref="F11:U11" si="3">SUM(F12:F14)</f>
        <v>41.783380000000001</v>
      </c>
      <c r="G11" s="32">
        <f t="shared" si="3"/>
        <v>21.62</v>
      </c>
      <c r="H11" s="32">
        <f t="shared" si="3"/>
        <v>15.054800000000002</v>
      </c>
      <c r="I11" s="32">
        <f t="shared" si="3"/>
        <v>4</v>
      </c>
      <c r="J11" s="32">
        <f t="shared" si="3"/>
        <v>0</v>
      </c>
      <c r="K11" s="32">
        <f t="shared" si="3"/>
        <v>0</v>
      </c>
      <c r="L11" s="32">
        <f t="shared" si="3"/>
        <v>10.81</v>
      </c>
      <c r="M11" s="32">
        <f t="shared" si="3"/>
        <v>0</v>
      </c>
      <c r="N11" s="32">
        <f t="shared" si="3"/>
        <v>0</v>
      </c>
      <c r="O11" s="32">
        <f t="shared" si="3"/>
        <v>0</v>
      </c>
      <c r="P11" s="32">
        <f t="shared" si="3"/>
        <v>0</v>
      </c>
      <c r="Q11" s="32">
        <f t="shared" si="3"/>
        <v>0.24480000000000002</v>
      </c>
      <c r="R11" s="32">
        <f t="shared" si="3"/>
        <v>0</v>
      </c>
      <c r="S11" s="32">
        <f t="shared" si="3"/>
        <v>5.1085799999999999</v>
      </c>
      <c r="T11" s="32">
        <f t="shared" si="3"/>
        <v>747.08683439999993</v>
      </c>
      <c r="U11" s="32">
        <f t="shared" si="3"/>
        <v>155.43417360000001</v>
      </c>
    </row>
    <row r="12" spans="1:23" s="51" customFormat="1">
      <c r="A12" s="46">
        <v>1</v>
      </c>
      <c r="B12" s="54" t="s">
        <v>383</v>
      </c>
      <c r="C12" s="55" t="s">
        <v>190</v>
      </c>
      <c r="D12" s="49"/>
      <c r="E12" s="49"/>
      <c r="F12" s="56">
        <f>G12+H12+S12</f>
        <v>5.3918800000000005</v>
      </c>
      <c r="G12" s="56">
        <v>2.72</v>
      </c>
      <c r="H12" s="56">
        <f>SUM(I12:R12)</f>
        <v>2.0048000000000004</v>
      </c>
      <c r="I12" s="56">
        <v>0.4</v>
      </c>
      <c r="J12" s="56"/>
      <c r="K12" s="56"/>
      <c r="L12" s="56">
        <f>(G12+J12+K12)*50%</f>
        <v>1.36</v>
      </c>
      <c r="M12" s="56"/>
      <c r="N12" s="56"/>
      <c r="O12" s="56"/>
      <c r="P12" s="56"/>
      <c r="Q12" s="56">
        <f>(G12+J12)*9%</f>
        <v>0.24480000000000002</v>
      </c>
      <c r="R12" s="56"/>
      <c r="S12" s="56">
        <f>(G12+J12+K12+Q12)*22.5%</f>
        <v>0.66708000000000012</v>
      </c>
      <c r="T12" s="50">
        <f>F12*1.49*12</f>
        <v>96.406814400000002</v>
      </c>
      <c r="U12" s="50">
        <f>F12*0.31*12</f>
        <v>20.057793600000004</v>
      </c>
    </row>
    <row r="13" spans="1:23" s="51" customFormat="1">
      <c r="A13" s="46">
        <v>2</v>
      </c>
      <c r="B13" s="54" t="s">
        <v>384</v>
      </c>
      <c r="C13" s="55" t="s">
        <v>190</v>
      </c>
      <c r="D13" s="49"/>
      <c r="E13" s="49"/>
      <c r="F13" s="56">
        <f>G13+H13+S13</f>
        <v>4.0434999999999999</v>
      </c>
      <c r="G13" s="56">
        <v>2.1</v>
      </c>
      <c r="H13" s="56">
        <f>SUM(I13:R13)</f>
        <v>1.4500000000000002</v>
      </c>
      <c r="I13" s="56">
        <v>0.4</v>
      </c>
      <c r="J13" s="56"/>
      <c r="K13" s="56"/>
      <c r="L13" s="56">
        <f>(G13+J13+K13)*50%</f>
        <v>1.05</v>
      </c>
      <c r="M13" s="56"/>
      <c r="N13" s="56"/>
      <c r="O13" s="56"/>
      <c r="P13" s="56"/>
      <c r="Q13" s="56"/>
      <c r="R13" s="56"/>
      <c r="S13" s="56">
        <f>(G13+J13+K13+Q13)*23.5%</f>
        <v>0.49349999999999999</v>
      </c>
      <c r="T13" s="50">
        <f>F13*1.49*12</f>
        <v>72.297779999999989</v>
      </c>
      <c r="U13" s="50">
        <f>F13*0.31*12</f>
        <v>15.04182</v>
      </c>
    </row>
    <row r="14" spans="1:23" s="51" customFormat="1">
      <c r="A14" s="57">
        <v>3</v>
      </c>
      <c r="B14" s="47" t="s">
        <v>123</v>
      </c>
      <c r="C14" s="55" t="s">
        <v>190</v>
      </c>
      <c r="D14" s="49"/>
      <c r="E14" s="49">
        <v>8</v>
      </c>
      <c r="F14" s="56">
        <f>G14+H14+S14</f>
        <v>32.347999999999999</v>
      </c>
      <c r="G14" s="56">
        <f>2.1*E14</f>
        <v>16.8</v>
      </c>
      <c r="H14" s="56">
        <f>SUM(I14:R14)</f>
        <v>11.600000000000001</v>
      </c>
      <c r="I14" s="56">
        <f>0.4*E14</f>
        <v>3.2</v>
      </c>
      <c r="J14" s="56"/>
      <c r="K14" s="56"/>
      <c r="L14" s="56">
        <f>(G14+J14+K14)*50%</f>
        <v>8.4</v>
      </c>
      <c r="M14" s="56"/>
      <c r="N14" s="56"/>
      <c r="O14" s="56"/>
      <c r="P14" s="56"/>
      <c r="Q14" s="56"/>
      <c r="R14" s="56"/>
      <c r="S14" s="56">
        <f>(G14+J14+K14+Q14)*23.5%</f>
        <v>3.948</v>
      </c>
      <c r="T14" s="50">
        <f>F14*1.49*12</f>
        <v>578.38223999999991</v>
      </c>
      <c r="U14" s="50">
        <f>F14*0.31*12</f>
        <v>120.33456</v>
      </c>
    </row>
    <row r="15" spans="1:23" s="62" customFormat="1">
      <c r="A15" s="52">
        <v>3</v>
      </c>
      <c r="B15" s="41" t="s">
        <v>79</v>
      </c>
      <c r="C15" s="58"/>
      <c r="D15" s="59"/>
      <c r="E15" s="59"/>
      <c r="F15" s="60"/>
      <c r="G15" s="61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0"/>
      <c r="T15" s="60"/>
      <c r="U15" s="60"/>
    </row>
    <row r="16" spans="1:23" s="53" customFormat="1">
      <c r="A16" s="52">
        <v>4</v>
      </c>
      <c r="B16" s="41" t="s">
        <v>83</v>
      </c>
      <c r="C16" s="30" t="s">
        <v>191</v>
      </c>
      <c r="D16" s="31">
        <v>2</v>
      </c>
      <c r="E16" s="31">
        <v>1</v>
      </c>
      <c r="F16" s="63">
        <f t="shared" ref="F16:U16" si="4">SUM(F17:F18)</f>
        <v>11.589600000000001</v>
      </c>
      <c r="G16" s="63">
        <f t="shared" si="4"/>
        <v>4.96</v>
      </c>
      <c r="H16" s="63">
        <f t="shared" si="4"/>
        <v>5.4640000000000004</v>
      </c>
      <c r="I16" s="63">
        <f t="shared" si="4"/>
        <v>1</v>
      </c>
      <c r="J16" s="63">
        <f t="shared" si="4"/>
        <v>0</v>
      </c>
      <c r="K16" s="63">
        <f t="shared" si="4"/>
        <v>0</v>
      </c>
      <c r="L16" s="63">
        <f t="shared" si="4"/>
        <v>0.99199999999999999</v>
      </c>
      <c r="M16" s="63">
        <f t="shared" si="4"/>
        <v>3.4719999999999995</v>
      </c>
      <c r="N16" s="63">
        <f t="shared" si="4"/>
        <v>0</v>
      </c>
      <c r="O16" s="63">
        <f t="shared" si="4"/>
        <v>0</v>
      </c>
      <c r="P16" s="63">
        <f t="shared" si="4"/>
        <v>0</v>
      </c>
      <c r="Q16" s="63">
        <f t="shared" si="4"/>
        <v>0</v>
      </c>
      <c r="R16" s="64">
        <f t="shared" si="4"/>
        <v>0</v>
      </c>
      <c r="S16" s="63">
        <f t="shared" si="4"/>
        <v>1.1656</v>
      </c>
      <c r="T16" s="63">
        <f t="shared" si="4"/>
        <v>207.22204799999997</v>
      </c>
      <c r="U16" s="63">
        <f t="shared" si="4"/>
        <v>43.113312000000001</v>
      </c>
    </row>
    <row r="17" spans="1:21" s="51" customFormat="1">
      <c r="A17" s="65">
        <v>1</v>
      </c>
      <c r="B17" s="47" t="s">
        <v>385</v>
      </c>
      <c r="C17" s="55" t="s">
        <v>191</v>
      </c>
      <c r="D17" s="49"/>
      <c r="E17" s="49"/>
      <c r="F17" s="66">
        <f>G17+H17+S17</f>
        <v>6.6060999999999996</v>
      </c>
      <c r="G17" s="46">
        <v>2.86</v>
      </c>
      <c r="H17" s="67">
        <f>SUM(I17:R17)</f>
        <v>3.0739999999999998</v>
      </c>
      <c r="I17" s="67">
        <v>0.5</v>
      </c>
      <c r="J17" s="68"/>
      <c r="K17" s="69"/>
      <c r="L17" s="67">
        <f>(G17+J17+K17)*0.2</f>
        <v>0.57199999999999995</v>
      </c>
      <c r="M17" s="70">
        <f>(G17+J17+K17)*0.7</f>
        <v>2.0019999999999998</v>
      </c>
      <c r="N17" s="46"/>
      <c r="O17" s="69"/>
      <c r="P17" s="69"/>
      <c r="Q17" s="71"/>
      <c r="R17" s="72"/>
      <c r="S17" s="56">
        <f>(G17+J17+K17+Q17)*23.5%</f>
        <v>0.67209999999999992</v>
      </c>
      <c r="T17" s="50">
        <f>F17*1.49*12</f>
        <v>118.11706799999999</v>
      </c>
      <c r="U17" s="50">
        <f>F17*0.31*12</f>
        <v>24.574691999999999</v>
      </c>
    </row>
    <row r="18" spans="1:21" s="51" customFormat="1">
      <c r="A18" s="65">
        <v>2</v>
      </c>
      <c r="B18" s="47" t="s">
        <v>192</v>
      </c>
      <c r="C18" s="55" t="s">
        <v>191</v>
      </c>
      <c r="D18" s="49"/>
      <c r="E18" s="49"/>
      <c r="F18" s="66">
        <f>G18+H18+S18</f>
        <v>4.9835000000000003</v>
      </c>
      <c r="G18" s="46">
        <v>2.1</v>
      </c>
      <c r="H18" s="67">
        <f>SUM(I18:R18)</f>
        <v>2.39</v>
      </c>
      <c r="I18" s="67">
        <v>0.5</v>
      </c>
      <c r="J18" s="68"/>
      <c r="K18" s="69"/>
      <c r="L18" s="67">
        <f>(G18+J18+K18)*0.2</f>
        <v>0.42000000000000004</v>
      </c>
      <c r="M18" s="70">
        <f>(G18+J18+K18)*0.7</f>
        <v>1.47</v>
      </c>
      <c r="N18" s="46"/>
      <c r="O18" s="69"/>
      <c r="P18" s="69"/>
      <c r="Q18" s="71"/>
      <c r="R18" s="72"/>
      <c r="S18" s="56">
        <f>(G18+J18+K18+Q18)*23.5%</f>
        <v>0.49349999999999999</v>
      </c>
      <c r="T18" s="50">
        <f>F18*1.49*12</f>
        <v>89.104979999999998</v>
      </c>
      <c r="U18" s="50">
        <f>F18*0.31*12</f>
        <v>18.538620000000002</v>
      </c>
    </row>
    <row r="19" spans="1:21" s="53" customFormat="1">
      <c r="A19" s="52">
        <v>5</v>
      </c>
      <c r="B19" s="73" t="s">
        <v>87</v>
      </c>
      <c r="C19" s="30" t="s">
        <v>193</v>
      </c>
      <c r="D19" s="31">
        <v>2</v>
      </c>
      <c r="E19" s="31">
        <v>0</v>
      </c>
      <c r="F19" s="32">
        <f t="shared" ref="F19:U19" si="5">SUM(F20:F21)</f>
        <v>10.997</v>
      </c>
      <c r="G19" s="32">
        <f t="shared" si="5"/>
        <v>4.2</v>
      </c>
      <c r="H19" s="32">
        <f t="shared" si="5"/>
        <v>5.81</v>
      </c>
      <c r="I19" s="32">
        <f t="shared" si="5"/>
        <v>1.4</v>
      </c>
      <c r="J19" s="32">
        <f t="shared" si="5"/>
        <v>0</v>
      </c>
      <c r="K19" s="32">
        <f t="shared" si="5"/>
        <v>0</v>
      </c>
      <c r="L19" s="32">
        <f t="shared" si="5"/>
        <v>1.47</v>
      </c>
      <c r="M19" s="32">
        <f t="shared" si="5"/>
        <v>2.94</v>
      </c>
      <c r="N19" s="32">
        <f t="shared" si="5"/>
        <v>0</v>
      </c>
      <c r="O19" s="32">
        <f t="shared" si="5"/>
        <v>0</v>
      </c>
      <c r="P19" s="32">
        <f t="shared" si="5"/>
        <v>0</v>
      </c>
      <c r="Q19" s="32">
        <f t="shared" si="5"/>
        <v>0</v>
      </c>
      <c r="R19" s="32">
        <f t="shared" si="5"/>
        <v>0</v>
      </c>
      <c r="S19" s="32">
        <f t="shared" si="5"/>
        <v>0.98699999999999999</v>
      </c>
      <c r="T19" s="32">
        <f t="shared" si="5"/>
        <v>196.62636000000001</v>
      </c>
      <c r="U19" s="32">
        <f t="shared" si="5"/>
        <v>40.908839999999998</v>
      </c>
    </row>
    <row r="20" spans="1:21">
      <c r="A20" s="74">
        <v>1</v>
      </c>
      <c r="B20" s="47" t="s">
        <v>194</v>
      </c>
      <c r="C20" s="55" t="s">
        <v>193</v>
      </c>
      <c r="D20" s="49"/>
      <c r="E20" s="49">
        <v>1</v>
      </c>
      <c r="F20" s="56">
        <f>G20+H20+S20</f>
        <v>4.7634999999999996</v>
      </c>
      <c r="G20" s="56">
        <v>2.1</v>
      </c>
      <c r="H20" s="56">
        <f>SUM(I20:R20)</f>
        <v>2.17</v>
      </c>
      <c r="I20" s="56">
        <v>0.7</v>
      </c>
      <c r="J20" s="56"/>
      <c r="K20" s="56"/>
      <c r="L20" s="56"/>
      <c r="M20" s="70">
        <f>(G20+J20+K20)*0.7</f>
        <v>1.47</v>
      </c>
      <c r="N20" s="56"/>
      <c r="O20" s="56"/>
      <c r="P20" s="56"/>
      <c r="Q20" s="56"/>
      <c r="R20" s="56"/>
      <c r="S20" s="56">
        <f>(G20+J20+K20+Q20)*23.5%</f>
        <v>0.49349999999999999</v>
      </c>
      <c r="T20" s="50">
        <f>F20*1.49*12</f>
        <v>85.171379999999999</v>
      </c>
      <c r="U20" s="50">
        <f>F20*0.31*12</f>
        <v>17.720219999999998</v>
      </c>
    </row>
    <row r="21" spans="1:21">
      <c r="A21" s="74">
        <v>2</v>
      </c>
      <c r="B21" s="47" t="s">
        <v>123</v>
      </c>
      <c r="C21" s="55" t="s">
        <v>193</v>
      </c>
      <c r="D21" s="49"/>
      <c r="E21" s="49">
        <v>1</v>
      </c>
      <c r="F21" s="56">
        <f>G21+H21+S21</f>
        <v>6.2335000000000003</v>
      </c>
      <c r="G21" s="56">
        <f>2.1*E21</f>
        <v>2.1</v>
      </c>
      <c r="H21" s="56">
        <f>SUM(I21:R21)</f>
        <v>3.6399999999999997</v>
      </c>
      <c r="I21" s="56">
        <f>0.7*E21</f>
        <v>0.7</v>
      </c>
      <c r="J21" s="56"/>
      <c r="K21" s="56"/>
      <c r="L21" s="47">
        <f>+(G21+J21+K21)*70%</f>
        <v>1.47</v>
      </c>
      <c r="M21" s="70">
        <f>(G21+J21+K21)*0.7</f>
        <v>1.47</v>
      </c>
      <c r="N21" s="56"/>
      <c r="O21" s="56"/>
      <c r="P21" s="56"/>
      <c r="Q21" s="56"/>
      <c r="R21" s="56"/>
      <c r="S21" s="56">
        <f>(G21+J21+K21+Q21)*23.5%</f>
        <v>0.49349999999999999</v>
      </c>
      <c r="T21" s="50">
        <f>F21*1.49*12</f>
        <v>111.45498000000001</v>
      </c>
      <c r="U21" s="50">
        <f>F21*0.31*12</f>
        <v>23.18862</v>
      </c>
    </row>
    <row r="22" spans="1:21" s="53" customFormat="1">
      <c r="A22" s="52">
        <v>6</v>
      </c>
      <c r="B22" s="41" t="s">
        <v>91</v>
      </c>
      <c r="C22" s="30" t="s">
        <v>195</v>
      </c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s="53" customFormat="1">
      <c r="A23" s="52">
        <v>7</v>
      </c>
      <c r="B23" s="41" t="s">
        <v>94</v>
      </c>
      <c r="C23" s="30" t="s">
        <v>196</v>
      </c>
      <c r="D23" s="31">
        <v>1</v>
      </c>
      <c r="E23" s="31">
        <v>0</v>
      </c>
      <c r="F23" s="32">
        <f t="shared" ref="F23:U23" si="6">SUM(F24:F24)</f>
        <v>6.2335000000000003</v>
      </c>
      <c r="G23" s="32">
        <f t="shared" si="6"/>
        <v>2.1</v>
      </c>
      <c r="H23" s="32">
        <f t="shared" si="6"/>
        <v>3.6399999999999997</v>
      </c>
      <c r="I23" s="32">
        <f t="shared" si="6"/>
        <v>0.7</v>
      </c>
      <c r="J23" s="32">
        <f t="shared" si="6"/>
        <v>0</v>
      </c>
      <c r="K23" s="32">
        <f t="shared" si="6"/>
        <v>0</v>
      </c>
      <c r="L23" s="32">
        <f t="shared" si="6"/>
        <v>1.47</v>
      </c>
      <c r="M23" s="32">
        <f t="shared" si="6"/>
        <v>1.47</v>
      </c>
      <c r="N23" s="32">
        <f t="shared" si="6"/>
        <v>0</v>
      </c>
      <c r="O23" s="32">
        <f t="shared" si="6"/>
        <v>0</v>
      </c>
      <c r="P23" s="32">
        <f t="shared" si="6"/>
        <v>0</v>
      </c>
      <c r="Q23" s="32">
        <f t="shared" si="6"/>
        <v>0</v>
      </c>
      <c r="R23" s="32">
        <f t="shared" si="6"/>
        <v>0</v>
      </c>
      <c r="S23" s="32">
        <f t="shared" si="6"/>
        <v>0.49349999999999999</v>
      </c>
      <c r="T23" s="32">
        <f t="shared" si="6"/>
        <v>111.45498000000001</v>
      </c>
      <c r="U23" s="32">
        <f t="shared" si="6"/>
        <v>23.18862</v>
      </c>
    </row>
    <row r="24" spans="1:21" s="51" customFormat="1">
      <c r="A24" s="74">
        <v>26</v>
      </c>
      <c r="B24" s="47" t="s">
        <v>123</v>
      </c>
      <c r="C24" s="55" t="s">
        <v>196</v>
      </c>
      <c r="D24" s="49"/>
      <c r="E24" s="49"/>
      <c r="F24" s="56">
        <f>G24+H24+S24</f>
        <v>6.2335000000000003</v>
      </c>
      <c r="G24" s="56">
        <v>2.1</v>
      </c>
      <c r="H24" s="56">
        <f>SUM(I24:R24)</f>
        <v>3.6399999999999997</v>
      </c>
      <c r="I24" s="56">
        <v>0.7</v>
      </c>
      <c r="J24" s="56"/>
      <c r="K24" s="56"/>
      <c r="L24" s="56">
        <f>(G24+J24+K24)*70%</f>
        <v>1.47</v>
      </c>
      <c r="M24" s="56">
        <f>(G24+J24+K24)*70%</f>
        <v>1.47</v>
      </c>
      <c r="N24" s="56"/>
      <c r="O24" s="56"/>
      <c r="P24" s="56"/>
      <c r="Q24" s="56"/>
      <c r="R24" s="56"/>
      <c r="S24" s="56">
        <f>(G24+J24+K24+Q24)*23.5%</f>
        <v>0.49349999999999999</v>
      </c>
      <c r="T24" s="50">
        <f>F24*1.49*12</f>
        <v>111.45498000000001</v>
      </c>
      <c r="U24" s="50">
        <f>F24*0.31*12</f>
        <v>23.18862</v>
      </c>
    </row>
    <row r="25" spans="1:21" s="62" customFormat="1">
      <c r="A25" s="52">
        <v>8</v>
      </c>
      <c r="B25" s="41" t="s">
        <v>97</v>
      </c>
      <c r="C25" s="30" t="s">
        <v>197</v>
      </c>
      <c r="D25" s="59"/>
      <c r="E25" s="59"/>
      <c r="F25" s="60"/>
      <c r="G25" s="61"/>
      <c r="H25" s="60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0"/>
      <c r="T25" s="60"/>
      <c r="U25" s="60"/>
    </row>
    <row r="26" spans="1:21" s="53" customFormat="1">
      <c r="A26" s="52">
        <v>9</v>
      </c>
      <c r="B26" s="41" t="s">
        <v>98</v>
      </c>
      <c r="C26" s="30" t="s">
        <v>198</v>
      </c>
      <c r="D26" s="31">
        <v>2</v>
      </c>
      <c r="E26" s="31">
        <v>0</v>
      </c>
      <c r="F26" s="32">
        <f t="shared" ref="F26:U26" si="7">SUM(F27:F27)</f>
        <v>12.067</v>
      </c>
      <c r="G26" s="32">
        <f t="shared" si="7"/>
        <v>4.2</v>
      </c>
      <c r="H26" s="32">
        <f t="shared" si="7"/>
        <v>6.88</v>
      </c>
      <c r="I26" s="32">
        <f t="shared" si="7"/>
        <v>1</v>
      </c>
      <c r="J26" s="32">
        <f t="shared" si="7"/>
        <v>0</v>
      </c>
      <c r="K26" s="32">
        <f t="shared" si="7"/>
        <v>0</v>
      </c>
      <c r="L26" s="32">
        <f t="shared" si="7"/>
        <v>2.94</v>
      </c>
      <c r="M26" s="32">
        <f t="shared" si="7"/>
        <v>2.94</v>
      </c>
      <c r="N26" s="32">
        <f t="shared" si="7"/>
        <v>0</v>
      </c>
      <c r="O26" s="32">
        <f t="shared" si="7"/>
        <v>0</v>
      </c>
      <c r="P26" s="32">
        <f t="shared" si="7"/>
        <v>0</v>
      </c>
      <c r="Q26" s="32">
        <f t="shared" si="7"/>
        <v>0</v>
      </c>
      <c r="R26" s="32">
        <f t="shared" si="7"/>
        <v>0</v>
      </c>
      <c r="S26" s="32">
        <f t="shared" si="7"/>
        <v>0.98699999999999999</v>
      </c>
      <c r="T26" s="32">
        <f t="shared" si="7"/>
        <v>215.75796</v>
      </c>
      <c r="U26" s="32">
        <f t="shared" si="7"/>
        <v>44.889240000000001</v>
      </c>
    </row>
    <row r="27" spans="1:21" s="51" customFormat="1">
      <c r="A27" s="75">
        <v>27</v>
      </c>
      <c r="B27" s="75" t="s">
        <v>123</v>
      </c>
      <c r="C27" s="55" t="s">
        <v>198</v>
      </c>
      <c r="D27" s="76"/>
      <c r="E27" s="77">
        <v>2</v>
      </c>
      <c r="F27" s="78">
        <f>G27+H27+S27</f>
        <v>12.067</v>
      </c>
      <c r="G27" s="79">
        <f>2.1*E27</f>
        <v>4.2</v>
      </c>
      <c r="H27" s="79">
        <f>SUM(I27:R27)</f>
        <v>6.88</v>
      </c>
      <c r="I27" s="79">
        <f>0.5*E27</f>
        <v>1</v>
      </c>
      <c r="J27" s="79"/>
      <c r="K27" s="79"/>
      <c r="L27" s="79">
        <f>(G27+J27+K27)*70%</f>
        <v>2.94</v>
      </c>
      <c r="M27" s="79">
        <f>(G27+J27)*70%</f>
        <v>2.94</v>
      </c>
      <c r="N27" s="79"/>
      <c r="O27" s="79"/>
      <c r="P27" s="79"/>
      <c r="Q27" s="79"/>
      <c r="R27" s="79"/>
      <c r="S27" s="79">
        <f>(G27+J27+K27+Q27)*23.5%</f>
        <v>0.98699999999999999</v>
      </c>
      <c r="T27" s="50">
        <f>F27*1.49*12</f>
        <v>215.75796</v>
      </c>
      <c r="U27" s="50">
        <f>F27*0.31*12</f>
        <v>44.889240000000001</v>
      </c>
    </row>
    <row r="28" spans="1:21" s="53" customFormat="1">
      <c r="A28" s="80">
        <v>10</v>
      </c>
      <c r="B28" s="73" t="s">
        <v>102</v>
      </c>
      <c r="C28" s="30" t="s">
        <v>199</v>
      </c>
      <c r="D28" s="31">
        <v>20</v>
      </c>
      <c r="E28" s="31">
        <v>4</v>
      </c>
      <c r="F28" s="32">
        <f t="shared" ref="F28:U28" si="8">SUM(F29:F34)</f>
        <v>89.243215000000006</v>
      </c>
      <c r="G28" s="32">
        <f>SUM(G29:G34)</f>
        <v>46.35</v>
      </c>
      <c r="H28" s="32">
        <f t="shared" si="8"/>
        <v>31.643999999999998</v>
      </c>
      <c r="I28" s="32">
        <f t="shared" si="8"/>
        <v>8</v>
      </c>
      <c r="J28" s="32">
        <f t="shared" si="8"/>
        <v>0</v>
      </c>
      <c r="K28" s="32">
        <f t="shared" si="8"/>
        <v>0</v>
      </c>
      <c r="L28" s="32">
        <f t="shared" si="8"/>
        <v>22.125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1.5189999999999999</v>
      </c>
      <c r="R28" s="32">
        <f t="shared" si="8"/>
        <v>0</v>
      </c>
      <c r="S28" s="32">
        <f t="shared" si="8"/>
        <v>11.249215</v>
      </c>
      <c r="T28" s="32">
        <f t="shared" si="8"/>
        <v>1595.6686841999999</v>
      </c>
      <c r="U28" s="32">
        <f t="shared" si="8"/>
        <v>331.98475980000001</v>
      </c>
    </row>
    <row r="29" spans="1:21" s="51" customFormat="1">
      <c r="A29" s="46">
        <v>1</v>
      </c>
      <c r="B29" s="47" t="s">
        <v>386</v>
      </c>
      <c r="C29" s="55" t="s">
        <v>199</v>
      </c>
      <c r="D29" s="49"/>
      <c r="E29" s="49"/>
      <c r="F29" s="56">
        <f t="shared" ref="F29:F34" si="9">G29+H29+S29</f>
        <v>7.2925120000000003</v>
      </c>
      <c r="G29" s="50">
        <v>3.66</v>
      </c>
      <c r="H29" s="56">
        <f t="shared" ref="H29:H34" si="10">SUM(I29:R29)</f>
        <v>2.6692</v>
      </c>
      <c r="I29" s="56">
        <v>0.4</v>
      </c>
      <c r="J29" s="56"/>
      <c r="K29" s="56"/>
      <c r="L29" s="56">
        <f>(G29+J29+K29)*50%</f>
        <v>1.83</v>
      </c>
      <c r="M29" s="56"/>
      <c r="N29" s="56"/>
      <c r="O29" s="56"/>
      <c r="P29" s="56"/>
      <c r="Q29" s="56">
        <f>(G29+J29+K29)*12%</f>
        <v>0.43919999999999998</v>
      </c>
      <c r="R29" s="56"/>
      <c r="S29" s="56">
        <f t="shared" ref="S29:S34" si="11">(G29+J29+K29+Q29)*23.5%</f>
        <v>0.96331199999999984</v>
      </c>
      <c r="T29" s="50">
        <f t="shared" ref="T29:T34" si="12">F29*1.49*12</f>
        <v>130.39011456</v>
      </c>
      <c r="U29" s="50">
        <f t="shared" ref="U29:U34" si="13">F29*0.31*12</f>
        <v>27.128144640000002</v>
      </c>
    </row>
    <row r="30" spans="1:21" s="51" customFormat="1">
      <c r="A30" s="46">
        <v>2</v>
      </c>
      <c r="B30" s="47" t="s">
        <v>387</v>
      </c>
      <c r="C30" s="55" t="s">
        <v>199</v>
      </c>
      <c r="D30" s="49"/>
      <c r="E30" s="49"/>
      <c r="F30" s="56">
        <f t="shared" si="9"/>
        <v>4.7599309999999999</v>
      </c>
      <c r="G30" s="50">
        <v>2.41</v>
      </c>
      <c r="H30" s="56">
        <f t="shared" si="10"/>
        <v>1.7496</v>
      </c>
      <c r="I30" s="56">
        <v>0.4</v>
      </c>
      <c r="J30" s="56"/>
      <c r="K30" s="56"/>
      <c r="L30" s="56">
        <f>(G30+J30+K30)*50%</f>
        <v>1.2050000000000001</v>
      </c>
      <c r="M30" s="56"/>
      <c r="N30" s="56"/>
      <c r="O30" s="56"/>
      <c r="P30" s="56"/>
      <c r="Q30" s="56">
        <f>(G30+J30+K30)*6%</f>
        <v>0.14460000000000001</v>
      </c>
      <c r="R30" s="56"/>
      <c r="S30" s="56">
        <f t="shared" si="11"/>
        <v>0.60033100000000006</v>
      </c>
      <c r="T30" s="50">
        <f t="shared" si="12"/>
        <v>85.10756628</v>
      </c>
      <c r="U30" s="50">
        <f t="shared" si="13"/>
        <v>17.706943320000001</v>
      </c>
    </row>
    <row r="31" spans="1:21" s="51" customFormat="1">
      <c r="A31" s="46">
        <v>3</v>
      </c>
      <c r="B31" s="47" t="s">
        <v>104</v>
      </c>
      <c r="C31" s="55" t="s">
        <v>199</v>
      </c>
      <c r="D31" s="49"/>
      <c r="E31" s="49"/>
      <c r="F31" s="56">
        <f t="shared" si="9"/>
        <v>6.8548840000000002</v>
      </c>
      <c r="G31" s="50">
        <v>3.34</v>
      </c>
      <c r="H31" s="56">
        <f t="shared" si="10"/>
        <v>2.6044</v>
      </c>
      <c r="I31" s="56">
        <v>0.4</v>
      </c>
      <c r="J31" s="56"/>
      <c r="K31" s="56"/>
      <c r="L31" s="56">
        <f>(G31+J31+K31)*50%</f>
        <v>1.67</v>
      </c>
      <c r="M31" s="56"/>
      <c r="N31" s="56"/>
      <c r="O31" s="56"/>
      <c r="P31" s="56"/>
      <c r="Q31" s="56">
        <f>(G31+J31+K31)*16%</f>
        <v>0.53439999999999999</v>
      </c>
      <c r="R31" s="56"/>
      <c r="S31" s="56">
        <f t="shared" si="11"/>
        <v>0.91048399999999985</v>
      </c>
      <c r="T31" s="50">
        <f t="shared" si="12"/>
        <v>122.56532591999999</v>
      </c>
      <c r="U31" s="50">
        <f t="shared" si="13"/>
        <v>25.500168479999999</v>
      </c>
    </row>
    <row r="32" spans="1:21" s="51" customFormat="1">
      <c r="A32" s="46">
        <v>4</v>
      </c>
      <c r="B32" s="47" t="s">
        <v>105</v>
      </c>
      <c r="C32" s="55" t="s">
        <v>199</v>
      </c>
      <c r="D32" s="49"/>
      <c r="E32" s="49"/>
      <c r="F32" s="56">
        <f t="shared" si="9"/>
        <v>6.6898879999999998</v>
      </c>
      <c r="G32" s="56">
        <v>3.34</v>
      </c>
      <c r="H32" s="56">
        <f t="shared" si="10"/>
        <v>2.4707999999999997</v>
      </c>
      <c r="I32" s="56">
        <v>0.4</v>
      </c>
      <c r="J32" s="56"/>
      <c r="K32" s="56"/>
      <c r="L32" s="56">
        <f>(G32+J32+K32)*50%</f>
        <v>1.67</v>
      </c>
      <c r="M32" s="56"/>
      <c r="N32" s="56"/>
      <c r="O32" s="56"/>
      <c r="P32" s="56"/>
      <c r="Q32" s="56">
        <f>(G32+J32+K32)*12%</f>
        <v>0.40079999999999999</v>
      </c>
      <c r="R32" s="56"/>
      <c r="S32" s="56">
        <f t="shared" si="11"/>
        <v>0.87908799999999987</v>
      </c>
      <c r="T32" s="50">
        <f t="shared" si="12"/>
        <v>119.61519744</v>
      </c>
      <c r="U32" s="50">
        <f t="shared" si="13"/>
        <v>24.886383360000004</v>
      </c>
    </row>
    <row r="33" spans="1:21" s="51" customFormat="1">
      <c r="A33" s="46">
        <v>5</v>
      </c>
      <c r="B33" s="47" t="s">
        <v>194</v>
      </c>
      <c r="C33" s="55" t="s">
        <v>199</v>
      </c>
      <c r="D33" s="49"/>
      <c r="E33" s="49">
        <v>1</v>
      </c>
      <c r="F33" s="56">
        <f t="shared" si="9"/>
        <v>2.9935</v>
      </c>
      <c r="G33" s="56">
        <v>2.1</v>
      </c>
      <c r="H33" s="56">
        <f t="shared" si="10"/>
        <v>0.4</v>
      </c>
      <c r="I33" s="56">
        <v>0.4</v>
      </c>
      <c r="J33" s="56"/>
      <c r="K33" s="56"/>
      <c r="L33" s="56"/>
      <c r="M33" s="56"/>
      <c r="N33" s="56"/>
      <c r="O33" s="56"/>
      <c r="P33" s="56"/>
      <c r="Q33" s="56"/>
      <c r="R33" s="56"/>
      <c r="S33" s="56">
        <f t="shared" si="11"/>
        <v>0.49349999999999999</v>
      </c>
      <c r="T33" s="50">
        <f t="shared" si="12"/>
        <v>53.523780000000002</v>
      </c>
      <c r="U33" s="50">
        <f t="shared" si="13"/>
        <v>11.135820000000001</v>
      </c>
    </row>
    <row r="34" spans="1:21" s="51" customFormat="1">
      <c r="A34" s="46">
        <v>6</v>
      </c>
      <c r="B34" s="47" t="s">
        <v>123</v>
      </c>
      <c r="C34" s="55" t="s">
        <v>199</v>
      </c>
      <c r="D34" s="49"/>
      <c r="E34" s="49">
        <v>15</v>
      </c>
      <c r="F34" s="56">
        <f t="shared" si="9"/>
        <v>60.652500000000003</v>
      </c>
      <c r="G34" s="56">
        <f>2.1*E34</f>
        <v>31.5</v>
      </c>
      <c r="H34" s="56">
        <f t="shared" si="10"/>
        <v>21.75</v>
      </c>
      <c r="I34" s="56">
        <f>0.4*E34</f>
        <v>6</v>
      </c>
      <c r="J34" s="56"/>
      <c r="K34" s="56"/>
      <c r="L34" s="56">
        <f>(G34+J34+K34)*50%</f>
        <v>15.75</v>
      </c>
      <c r="M34" s="56"/>
      <c r="N34" s="56"/>
      <c r="O34" s="56"/>
      <c r="P34" s="56"/>
      <c r="Q34" s="56"/>
      <c r="R34" s="56"/>
      <c r="S34" s="56">
        <f t="shared" si="11"/>
        <v>7.4024999999999999</v>
      </c>
      <c r="T34" s="50">
        <f t="shared" si="12"/>
        <v>1084.4666999999999</v>
      </c>
      <c r="U34" s="50">
        <f t="shared" si="13"/>
        <v>225.62730000000002</v>
      </c>
    </row>
    <row r="35" spans="1:21" s="82" customFormat="1">
      <c r="A35" s="34" t="s">
        <v>200</v>
      </c>
      <c r="B35" s="81" t="s">
        <v>201</v>
      </c>
      <c r="C35" s="36" t="s">
        <v>202</v>
      </c>
      <c r="D35" s="37">
        <f>D36+D38+D40+D42+D46+D47+D49+D51+D55+D57+D58+D61+D62</f>
        <v>25</v>
      </c>
      <c r="E35" s="37">
        <f>E36+E38+E40+E42+E46+E47+E49+E51+E55+E57+E58+E61+E62</f>
        <v>7</v>
      </c>
      <c r="F35" s="38">
        <f t="shared" ref="F35:U35" si="14">F36+F38+F40+F42+F46+F47+F49+F51+F55+F57+F58+F61+F62</f>
        <v>150.95610249999999</v>
      </c>
      <c r="G35" s="38">
        <f t="shared" si="14"/>
        <v>63.150000000000006</v>
      </c>
      <c r="H35" s="38">
        <f t="shared" si="14"/>
        <v>72.44850000000001</v>
      </c>
      <c r="I35" s="38">
        <f t="shared" si="14"/>
        <v>13.399999999999999</v>
      </c>
      <c r="J35" s="38">
        <f t="shared" si="14"/>
        <v>0</v>
      </c>
      <c r="K35" s="38">
        <f t="shared" si="14"/>
        <v>0</v>
      </c>
      <c r="L35" s="38">
        <f t="shared" si="14"/>
        <v>37.191000000000003</v>
      </c>
      <c r="M35" s="38">
        <f t="shared" si="14"/>
        <v>19.655999999999999</v>
      </c>
      <c r="N35" s="38">
        <f t="shared" si="14"/>
        <v>0</v>
      </c>
      <c r="O35" s="38">
        <f t="shared" si="14"/>
        <v>0</v>
      </c>
      <c r="P35" s="38">
        <f t="shared" si="14"/>
        <v>0</v>
      </c>
      <c r="Q35" s="38">
        <f t="shared" si="14"/>
        <v>2.2014999999999998</v>
      </c>
      <c r="R35" s="38">
        <f t="shared" si="14"/>
        <v>0</v>
      </c>
      <c r="S35" s="38">
        <f t="shared" si="14"/>
        <v>15.357602499999999</v>
      </c>
      <c r="T35" s="38">
        <f t="shared" si="14"/>
        <v>2699.0951126999998</v>
      </c>
      <c r="U35" s="38">
        <f t="shared" si="14"/>
        <v>561.55670129999999</v>
      </c>
    </row>
    <row r="36" spans="1:21" s="53" customFormat="1">
      <c r="A36" s="52">
        <v>1</v>
      </c>
      <c r="B36" s="41" t="s">
        <v>119</v>
      </c>
      <c r="C36" s="30" t="s">
        <v>203</v>
      </c>
      <c r="D36" s="31">
        <v>2</v>
      </c>
      <c r="E36" s="31">
        <v>0</v>
      </c>
      <c r="F36" s="63">
        <f t="shared" ref="F36:U36" si="15">SUM(F37:F37)</f>
        <v>13.331799999999999</v>
      </c>
      <c r="G36" s="63">
        <f t="shared" si="15"/>
        <v>4.68</v>
      </c>
      <c r="H36" s="63">
        <f t="shared" si="15"/>
        <v>7.5519999999999996</v>
      </c>
      <c r="I36" s="63">
        <f t="shared" si="15"/>
        <v>1</v>
      </c>
      <c r="J36" s="63">
        <f t="shared" si="15"/>
        <v>0</v>
      </c>
      <c r="K36" s="63">
        <f t="shared" si="15"/>
        <v>0</v>
      </c>
      <c r="L36" s="63">
        <f t="shared" si="15"/>
        <v>3.2759999999999998</v>
      </c>
      <c r="M36" s="63">
        <f t="shared" si="15"/>
        <v>3.2759999999999998</v>
      </c>
      <c r="N36" s="63">
        <f t="shared" si="15"/>
        <v>0</v>
      </c>
      <c r="O36" s="63">
        <f t="shared" si="15"/>
        <v>0</v>
      </c>
      <c r="P36" s="63">
        <f t="shared" si="15"/>
        <v>0</v>
      </c>
      <c r="Q36" s="63">
        <f t="shared" si="15"/>
        <v>0</v>
      </c>
      <c r="R36" s="63">
        <f t="shared" si="15"/>
        <v>0</v>
      </c>
      <c r="S36" s="63">
        <f t="shared" si="15"/>
        <v>1.0997999999999999</v>
      </c>
      <c r="T36" s="63">
        <f t="shared" si="15"/>
        <v>238.37258399999999</v>
      </c>
      <c r="U36" s="63">
        <f t="shared" si="15"/>
        <v>49.594296</v>
      </c>
    </row>
    <row r="37" spans="1:21" s="51" customFormat="1">
      <c r="A37" s="57">
        <v>1</v>
      </c>
      <c r="B37" s="47" t="s">
        <v>123</v>
      </c>
      <c r="C37" s="55" t="s">
        <v>203</v>
      </c>
      <c r="D37" s="49"/>
      <c r="E37" s="49">
        <v>2</v>
      </c>
      <c r="F37" s="56">
        <f>G37+H37+S37</f>
        <v>13.331799999999999</v>
      </c>
      <c r="G37" s="83">
        <f>2.34*E37</f>
        <v>4.68</v>
      </c>
      <c r="H37" s="56">
        <f>I37+J37+K37+L37+M37+N37+O37+Q37+R37</f>
        <v>7.5519999999999996</v>
      </c>
      <c r="I37" s="56">
        <f>0.5*E37</f>
        <v>1</v>
      </c>
      <c r="J37" s="83"/>
      <c r="K37" s="56"/>
      <c r="L37" s="84">
        <f>(G37+J37+K37)*70%</f>
        <v>3.2759999999999998</v>
      </c>
      <c r="M37" s="83">
        <f>L37</f>
        <v>3.2759999999999998</v>
      </c>
      <c r="N37" s="83"/>
      <c r="O37" s="56"/>
      <c r="P37" s="56"/>
      <c r="Q37" s="56"/>
      <c r="R37" s="56"/>
      <c r="S37" s="56">
        <f>(G37+J37+K37+Q37)*23.5%</f>
        <v>1.0997999999999999</v>
      </c>
      <c r="T37" s="50">
        <f>F37*1.49*12</f>
        <v>238.37258399999999</v>
      </c>
      <c r="U37" s="50">
        <f>F37*0.31*12</f>
        <v>49.594296</v>
      </c>
    </row>
    <row r="38" spans="1:21" s="53" customFormat="1">
      <c r="A38" s="52">
        <v>2</v>
      </c>
      <c r="B38" s="41" t="s">
        <v>122</v>
      </c>
      <c r="C38" s="30" t="s">
        <v>204</v>
      </c>
      <c r="D38" s="31">
        <v>2</v>
      </c>
      <c r="E38" s="31">
        <v>0</v>
      </c>
      <c r="F38" s="32">
        <f t="shared" ref="F38:U38" si="16">SUM(F39:F39)</f>
        <v>9.1197999999999997</v>
      </c>
      <c r="G38" s="32">
        <f t="shared" si="16"/>
        <v>4.68</v>
      </c>
      <c r="H38" s="32">
        <f t="shared" si="16"/>
        <v>3.34</v>
      </c>
      <c r="I38" s="32">
        <f t="shared" si="16"/>
        <v>1</v>
      </c>
      <c r="J38" s="85">
        <f t="shared" si="16"/>
        <v>0</v>
      </c>
      <c r="K38" s="32">
        <f t="shared" si="16"/>
        <v>0</v>
      </c>
      <c r="L38" s="32">
        <f t="shared" si="16"/>
        <v>2.34</v>
      </c>
      <c r="M38" s="32">
        <f t="shared" si="16"/>
        <v>0</v>
      </c>
      <c r="N38" s="32">
        <f t="shared" si="16"/>
        <v>0</v>
      </c>
      <c r="O38" s="32">
        <f t="shared" si="16"/>
        <v>0</v>
      </c>
      <c r="P38" s="32">
        <f t="shared" si="16"/>
        <v>0</v>
      </c>
      <c r="Q38" s="32">
        <f t="shared" si="16"/>
        <v>0</v>
      </c>
      <c r="R38" s="32">
        <f t="shared" si="16"/>
        <v>0</v>
      </c>
      <c r="S38" s="32">
        <f t="shared" si="16"/>
        <v>1.0997999999999999</v>
      </c>
      <c r="T38" s="32">
        <f t="shared" si="16"/>
        <v>163.06202400000001</v>
      </c>
      <c r="U38" s="32">
        <f t="shared" si="16"/>
        <v>33.925655999999996</v>
      </c>
    </row>
    <row r="39" spans="1:21" s="51" customFormat="1">
      <c r="A39" s="74">
        <v>1</v>
      </c>
      <c r="B39" s="47" t="s">
        <v>123</v>
      </c>
      <c r="C39" s="55" t="s">
        <v>204</v>
      </c>
      <c r="D39" s="49"/>
      <c r="E39" s="49">
        <v>2</v>
      </c>
      <c r="F39" s="56">
        <f>G39+H39+S39</f>
        <v>9.1197999999999997</v>
      </c>
      <c r="G39" s="56">
        <f>2.34*E39</f>
        <v>4.68</v>
      </c>
      <c r="H39" s="56">
        <f>SUM(I39:R39)</f>
        <v>3.34</v>
      </c>
      <c r="I39" s="56">
        <f>0.5*2</f>
        <v>1</v>
      </c>
      <c r="J39" s="56"/>
      <c r="K39" s="56"/>
      <c r="L39" s="86">
        <f>(G39+J39+K39)*50%</f>
        <v>2.34</v>
      </c>
      <c r="M39" s="56"/>
      <c r="N39" s="56"/>
      <c r="O39" s="56"/>
      <c r="P39" s="56"/>
      <c r="Q39" s="56"/>
      <c r="R39" s="56"/>
      <c r="S39" s="56">
        <f>(G39+J39+K39+Q39)*23.5%</f>
        <v>1.0997999999999999</v>
      </c>
      <c r="T39" s="50">
        <f>F39*1.49*12</f>
        <v>163.06202400000001</v>
      </c>
      <c r="U39" s="50">
        <f>F39*0.31*12</f>
        <v>33.925655999999996</v>
      </c>
    </row>
    <row r="40" spans="1:21" s="53" customFormat="1">
      <c r="A40" s="52">
        <v>3</v>
      </c>
      <c r="B40" s="41" t="s">
        <v>125</v>
      </c>
      <c r="C40" s="30" t="s">
        <v>205</v>
      </c>
      <c r="D40" s="31">
        <v>5</v>
      </c>
      <c r="E40" s="31">
        <v>0</v>
      </c>
      <c r="F40" s="32">
        <f t="shared" ref="F40:U40" si="17">SUM(F41:F41)</f>
        <v>34.329499999999996</v>
      </c>
      <c r="G40" s="32">
        <f t="shared" si="17"/>
        <v>11.7</v>
      </c>
      <c r="H40" s="32">
        <f t="shared" si="17"/>
        <v>19.88</v>
      </c>
      <c r="I40" s="32">
        <f t="shared" si="17"/>
        <v>3.5</v>
      </c>
      <c r="J40" s="32">
        <f t="shared" si="17"/>
        <v>0</v>
      </c>
      <c r="K40" s="32">
        <f t="shared" si="17"/>
        <v>0</v>
      </c>
      <c r="L40" s="32">
        <f t="shared" si="17"/>
        <v>8.19</v>
      </c>
      <c r="M40" s="32">
        <f t="shared" si="17"/>
        <v>8.19</v>
      </c>
      <c r="N40" s="32">
        <f t="shared" si="17"/>
        <v>0</v>
      </c>
      <c r="O40" s="32">
        <f t="shared" si="17"/>
        <v>0</v>
      </c>
      <c r="P40" s="32">
        <f t="shared" si="17"/>
        <v>0</v>
      </c>
      <c r="Q40" s="32">
        <f t="shared" si="17"/>
        <v>0</v>
      </c>
      <c r="R40" s="32">
        <f t="shared" si="17"/>
        <v>0</v>
      </c>
      <c r="S40" s="32">
        <f t="shared" si="17"/>
        <v>2.7494999999999998</v>
      </c>
      <c r="T40" s="32">
        <f t="shared" si="17"/>
        <v>613.8114599999999</v>
      </c>
      <c r="U40" s="32">
        <f t="shared" si="17"/>
        <v>127.70573999999999</v>
      </c>
    </row>
    <row r="41" spans="1:21" s="51" customFormat="1">
      <c r="A41" s="74">
        <v>1</v>
      </c>
      <c r="B41" s="47" t="s">
        <v>123</v>
      </c>
      <c r="C41" s="55" t="s">
        <v>205</v>
      </c>
      <c r="D41" s="49"/>
      <c r="E41" s="49">
        <v>5</v>
      </c>
      <c r="F41" s="56">
        <f>G41+H41+S41</f>
        <v>34.329499999999996</v>
      </c>
      <c r="G41" s="56">
        <f>2.34*E41</f>
        <v>11.7</v>
      </c>
      <c r="H41" s="56">
        <f>SUM(I41:R41)</f>
        <v>19.88</v>
      </c>
      <c r="I41" s="56">
        <f>0.7*E41</f>
        <v>3.5</v>
      </c>
      <c r="J41" s="56"/>
      <c r="K41" s="56"/>
      <c r="L41" s="56">
        <f>(G41+J41+K41)*70%</f>
        <v>8.19</v>
      </c>
      <c r="M41" s="56">
        <f>L41</f>
        <v>8.19</v>
      </c>
      <c r="N41" s="56"/>
      <c r="O41" s="56"/>
      <c r="P41" s="56"/>
      <c r="Q41" s="56"/>
      <c r="R41" s="56"/>
      <c r="S41" s="56">
        <f>(G41+J41+K41+Q41)*23.5%</f>
        <v>2.7494999999999998</v>
      </c>
      <c r="T41" s="50">
        <f>F41*1.49*12</f>
        <v>613.8114599999999</v>
      </c>
      <c r="U41" s="50">
        <f>F41*0.31*12</f>
        <v>127.70573999999999</v>
      </c>
    </row>
    <row r="42" spans="1:21" s="53" customFormat="1">
      <c r="A42" s="52">
        <v>4</v>
      </c>
      <c r="B42" s="41" t="s">
        <v>20</v>
      </c>
      <c r="C42" s="30" t="s">
        <v>206</v>
      </c>
      <c r="D42" s="31">
        <v>3</v>
      </c>
      <c r="E42" s="31">
        <v>3</v>
      </c>
      <c r="F42" s="63">
        <f t="shared" ref="F42:U42" si="18">SUM(F43:F45)</f>
        <v>21.831769999999999</v>
      </c>
      <c r="G42" s="63">
        <f t="shared" si="18"/>
        <v>10.68</v>
      </c>
      <c r="H42" s="63">
        <f t="shared" si="18"/>
        <v>8.2419999999999991</v>
      </c>
      <c r="I42" s="63">
        <f t="shared" si="18"/>
        <v>1.2000000000000002</v>
      </c>
      <c r="J42" s="63">
        <f t="shared" si="18"/>
        <v>0</v>
      </c>
      <c r="K42" s="63">
        <f t="shared" si="18"/>
        <v>0</v>
      </c>
      <c r="L42" s="63">
        <f t="shared" si="18"/>
        <v>5.34</v>
      </c>
      <c r="M42" s="63">
        <f t="shared" si="18"/>
        <v>0</v>
      </c>
      <c r="N42" s="63">
        <f t="shared" si="18"/>
        <v>0</v>
      </c>
      <c r="O42" s="63">
        <f t="shared" si="18"/>
        <v>0</v>
      </c>
      <c r="P42" s="63">
        <f t="shared" si="18"/>
        <v>0</v>
      </c>
      <c r="Q42" s="63">
        <f t="shared" si="18"/>
        <v>1.702</v>
      </c>
      <c r="R42" s="63">
        <f t="shared" si="18"/>
        <v>0</v>
      </c>
      <c r="S42" s="63">
        <f t="shared" si="18"/>
        <v>2.9097699999999995</v>
      </c>
      <c r="T42" s="63">
        <f t="shared" si="18"/>
        <v>390.35204759999999</v>
      </c>
      <c r="U42" s="63">
        <f t="shared" si="18"/>
        <v>81.214184399999994</v>
      </c>
    </row>
    <row r="43" spans="1:21" s="51" customFormat="1">
      <c r="A43" s="74">
        <v>1</v>
      </c>
      <c r="B43" s="47" t="s">
        <v>388</v>
      </c>
      <c r="C43" s="55" t="s">
        <v>206</v>
      </c>
      <c r="D43" s="49"/>
      <c r="E43" s="49"/>
      <c r="F43" s="56">
        <f>G43+H43+S43</f>
        <v>4.6332939999999994</v>
      </c>
      <c r="G43" s="67">
        <v>2.34</v>
      </c>
      <c r="H43" s="87">
        <f>I43+J43+K43+L43+M43+N43+O43+Q43+R43</f>
        <v>1.7103999999999999</v>
      </c>
      <c r="I43" s="88">
        <v>0.4</v>
      </c>
      <c r="J43" s="89"/>
      <c r="K43" s="49"/>
      <c r="L43" s="56">
        <f>(G43+J43+K43)*50%</f>
        <v>1.17</v>
      </c>
      <c r="M43" s="90"/>
      <c r="N43" s="91"/>
      <c r="O43" s="49"/>
      <c r="P43" s="92"/>
      <c r="Q43" s="93">
        <f>(G43+J43+K43)*6%</f>
        <v>0.1404</v>
      </c>
      <c r="R43" s="49"/>
      <c r="S43" s="93">
        <f>(G43+J43+K43+Q43)*23.5%</f>
        <v>0.58289399999999991</v>
      </c>
      <c r="T43" s="50">
        <f>F43*1.49*12</f>
        <v>82.843296719999984</v>
      </c>
      <c r="U43" s="50">
        <f>F43*0.31*12</f>
        <v>17.235853679999998</v>
      </c>
    </row>
    <row r="44" spans="1:21" s="51" customFormat="1">
      <c r="A44" s="74">
        <v>2</v>
      </c>
      <c r="B44" s="47" t="s">
        <v>389</v>
      </c>
      <c r="C44" s="55" t="s">
        <v>206</v>
      </c>
      <c r="D44" s="49"/>
      <c r="E44" s="49"/>
      <c r="F44" s="56">
        <f>G44+H44+S44</f>
        <v>9.2162759999999988</v>
      </c>
      <c r="G44" s="67">
        <v>4.34</v>
      </c>
      <c r="H44" s="87">
        <f>I44+J44+K44+L44+M44+N44+O44+Q44+R44</f>
        <v>3.6115999999999997</v>
      </c>
      <c r="I44" s="88">
        <v>0.4</v>
      </c>
      <c r="J44" s="89"/>
      <c r="K44" s="49"/>
      <c r="L44" s="56">
        <f>(G44+J44+K44)*50%</f>
        <v>2.17</v>
      </c>
      <c r="M44" s="90"/>
      <c r="N44" s="91"/>
      <c r="O44" s="49"/>
      <c r="P44" s="92"/>
      <c r="Q44" s="93">
        <f>(G44+J44+K44)*24%</f>
        <v>1.0415999999999999</v>
      </c>
      <c r="R44" s="49"/>
      <c r="S44" s="93">
        <f>(G44+J44+K44+Q44)*23.5%</f>
        <v>1.2646759999999999</v>
      </c>
      <c r="T44" s="50">
        <f>F44*1.49*12</f>
        <v>164.78701487999999</v>
      </c>
      <c r="U44" s="50">
        <f>F44*0.31*12</f>
        <v>34.284546719999994</v>
      </c>
    </row>
    <row r="45" spans="1:21" s="51" customFormat="1">
      <c r="A45" s="74">
        <v>3</v>
      </c>
      <c r="B45" s="47" t="s">
        <v>390</v>
      </c>
      <c r="C45" s="55" t="s">
        <v>206</v>
      </c>
      <c r="D45" s="49"/>
      <c r="E45" s="49"/>
      <c r="F45" s="56">
        <f>G45+H45+S45</f>
        <v>7.9821999999999997</v>
      </c>
      <c r="G45" s="67">
        <v>4</v>
      </c>
      <c r="H45" s="87">
        <f>I45+J45+K45+L45+M45+N45+O45+Q45+R45</f>
        <v>2.92</v>
      </c>
      <c r="I45" s="88">
        <v>0.4</v>
      </c>
      <c r="J45" s="94"/>
      <c r="K45" s="93"/>
      <c r="L45" s="56">
        <f>(G45+J45+K45)*50%</f>
        <v>2</v>
      </c>
      <c r="M45" s="90"/>
      <c r="N45" s="91"/>
      <c r="O45" s="49"/>
      <c r="P45" s="92"/>
      <c r="Q45" s="93">
        <f>(G45+J45+K45)*13%</f>
        <v>0.52</v>
      </c>
      <c r="R45" s="49"/>
      <c r="S45" s="93">
        <f>(G45+J45+K45+Q45)*23.5%</f>
        <v>1.0621999999999998</v>
      </c>
      <c r="T45" s="50">
        <f>F45*1.49*12</f>
        <v>142.72173599999999</v>
      </c>
      <c r="U45" s="50">
        <f>F45*0.31*12</f>
        <v>29.693784000000001</v>
      </c>
    </row>
    <row r="46" spans="1:21" s="62" customFormat="1">
      <c r="A46" s="52">
        <v>5</v>
      </c>
      <c r="B46" s="41" t="s">
        <v>130</v>
      </c>
      <c r="C46" s="58"/>
      <c r="D46" s="59"/>
      <c r="E46" s="59"/>
      <c r="F46" s="95"/>
      <c r="G46" s="96"/>
      <c r="H46" s="95"/>
      <c r="I46" s="96"/>
      <c r="J46" s="97"/>
      <c r="K46" s="96"/>
      <c r="L46" s="97"/>
      <c r="M46" s="96"/>
      <c r="N46" s="96"/>
      <c r="O46" s="96"/>
      <c r="P46" s="96"/>
      <c r="Q46" s="96"/>
      <c r="R46" s="96"/>
      <c r="S46" s="95"/>
      <c r="T46" s="95"/>
      <c r="U46" s="95"/>
    </row>
    <row r="47" spans="1:21" s="53" customFormat="1">
      <c r="A47" s="52">
        <v>6</v>
      </c>
      <c r="B47" s="41" t="s">
        <v>134</v>
      </c>
      <c r="C47" s="30" t="s">
        <v>207</v>
      </c>
      <c r="D47" s="31">
        <v>2</v>
      </c>
      <c r="E47" s="31">
        <v>0</v>
      </c>
      <c r="F47" s="32">
        <f t="shared" ref="F47:U47" si="19">SUM(F48:F48)</f>
        <v>9.1197999999999997</v>
      </c>
      <c r="G47" s="63">
        <f t="shared" si="19"/>
        <v>4.68</v>
      </c>
      <c r="H47" s="63">
        <f t="shared" si="19"/>
        <v>3.34</v>
      </c>
      <c r="I47" s="63">
        <f t="shared" si="19"/>
        <v>1</v>
      </c>
      <c r="J47" s="63">
        <f t="shared" si="19"/>
        <v>0</v>
      </c>
      <c r="K47" s="63">
        <f t="shared" si="19"/>
        <v>0</v>
      </c>
      <c r="L47" s="63">
        <f t="shared" si="19"/>
        <v>2.34</v>
      </c>
      <c r="M47" s="63">
        <f t="shared" si="19"/>
        <v>0</v>
      </c>
      <c r="N47" s="63">
        <f t="shared" si="19"/>
        <v>0</v>
      </c>
      <c r="O47" s="63">
        <f t="shared" si="19"/>
        <v>0</v>
      </c>
      <c r="P47" s="63">
        <f t="shared" si="19"/>
        <v>0</v>
      </c>
      <c r="Q47" s="63">
        <f t="shared" si="19"/>
        <v>0</v>
      </c>
      <c r="R47" s="63">
        <f t="shared" si="19"/>
        <v>0</v>
      </c>
      <c r="S47" s="63">
        <f t="shared" si="19"/>
        <v>1.0997999999999999</v>
      </c>
      <c r="T47" s="63">
        <f t="shared" si="19"/>
        <v>163.06202400000001</v>
      </c>
      <c r="U47" s="63">
        <f t="shared" si="19"/>
        <v>33.925655999999996</v>
      </c>
    </row>
    <row r="48" spans="1:21" s="51" customFormat="1">
      <c r="A48" s="74">
        <v>1</v>
      </c>
      <c r="B48" s="47" t="s">
        <v>123</v>
      </c>
      <c r="C48" s="55" t="s">
        <v>207</v>
      </c>
      <c r="D48" s="49"/>
      <c r="E48" s="49">
        <v>2</v>
      </c>
      <c r="F48" s="56">
        <f>G48+H48+S48</f>
        <v>9.1197999999999997</v>
      </c>
      <c r="G48" s="56">
        <f>2.34*2</f>
        <v>4.68</v>
      </c>
      <c r="H48" s="56">
        <f>SUM(I48:R48)</f>
        <v>3.34</v>
      </c>
      <c r="I48" s="56">
        <f>0.5*2</f>
        <v>1</v>
      </c>
      <c r="J48" s="56"/>
      <c r="K48" s="56"/>
      <c r="L48" s="98">
        <f>(G48+J48+K48)*50%</f>
        <v>2.34</v>
      </c>
      <c r="M48" s="56"/>
      <c r="N48" s="56"/>
      <c r="O48" s="56"/>
      <c r="P48" s="56"/>
      <c r="Q48" s="56"/>
      <c r="R48" s="56"/>
      <c r="S48" s="56">
        <f>(G48+J48+K48+Q48)*23.5%</f>
        <v>1.0997999999999999</v>
      </c>
      <c r="T48" s="50">
        <f>F48*1.49*12</f>
        <v>163.06202400000001</v>
      </c>
      <c r="U48" s="50">
        <f>F48*0.31*12</f>
        <v>33.925655999999996</v>
      </c>
    </row>
    <row r="49" spans="1:22" s="53" customFormat="1">
      <c r="A49" s="52">
        <v>7</v>
      </c>
      <c r="B49" s="41" t="s">
        <v>208</v>
      </c>
      <c r="C49" s="30" t="s">
        <v>209</v>
      </c>
      <c r="D49" s="31">
        <v>2</v>
      </c>
      <c r="E49" s="31">
        <v>0</v>
      </c>
      <c r="F49" s="63">
        <f t="shared" ref="F49:U49" si="20">SUM(F50:F50)</f>
        <v>13.331799999999999</v>
      </c>
      <c r="G49" s="63">
        <f t="shared" si="20"/>
        <v>4.68</v>
      </c>
      <c r="H49" s="63">
        <f t="shared" si="20"/>
        <v>7.5519999999999996</v>
      </c>
      <c r="I49" s="63">
        <f t="shared" si="20"/>
        <v>1</v>
      </c>
      <c r="J49" s="63">
        <f t="shared" si="20"/>
        <v>0</v>
      </c>
      <c r="K49" s="63">
        <f t="shared" si="20"/>
        <v>0</v>
      </c>
      <c r="L49" s="63">
        <f t="shared" si="20"/>
        <v>3.2759999999999998</v>
      </c>
      <c r="M49" s="63">
        <f t="shared" si="20"/>
        <v>3.2759999999999998</v>
      </c>
      <c r="N49" s="63">
        <f t="shared" si="20"/>
        <v>0</v>
      </c>
      <c r="O49" s="63">
        <f t="shared" si="20"/>
        <v>0</v>
      </c>
      <c r="P49" s="63">
        <f t="shared" si="20"/>
        <v>0</v>
      </c>
      <c r="Q49" s="63">
        <f t="shared" si="20"/>
        <v>0</v>
      </c>
      <c r="R49" s="63">
        <f t="shared" si="20"/>
        <v>0</v>
      </c>
      <c r="S49" s="63">
        <f t="shared" si="20"/>
        <v>1.0997999999999999</v>
      </c>
      <c r="T49" s="63">
        <f t="shared" si="20"/>
        <v>238.37258399999999</v>
      </c>
      <c r="U49" s="63">
        <f t="shared" si="20"/>
        <v>49.594296</v>
      </c>
    </row>
    <row r="50" spans="1:22" s="51" customFormat="1">
      <c r="A50" s="74">
        <v>1</v>
      </c>
      <c r="B50" s="47" t="s">
        <v>123</v>
      </c>
      <c r="C50" s="55" t="s">
        <v>209</v>
      </c>
      <c r="D50" s="49"/>
      <c r="E50" s="49">
        <v>2</v>
      </c>
      <c r="F50" s="56">
        <f>G50+H50+S50</f>
        <v>13.331799999999999</v>
      </c>
      <c r="G50" s="56">
        <f>2.34*2</f>
        <v>4.68</v>
      </c>
      <c r="H50" s="56">
        <f>SUM(I50:R50)</f>
        <v>7.5519999999999996</v>
      </c>
      <c r="I50" s="56">
        <f>0.5*2</f>
        <v>1</v>
      </c>
      <c r="J50" s="56"/>
      <c r="K50" s="56"/>
      <c r="L50" s="151">
        <f>(G50+J50+K50)*70%</f>
        <v>3.2759999999999998</v>
      </c>
      <c r="M50" s="56">
        <f>L50</f>
        <v>3.2759999999999998</v>
      </c>
      <c r="N50" s="56"/>
      <c r="O50" s="56"/>
      <c r="P50" s="56"/>
      <c r="Q50" s="56"/>
      <c r="R50" s="56"/>
      <c r="S50" s="56">
        <f>(G50+J50+K50+Q50)*23.5%</f>
        <v>1.0997999999999999</v>
      </c>
      <c r="T50" s="50">
        <f>F50*1.49*12</f>
        <v>238.37258399999999</v>
      </c>
      <c r="U50" s="50">
        <f>F50*0.31*12</f>
        <v>49.594296</v>
      </c>
      <c r="V50" s="51">
        <f>T50/2</f>
        <v>119.18629199999999</v>
      </c>
    </row>
    <row r="51" spans="1:22" s="53" customFormat="1">
      <c r="A51" s="52">
        <v>8</v>
      </c>
      <c r="B51" s="41" t="s">
        <v>24</v>
      </c>
      <c r="C51" s="30" t="s">
        <v>210</v>
      </c>
      <c r="D51" s="31">
        <v>4</v>
      </c>
      <c r="E51" s="31">
        <v>2</v>
      </c>
      <c r="F51" s="32">
        <f t="shared" ref="F51:U51" si="21">SUM(F52:F54)</f>
        <v>18.239599999999999</v>
      </c>
      <c r="G51" s="32">
        <f t="shared" si="21"/>
        <v>9.36</v>
      </c>
      <c r="H51" s="32">
        <f t="shared" si="21"/>
        <v>6.68</v>
      </c>
      <c r="I51" s="32">
        <f t="shared" si="21"/>
        <v>2</v>
      </c>
      <c r="J51" s="32">
        <f t="shared" si="21"/>
        <v>0</v>
      </c>
      <c r="K51" s="32">
        <f t="shared" si="21"/>
        <v>0</v>
      </c>
      <c r="L51" s="32">
        <f t="shared" si="21"/>
        <v>4.68</v>
      </c>
      <c r="M51" s="32">
        <f t="shared" si="21"/>
        <v>0</v>
      </c>
      <c r="N51" s="32">
        <f t="shared" si="21"/>
        <v>0</v>
      </c>
      <c r="O51" s="32">
        <f t="shared" si="21"/>
        <v>0</v>
      </c>
      <c r="P51" s="32">
        <f t="shared" si="21"/>
        <v>0</v>
      </c>
      <c r="Q51" s="32">
        <f t="shared" si="21"/>
        <v>0</v>
      </c>
      <c r="R51" s="32">
        <f t="shared" si="21"/>
        <v>0</v>
      </c>
      <c r="S51" s="32">
        <f t="shared" si="21"/>
        <v>2.1995999999999998</v>
      </c>
      <c r="T51" s="32">
        <f t="shared" si="21"/>
        <v>326.12404800000002</v>
      </c>
      <c r="U51" s="32">
        <f t="shared" si="21"/>
        <v>67.851311999999993</v>
      </c>
    </row>
    <row r="52" spans="1:22" s="51" customFormat="1">
      <c r="A52" s="46">
        <v>1</v>
      </c>
      <c r="B52" s="99" t="s">
        <v>391</v>
      </c>
      <c r="C52" s="55" t="s">
        <v>210</v>
      </c>
      <c r="D52" s="49"/>
      <c r="E52" s="49"/>
      <c r="F52" s="56">
        <f>G52+H52+S52</f>
        <v>4.5598999999999998</v>
      </c>
      <c r="G52" s="98">
        <v>2.34</v>
      </c>
      <c r="H52" s="98">
        <f>SUM(I52:R52)</f>
        <v>1.67</v>
      </c>
      <c r="I52" s="98">
        <v>0.5</v>
      </c>
      <c r="J52" s="98"/>
      <c r="K52" s="98"/>
      <c r="L52" s="98">
        <f>(G52+J52+K52)*50%</f>
        <v>1.17</v>
      </c>
      <c r="M52" s="98"/>
      <c r="N52" s="98"/>
      <c r="O52" s="98"/>
      <c r="P52" s="98"/>
      <c r="Q52" s="98"/>
      <c r="R52" s="98"/>
      <c r="S52" s="98">
        <f>(G52+J52+K52+Q52)*23.5%</f>
        <v>0.54989999999999994</v>
      </c>
      <c r="T52" s="50">
        <f>F52*1.49*12</f>
        <v>81.531012000000004</v>
      </c>
      <c r="U52" s="50">
        <f>F52*0.31*12</f>
        <v>16.962827999999998</v>
      </c>
    </row>
    <row r="53" spans="1:22" s="51" customFormat="1">
      <c r="A53" s="46">
        <v>2</v>
      </c>
      <c r="B53" s="99" t="s">
        <v>392</v>
      </c>
      <c r="C53" s="55" t="s">
        <v>210</v>
      </c>
      <c r="D53" s="49"/>
      <c r="E53" s="49"/>
      <c r="F53" s="56">
        <f>G53+H53+S53</f>
        <v>4.5598999999999998</v>
      </c>
      <c r="G53" s="98">
        <v>2.34</v>
      </c>
      <c r="H53" s="98">
        <f>SUM(I53:R53)</f>
        <v>1.67</v>
      </c>
      <c r="I53" s="98">
        <v>0.5</v>
      </c>
      <c r="J53" s="98"/>
      <c r="K53" s="98"/>
      <c r="L53" s="98">
        <f>(G53+J53+K53)*50%</f>
        <v>1.17</v>
      </c>
      <c r="M53" s="98"/>
      <c r="N53" s="98"/>
      <c r="O53" s="98"/>
      <c r="P53" s="98"/>
      <c r="Q53" s="98"/>
      <c r="R53" s="98"/>
      <c r="S53" s="98">
        <f>(G53+J53+K53+Q53)*23.5%</f>
        <v>0.54989999999999994</v>
      </c>
      <c r="T53" s="50">
        <f>F53*1.49*12</f>
        <v>81.531012000000004</v>
      </c>
      <c r="U53" s="50">
        <f>F53*0.31*12</f>
        <v>16.962827999999998</v>
      </c>
    </row>
    <row r="54" spans="1:22" s="51" customFormat="1">
      <c r="A54" s="46">
        <v>3</v>
      </c>
      <c r="B54" s="99" t="s">
        <v>123</v>
      </c>
      <c r="C54" s="55" t="s">
        <v>210</v>
      </c>
      <c r="D54" s="49"/>
      <c r="E54" s="49">
        <v>2</v>
      </c>
      <c r="F54" s="56">
        <f>G54+H54+S54</f>
        <v>9.1197999999999997</v>
      </c>
      <c r="G54" s="98">
        <f>2.34*2</f>
        <v>4.68</v>
      </c>
      <c r="H54" s="98">
        <f>SUM(I54:R54)</f>
        <v>3.34</v>
      </c>
      <c r="I54" s="98">
        <f>0.5*2</f>
        <v>1</v>
      </c>
      <c r="J54" s="98"/>
      <c r="K54" s="98"/>
      <c r="L54" s="98">
        <f>(G54+J54+K54)*50%</f>
        <v>2.34</v>
      </c>
      <c r="M54" s="98"/>
      <c r="N54" s="98"/>
      <c r="O54" s="98"/>
      <c r="P54" s="98"/>
      <c r="Q54" s="98"/>
      <c r="R54" s="98"/>
      <c r="S54" s="98">
        <f>(G54+J54+K54+Q54)*23.5%</f>
        <v>1.0997999999999999</v>
      </c>
      <c r="T54" s="50">
        <f>F54*1.49*12</f>
        <v>163.06202400000001</v>
      </c>
      <c r="U54" s="50">
        <f>F54*0.31*12</f>
        <v>33.925655999999996</v>
      </c>
    </row>
    <row r="55" spans="1:22" s="53" customFormat="1">
      <c r="A55" s="52">
        <v>9</v>
      </c>
      <c r="B55" s="41" t="s">
        <v>142</v>
      </c>
      <c r="C55" s="30" t="s">
        <v>211</v>
      </c>
      <c r="D55" s="31">
        <v>2</v>
      </c>
      <c r="E55" s="31">
        <v>0</v>
      </c>
      <c r="F55" s="32">
        <f t="shared" ref="F55:U55" si="22">SUM(F56:F56)</f>
        <v>13.331799999999999</v>
      </c>
      <c r="G55" s="32">
        <f t="shared" si="22"/>
        <v>4.68</v>
      </c>
      <c r="H55" s="32">
        <f t="shared" si="22"/>
        <v>7.5519999999999996</v>
      </c>
      <c r="I55" s="32">
        <f t="shared" si="22"/>
        <v>1</v>
      </c>
      <c r="J55" s="32">
        <f t="shared" si="22"/>
        <v>0</v>
      </c>
      <c r="K55" s="32">
        <f t="shared" si="22"/>
        <v>0</v>
      </c>
      <c r="L55" s="32">
        <f t="shared" si="22"/>
        <v>3.2759999999999998</v>
      </c>
      <c r="M55" s="32">
        <f t="shared" si="22"/>
        <v>3.2759999999999998</v>
      </c>
      <c r="N55" s="32">
        <f t="shared" si="22"/>
        <v>0</v>
      </c>
      <c r="O55" s="32">
        <f t="shared" si="22"/>
        <v>0</v>
      </c>
      <c r="P55" s="32">
        <f t="shared" si="22"/>
        <v>0</v>
      </c>
      <c r="Q55" s="32">
        <f t="shared" si="22"/>
        <v>0</v>
      </c>
      <c r="R55" s="32">
        <f t="shared" si="22"/>
        <v>0</v>
      </c>
      <c r="S55" s="32">
        <f t="shared" si="22"/>
        <v>1.0997999999999999</v>
      </c>
      <c r="T55" s="32">
        <f t="shared" si="22"/>
        <v>238.37258399999999</v>
      </c>
      <c r="U55" s="32">
        <f t="shared" si="22"/>
        <v>49.594296</v>
      </c>
    </row>
    <row r="56" spans="1:22" s="51" customFormat="1">
      <c r="A56" s="57">
        <v>1</v>
      </c>
      <c r="B56" s="47" t="s">
        <v>123</v>
      </c>
      <c r="C56" s="55" t="s">
        <v>211</v>
      </c>
      <c r="D56" s="49"/>
      <c r="E56" s="49">
        <v>2</v>
      </c>
      <c r="F56" s="56">
        <f>G56+H56+S56</f>
        <v>13.331799999999999</v>
      </c>
      <c r="G56" s="56">
        <f>2.34*E56</f>
        <v>4.68</v>
      </c>
      <c r="H56" s="56">
        <f>SUM(I56:R56)</f>
        <v>7.5519999999999996</v>
      </c>
      <c r="I56" s="56">
        <f>0.5*E56</f>
        <v>1</v>
      </c>
      <c r="J56" s="56"/>
      <c r="K56" s="56"/>
      <c r="L56" s="56">
        <f>(G56+J56+K56)*70%</f>
        <v>3.2759999999999998</v>
      </c>
      <c r="M56" s="56">
        <f>L56</f>
        <v>3.2759999999999998</v>
      </c>
      <c r="N56" s="56"/>
      <c r="O56" s="56"/>
      <c r="P56" s="56"/>
      <c r="Q56" s="56"/>
      <c r="R56" s="56"/>
      <c r="S56" s="56">
        <f>(G56+J56+K56+Q56)*23.5%</f>
        <v>1.0997999999999999</v>
      </c>
      <c r="T56" s="50">
        <f>F56*1.49*12</f>
        <v>238.37258399999999</v>
      </c>
      <c r="U56" s="50">
        <f>F56*0.31*12</f>
        <v>49.594296</v>
      </c>
    </row>
    <row r="57" spans="1:22" s="62" customFormat="1">
      <c r="A57" s="52">
        <v>10</v>
      </c>
      <c r="B57" s="41" t="s">
        <v>26</v>
      </c>
      <c r="C57" s="58"/>
      <c r="D57" s="59"/>
      <c r="E57" s="59"/>
      <c r="F57" s="60"/>
      <c r="G57" s="61"/>
      <c r="H57" s="60"/>
      <c r="I57" s="61"/>
      <c r="J57" s="56"/>
      <c r="K57" s="61"/>
      <c r="L57" s="56"/>
      <c r="M57" s="61"/>
      <c r="N57" s="61"/>
      <c r="O57" s="61"/>
      <c r="P57" s="61"/>
      <c r="Q57" s="61"/>
      <c r="R57" s="61"/>
      <c r="S57" s="60"/>
      <c r="T57" s="60"/>
      <c r="U57" s="60"/>
    </row>
    <row r="58" spans="1:22" s="53" customFormat="1">
      <c r="A58" s="52">
        <v>11</v>
      </c>
      <c r="B58" s="41" t="s">
        <v>146</v>
      </c>
      <c r="C58" s="30" t="s">
        <v>212</v>
      </c>
      <c r="D58" s="31">
        <v>2</v>
      </c>
      <c r="E58" s="31">
        <v>2</v>
      </c>
      <c r="F58" s="32">
        <f t="shared" ref="F58:U58" si="23">SUM(F59:F60)</f>
        <v>11.4543325</v>
      </c>
      <c r="G58" s="32">
        <f t="shared" si="23"/>
        <v>5.67</v>
      </c>
      <c r="H58" s="32">
        <f t="shared" si="23"/>
        <v>4.3345000000000002</v>
      </c>
      <c r="I58" s="32">
        <f t="shared" si="23"/>
        <v>1</v>
      </c>
      <c r="J58" s="32">
        <f t="shared" si="23"/>
        <v>0</v>
      </c>
      <c r="K58" s="32">
        <f t="shared" si="23"/>
        <v>0</v>
      </c>
      <c r="L58" s="32">
        <f t="shared" si="23"/>
        <v>2.835</v>
      </c>
      <c r="M58" s="32">
        <f t="shared" si="23"/>
        <v>0</v>
      </c>
      <c r="N58" s="32">
        <f t="shared" si="23"/>
        <v>0</v>
      </c>
      <c r="O58" s="32">
        <f t="shared" si="23"/>
        <v>0</v>
      </c>
      <c r="P58" s="32">
        <f t="shared" si="23"/>
        <v>0</v>
      </c>
      <c r="Q58" s="32">
        <f t="shared" si="23"/>
        <v>0.4995</v>
      </c>
      <c r="R58" s="32">
        <f t="shared" si="23"/>
        <v>0</v>
      </c>
      <c r="S58" s="32">
        <f t="shared" si="23"/>
        <v>1.4498324999999999</v>
      </c>
      <c r="T58" s="32">
        <f t="shared" si="23"/>
        <v>204.80346510000001</v>
      </c>
      <c r="U58" s="32">
        <f t="shared" si="23"/>
        <v>42.610116899999994</v>
      </c>
    </row>
    <row r="59" spans="1:22" s="51" customFormat="1">
      <c r="A59" s="74">
        <v>1</v>
      </c>
      <c r="B59" s="47" t="s">
        <v>393</v>
      </c>
      <c r="C59" s="55" t="s">
        <v>212</v>
      </c>
      <c r="D59" s="49"/>
      <c r="E59" s="49"/>
      <c r="F59" s="56">
        <f>G59+H59+S59</f>
        <v>6.8944325000000006</v>
      </c>
      <c r="G59" s="56">
        <v>3.33</v>
      </c>
      <c r="H59" s="56">
        <f>SUM(I59:R59)</f>
        <v>2.6644999999999999</v>
      </c>
      <c r="I59" s="56">
        <v>0.5</v>
      </c>
      <c r="J59" s="56"/>
      <c r="K59" s="56"/>
      <c r="L59" s="56">
        <f>(G59+J59+K59)*50%</f>
        <v>1.665</v>
      </c>
      <c r="M59" s="56"/>
      <c r="N59" s="56"/>
      <c r="O59" s="56"/>
      <c r="P59" s="56"/>
      <c r="Q59" s="56">
        <f>(G59+J59+K59)*15%</f>
        <v>0.4995</v>
      </c>
      <c r="R59" s="56"/>
      <c r="S59" s="56">
        <f>(G59+J59+K59+Q59)*23.5%</f>
        <v>0.89993249999999991</v>
      </c>
      <c r="T59" s="50">
        <f>F59*1.49*12</f>
        <v>123.27245310000001</v>
      </c>
      <c r="U59" s="50">
        <f>F59*0.31*12</f>
        <v>25.6472889</v>
      </c>
    </row>
    <row r="60" spans="1:22" s="51" customFormat="1">
      <c r="A60" s="74">
        <v>2</v>
      </c>
      <c r="B60" s="47" t="s">
        <v>394</v>
      </c>
      <c r="C60" s="55" t="s">
        <v>212</v>
      </c>
      <c r="D60" s="49"/>
      <c r="E60" s="49"/>
      <c r="F60" s="56">
        <f>G60+H60+S60</f>
        <v>4.5598999999999998</v>
      </c>
      <c r="G60" s="56">
        <v>2.34</v>
      </c>
      <c r="H60" s="56">
        <f>SUM(I60:R60)</f>
        <v>1.67</v>
      </c>
      <c r="I60" s="56">
        <v>0.5</v>
      </c>
      <c r="J60" s="56"/>
      <c r="K60" s="56"/>
      <c r="L60" s="56">
        <f>(G60+J60+K60)*50%</f>
        <v>1.17</v>
      </c>
      <c r="M60" s="56"/>
      <c r="N60" s="56"/>
      <c r="O60" s="56"/>
      <c r="P60" s="56"/>
      <c r="Q60" s="56"/>
      <c r="R60" s="56"/>
      <c r="S60" s="56">
        <f>(G60+J60+K60+Q60)*23.5%</f>
        <v>0.54989999999999994</v>
      </c>
      <c r="T60" s="50">
        <f>F60*1.49*12</f>
        <v>81.531012000000004</v>
      </c>
      <c r="U60" s="50">
        <f>F60*0.31*12</f>
        <v>16.962827999999998</v>
      </c>
    </row>
    <row r="61" spans="1:22" s="62" customFormat="1">
      <c r="A61" s="52">
        <v>12</v>
      </c>
      <c r="B61" s="41" t="s">
        <v>149</v>
      </c>
      <c r="C61" s="58"/>
      <c r="D61" s="59"/>
      <c r="E61" s="59"/>
      <c r="F61" s="60"/>
      <c r="G61" s="61"/>
      <c r="H61" s="60"/>
      <c r="I61" s="61"/>
      <c r="J61" s="56"/>
      <c r="K61" s="61"/>
      <c r="L61" s="56"/>
      <c r="M61" s="61"/>
      <c r="N61" s="61"/>
      <c r="O61" s="61"/>
      <c r="P61" s="61"/>
      <c r="Q61" s="61"/>
      <c r="R61" s="61"/>
      <c r="S61" s="60"/>
      <c r="T61" s="60"/>
      <c r="U61" s="60"/>
    </row>
    <row r="62" spans="1:22" s="53" customFormat="1">
      <c r="A62" s="52">
        <v>13</v>
      </c>
      <c r="B62" s="41" t="s">
        <v>152</v>
      </c>
      <c r="C62" s="30" t="s">
        <v>213</v>
      </c>
      <c r="D62" s="31">
        <v>1</v>
      </c>
      <c r="E62" s="31">
        <v>0</v>
      </c>
      <c r="F62" s="32">
        <f t="shared" ref="F62:U62" si="24">SUM(F63:F63)</f>
        <v>6.8658999999999999</v>
      </c>
      <c r="G62" s="32">
        <f t="shared" si="24"/>
        <v>2.34</v>
      </c>
      <c r="H62" s="32">
        <f t="shared" si="24"/>
        <v>3.976</v>
      </c>
      <c r="I62" s="32">
        <f t="shared" si="24"/>
        <v>0.7</v>
      </c>
      <c r="J62" s="32">
        <f t="shared" si="24"/>
        <v>0</v>
      </c>
      <c r="K62" s="32">
        <f t="shared" si="24"/>
        <v>0</v>
      </c>
      <c r="L62" s="32">
        <f t="shared" si="24"/>
        <v>1.6379999999999999</v>
      </c>
      <c r="M62" s="32">
        <f t="shared" si="24"/>
        <v>1.6379999999999999</v>
      </c>
      <c r="N62" s="32">
        <f t="shared" si="24"/>
        <v>0</v>
      </c>
      <c r="O62" s="32">
        <f t="shared" si="24"/>
        <v>0</v>
      </c>
      <c r="P62" s="32">
        <f t="shared" si="24"/>
        <v>0</v>
      </c>
      <c r="Q62" s="32">
        <f t="shared" si="24"/>
        <v>0</v>
      </c>
      <c r="R62" s="32">
        <f t="shared" si="24"/>
        <v>0</v>
      </c>
      <c r="S62" s="32">
        <f t="shared" si="24"/>
        <v>0.54989999999999994</v>
      </c>
      <c r="T62" s="32">
        <f t="shared" si="24"/>
        <v>122.762292</v>
      </c>
      <c r="U62" s="32">
        <f t="shared" si="24"/>
        <v>25.541148</v>
      </c>
    </row>
    <row r="63" spans="1:22" s="51" customFormat="1">
      <c r="A63" s="74">
        <v>1</v>
      </c>
      <c r="B63" s="47" t="s">
        <v>123</v>
      </c>
      <c r="C63" s="55" t="s">
        <v>213</v>
      </c>
      <c r="D63" s="49"/>
      <c r="E63" s="49"/>
      <c r="F63" s="56">
        <f>G63+H63+S63</f>
        <v>6.8658999999999999</v>
      </c>
      <c r="G63" s="56">
        <v>2.34</v>
      </c>
      <c r="H63" s="56">
        <f>SUM(I63:R63)</f>
        <v>3.976</v>
      </c>
      <c r="I63" s="56">
        <v>0.7</v>
      </c>
      <c r="J63" s="56"/>
      <c r="K63" s="56"/>
      <c r="L63" s="56">
        <f>(G63+J63+K63)*70%</f>
        <v>1.6379999999999999</v>
      </c>
      <c r="M63" s="56">
        <f>L63</f>
        <v>1.6379999999999999</v>
      </c>
      <c r="N63" s="56"/>
      <c r="O63" s="56"/>
      <c r="P63" s="56"/>
      <c r="Q63" s="56"/>
      <c r="R63" s="56"/>
      <c r="S63" s="56">
        <f>(G63+J63+K63+Q63)*23.5%</f>
        <v>0.54989999999999994</v>
      </c>
      <c r="T63" s="50">
        <f>F63*1.49*12</f>
        <v>122.762292</v>
      </c>
      <c r="U63" s="50">
        <f>F63*0.31*12</f>
        <v>25.541148</v>
      </c>
    </row>
    <row r="64" spans="1:22" s="82" customFormat="1">
      <c r="A64" s="34" t="s">
        <v>214</v>
      </c>
      <c r="B64" s="81" t="s">
        <v>215</v>
      </c>
      <c r="C64" s="36" t="s">
        <v>216</v>
      </c>
      <c r="D64" s="37">
        <f>D65+D66+D68+D71+D73+D75+D78+D80+D84</f>
        <v>18</v>
      </c>
      <c r="E64" s="37">
        <f>E65+E66+E68+E71+E73+E75+E78+E80+E84</f>
        <v>4</v>
      </c>
      <c r="F64" s="38">
        <f>F65+F66+F68+F71+F73+F75+F78+F80+F84</f>
        <v>92.586334999999991</v>
      </c>
      <c r="G64" s="38">
        <f t="shared" ref="G64:U64" si="25">G65+G66+G68+G71+G73+G75+G78+G80+G84</f>
        <v>46.55</v>
      </c>
      <c r="H64" s="38">
        <f t="shared" si="25"/>
        <v>34.8125</v>
      </c>
      <c r="I64" s="38">
        <f t="shared" si="25"/>
        <v>9.4</v>
      </c>
      <c r="J64" s="38">
        <f t="shared" si="25"/>
        <v>0.15</v>
      </c>
      <c r="K64" s="38">
        <f t="shared" si="25"/>
        <v>0</v>
      </c>
      <c r="L64" s="38">
        <f t="shared" si="25"/>
        <v>18.0565</v>
      </c>
      <c r="M64" s="38">
        <f t="shared" si="25"/>
        <v>5.1449999999999996</v>
      </c>
      <c r="N64" s="38">
        <f t="shared" si="25"/>
        <v>0.5</v>
      </c>
      <c r="O64" s="38">
        <f t="shared" si="25"/>
        <v>0</v>
      </c>
      <c r="P64" s="38">
        <f t="shared" si="25"/>
        <v>0</v>
      </c>
      <c r="Q64" s="38">
        <f t="shared" si="25"/>
        <v>1.0609999999999999</v>
      </c>
      <c r="R64" s="38">
        <f t="shared" si="25"/>
        <v>0.5</v>
      </c>
      <c r="S64" s="38">
        <f t="shared" si="25"/>
        <v>11.223834999999999</v>
      </c>
      <c r="T64" s="38">
        <f t="shared" si="25"/>
        <v>1655.4436698</v>
      </c>
      <c r="U64" s="38">
        <f t="shared" si="25"/>
        <v>344.42116620000002</v>
      </c>
    </row>
    <row r="65" spans="1:21" s="62" customFormat="1">
      <c r="A65" s="52">
        <v>1</v>
      </c>
      <c r="B65" s="41" t="s">
        <v>149</v>
      </c>
      <c r="C65" s="58"/>
      <c r="D65" s="59"/>
      <c r="E65" s="59"/>
      <c r="F65" s="60"/>
      <c r="G65" s="61"/>
      <c r="H65" s="60"/>
      <c r="I65" s="61"/>
      <c r="J65" s="56"/>
      <c r="K65" s="61"/>
      <c r="L65" s="56"/>
      <c r="M65" s="61"/>
      <c r="N65" s="61"/>
      <c r="O65" s="61"/>
      <c r="P65" s="61"/>
      <c r="Q65" s="61"/>
      <c r="R65" s="61"/>
      <c r="S65" s="60"/>
      <c r="T65" s="60"/>
      <c r="U65" s="60"/>
    </row>
    <row r="66" spans="1:21" s="53" customFormat="1">
      <c r="A66" s="52">
        <v>2</v>
      </c>
      <c r="B66" s="41" t="s">
        <v>153</v>
      </c>
      <c r="C66" s="30" t="s">
        <v>217</v>
      </c>
      <c r="D66" s="31">
        <v>1</v>
      </c>
      <c r="E66" s="31">
        <v>0</v>
      </c>
      <c r="F66" s="32">
        <f t="shared" ref="F66:U66" si="26">SUM(F67:F67)</f>
        <v>6.8658999999999999</v>
      </c>
      <c r="G66" s="32">
        <f t="shared" si="26"/>
        <v>2.34</v>
      </c>
      <c r="H66" s="32">
        <f t="shared" si="26"/>
        <v>3.976</v>
      </c>
      <c r="I66" s="63">
        <f t="shared" si="26"/>
        <v>0.7</v>
      </c>
      <c r="J66" s="63">
        <f t="shared" si="26"/>
        <v>0</v>
      </c>
      <c r="K66" s="63">
        <f t="shared" si="26"/>
        <v>0</v>
      </c>
      <c r="L66" s="63">
        <f t="shared" si="26"/>
        <v>1.6379999999999999</v>
      </c>
      <c r="M66" s="63">
        <f t="shared" si="26"/>
        <v>1.6379999999999999</v>
      </c>
      <c r="N66" s="63">
        <f t="shared" si="26"/>
        <v>0</v>
      </c>
      <c r="O66" s="63">
        <f t="shared" si="26"/>
        <v>0</v>
      </c>
      <c r="P66" s="63">
        <f t="shared" si="26"/>
        <v>0</v>
      </c>
      <c r="Q66" s="63">
        <f t="shared" si="26"/>
        <v>0</v>
      </c>
      <c r="R66" s="63">
        <f t="shared" si="26"/>
        <v>0</v>
      </c>
      <c r="S66" s="32">
        <f t="shared" si="26"/>
        <v>0.54989999999999994</v>
      </c>
      <c r="T66" s="32">
        <f t="shared" si="26"/>
        <v>122.762292</v>
      </c>
      <c r="U66" s="32">
        <f t="shared" si="26"/>
        <v>25.541148</v>
      </c>
    </row>
    <row r="67" spans="1:21" s="51" customFormat="1">
      <c r="A67" s="74">
        <v>1</v>
      </c>
      <c r="B67" s="47" t="s">
        <v>123</v>
      </c>
      <c r="C67" s="55" t="s">
        <v>217</v>
      </c>
      <c r="D67" s="49"/>
      <c r="E67" s="49">
        <v>1</v>
      </c>
      <c r="F67" s="56">
        <f>G67+H67+S67</f>
        <v>6.8658999999999999</v>
      </c>
      <c r="G67" s="56">
        <f>2.34*E67</f>
        <v>2.34</v>
      </c>
      <c r="H67" s="56">
        <f>SUM(I67:R67)</f>
        <v>3.976</v>
      </c>
      <c r="I67" s="56">
        <f>0.7*E67</f>
        <v>0.7</v>
      </c>
      <c r="J67" s="56"/>
      <c r="K67" s="56"/>
      <c r="L67" s="56">
        <f>(G67+J67+K67)*70%</f>
        <v>1.6379999999999999</v>
      </c>
      <c r="M67" s="56">
        <f>L67</f>
        <v>1.6379999999999999</v>
      </c>
      <c r="N67" s="56"/>
      <c r="O67" s="56"/>
      <c r="P67" s="56"/>
      <c r="Q67" s="56"/>
      <c r="R67" s="56"/>
      <c r="S67" s="56">
        <f>(G67+J67+K67+Q67)*23.5%</f>
        <v>0.54989999999999994</v>
      </c>
      <c r="T67" s="50">
        <f>F67*1.49*12</f>
        <v>122.762292</v>
      </c>
      <c r="U67" s="50">
        <f>F67*0.31*12</f>
        <v>25.541148</v>
      </c>
    </row>
    <row r="68" spans="1:21" s="53" customFormat="1">
      <c r="A68" s="52">
        <v>3</v>
      </c>
      <c r="B68" s="41" t="s">
        <v>154</v>
      </c>
      <c r="C68" s="30" t="s">
        <v>218</v>
      </c>
      <c r="D68" s="31">
        <v>2</v>
      </c>
      <c r="E68" s="31">
        <v>2</v>
      </c>
      <c r="F68" s="32">
        <f t="shared" ref="F68:U68" si="27">SUM(F69:F70)</f>
        <v>15.028085000000001</v>
      </c>
      <c r="G68" s="32">
        <f t="shared" si="27"/>
        <v>8</v>
      </c>
      <c r="H68" s="32">
        <f t="shared" si="27"/>
        <v>4.8635000000000002</v>
      </c>
      <c r="I68" s="32">
        <f t="shared" si="27"/>
        <v>0.8</v>
      </c>
      <c r="J68" s="32">
        <f t="shared" si="27"/>
        <v>0.15</v>
      </c>
      <c r="K68" s="32">
        <f t="shared" si="27"/>
        <v>0</v>
      </c>
      <c r="L68" s="32">
        <f t="shared" si="27"/>
        <v>2.8525</v>
      </c>
      <c r="M68" s="32">
        <f t="shared" si="27"/>
        <v>0</v>
      </c>
      <c r="N68" s="32">
        <f t="shared" si="27"/>
        <v>0</v>
      </c>
      <c r="O68" s="32">
        <f t="shared" si="27"/>
        <v>0</v>
      </c>
      <c r="P68" s="32">
        <f t="shared" si="27"/>
        <v>0</v>
      </c>
      <c r="Q68" s="32">
        <f t="shared" si="27"/>
        <v>1.0609999999999999</v>
      </c>
      <c r="R68" s="32">
        <f t="shared" si="27"/>
        <v>0</v>
      </c>
      <c r="S68" s="32">
        <f t="shared" si="27"/>
        <v>2.1645849999999998</v>
      </c>
      <c r="T68" s="32">
        <f t="shared" si="27"/>
        <v>268.7021598</v>
      </c>
      <c r="U68" s="32">
        <f t="shared" si="27"/>
        <v>55.904476199999998</v>
      </c>
    </row>
    <row r="69" spans="1:21">
      <c r="A69" s="74">
        <v>1</v>
      </c>
      <c r="B69" s="54" t="s">
        <v>395</v>
      </c>
      <c r="C69" s="55" t="s">
        <v>218</v>
      </c>
      <c r="D69" s="49"/>
      <c r="E69" s="49"/>
      <c r="F69" s="56">
        <f>G69+H69+S69</f>
        <v>7.3327999999999989</v>
      </c>
      <c r="G69" s="100">
        <v>4</v>
      </c>
      <c r="H69" s="100">
        <f>SUM(I69:R69)</f>
        <v>2.2799999999999998</v>
      </c>
      <c r="I69" s="100">
        <v>0.4</v>
      </c>
      <c r="J69" s="100"/>
      <c r="K69" s="100"/>
      <c r="L69" s="100">
        <f>(G69+J69)*35%</f>
        <v>1.4</v>
      </c>
      <c r="M69" s="100"/>
      <c r="N69" s="100"/>
      <c r="O69" s="100"/>
      <c r="P69" s="100"/>
      <c r="Q69" s="100">
        <f>(G69+J69)*12%</f>
        <v>0.48</v>
      </c>
      <c r="R69" s="100"/>
      <c r="S69" s="100">
        <f>(G69+J69+K69+Q69)*23.5%</f>
        <v>1.0528</v>
      </c>
      <c r="T69" s="50">
        <f>F69*1.49*12</f>
        <v>131.11046399999998</v>
      </c>
      <c r="U69" s="50">
        <f>F69*0.31*12</f>
        <v>27.278015999999994</v>
      </c>
    </row>
    <row r="70" spans="1:21">
      <c r="A70" s="74">
        <v>2</v>
      </c>
      <c r="B70" s="47" t="s">
        <v>396</v>
      </c>
      <c r="C70" s="55" t="s">
        <v>218</v>
      </c>
      <c r="D70" s="49"/>
      <c r="E70" s="49"/>
      <c r="F70" s="56">
        <f>G70+H70+S70</f>
        <v>7.695285000000001</v>
      </c>
      <c r="G70" s="100">
        <v>4</v>
      </c>
      <c r="H70" s="100">
        <f>SUM(I70:R70)</f>
        <v>2.5835000000000004</v>
      </c>
      <c r="I70" s="100">
        <v>0.4</v>
      </c>
      <c r="J70" s="100">
        <v>0.15</v>
      </c>
      <c r="K70" s="100"/>
      <c r="L70" s="100">
        <f>(G70+J70)*35%</f>
        <v>1.4525000000000001</v>
      </c>
      <c r="M70" s="100"/>
      <c r="N70" s="100"/>
      <c r="O70" s="100"/>
      <c r="P70" s="100"/>
      <c r="Q70" s="100">
        <f>(G70+J70)*14%</f>
        <v>0.58100000000000007</v>
      </c>
      <c r="R70" s="100"/>
      <c r="S70" s="100">
        <f>(G70+J70+K70+Q70)*23.5%</f>
        <v>1.111785</v>
      </c>
      <c r="T70" s="50">
        <f>F70*1.49*12</f>
        <v>137.59169580000002</v>
      </c>
      <c r="U70" s="50">
        <f>F70*0.31*12</f>
        <v>28.626460200000004</v>
      </c>
    </row>
    <row r="71" spans="1:21" s="53" customFormat="1">
      <c r="A71" s="52">
        <v>4</v>
      </c>
      <c r="B71" s="41" t="s">
        <v>155</v>
      </c>
      <c r="C71" s="30" t="s">
        <v>219</v>
      </c>
      <c r="D71" s="31">
        <v>5</v>
      </c>
      <c r="E71" s="31">
        <v>0</v>
      </c>
      <c r="F71" s="32">
        <f t="shared" ref="F71:U71" si="28">SUM(F72:F72)</f>
        <v>21.044499999999999</v>
      </c>
      <c r="G71" s="32">
        <f t="shared" si="28"/>
        <v>11.7</v>
      </c>
      <c r="H71" s="32">
        <f t="shared" si="28"/>
        <v>6.5949999999999998</v>
      </c>
      <c r="I71" s="32">
        <f t="shared" si="28"/>
        <v>2.5</v>
      </c>
      <c r="J71" s="32">
        <f t="shared" si="28"/>
        <v>0</v>
      </c>
      <c r="K71" s="32">
        <f t="shared" si="28"/>
        <v>0</v>
      </c>
      <c r="L71" s="32">
        <f t="shared" si="28"/>
        <v>4.0949999999999998</v>
      </c>
      <c r="M71" s="32">
        <f t="shared" si="28"/>
        <v>0</v>
      </c>
      <c r="N71" s="32">
        <f t="shared" si="28"/>
        <v>0</v>
      </c>
      <c r="O71" s="32">
        <f t="shared" si="28"/>
        <v>0</v>
      </c>
      <c r="P71" s="32">
        <f t="shared" si="28"/>
        <v>0</v>
      </c>
      <c r="Q71" s="32">
        <f t="shared" si="28"/>
        <v>0</v>
      </c>
      <c r="R71" s="32">
        <f t="shared" si="28"/>
        <v>0</v>
      </c>
      <c r="S71" s="32">
        <f t="shared" si="28"/>
        <v>2.7494999999999998</v>
      </c>
      <c r="T71" s="32">
        <f t="shared" si="28"/>
        <v>376.27566000000002</v>
      </c>
      <c r="U71" s="32">
        <f t="shared" si="28"/>
        <v>78.285539999999997</v>
      </c>
    </row>
    <row r="72" spans="1:21" s="51" customFormat="1">
      <c r="A72" s="74">
        <v>1</v>
      </c>
      <c r="B72" s="47" t="s">
        <v>220</v>
      </c>
      <c r="C72" s="55" t="s">
        <v>219</v>
      </c>
      <c r="D72" s="49"/>
      <c r="E72" s="49">
        <v>5</v>
      </c>
      <c r="F72" s="56">
        <f>G72+H72+S72</f>
        <v>21.044499999999999</v>
      </c>
      <c r="G72" s="56">
        <f>2.34*E72</f>
        <v>11.7</v>
      </c>
      <c r="H72" s="56">
        <f>SUM(I72:R72)</f>
        <v>6.5949999999999998</v>
      </c>
      <c r="I72" s="56">
        <f>0.5*5</f>
        <v>2.5</v>
      </c>
      <c r="J72" s="56"/>
      <c r="K72" s="56"/>
      <c r="L72" s="56">
        <f>(G72+J72+K72)*35%</f>
        <v>4.0949999999999998</v>
      </c>
      <c r="M72" s="56"/>
      <c r="N72" s="56"/>
      <c r="O72" s="56"/>
      <c r="P72" s="56"/>
      <c r="Q72" s="56"/>
      <c r="R72" s="56"/>
      <c r="S72" s="56">
        <f>(G72+J72+K72+Q72)*23.5%</f>
        <v>2.7494999999999998</v>
      </c>
      <c r="T72" s="50">
        <f>F72*1.49*12</f>
        <v>376.27566000000002</v>
      </c>
      <c r="U72" s="50">
        <f>F72*0.31*12</f>
        <v>78.285539999999997</v>
      </c>
    </row>
    <row r="73" spans="1:21" s="53" customFormat="1">
      <c r="A73" s="52">
        <v>5</v>
      </c>
      <c r="B73" s="41" t="s">
        <v>158</v>
      </c>
      <c r="C73" s="30" t="s">
        <v>221</v>
      </c>
      <c r="D73" s="31">
        <v>4</v>
      </c>
      <c r="E73" s="31">
        <v>0</v>
      </c>
      <c r="F73" s="32">
        <f t="shared" ref="F73:U73" si="29">SUM(F74:F74)</f>
        <v>16.835599999999999</v>
      </c>
      <c r="G73" s="32">
        <f t="shared" si="29"/>
        <v>9.36</v>
      </c>
      <c r="H73" s="32">
        <f t="shared" si="29"/>
        <v>5.2759999999999998</v>
      </c>
      <c r="I73" s="32">
        <f t="shared" si="29"/>
        <v>2</v>
      </c>
      <c r="J73" s="32">
        <f t="shared" si="29"/>
        <v>0</v>
      </c>
      <c r="K73" s="32">
        <f t="shared" si="29"/>
        <v>0</v>
      </c>
      <c r="L73" s="32">
        <f t="shared" si="29"/>
        <v>3.2759999999999998</v>
      </c>
      <c r="M73" s="32">
        <f t="shared" si="29"/>
        <v>0</v>
      </c>
      <c r="N73" s="32">
        <f t="shared" si="29"/>
        <v>0</v>
      </c>
      <c r="O73" s="32">
        <f t="shared" si="29"/>
        <v>0</v>
      </c>
      <c r="P73" s="32">
        <f t="shared" si="29"/>
        <v>0</v>
      </c>
      <c r="Q73" s="32">
        <f t="shared" si="29"/>
        <v>0</v>
      </c>
      <c r="R73" s="32">
        <f t="shared" si="29"/>
        <v>0</v>
      </c>
      <c r="S73" s="32">
        <f t="shared" si="29"/>
        <v>2.1995999999999998</v>
      </c>
      <c r="T73" s="32">
        <f t="shared" si="29"/>
        <v>301.02052800000001</v>
      </c>
      <c r="U73" s="32">
        <f t="shared" si="29"/>
        <v>62.628432000000004</v>
      </c>
    </row>
    <row r="74" spans="1:21">
      <c r="A74" s="74">
        <v>29</v>
      </c>
      <c r="B74" s="47" t="s">
        <v>192</v>
      </c>
      <c r="C74" s="55" t="s">
        <v>221</v>
      </c>
      <c r="D74" s="49"/>
      <c r="E74" s="49">
        <v>4</v>
      </c>
      <c r="F74" s="56">
        <f>G74+H74+S74</f>
        <v>16.835599999999999</v>
      </c>
      <c r="G74" s="56">
        <f>2.34*E74</f>
        <v>9.36</v>
      </c>
      <c r="H74" s="56">
        <f>SUM(I74:R74)</f>
        <v>5.2759999999999998</v>
      </c>
      <c r="I74" s="56">
        <f>0.5*E74</f>
        <v>2</v>
      </c>
      <c r="J74" s="56"/>
      <c r="K74" s="56"/>
      <c r="L74" s="67">
        <f>(G74+J74)*35%</f>
        <v>3.2759999999999998</v>
      </c>
      <c r="M74" s="56"/>
      <c r="N74" s="56"/>
      <c r="O74" s="56"/>
      <c r="P74" s="56"/>
      <c r="Q74" s="56"/>
      <c r="R74" s="56"/>
      <c r="S74" s="101">
        <f>(G74+J74+K74+Q74)*23.5%</f>
        <v>2.1995999999999998</v>
      </c>
      <c r="T74" s="50">
        <f>F74*1.49*12</f>
        <v>301.02052800000001</v>
      </c>
      <c r="U74" s="50">
        <f>F74*0.31*12</f>
        <v>62.628432000000004</v>
      </c>
    </row>
    <row r="75" spans="1:21" s="53" customFormat="1">
      <c r="A75" s="52">
        <v>6</v>
      </c>
      <c r="B75" s="41" t="s">
        <v>161</v>
      </c>
      <c r="C75" s="30" t="s">
        <v>222</v>
      </c>
      <c r="D75" s="31">
        <v>3</v>
      </c>
      <c r="E75" s="31">
        <v>1</v>
      </c>
      <c r="F75" s="32">
        <f t="shared" ref="F75:U75" si="30">SUM(F76:F77)</f>
        <v>13.672799999999999</v>
      </c>
      <c r="G75" s="32">
        <f t="shared" si="30"/>
        <v>7.68</v>
      </c>
      <c r="H75" s="32">
        <f t="shared" si="30"/>
        <v>4.1879999999999997</v>
      </c>
      <c r="I75" s="32">
        <f t="shared" si="30"/>
        <v>1.5</v>
      </c>
      <c r="J75" s="32">
        <f t="shared" si="30"/>
        <v>0</v>
      </c>
      <c r="K75" s="32">
        <f t="shared" si="30"/>
        <v>0</v>
      </c>
      <c r="L75" s="32">
        <f t="shared" si="30"/>
        <v>2.6879999999999997</v>
      </c>
      <c r="M75" s="32">
        <f t="shared" si="30"/>
        <v>0</v>
      </c>
      <c r="N75" s="32">
        <f t="shared" si="30"/>
        <v>0</v>
      </c>
      <c r="O75" s="32">
        <f t="shared" si="30"/>
        <v>0</v>
      </c>
      <c r="P75" s="32">
        <f t="shared" si="30"/>
        <v>0</v>
      </c>
      <c r="Q75" s="32">
        <f t="shared" si="30"/>
        <v>0</v>
      </c>
      <c r="R75" s="32">
        <f t="shared" si="30"/>
        <v>0</v>
      </c>
      <c r="S75" s="32">
        <f t="shared" si="30"/>
        <v>1.8047999999999997</v>
      </c>
      <c r="T75" s="32">
        <f t="shared" si="30"/>
        <v>244.46966400000002</v>
      </c>
      <c r="U75" s="32">
        <f t="shared" si="30"/>
        <v>50.862816000000002</v>
      </c>
    </row>
    <row r="76" spans="1:21">
      <c r="A76" s="74">
        <v>1</v>
      </c>
      <c r="B76" s="54" t="s">
        <v>397</v>
      </c>
      <c r="C76" s="55" t="s">
        <v>222</v>
      </c>
      <c r="D76" s="49"/>
      <c r="E76" s="49"/>
      <c r="F76" s="56">
        <f>G76+H76+S76</f>
        <v>5.2549999999999999</v>
      </c>
      <c r="G76" s="56">
        <v>3</v>
      </c>
      <c r="H76" s="56">
        <f>SUM(I76:R76)</f>
        <v>1.5499999999999998</v>
      </c>
      <c r="I76" s="56">
        <v>0.5</v>
      </c>
      <c r="J76" s="56"/>
      <c r="K76" s="56"/>
      <c r="L76" s="56">
        <f>(G76+J76+K76)*35%</f>
        <v>1.0499999999999998</v>
      </c>
      <c r="M76" s="56"/>
      <c r="N76" s="56"/>
      <c r="O76" s="56"/>
      <c r="P76" s="56"/>
      <c r="Q76" s="56"/>
      <c r="R76" s="56"/>
      <c r="S76" s="56">
        <f>(G76+J76+K76+Q76)*23.5%</f>
        <v>0.70499999999999996</v>
      </c>
      <c r="T76" s="50">
        <f>F76*1.49*12</f>
        <v>93.959400000000002</v>
      </c>
      <c r="U76" s="50">
        <f>F76*0.31*12</f>
        <v>19.5486</v>
      </c>
    </row>
    <row r="77" spans="1:21">
      <c r="A77" s="74">
        <v>2</v>
      </c>
      <c r="B77" s="47" t="s">
        <v>192</v>
      </c>
      <c r="C77" s="55" t="s">
        <v>222</v>
      </c>
      <c r="D77" s="49"/>
      <c r="E77" s="49">
        <v>2</v>
      </c>
      <c r="F77" s="56">
        <f>G77+H77+S77</f>
        <v>8.4177999999999997</v>
      </c>
      <c r="G77" s="56">
        <f>2.34*E77</f>
        <v>4.68</v>
      </c>
      <c r="H77" s="56">
        <f>SUM(I77:R77)</f>
        <v>2.6379999999999999</v>
      </c>
      <c r="I77" s="56">
        <f>0.5*E77</f>
        <v>1</v>
      </c>
      <c r="J77" s="56"/>
      <c r="K77" s="56"/>
      <c r="L77" s="56">
        <f>(G77+J77)*35%</f>
        <v>1.6379999999999999</v>
      </c>
      <c r="M77" s="56"/>
      <c r="N77" s="56"/>
      <c r="O77" s="56"/>
      <c r="P77" s="56"/>
      <c r="Q77" s="56"/>
      <c r="R77" s="56"/>
      <c r="S77" s="56">
        <f>(G77+J77+K77+Q77)*23.5%</f>
        <v>1.0997999999999999</v>
      </c>
      <c r="T77" s="50">
        <f>F77*1.49*12</f>
        <v>150.51026400000001</v>
      </c>
      <c r="U77" s="50">
        <f>F77*0.31*12</f>
        <v>31.314216000000002</v>
      </c>
    </row>
    <row r="78" spans="1:21" s="53" customFormat="1">
      <c r="A78" s="52">
        <v>7</v>
      </c>
      <c r="B78" s="41" t="s">
        <v>164</v>
      </c>
      <c r="C78" s="30" t="s">
        <v>223</v>
      </c>
      <c r="D78" s="31">
        <v>1</v>
      </c>
      <c r="E78" s="31">
        <v>1</v>
      </c>
      <c r="F78" s="63">
        <f t="shared" ref="F78:U78" si="31">SUM(F79:F79)</f>
        <v>4.2381000000000002</v>
      </c>
      <c r="G78" s="63">
        <f t="shared" si="31"/>
        <v>2.46</v>
      </c>
      <c r="H78" s="63">
        <f t="shared" si="31"/>
        <v>1.2</v>
      </c>
      <c r="I78" s="63">
        <f t="shared" si="31"/>
        <v>0.5</v>
      </c>
      <c r="J78" s="63">
        <f t="shared" si="31"/>
        <v>0</v>
      </c>
      <c r="K78" s="63">
        <f t="shared" si="31"/>
        <v>0</v>
      </c>
      <c r="L78" s="63">
        <f t="shared" si="31"/>
        <v>0</v>
      </c>
      <c r="M78" s="63">
        <f t="shared" si="31"/>
        <v>0</v>
      </c>
      <c r="N78" s="63">
        <f t="shared" si="31"/>
        <v>0.5</v>
      </c>
      <c r="O78" s="63">
        <f t="shared" si="31"/>
        <v>0</v>
      </c>
      <c r="P78" s="63">
        <f t="shared" si="31"/>
        <v>0</v>
      </c>
      <c r="Q78" s="63">
        <f t="shared" si="31"/>
        <v>0</v>
      </c>
      <c r="R78" s="63">
        <f t="shared" si="31"/>
        <v>0.2</v>
      </c>
      <c r="S78" s="63">
        <f t="shared" si="31"/>
        <v>0.57809999999999995</v>
      </c>
      <c r="T78" s="63">
        <f t="shared" si="31"/>
        <v>75.777228000000008</v>
      </c>
      <c r="U78" s="63">
        <f t="shared" si="31"/>
        <v>15.765732</v>
      </c>
    </row>
    <row r="79" spans="1:21" s="51" customFormat="1">
      <c r="A79" s="74">
        <v>1</v>
      </c>
      <c r="B79" s="47" t="s">
        <v>398</v>
      </c>
      <c r="C79" s="55" t="s">
        <v>223</v>
      </c>
      <c r="D79" s="49"/>
      <c r="E79" s="49"/>
      <c r="F79" s="56">
        <f>G79+H79+S79</f>
        <v>4.2381000000000002</v>
      </c>
      <c r="G79" s="56">
        <v>2.46</v>
      </c>
      <c r="H79" s="56">
        <f>SUM(I79:R79)</f>
        <v>1.2</v>
      </c>
      <c r="I79" s="56">
        <v>0.5</v>
      </c>
      <c r="J79" s="56"/>
      <c r="K79" s="56"/>
      <c r="L79" s="56"/>
      <c r="M79" s="56"/>
      <c r="N79" s="56">
        <v>0.5</v>
      </c>
      <c r="O79" s="56"/>
      <c r="P79" s="56"/>
      <c r="Q79" s="56"/>
      <c r="R79" s="56">
        <v>0.2</v>
      </c>
      <c r="S79" s="56">
        <f>(G79+J79+K79+Q79)*23.5%</f>
        <v>0.57809999999999995</v>
      </c>
      <c r="T79" s="50">
        <f>F79*1.49*12</f>
        <v>75.777228000000008</v>
      </c>
      <c r="U79" s="50">
        <f>F79*0.31*12</f>
        <v>15.765732</v>
      </c>
    </row>
    <row r="80" spans="1:21" s="53" customFormat="1">
      <c r="A80" s="52">
        <v>8</v>
      </c>
      <c r="B80" s="41" t="s">
        <v>165</v>
      </c>
      <c r="C80" s="30" t="s">
        <v>224</v>
      </c>
      <c r="D80" s="31">
        <v>2</v>
      </c>
      <c r="E80" s="31">
        <v>0</v>
      </c>
      <c r="F80" s="32">
        <f t="shared" ref="F80:U80" si="32">SUM(F81:F82)</f>
        <v>14.901349999999999</v>
      </c>
      <c r="G80" s="32">
        <f t="shared" si="32"/>
        <v>5.01</v>
      </c>
      <c r="H80" s="32">
        <f t="shared" si="32"/>
        <v>8.7139999999999986</v>
      </c>
      <c r="I80" s="32">
        <f t="shared" si="32"/>
        <v>1.4</v>
      </c>
      <c r="J80" s="32">
        <f t="shared" si="32"/>
        <v>0</v>
      </c>
      <c r="K80" s="32">
        <f t="shared" si="32"/>
        <v>0</v>
      </c>
      <c r="L80" s="32">
        <f t="shared" si="32"/>
        <v>3.5069999999999997</v>
      </c>
      <c r="M80" s="32">
        <f t="shared" si="32"/>
        <v>3.5069999999999997</v>
      </c>
      <c r="N80" s="32">
        <f t="shared" si="32"/>
        <v>0</v>
      </c>
      <c r="O80" s="32">
        <f t="shared" si="32"/>
        <v>0</v>
      </c>
      <c r="P80" s="32">
        <f t="shared" si="32"/>
        <v>0</v>
      </c>
      <c r="Q80" s="32">
        <f t="shared" si="32"/>
        <v>0</v>
      </c>
      <c r="R80" s="32">
        <f t="shared" si="32"/>
        <v>0.3</v>
      </c>
      <c r="S80" s="32">
        <f t="shared" si="32"/>
        <v>1.1773499999999999</v>
      </c>
      <c r="T80" s="32">
        <f t="shared" si="32"/>
        <v>266.43613800000003</v>
      </c>
      <c r="U80" s="32">
        <f t="shared" si="32"/>
        <v>55.433021999999994</v>
      </c>
    </row>
    <row r="81" spans="1:21" s="51" customFormat="1">
      <c r="A81" s="74">
        <v>1</v>
      </c>
      <c r="B81" s="47" t="s">
        <v>399</v>
      </c>
      <c r="C81" s="55" t="s">
        <v>224</v>
      </c>
      <c r="D81" s="49"/>
      <c r="E81" s="49"/>
      <c r="F81" s="56">
        <f>G81+H81+S81</f>
        <v>8.0354499999999991</v>
      </c>
      <c r="G81" s="56">
        <v>2.67</v>
      </c>
      <c r="H81" s="56">
        <f>SUM(I81:R81)</f>
        <v>4.7379999999999995</v>
      </c>
      <c r="I81" s="56">
        <v>0.7</v>
      </c>
      <c r="J81" s="56"/>
      <c r="K81" s="56"/>
      <c r="L81" s="56">
        <f>(G81+J81+K81)*70%</f>
        <v>1.8689999999999998</v>
      </c>
      <c r="M81" s="56">
        <f>(G81+J81+K81)*70%</f>
        <v>1.8689999999999998</v>
      </c>
      <c r="N81" s="56"/>
      <c r="O81" s="56"/>
      <c r="P81" s="56"/>
      <c r="Q81" s="56"/>
      <c r="R81" s="56">
        <v>0.3</v>
      </c>
      <c r="S81" s="56">
        <f>(G81+J81+K81+Q81)*23.5%</f>
        <v>0.62744999999999995</v>
      </c>
      <c r="T81" s="50">
        <f>F81*1.49*12</f>
        <v>143.673846</v>
      </c>
      <c r="U81" s="50">
        <f>F81*0.31*12</f>
        <v>29.891873999999994</v>
      </c>
    </row>
    <row r="82" spans="1:21" s="51" customFormat="1">
      <c r="A82" s="74">
        <v>2</v>
      </c>
      <c r="B82" s="47" t="s">
        <v>192</v>
      </c>
      <c r="C82" s="55" t="s">
        <v>224</v>
      </c>
      <c r="D82" s="49"/>
      <c r="E82" s="49"/>
      <c r="F82" s="56">
        <f>G82+H82+S82</f>
        <v>6.8658999999999999</v>
      </c>
      <c r="G82" s="56">
        <v>2.34</v>
      </c>
      <c r="H82" s="56">
        <f>SUM(I82:R82)</f>
        <v>3.976</v>
      </c>
      <c r="I82" s="56">
        <v>0.7</v>
      </c>
      <c r="J82" s="56"/>
      <c r="K82" s="56"/>
      <c r="L82" s="56">
        <f>(G82+J82+K82)*70%</f>
        <v>1.6379999999999999</v>
      </c>
      <c r="M82" s="56">
        <f>L82</f>
        <v>1.6379999999999999</v>
      </c>
      <c r="N82" s="56"/>
      <c r="O82" s="56"/>
      <c r="P82" s="56"/>
      <c r="Q82" s="56"/>
      <c r="R82" s="56"/>
      <c r="S82" s="56">
        <f>(G82+J82+K82+Q82)*23.5%</f>
        <v>0.54989999999999994</v>
      </c>
      <c r="T82" s="50">
        <f>F82*1.49*12</f>
        <v>122.762292</v>
      </c>
      <c r="U82" s="50">
        <f>F82*0.31*12</f>
        <v>25.541148</v>
      </c>
    </row>
    <row r="83" spans="1:21" s="62" customFormat="1">
      <c r="A83" s="52">
        <v>9</v>
      </c>
      <c r="B83" s="41" t="s">
        <v>166</v>
      </c>
      <c r="C83" s="58"/>
      <c r="D83" s="59"/>
      <c r="E83" s="59"/>
      <c r="F83" s="60"/>
      <c r="G83" s="61"/>
      <c r="H83" s="60"/>
      <c r="I83" s="61"/>
      <c r="J83" s="56"/>
      <c r="K83" s="61"/>
      <c r="L83" s="56"/>
      <c r="M83" s="61"/>
      <c r="N83" s="61"/>
      <c r="O83" s="61"/>
      <c r="P83" s="61"/>
      <c r="Q83" s="61"/>
      <c r="R83" s="61"/>
      <c r="S83" s="60"/>
      <c r="T83" s="102"/>
      <c r="U83" s="102"/>
    </row>
    <row r="84" spans="1:21" s="53" customFormat="1" hidden="1">
      <c r="A84" s="28"/>
      <c r="B84" s="103"/>
      <c r="C84" s="30"/>
      <c r="D84" s="31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3"/>
      <c r="U84" s="33"/>
    </row>
    <row r="85" spans="1:21" s="51" customFormat="1" hidden="1">
      <c r="A85" s="74"/>
      <c r="B85" s="47"/>
      <c r="C85" s="55"/>
      <c r="D85" s="49"/>
      <c r="E85" s="49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104"/>
      <c r="U85" s="104"/>
    </row>
    <row r="86" spans="1:21" s="51" customFormat="1" hidden="1">
      <c r="A86" s="74"/>
      <c r="B86" s="47"/>
      <c r="C86" s="55"/>
      <c r="D86" s="49"/>
      <c r="E86" s="49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104"/>
      <c r="U86" s="104"/>
    </row>
    <row r="87" spans="1:21" s="51" customFormat="1" hidden="1">
      <c r="A87" s="74"/>
      <c r="B87" s="47"/>
      <c r="C87" s="55"/>
      <c r="D87" s="49"/>
      <c r="E87" s="49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104"/>
      <c r="U87" s="104"/>
    </row>
    <row r="88" spans="1:21" s="51" customFormat="1" hidden="1">
      <c r="A88" s="74"/>
      <c r="B88" s="47"/>
      <c r="C88" s="55"/>
      <c r="D88" s="49"/>
      <c r="E88" s="49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104"/>
      <c r="U88" s="104"/>
    </row>
    <row r="89" spans="1:21" s="51" customFormat="1" hidden="1">
      <c r="A89" s="74"/>
      <c r="B89" s="47"/>
      <c r="C89" s="55"/>
      <c r="D89" s="49"/>
      <c r="E89" s="49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104"/>
      <c r="U89" s="104"/>
    </row>
    <row r="90" spans="1:21" s="51" customFormat="1" hidden="1">
      <c r="A90" s="74"/>
      <c r="B90" s="47"/>
      <c r="C90" s="55"/>
      <c r="D90" s="49"/>
      <c r="E90" s="49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104"/>
      <c r="U90" s="104"/>
    </row>
    <row r="91" spans="1:21" s="51" customFormat="1" hidden="1">
      <c r="A91" s="74"/>
      <c r="B91" s="47"/>
      <c r="C91" s="55"/>
      <c r="D91" s="49"/>
      <c r="E91" s="49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104"/>
      <c r="U91" s="104"/>
    </row>
    <row r="92" spans="1:21" s="51" customFormat="1" hidden="1">
      <c r="A92" s="74"/>
      <c r="B92" s="47"/>
      <c r="C92" s="55"/>
      <c r="D92" s="49"/>
      <c r="E92" s="49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104"/>
      <c r="U92" s="104"/>
    </row>
    <row r="93" spans="1:21" s="51" customFormat="1" hidden="1">
      <c r="A93" s="74"/>
      <c r="B93" s="47"/>
      <c r="C93" s="55"/>
      <c r="D93" s="49"/>
      <c r="E93" s="49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104"/>
      <c r="U93" s="104"/>
    </row>
    <row r="94" spans="1:21" s="51" customFormat="1" hidden="1">
      <c r="A94" s="74"/>
      <c r="B94" s="47"/>
      <c r="C94" s="55"/>
      <c r="D94" s="49"/>
      <c r="E94" s="49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104"/>
      <c r="U94" s="104"/>
    </row>
    <row r="95" spans="1:21" s="51" customFormat="1" hidden="1">
      <c r="A95" s="74"/>
      <c r="B95" s="47"/>
      <c r="C95" s="55"/>
      <c r="D95" s="49"/>
      <c r="E95" s="49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104"/>
      <c r="U95" s="104"/>
    </row>
    <row r="96" spans="1:21" s="51" customFormat="1" hidden="1">
      <c r="A96" s="74"/>
      <c r="B96" s="47"/>
      <c r="C96" s="55"/>
      <c r="D96" s="49"/>
      <c r="E96" s="49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104"/>
      <c r="U96" s="104"/>
    </row>
    <row r="97" spans="1:21" s="51" customFormat="1" hidden="1">
      <c r="A97" s="74"/>
      <c r="B97" s="47"/>
      <c r="C97" s="55"/>
      <c r="D97" s="49"/>
      <c r="E97" s="49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104"/>
      <c r="U97" s="104"/>
    </row>
    <row r="98" spans="1:21" s="51" customFormat="1" hidden="1">
      <c r="A98" s="74"/>
      <c r="B98" s="47"/>
      <c r="C98" s="55"/>
      <c r="D98" s="49"/>
      <c r="E98" s="49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104"/>
      <c r="U98" s="104"/>
    </row>
    <row r="99" spans="1:21" s="51" customFormat="1" hidden="1">
      <c r="A99" s="74"/>
      <c r="B99" s="47"/>
      <c r="C99" s="55"/>
      <c r="D99" s="49"/>
      <c r="E99" s="49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104"/>
      <c r="U99" s="104"/>
    </row>
    <row r="100" spans="1:21" s="51" customFormat="1" hidden="1">
      <c r="A100" s="74"/>
      <c r="B100" s="47"/>
      <c r="C100" s="55"/>
      <c r="D100" s="49"/>
      <c r="E100" s="49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104"/>
      <c r="U100" s="104"/>
    </row>
    <row r="101" spans="1:21" s="51" customFormat="1" hidden="1">
      <c r="A101" s="74"/>
      <c r="B101" s="47"/>
      <c r="C101" s="55"/>
      <c r="D101" s="49"/>
      <c r="E101" s="49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104"/>
      <c r="U101" s="104"/>
    </row>
    <row r="102" spans="1:21" s="51" customFormat="1" hidden="1">
      <c r="A102" s="74"/>
      <c r="B102" s="47"/>
      <c r="C102" s="55"/>
      <c r="D102" s="49"/>
      <c r="E102" s="49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104"/>
      <c r="U102" s="104"/>
    </row>
    <row r="103" spans="1:21" s="51" customFormat="1" hidden="1">
      <c r="A103" s="74"/>
      <c r="B103" s="47"/>
      <c r="C103" s="55"/>
      <c r="D103" s="49"/>
      <c r="E103" s="49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104"/>
      <c r="U103" s="104"/>
    </row>
    <row r="104" spans="1:21" s="51" customFormat="1" hidden="1">
      <c r="A104" s="74"/>
      <c r="B104" s="47"/>
      <c r="C104" s="55"/>
      <c r="D104" s="49"/>
      <c r="E104" s="49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104"/>
      <c r="U104" s="104"/>
    </row>
    <row r="105" spans="1:21" s="51" customFormat="1" hidden="1">
      <c r="A105" s="74"/>
      <c r="B105" s="47"/>
      <c r="C105" s="55"/>
      <c r="D105" s="49"/>
      <c r="E105" s="49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104"/>
      <c r="U105" s="104"/>
    </row>
    <row r="106" spans="1:21" s="51" customFormat="1" hidden="1">
      <c r="A106" s="74"/>
      <c r="B106" s="47"/>
      <c r="C106" s="55"/>
      <c r="D106" s="49"/>
      <c r="E106" s="49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104"/>
      <c r="U106" s="104"/>
    </row>
    <row r="107" spans="1:21" s="51" customFormat="1" hidden="1">
      <c r="A107" s="74"/>
      <c r="B107" s="47"/>
      <c r="C107" s="55"/>
      <c r="D107" s="49"/>
      <c r="E107" s="49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104"/>
      <c r="U107" s="104"/>
    </row>
    <row r="108" spans="1:21" s="51" customFormat="1" hidden="1">
      <c r="A108" s="74"/>
      <c r="B108" s="47"/>
      <c r="C108" s="55"/>
      <c r="D108" s="49"/>
      <c r="E108" s="49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104"/>
      <c r="U108" s="104"/>
    </row>
    <row r="109" spans="1:21" s="51" customFormat="1" hidden="1">
      <c r="A109" s="74"/>
      <c r="B109" s="47"/>
      <c r="C109" s="55"/>
      <c r="D109" s="49"/>
      <c r="E109" s="49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104"/>
      <c r="U109" s="104"/>
    </row>
    <row r="110" spans="1:21" s="51" customFormat="1" hidden="1">
      <c r="A110" s="74"/>
      <c r="B110" s="47"/>
      <c r="C110" s="55"/>
      <c r="D110" s="49"/>
      <c r="E110" s="49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104"/>
      <c r="U110" s="104"/>
    </row>
    <row r="111" spans="1:21" s="51" customFormat="1" hidden="1">
      <c r="A111" s="74"/>
      <c r="B111" s="47"/>
      <c r="C111" s="55"/>
      <c r="D111" s="49"/>
      <c r="E111" s="49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104"/>
      <c r="U111" s="104"/>
    </row>
    <row r="112" spans="1:21" s="51" customFormat="1" hidden="1">
      <c r="A112" s="74"/>
      <c r="B112" s="47"/>
      <c r="C112" s="55"/>
      <c r="D112" s="49"/>
      <c r="E112" s="49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104"/>
      <c r="U112" s="104"/>
    </row>
    <row r="113" spans="1:21" s="51" customFormat="1" hidden="1">
      <c r="A113" s="105"/>
      <c r="B113" s="106"/>
      <c r="C113" s="55"/>
      <c r="D113" s="107"/>
      <c r="E113" s="107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104"/>
      <c r="U113" s="104"/>
    </row>
    <row r="114" spans="1:21" s="51" customFormat="1" hidden="1">
      <c r="A114" s="105"/>
      <c r="B114" s="106"/>
      <c r="C114" s="55"/>
      <c r="D114" s="107"/>
      <c r="E114" s="107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104"/>
      <c r="U114" s="104"/>
    </row>
    <row r="115" spans="1:21" s="51" customFormat="1" hidden="1">
      <c r="A115" s="108"/>
      <c r="B115" s="109"/>
      <c r="C115" s="110"/>
      <c r="D115" s="111"/>
      <c r="E115" s="11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04"/>
      <c r="U115" s="104"/>
    </row>
    <row r="116" spans="1:21" s="62" customFormat="1" ht="36.75" customHeight="1"/>
    <row r="117" spans="1:21" s="53" customFormat="1" ht="31.5">
      <c r="B117" s="113" t="s">
        <v>225</v>
      </c>
    </row>
    <row r="118" spans="1:21" s="51" customFormat="1" ht="31.5">
      <c r="B118" s="113" t="s">
        <v>226</v>
      </c>
      <c r="C118" s="22"/>
    </row>
    <row r="119" spans="1:21" s="51" customFormat="1" ht="31.5">
      <c r="B119" s="113" t="s">
        <v>227</v>
      </c>
      <c r="C119" s="22"/>
    </row>
    <row r="120" spans="1:21" s="51" customFormat="1">
      <c r="B120" s="113"/>
      <c r="C120" s="22"/>
    </row>
    <row r="121" spans="1:21" s="51" customFormat="1">
      <c r="B121" s="113"/>
      <c r="C121" s="22"/>
    </row>
    <row r="122" spans="1:21" s="51" customFormat="1">
      <c r="B122" s="113"/>
      <c r="C122" s="22"/>
    </row>
    <row r="123" spans="1:21" s="51" customFormat="1">
      <c r="B123" s="113"/>
      <c r="C123" s="22"/>
    </row>
    <row r="124" spans="1:21" s="51" customFormat="1">
      <c r="B124" s="113"/>
      <c r="C124" s="22"/>
    </row>
    <row r="125" spans="1:21" s="51" customFormat="1">
      <c r="B125" s="113"/>
      <c r="C125" s="22"/>
    </row>
    <row r="126" spans="1:21" s="51" customFormat="1">
      <c r="B126" s="113"/>
      <c r="C126" s="22"/>
    </row>
    <row r="127" spans="1:21" s="51" customFormat="1">
      <c r="B127" s="113"/>
      <c r="C127" s="22"/>
    </row>
    <row r="128" spans="1:21" s="51" customFormat="1">
      <c r="B128" s="113"/>
      <c r="C128" s="22"/>
    </row>
    <row r="129" spans="2:3" s="51" customFormat="1">
      <c r="B129" s="113"/>
      <c r="C129" s="22"/>
    </row>
    <row r="130" spans="2:3" s="51" customFormat="1">
      <c r="B130" s="113"/>
      <c r="C130" s="22"/>
    </row>
    <row r="131" spans="2:3" s="51" customFormat="1">
      <c r="B131" s="113"/>
      <c r="C131" s="22"/>
    </row>
    <row r="132" spans="2:3" s="51" customFormat="1">
      <c r="B132" s="113"/>
      <c r="C132" s="22"/>
    </row>
    <row r="133" spans="2:3" s="51" customFormat="1">
      <c r="B133" s="113"/>
      <c r="C133" s="22"/>
    </row>
    <row r="134" spans="2:3" s="51" customFormat="1">
      <c r="B134" s="113"/>
      <c r="C134" s="22"/>
    </row>
    <row r="135" spans="2:3" s="51" customFormat="1">
      <c r="B135" s="113"/>
      <c r="C135" s="22"/>
    </row>
    <row r="136" spans="2:3" s="51" customFormat="1">
      <c r="B136" s="113"/>
      <c r="C136" s="22"/>
    </row>
    <row r="137" spans="2:3" s="51" customFormat="1">
      <c r="B137" s="113"/>
      <c r="C137" s="22"/>
    </row>
    <row r="138" spans="2:3" s="51" customFormat="1">
      <c r="B138" s="113"/>
      <c r="C138" s="22"/>
    </row>
    <row r="139" spans="2:3" s="51" customFormat="1">
      <c r="B139" s="113"/>
      <c r="C139" s="22"/>
    </row>
    <row r="140" spans="2:3" s="51" customFormat="1">
      <c r="B140" s="113"/>
      <c r="C140" s="22"/>
    </row>
    <row r="141" spans="2:3" s="51" customFormat="1">
      <c r="B141" s="113"/>
      <c r="C141" s="22"/>
    </row>
    <row r="142" spans="2:3" s="51" customFormat="1">
      <c r="B142" s="113"/>
      <c r="C142" s="22"/>
    </row>
    <row r="143" spans="2:3" s="51" customFormat="1">
      <c r="B143" s="113"/>
      <c r="C143" s="22"/>
    </row>
    <row r="144" spans="2:3" s="51" customFormat="1">
      <c r="B144" s="113"/>
      <c r="C144" s="22"/>
    </row>
    <row r="145" spans="2:3" s="51" customFormat="1">
      <c r="B145" s="113"/>
      <c r="C145" s="22"/>
    </row>
  </sheetData>
  <mergeCells count="15">
    <mergeCell ref="A1:S1"/>
    <mergeCell ref="A2:S2"/>
    <mergeCell ref="A4:A5"/>
    <mergeCell ref="B4:B5"/>
    <mergeCell ref="C4:C5"/>
    <mergeCell ref="D4:D5"/>
    <mergeCell ref="E4:E5"/>
    <mergeCell ref="F4:F5"/>
    <mergeCell ref="G4:G5"/>
    <mergeCell ref="H4:H5"/>
    <mergeCell ref="V6:W6"/>
    <mergeCell ref="I4:R4"/>
    <mergeCell ref="S4:S5"/>
    <mergeCell ref="T4:T5"/>
    <mergeCell ref="U4:U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</vt:lpstr>
      <vt:lpstr>Biểu Thuyết minh DT GD</vt:lpstr>
      <vt:lpstr>chi tiết nguồn</vt:lpstr>
      <vt:lpstr>Biểu xác định lại số thu</vt:lpstr>
      <vt:lpstr>Biểu CL số thu so với ĐN</vt:lpstr>
      <vt:lpstr>chênh lệch Kp</vt:lpstr>
      <vt:lpstr>Chênh lệch SLBC</vt:lpstr>
      <vt:lpstr>BCPGD</vt:lpstr>
      <vt:lpstr>DT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2024-10-25T03:24:25Z</cp:lastPrinted>
  <dcterms:created xsi:type="dcterms:W3CDTF">2024-10-16T07:45:05Z</dcterms:created>
  <dcterms:modified xsi:type="dcterms:W3CDTF">2024-11-04T02:24:50Z</dcterms:modified>
</cp:coreProperties>
</file>