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945" tabRatio="745" firstSheet="2" activeTab="4"/>
  </bookViews>
  <sheets>
    <sheet name="Phuluc1" sheetId="1" state="hidden" r:id="rId1"/>
    <sheet name="Bìa" sheetId="2" state="hidden" r:id="rId2"/>
    <sheet name="60-H" sheetId="3" r:id="rId3"/>
    <sheet name="61-H" sheetId="4" r:id="rId4"/>
    <sheet name="62-H-N" sheetId="5" r:id="rId5"/>
    <sheet name="tách nguồn cho STC" sheetId="6" state="hidden" r:id="rId6"/>
    <sheet name="Tách nguồn STC 2" sheetId="7" state="hidden" r:id="rId7"/>
    <sheet name="63-PMQLNS" sheetId="8" state="hidden" r:id="rId8"/>
    <sheet name="64-PMQLNS" sheetId="9" state="hidden" r:id="rId9"/>
    <sheet name="65-N" sheetId="10" state="hidden" r:id="rId10"/>
    <sheet name="66-H" sheetId="11" state="hidden" r:id="rId11"/>
    <sheet name="67-H-T-T" sheetId="12" state="hidden" r:id="rId12"/>
    <sheet name="68-H-T-N" sheetId="13" state="hidden" r:id="rId13"/>
    <sheet name="69-H-TTra" sheetId="14" state="hidden" r:id="rId14"/>
    <sheet name="70-H-T" sheetId="15" state="hidden" r:id="rId15"/>
    <sheet name="bIỂU 63-NĐ 31H-T" sheetId="16" state="hidden" r:id="rId16"/>
    <sheet name="BIỂU 64-NĐ 31-Gd" sheetId="17" state="hidden" r:id="rId17"/>
    <sheet name="59" sheetId="18" state="hidden" r:id="rId18"/>
    <sheet name="58" sheetId="19" state="hidden" r:id="rId19"/>
    <sheet name="Sheet1" sheetId="20" r:id="rId20"/>
  </sheets>
  <definedNames>
    <definedName name="_xlnm.Print_Titles" localSheetId="3">'61-H'!$9:$10</definedName>
    <definedName name="_xlnm.Print_Titles" localSheetId="4">'62-H-N'!$9:$10</definedName>
    <definedName name="_xlnm.Print_Titles" localSheetId="9">'65-N'!$6:$6</definedName>
    <definedName name="_xlnm.Print_Titles" localSheetId="12">'68-H-T-N'!$7:$9</definedName>
    <definedName name="_xlnm.Print_Titles" localSheetId="13">'69-H-TTra'!$6:$7</definedName>
    <definedName name="_xlnm.Print_Titles" localSheetId="15">'bIỂU 63-NĐ 31H-T'!$7:$11</definedName>
    <definedName name="_xlnm.Print_Titles" localSheetId="16">'BIỂU 64-NĐ 31-Gd'!$5:$6</definedName>
  </definedNames>
  <calcPr fullCalcOnLoad="1"/>
</workbook>
</file>

<file path=xl/comments11.xml><?xml version="1.0" encoding="utf-8"?>
<comments xmlns="http://schemas.openxmlformats.org/spreadsheetml/2006/main">
  <authors>
    <author>AutoBVT</author>
    <author>Windows User</author>
  </authors>
  <commentList>
    <comment ref="E12" authorId="0">
      <text>
        <r>
          <rPr>
            <b/>
            <sz val="9"/>
            <rFont val="Tahoma"/>
            <family val="2"/>
          </rPr>
          <t>AutoBVT:</t>
        </r>
        <r>
          <rPr>
            <sz val="9"/>
            <rFont val="Tahoma"/>
            <family val="2"/>
          </rPr>
          <t xml:space="preserve">
QĐ 573 và QĐ 600
</t>
        </r>
      </text>
    </comment>
    <comment ref="E27" authorId="1">
      <text>
        <r>
          <rPr>
            <b/>
            <sz val="9"/>
            <rFont val="Tahoma"/>
            <family val="2"/>
          </rPr>
          <t>Windows User:</t>
        </r>
        <r>
          <rPr>
            <sz val="9"/>
            <rFont val="Tahoma"/>
            <family val="2"/>
          </rPr>
          <t xml:space="preserve">
Mua sắm máy VT+ nâng cấp phần mềm mi sa</t>
        </r>
      </text>
    </comment>
    <comment ref="E20" authorId="0">
      <text>
        <r>
          <rPr>
            <b/>
            <sz val="9"/>
            <rFont val="Tahoma"/>
            <family val="2"/>
          </rPr>
          <t>AutoBVT:</t>
        </r>
        <r>
          <rPr>
            <sz val="9"/>
            <rFont val="Tahoma"/>
            <family val="2"/>
          </rPr>
          <t xml:space="preserve">
QĐ 573 và QĐ 600
</t>
        </r>
      </text>
    </comment>
  </commentList>
</comments>
</file>

<file path=xl/comments12.xml><?xml version="1.0" encoding="utf-8"?>
<comments xmlns="http://schemas.openxmlformats.org/spreadsheetml/2006/main">
  <authors>
    <author>AutoBVT</author>
    <author>Windows User</author>
  </authors>
  <commentList>
    <comment ref="E12" authorId="0">
      <text>
        <r>
          <rPr>
            <b/>
            <sz val="9"/>
            <rFont val="Tahoma"/>
            <family val="2"/>
          </rPr>
          <t>AutoBVT:</t>
        </r>
        <r>
          <rPr>
            <sz val="9"/>
            <rFont val="Tahoma"/>
            <family val="2"/>
          </rPr>
          <t xml:space="preserve">
KP khắc phục hậu quả thiên tai (vốn ĐT)</t>
        </r>
      </text>
    </comment>
    <comment ref="F11" authorId="0">
      <text>
        <r>
          <rPr>
            <b/>
            <sz val="9"/>
            <rFont val="Tahoma"/>
            <family val="2"/>
          </rPr>
          <t>AutoBVT:</t>
        </r>
        <r>
          <rPr>
            <sz val="9"/>
            <rFont val="Tahoma"/>
            <family val="2"/>
          </rPr>
          <t xml:space="preserve">
KP khôi phục SX sau hạn hán (KP hoàn ứng): 1197,5tr+ KP Khôi phục SX do thiên tai: 224
</t>
        </r>
      </text>
    </comment>
    <comment ref="F25" authorId="1">
      <text>
        <r>
          <rPr>
            <b/>
            <sz val="9"/>
            <rFont val="Tahoma"/>
            <family val="2"/>
          </rPr>
          <t>Windows User:</t>
        </r>
        <r>
          <rPr>
            <sz val="9"/>
            <rFont val="Tahoma"/>
            <family val="2"/>
          </rPr>
          <t xml:space="preserve">
Chưa chi chuyển nguồn 224tr</t>
        </r>
      </text>
    </comment>
  </commentList>
</comments>
</file>

<file path=xl/comments13.xml><?xml version="1.0" encoding="utf-8"?>
<comments xmlns="http://schemas.openxmlformats.org/spreadsheetml/2006/main">
  <authors>
    <author>AutoBVT</author>
    <author>HANHTC</author>
  </authors>
  <commentList>
    <comment ref="J10" authorId="0">
      <text>
        <r>
          <rPr>
            <b/>
            <sz val="9"/>
            <rFont val="Tahoma"/>
            <family val="2"/>
          </rPr>
          <t>AutoBVT:</t>
        </r>
        <r>
          <rPr>
            <sz val="9"/>
            <rFont val="Tahoma"/>
            <family val="2"/>
          </rPr>
          <t xml:space="preserve">
chuyển năm trước sang </t>
        </r>
      </text>
    </comment>
    <comment ref="P8" authorId="1">
      <text>
        <r>
          <rPr>
            <b/>
            <sz val="9"/>
            <rFont val="Tahoma"/>
            <family val="2"/>
          </rPr>
          <t>HANHTC:</t>
        </r>
        <r>
          <rPr>
            <sz val="9"/>
            <rFont val="Tahoma"/>
            <family val="2"/>
          </rPr>
          <t xml:space="preserve">
hụt thu huyện xã bù trừ bằng số hụt thu STC đã thẩm định. Ko xác định số tăng đơn phương theo từng xã vào biểu này</t>
        </r>
      </text>
    </comment>
  </commentList>
</comments>
</file>

<file path=xl/comments15.xml><?xml version="1.0" encoding="utf-8"?>
<comments xmlns="http://schemas.openxmlformats.org/spreadsheetml/2006/main">
  <authors>
    <author>Windows User</author>
  </authors>
  <commentList>
    <comment ref="B10" authorId="0">
      <text>
        <r>
          <rPr>
            <b/>
            <sz val="9"/>
            <rFont val="Tahoma"/>
            <family val="2"/>
          </rPr>
          <t>TM thu 0911; TM chi 0961</t>
        </r>
      </text>
    </comment>
    <comment ref="B11" authorId="0">
      <text>
        <r>
          <rPr>
            <b/>
            <sz val="9"/>
            <rFont val="Tahoma"/>
            <family val="2"/>
          </rPr>
          <t>Windows User:</t>
        </r>
        <r>
          <rPr>
            <sz val="9"/>
            <rFont val="Tahoma"/>
            <family val="2"/>
          </rPr>
          <t xml:space="preserve">
TM thu: 0912; TM chi 0962</t>
        </r>
      </text>
    </comment>
    <comment ref="B12" authorId="0">
      <text>
        <r>
          <rPr>
            <b/>
            <sz val="9"/>
            <rFont val="Tahoma"/>
            <family val="2"/>
          </rPr>
          <t>Windows User:</t>
        </r>
        <r>
          <rPr>
            <sz val="9"/>
            <rFont val="Tahoma"/>
            <family val="2"/>
          </rPr>
          <t xml:space="preserve">
TM thu: 0913; TM chi 0963</t>
        </r>
      </text>
    </comment>
    <comment ref="B13" authorId="0">
      <text>
        <r>
          <rPr>
            <b/>
            <sz val="9"/>
            <rFont val="Tahoma"/>
            <family val="2"/>
          </rPr>
          <t>Windows User:</t>
        </r>
        <r>
          <rPr>
            <sz val="9"/>
            <rFont val="Tahoma"/>
            <family val="2"/>
          </rPr>
          <t xml:space="preserve">
TM thu 0914; TM chi 0964</t>
        </r>
      </text>
    </comment>
    <comment ref="B14" authorId="0">
      <text>
        <r>
          <rPr>
            <b/>
            <sz val="9"/>
            <rFont val="Tahoma"/>
            <family val="2"/>
          </rPr>
          <t>Windows User:</t>
        </r>
        <r>
          <rPr>
            <sz val="9"/>
            <rFont val="Tahoma"/>
            <family val="2"/>
          </rPr>
          <t xml:space="preserve">
TM thu 0915; TM chi 0965</t>
        </r>
      </text>
    </comment>
    <comment ref="B16" authorId="0">
      <text>
        <r>
          <rPr>
            <b/>
            <sz val="9"/>
            <rFont val="Tahoma"/>
            <family val="2"/>
          </rPr>
          <t>Windows User:</t>
        </r>
        <r>
          <rPr>
            <sz val="9"/>
            <rFont val="Tahoma"/>
            <family val="2"/>
          </rPr>
          <t xml:space="preserve">
TM thu 0917; TM chi 0967</t>
        </r>
      </text>
    </comment>
    <comment ref="B17" authorId="0">
      <text>
        <r>
          <rPr>
            <b/>
            <sz val="9"/>
            <rFont val="Tahoma"/>
            <family val="2"/>
          </rPr>
          <t>Windows User:</t>
        </r>
        <r>
          <rPr>
            <sz val="9"/>
            <rFont val="Tahoma"/>
            <family val="2"/>
          </rPr>
          <t xml:space="preserve">
TM thu 0918; Tm chi 0968</t>
        </r>
      </text>
    </comment>
  </commentList>
</comments>
</file>

<file path=xl/comments4.xml><?xml version="1.0" encoding="utf-8"?>
<comments xmlns="http://schemas.openxmlformats.org/spreadsheetml/2006/main">
  <authors>
    <author>AutoBVT</author>
    <author>HANHTC</author>
    <author>Windows User</author>
  </authors>
  <commentList>
    <comment ref="B78" authorId="0">
      <text>
        <r>
          <rPr>
            <b/>
            <sz val="9"/>
            <rFont val="Tahoma"/>
            <family val="2"/>
          </rPr>
          <t>AutoBVT:</t>
        </r>
        <r>
          <rPr>
            <sz val="9"/>
            <rFont val="Tahoma"/>
            <family val="2"/>
          </rPr>
          <t xml:space="preserve">
thu phạt ATGT</t>
        </r>
      </text>
    </comment>
    <comment ref="H52" authorId="0">
      <text>
        <r>
          <rPr>
            <b/>
            <sz val="9"/>
            <rFont val="Tahoma"/>
            <family val="2"/>
          </rPr>
          <t>AutoBVT:</t>
        </r>
        <r>
          <rPr>
            <sz val="9"/>
            <rFont val="Tahoma"/>
            <family val="2"/>
          </rPr>
          <t xml:space="preserve">
địa phương hưởng 100%</t>
        </r>
      </text>
    </comment>
    <comment ref="H61" authorId="0">
      <text>
        <r>
          <rPr>
            <b/>
            <sz val="9"/>
            <rFont val="Tahoma"/>
            <family val="2"/>
          </rPr>
          <t>AutoBVT:</t>
        </r>
        <r>
          <rPr>
            <sz val="9"/>
            <rFont val="Tahoma"/>
            <family val="2"/>
          </rPr>
          <t xml:space="preserve">
địa phương hưởng 100%</t>
        </r>
      </text>
    </comment>
    <comment ref="I54" authorId="0">
      <text>
        <r>
          <rPr>
            <b/>
            <sz val="9"/>
            <rFont val="Tahoma"/>
            <family val="2"/>
          </rPr>
          <t>AutoBVT:</t>
        </r>
        <r>
          <rPr>
            <sz val="9"/>
            <rFont val="Tahoma"/>
            <family val="2"/>
          </rPr>
          <t xml:space="preserve">
địa phương hưởng 100%</t>
        </r>
      </text>
    </comment>
    <comment ref="H79" authorId="0">
      <text>
        <r>
          <rPr>
            <b/>
            <sz val="9"/>
            <rFont val="Tahoma"/>
            <family val="2"/>
          </rPr>
          <t>AutoBVT:</t>
        </r>
        <r>
          <rPr>
            <sz val="9"/>
            <rFont val="Tahoma"/>
            <family val="2"/>
          </rPr>
          <t xml:space="preserve">
địa phương hưởng 100%</t>
        </r>
      </text>
    </comment>
    <comment ref="H77" authorId="0">
      <text>
        <r>
          <rPr>
            <b/>
            <sz val="9"/>
            <rFont val="Tahoma"/>
            <family val="2"/>
          </rPr>
          <t>AutoBVT:</t>
        </r>
        <r>
          <rPr>
            <sz val="9"/>
            <rFont val="Tahoma"/>
            <family val="2"/>
          </rPr>
          <t xml:space="preserve">
địa phương hưởng 100%</t>
        </r>
      </text>
    </comment>
    <comment ref="H82" authorId="0">
      <text>
        <r>
          <rPr>
            <b/>
            <sz val="9"/>
            <rFont val="Tahoma"/>
            <family val="2"/>
          </rPr>
          <t>AutoBVT:</t>
        </r>
        <r>
          <rPr>
            <sz val="9"/>
            <rFont val="Tahoma"/>
            <family val="2"/>
          </rPr>
          <t xml:space="preserve">
địa phương hưởng 100</t>
        </r>
      </text>
    </comment>
    <comment ref="H49" authorId="1">
      <text>
        <r>
          <rPr>
            <b/>
            <sz val="9"/>
            <rFont val="Tahoma"/>
            <family val="2"/>
          </rPr>
          <t>HANHTC:</t>
        </r>
        <r>
          <rPr>
            <sz val="9"/>
            <rFont val="Tahoma"/>
            <family val="2"/>
          </rPr>
          <t xml:space="preserve">
địa phương được hưởng 100%</t>
        </r>
      </text>
    </comment>
    <comment ref="I107" authorId="2">
      <text>
        <r>
          <rPr>
            <b/>
            <sz val="9"/>
            <rFont val="Tahoma"/>
            <family val="2"/>
          </rPr>
          <t>Windows User:</t>
        </r>
        <r>
          <rPr>
            <sz val="9"/>
            <rFont val="Tahoma"/>
            <family val="2"/>
          </rPr>
          <t xml:space="preserve">
thu nộp quỹ anh ninh quốc phòng còn tồn các năm trước vào NS</t>
        </r>
      </text>
    </comment>
  </commentList>
</comments>
</file>

<file path=xl/comments5.xml><?xml version="1.0" encoding="utf-8"?>
<comments xmlns="http://schemas.openxmlformats.org/spreadsheetml/2006/main">
  <authors>
    <author>AutoBVT</author>
    <author>Windows User</author>
  </authors>
  <commentList>
    <comment ref="C32" authorId="0">
      <text>
        <r>
          <rPr>
            <b/>
            <sz val="9"/>
            <rFont val="Tahoma"/>
            <family val="2"/>
          </rPr>
          <t>AutoBVT:</t>
        </r>
        <r>
          <rPr>
            <sz val="9"/>
            <rFont val="Tahoma"/>
            <family val="2"/>
          </rPr>
          <t xml:space="preserve">
lệch so với quyển dự toán do bao gồm dự phòng</t>
        </r>
      </text>
    </comment>
    <comment ref="C13" authorId="0">
      <text>
        <r>
          <rPr>
            <b/>
            <sz val="9"/>
            <rFont val="Tahoma"/>
            <family val="2"/>
          </rPr>
          <t>Cột này bằng cộng tổng các cột giấu bên trong</t>
        </r>
      </text>
    </comment>
    <comment ref="H13" authorId="0">
      <text>
        <r>
          <rPr>
            <b/>
            <sz val="9"/>
            <rFont val="Tahoma"/>
            <family val="2"/>
          </rPr>
          <t>AutoBVT:</t>
        </r>
        <r>
          <rPr>
            <sz val="9"/>
            <rFont val="Tahoma"/>
            <family val="2"/>
          </rPr>
          <t xml:space="preserve">
Cột này bằng cộng tổng các cột giấu bên trong</t>
        </r>
      </text>
    </comment>
    <comment ref="H32" authorId="1">
      <text>
        <r>
          <rPr>
            <b/>
            <sz val="9"/>
            <rFont val="Tahoma"/>
            <family val="2"/>
          </rPr>
          <t>Windows User:</t>
        </r>
        <r>
          <rPr>
            <sz val="9"/>
            <rFont val="Tahoma"/>
            <family val="2"/>
          </rPr>
          <t xml:space="preserve">
lệch so với quyển dự toán do cộng cả số dự phòng</t>
        </r>
      </text>
    </comment>
    <comment ref="E32" authorId="1">
      <text>
        <r>
          <rPr>
            <b/>
            <sz val="9"/>
            <rFont val="Tahoma"/>
            <family val="2"/>
          </rPr>
          <t>Windows User:</t>
        </r>
        <r>
          <rPr>
            <sz val="9"/>
            <rFont val="Tahoma"/>
            <family val="2"/>
          </rPr>
          <t xml:space="preserve">
bao gồm 10% trích tiền đất nguồn đầu tư QT vốn SN </t>
        </r>
      </text>
    </comment>
    <comment ref="F32" authorId="1">
      <text>
        <r>
          <rPr>
            <b/>
            <sz val="9"/>
            <rFont val="Tahoma"/>
            <family val="2"/>
          </rPr>
          <t>Windows User:</t>
        </r>
        <r>
          <rPr>
            <sz val="9"/>
            <rFont val="Tahoma"/>
            <family val="2"/>
          </rPr>
          <t xml:space="preserve">
Bao gồm KP hỗ trợ nhà ở người có công nguồn đầu tư quyết toán vốn sự nghiệp</t>
        </r>
      </text>
    </comment>
    <comment ref="O41" authorId="1">
      <text>
        <r>
          <rPr>
            <b/>
            <sz val="9"/>
            <rFont val="Tahoma"/>
            <family val="2"/>
          </rPr>
          <t>Windows User:</t>
        </r>
        <r>
          <rPr>
            <sz val="9"/>
            <rFont val="Tahoma"/>
            <family val="2"/>
          </rPr>
          <t xml:space="preserve">
giảm QT số tạm ứng của BQL 1,229,188,000 đồng</t>
        </r>
      </text>
    </comment>
    <comment ref="O60" authorId="1">
      <text>
        <r>
          <rPr>
            <b/>
            <sz val="9"/>
            <rFont val="Tahoma"/>
            <family val="2"/>
          </rPr>
          <t>Windows User:</t>
        </r>
        <r>
          <rPr>
            <sz val="9"/>
            <rFont val="Tahoma"/>
            <family val="2"/>
          </rPr>
          <t xml:space="preserve">
chưa chuyển nguồn KP tạm ứng BQL</t>
        </r>
      </text>
    </comment>
    <comment ref="J32" authorId="1">
      <text>
        <r>
          <rPr>
            <b/>
            <sz val="9"/>
            <rFont val="Tahoma"/>
            <family val="2"/>
          </rPr>
          <t>Windows User:</t>
        </r>
        <r>
          <rPr>
            <sz val="9"/>
            <rFont val="Tahoma"/>
            <family val="2"/>
          </rPr>
          <t xml:space="preserve">
bao gồm 10% trích tiền đất nguồn đầu tư QT vốn SN </t>
        </r>
      </text>
    </comment>
    <comment ref="K32" authorId="1">
      <text>
        <r>
          <rPr>
            <b/>
            <sz val="9"/>
            <rFont val="Tahoma"/>
            <family val="2"/>
          </rPr>
          <t>Windows User:</t>
        </r>
        <r>
          <rPr>
            <sz val="9"/>
            <rFont val="Tahoma"/>
            <family val="2"/>
          </rPr>
          <t xml:space="preserve">
Bao gồm KP hỗ trợ nhà ở người có công nguồn đầu tư quyết toán vốn sự nghiệp</t>
        </r>
      </text>
    </comment>
  </commentList>
</comments>
</file>

<file path=xl/sharedStrings.xml><?xml version="1.0" encoding="utf-8"?>
<sst xmlns="http://schemas.openxmlformats.org/spreadsheetml/2006/main" count="2182" uniqueCount="1151">
  <si>
    <t>PHỤ LỤC 1</t>
  </si>
  <si>
    <t xml:space="preserve">DANH MỤC MẪU BIỂU LẬP DỰ TOÁN, CHẤP HÀNH, QUYẾT TOÁN NSNN </t>
  </si>
  <si>
    <t>(Ban hành kèm theo Thông tư số 342/2016/TT-BTC ngày 30 tháng 12 năm 2016 của Bộ Tài chính)</t>
  </si>
  <si>
    <t>STT</t>
  </si>
  <si>
    <t xml:space="preserve"> MẪU BIỂU</t>
  </si>
  <si>
    <t>NỘI DUNG MẪU BIỂU</t>
  </si>
  <si>
    <t>CƠ QUAN BÁO CÁO VÀ CƠ QUAN NHẬN BÁO CÁO</t>
  </si>
  <si>
    <t>Phần thứ nhất</t>
  </si>
  <si>
    <t>Mẫu biểu lập dự toán thu ngân sách nhà nước (Thuế)</t>
  </si>
  <si>
    <t>Mẫu biểu số 01:</t>
  </si>
  <si>
    <t>Tổng hợp dự toán thu ngân sách nhà nước năm....</t>
  </si>
  <si>
    <t>Dùng cho cơ quan thuế các cấp báo cáo: Cơ quan thuế cấp trên, UBND, cơ quan tài chính, cơ quan kế hoạch và đầu tư cùng cấp</t>
  </si>
  <si>
    <t>Mẫu biểu số 02:</t>
  </si>
  <si>
    <t>Tổng hợp dự toán thu ngân sách nhà nước theo sắc thuế năm...</t>
  </si>
  <si>
    <t>Mẫu biểu số 03:</t>
  </si>
  <si>
    <t>Dự kiến số thuế giá trị gia tăng phải hoàn năm....</t>
  </si>
  <si>
    <t>Mẫu biểu số 04:</t>
  </si>
  <si>
    <t>Tổng hợp dự toán thu từ hoạt động xuất nhập khẩu năm...</t>
  </si>
  <si>
    <t>Dùng cho cơ quan hải quan các cấp báo cáo: Cơ quan hải quan cấp trên, UBND, cơ quan tài chính, cơ quan kế hoạch và đầu tư cùng cấp</t>
  </si>
  <si>
    <t>Phần thứ hai</t>
  </si>
  <si>
    <t>Mẫu biểu lập dự toán thu, chi ngân sách nhà nước (HCSN)</t>
  </si>
  <si>
    <t>Từ Mẫu biểu số 05 đến 35 và 48 - 49</t>
  </si>
  <si>
    <t>Mẫu biểu số 05:</t>
  </si>
  <si>
    <t>Dự toán thu, chi ngân sách nhà nước năm...</t>
  </si>
  <si>
    <t>Dùng cho:tất cả đơn vị dự toán</t>
  </si>
  <si>
    <t>- Đơn vị dự toán cấp trên tổng hợp dự toán của các đơn vị sử dụng ngân sách</t>
  </si>
  <si>
    <t>Mẫu biểu số 06:</t>
  </si>
  <si>
    <t>Dự toán thu, chi ngân sách nhà nước năm... chi tiết theo đơn vị trực thuộc</t>
  </si>
  <si>
    <t>- Đơn vị dự toán cấp I báo cáo cơ quan tài chính, cơ quan kế hoạch và đầu tư cùng cấp</t>
  </si>
  <si>
    <t>Mẫu biểu số 07:</t>
  </si>
  <si>
    <t>Dự toán thu, chi, nộp ngân sách nhà nước từ các khoản phí và lệ phí năm...</t>
  </si>
  <si>
    <t>Dùng cho: đơn vị thu phí, lệ phí</t>
  </si>
  <si>
    <t>- Đơn vị sử dụng ngân sách báo cáo đơn vị dự toán cấp trên</t>
  </si>
  <si>
    <t>- Đơn vị dự toán cấp I báo cáo cơ quan tài chính cùng cấp</t>
  </si>
  <si>
    <t>Mẫu biểu số 08:</t>
  </si>
  <si>
    <t>Tổng hợp dự toán thu, chi từ nguồn vay nợ nước ngoài và vốn đối ứng năm...</t>
  </si>
  <si>
    <t>Dùng cho: có sử dụng vốn vay ODA, vay ưu đãi</t>
  </si>
  <si>
    <t>- UBND cấp tỉnh báo cáo Bộ Tài chính, Bộ Kế hoạch và Đầu tư</t>
  </si>
  <si>
    <t>Mẫu biểu số 09:</t>
  </si>
  <si>
    <t>Tổng hợp dự toán thu, chi từ nguồn viện trợ và vốn đối ứng năm...</t>
  </si>
  <si>
    <t>Dùng cho: đơn vị sử dụng vốn viện trợ không hoàn lại</t>
  </si>
  <si>
    <t>Mẫu biểu số 10:</t>
  </si>
  <si>
    <t>Dự toán chi bằng ngoại tệ năm...</t>
  </si>
  <si>
    <t>Dùng cho:</t>
  </si>
  <si>
    <t>- Đơn vị sử dụng ngân sách trung ương báo cáo đơn vị dự toán cấp trên</t>
  </si>
  <si>
    <t>- Đơn vị dự toán cấp I thuộc ngân sách trung ương báo cáo Bộ Tài chính</t>
  </si>
  <si>
    <t>Mẫu biểu số 11.1:</t>
  </si>
  <si>
    <t>Dự toán chi các chương trình mục tiêu quốc gia, chương trình mục tiêu năm...</t>
  </si>
  <si>
    <t>Dùng cho: đơn vị sử dụng vốn CT MTQG</t>
  </si>
  <si>
    <t>- Đơn vị dự toán cấp I ở địa phương báo cáo cơ quan tài chính, cơ quan kế hoạch và đầu tư cùng cấp</t>
  </si>
  <si>
    <t>Mẫu biểu số 11.2:</t>
  </si>
  <si>
    <t>- Các bộ, cơ quan trung ương và UBND các địa phương báo cáo cơ quan quản lý chương trình mục tiêu quốc gia, chương trình mục tiêu</t>
  </si>
  <si>
    <t>- Cơ quan quản lý chương trình mục tiêu quốc gia, chương trình mục tiêu báo cáo Bộ Tài chính, Bộ Kế hoạch và Đầu tư</t>
  </si>
  <si>
    <t>Mẫu biểu số 12.1:</t>
  </si>
  <si>
    <t>Dự toán thu, chi theo lĩnh vực sự nghiệp năm...</t>
  </si>
  <si>
    <t>Dùng cho: đơn vị sự nghiệp công lập</t>
  </si>
  <si>
    <t>- Đơn vị sử dụng ngân sách báo cáo cơ quan quản lý cấp trên</t>
  </si>
  <si>
    <t>Mẫu biểu số 12.2</t>
  </si>
  <si>
    <t>Dự toán thu, chi đơn vị sự nghiệp lĩnh vực năm...</t>
  </si>
  <si>
    <t>- Đơn vị sự nghiệp công tự bảo đảm chi thường xuyên và chi đầu tư báo cáo cơ quan quản lý cấp trên</t>
  </si>
  <si>
    <t>Mẫu biểu số 12.3:</t>
  </si>
  <si>
    <t>- Đơn vị sự nghiệp công tự bảo đảm chi thường xuyên báo cáo cơ quan quản lý cấp trên</t>
  </si>
  <si>
    <t>Mẫu biểu số 12.4:</t>
  </si>
  <si>
    <t>- Đơn vị sự nghiệp công tự bảo đảm một phần chi thường xuyên báo cáo cơ quan quản lý cấp trên</t>
  </si>
  <si>
    <t>Mẫu biểu số 12.5:</t>
  </si>
  <si>
    <t>- Đơn vị sự nghiệp công do Nhà nước bảo đảm chi thường xuyên báo cáo cơ quan quản lý cấp trên</t>
  </si>
  <si>
    <t>Mẫu biểu số 13.1:</t>
  </si>
  <si>
    <t>Cơ sở tính chi sự nghiệp giáo dục - đào tạo và dạy nghề năm...</t>
  </si>
  <si>
    <t>Mẫu biểu số 13.2:</t>
  </si>
  <si>
    <t>Cơ sở tính chi sự nghiệp y tế, dân số và gia đình năm...</t>
  </si>
  <si>
    <t>Mẫu biểu số 13.3:</t>
  </si>
  <si>
    <t>Cơ sở tính chi sự nghiệp khoa học và công nghệ năm...</t>
  </si>
  <si>
    <t>Mẫu biểu số 13.4:</t>
  </si>
  <si>
    <t>Cơ sở tính chi sự nghiệp văn hóa thông tin năm...</t>
  </si>
  <si>
    <t>Mẫu biểu số 13.5:</t>
  </si>
  <si>
    <t>Cơ sở tính chi sự nghiệp phát thanh, truyền hình, thông tấn năm...</t>
  </si>
  <si>
    <t>Mẫu biểu số 13.6:</t>
  </si>
  <si>
    <t>Cơ sở tính chi sự nghiệp thể dục thể thao năm...</t>
  </si>
  <si>
    <t>Mẫu biểu số 13.7:</t>
  </si>
  <si>
    <t>Cơ sở tính chi sự nghiệp bảo vệ môi trường năm...</t>
  </si>
  <si>
    <t>Mẫu biểu số 13.8:</t>
  </si>
  <si>
    <t>Cơ sở tính chi các hoạt động kinh tế năm...</t>
  </si>
  <si>
    <t>Mẫu biểu số 13.9:</t>
  </si>
  <si>
    <t>Chi tiết chi các hoạt động kinh tế theo chương trình/dự án năm...</t>
  </si>
  <si>
    <t>Mẫu biểu số 13.10:</t>
  </si>
  <si>
    <t>Cơ sở tính chi thực hiện chính sách đối với các đối tượng thuộc lĩnh vực bảo đảm xã hội năm...</t>
  </si>
  <si>
    <t>đơn vị thực hiện chính sách (Ban Dân tộc, lao động TBXH,……….)</t>
  </si>
  <si>
    <t>Mẫu biểu số 13.11:</t>
  </si>
  <si>
    <t>Cơ sở tính chi thực hiện chính sách ưu đãi người có công với cách mạng năm...</t>
  </si>
  <si>
    <t>- Cơ quan lao động - thương binh và xã hội các cấp để báo cáo cơ quan lao động- thương binh và xã hội cấp trên</t>
  </si>
  <si>
    <t>- Bộ Lao động-Thương binh và Xã hội báo cáo Bộ Tài chính</t>
  </si>
  <si>
    <t>Mẫu biểu số 13.12:</t>
  </si>
  <si>
    <t>Cơ sở tính chi thực hiện chính sách trợ giúp xã hội năm...</t>
  </si>
  <si>
    <t>Dùng cho cơ quan lao động - thương binh và xã hội báo cáo cơ quan tài chính cùng cấp</t>
  </si>
  <si>
    <t>Mẫu biểu số 14:</t>
  </si>
  <si>
    <t>Cơ sở tính chi hoạt động của các cơ quan quản lý nhà nước, đảng, đoàn thể năm...</t>
  </si>
  <si>
    <t>Mẫu biểu số 15.1:</t>
  </si>
  <si>
    <t>Báo cáo biên chế - tiền lương của các cơ quan quản lý nhà nước, đảng, đoàn thể năm...</t>
  </si>
  <si>
    <t>Mẫu biểu số 15.2:</t>
  </si>
  <si>
    <t>Báo cáo lao động - tiền lương - nguồn kinh phí đảm bảo của các đơn vị sự nghiệp năm...</t>
  </si>
  <si>
    <t>Mẫu biểu số 16:</t>
  </si>
  <si>
    <t>Cơ sở tính chi mua bổ sung hàng dự trữ quốc gia năm...</t>
  </si>
  <si>
    <t>- Đơn vị sử dụng ngân sách ở trung ương báo cáo đơn vị dự toán cấp trên</t>
  </si>
  <si>
    <t>- Đơn vị dự toán cấp I thuộc ngân sách trung ương báo cáo Bộ Tài chính, Bộ Kế hoạch và Đầu tư</t>
  </si>
  <si>
    <t>Mẫu biểu số 17:</t>
  </si>
  <si>
    <t>Dự toán chi cấp bù chênh lệch lãi suất và phí quản lý năm...</t>
  </si>
  <si>
    <t>Dùng cho đơn vị được giao nhiệm vụ huy động vốn để cho vay ưu đãi theo quy định của Chính phủ, quyết định của Thủ tướng Chính phủ để báo cáo Bộ Tài chính, Bộ Kế hoạch và Đầu tư</t>
  </si>
  <si>
    <t>Mẫu biểu số 18:</t>
  </si>
  <si>
    <t>Kế hoạch tài chính của các quỹ tài chính nhà nước ngoài ngân sách năm...</t>
  </si>
  <si>
    <t>Dùng cho các bộ, cơ quan trung ương và các cơ quan, đơn vị ở địa phương báo cáo cơ quan tài chính cùng cấp</t>
  </si>
  <si>
    <t>Phần thứ ba</t>
  </si>
  <si>
    <t>Mẫu biểu lập dự toán thu, chi của hệ thống bảo hiểm xã hội Việt Nam (BHXH)</t>
  </si>
  <si>
    <t>Mẫu biểu số 19:</t>
  </si>
  <si>
    <t>Tổng hợp dự toán thu, chi các quỹ bảo hiểm năm...</t>
  </si>
  <si>
    <t>Mẫu biểu số 20:</t>
  </si>
  <si>
    <t>Dự toán chi tiết thu, chi Quỹ bảo hiểm xã hội năm...</t>
  </si>
  <si>
    <t>- Cơ quan bảo hiểm xã hội các cấp báo cáo cơ quan bảo hiểm xã hội cấp trên</t>
  </si>
  <si>
    <t>Mẫu biểu số 21:</t>
  </si>
  <si>
    <t>Dự toán chi tiết thu, chi Quỹ bảo hiểm y tế năm...</t>
  </si>
  <si>
    <t>- Bảo hiểm xã hội Việt Nam báo cáo Bộ Tài chính</t>
  </si>
  <si>
    <t>Mẫu biểu số 22:</t>
  </si>
  <si>
    <t>Dự toán chi tiết thu, chi Quỹ bảo hiểm thất nghiệp năm...</t>
  </si>
  <si>
    <t>Phần thứ tư</t>
  </si>
  <si>
    <t>Mẫu biểu lập dự toán chi đầu tư phát triển (Đầu tư)</t>
  </si>
  <si>
    <t>Mẫu biểu số 23:</t>
  </si>
  <si>
    <t>Dự toán chi đầu tư nguồn NSNN (vốn trong nước) năm...</t>
  </si>
  <si>
    <t>Mẫu biểu số 24:</t>
  </si>
  <si>
    <t>Dự toán chi đầu tư từ nguồn vốn ODA và vốn vay ưu đãi theo phương thức cấp phát từ NSTW (không bao gồm vốn nước ngoài giải ngân theo cơ chế tài chính trong nước) năm...</t>
  </si>
  <si>
    <t>- Đơn vị dự toán cấp I báo cáo cơ quan tài chính và cơ quan kế hoạch và đầu tư cùng cấp</t>
  </si>
  <si>
    <t>Mẫu biểu số 25:</t>
  </si>
  <si>
    <t>Dự toán chi đầu tư từ nguồn vốn ODA và vốn vay ưu đãi theo phương thức cấp phát (giải ngân theo cơ chế tài chính trong nước) năm....</t>
  </si>
  <si>
    <t>Mẫu biểu số 26:</t>
  </si>
  <si>
    <t>Dự toán chi đầu tư từ nguồn vốn NSTW bổ sung có mục tiêu cho NSĐP (vốn trong nước) năm....</t>
  </si>
  <si>
    <t>Mẫu biểu số 27:</t>
  </si>
  <si>
    <t>Tổng hợp dự toán chi đầu tư phát triển năm ...</t>
  </si>
  <si>
    <t>Dùng cho đơn vị dự toán cấp I báo cáo cơ quan tài chính và cơ quan kế hoạch và đầu tư cùng cấp</t>
  </si>
  <si>
    <t>Phần thứ năm</t>
  </si>
  <si>
    <t>Mẫu biểu lập dự toán ngân sách địa phương (Ngân sách)</t>
  </si>
  <si>
    <t>Mẫu biểu số 28:</t>
  </si>
  <si>
    <t>Một số chỉ tiêu kinh tế - xã hội cơ bản năm...</t>
  </si>
  <si>
    <t>Dùng cho Ủy ban nhân dân tỉnh, thành phố trực thuộc Trung ương báo cáo Bộ Tài chính</t>
  </si>
  <si>
    <t>Mẫu biểu số 29.1:</t>
  </si>
  <si>
    <t>Cân đối NSĐP năm... (dùng cho năm đầu thời kỳ ổn định ngân sách)</t>
  </si>
  <si>
    <t>Mẫu biểu số 29.2:</t>
  </si>
  <si>
    <t>Cân đối NSĐP năm... (dùng cho các năm trong thời kỳ ổn định ngân sách)</t>
  </si>
  <si>
    <t>Mẫu biểu số 30:</t>
  </si>
  <si>
    <t>Kế hoạch vay và trả nợ ngân sách tỉnh, thành phố trực thuộc trung ương năm...</t>
  </si>
  <si>
    <t>Mẫu biểu số 31:</t>
  </si>
  <si>
    <t>Biểu tổng hợp dự toán thu NSNN năm...</t>
  </si>
  <si>
    <t>Mẫu biểu số 32:</t>
  </si>
  <si>
    <t>Biểu tổng hợp dự toán chi NSĐP năm....</t>
  </si>
  <si>
    <t>Mẫu biểu số 33:</t>
  </si>
  <si>
    <t>Tình hình thực hiện các dự án đầu tư sử dụng vốn NSTW bổ sung có mục tiêu cho NSĐP (vốn trong nước) năm... và dự kiến kế hoạch năm...</t>
  </si>
  <si>
    <t>Mẫu biểu số 34:</t>
  </si>
  <si>
    <t>Tình hình thực hiện các dự án đầu tư từ vốn ODA và vốn vay ưu đãi kế hoạch năm... và dự kiến kế hoạch năm....</t>
  </si>
  <si>
    <t>Mẫu biểu số 35:</t>
  </si>
  <si>
    <t>Dự toán thu từ hoạt động cung cấp dịch vụ của đơn vị sự nghiệp công lập năm...</t>
  </si>
  <si>
    <t>Phần thứ sáu</t>
  </si>
  <si>
    <t>Mẫu biểu phân bổ, thuyết minh phân bổ và chấp hành ngân sách nhà nước</t>
  </si>
  <si>
    <t>Mẫu biểu phân bổ, thuyết minh phân bổ Trung ưởng</t>
  </si>
  <si>
    <t>Mẫu biểu số 36:</t>
  </si>
  <si>
    <t>Dùng cho các bộ, cơ quan trung ương báo cáo Bộ Tài chính (kèm theo mẫu A phụ lục 2)</t>
  </si>
  <si>
    <t>Mẫu biểu số 37:</t>
  </si>
  <si>
    <t>Phân bổ dự toán thu, chi ngân sách nhà nước năm...</t>
  </si>
  <si>
    <t>Mẫu biểu số 38:</t>
  </si>
  <si>
    <t>Thuyết minh phân bổ chi sự nghiệp giáo dục - đào tạo và dạy nghề</t>
  </si>
  <si>
    <r>
      <t xml:space="preserve">Mẫu biểu số 39 </t>
    </r>
    <r>
      <rPr>
        <i/>
        <sz val="9"/>
        <color indexed="8"/>
        <rFont val="Times New Roman"/>
        <family val="1"/>
      </rPr>
      <t>(gồm mẫu biểu số 39.1 và 39.2):</t>
    </r>
  </si>
  <si>
    <t>Thuyết minh phân bổ chi sự nghiệp khoa học và công nghệ</t>
  </si>
  <si>
    <r>
      <t xml:space="preserve">Mẫu biểu số 40 </t>
    </r>
    <r>
      <rPr>
        <i/>
        <sz val="9"/>
        <color indexed="8"/>
        <rFont val="Times New Roman"/>
        <family val="1"/>
      </rPr>
      <t>(gồm mẫu biểu số 40.1 và 40.2):</t>
    </r>
  </si>
  <si>
    <t>Thuyết minh phân bổ chi sự nghiệp y tế</t>
  </si>
  <si>
    <t>Mẫu biểu số 41:</t>
  </si>
  <si>
    <t>Thuyết minh phân bổ chi sự nghiệp văn hóa thông tin</t>
  </si>
  <si>
    <t>Mẫu biểu số 42:</t>
  </si>
  <si>
    <t>Thuyết minh phân bổ chi sự nghiệp phát thanh, truyền hình, thông tấn</t>
  </si>
  <si>
    <t>Mẫu biểu số 43:</t>
  </si>
  <si>
    <t>Thuyết minh phân bổ chi sự nghiệp thể dục thể thao</t>
  </si>
  <si>
    <r>
      <t xml:space="preserve">Mẫu biểu số 44 </t>
    </r>
    <r>
      <rPr>
        <i/>
        <sz val="9"/>
        <color indexed="8"/>
        <rFont val="Times New Roman"/>
        <family val="1"/>
      </rPr>
      <t>(gồm mẫu biểu số 44.1 và 44.2):</t>
    </r>
  </si>
  <si>
    <t>Thuyết minh phân bổ chi sự nghiệp bảo vệ môi trường</t>
  </si>
  <si>
    <r>
      <t xml:space="preserve">Mẫu biểu số 45 </t>
    </r>
    <r>
      <rPr>
        <i/>
        <sz val="9"/>
        <color indexed="8"/>
        <rFont val="Times New Roman"/>
        <family val="1"/>
      </rPr>
      <t>(gồm mẫu biểu số 45.1; 45.2 và 45.3):</t>
    </r>
  </si>
  <si>
    <t>Thuyết minh phân bổ chi hoạt động kinh tế</t>
  </si>
  <si>
    <r>
      <t xml:space="preserve">Mẫu biểu số 46 </t>
    </r>
    <r>
      <rPr>
        <i/>
        <sz val="9"/>
        <color indexed="8"/>
        <rFont val="Times New Roman"/>
        <family val="1"/>
      </rPr>
      <t>(gồm mẫu biểu số 46.1; 46.2 và 46.3):</t>
    </r>
  </si>
  <si>
    <t>Thuyết minh phân bổ chi quản lý hành chính</t>
  </si>
  <si>
    <r>
      <t xml:space="preserve">Mẫu biểu số 47 </t>
    </r>
    <r>
      <rPr>
        <i/>
        <sz val="9"/>
        <color indexed="8"/>
        <rFont val="Times New Roman"/>
        <family val="1"/>
      </rPr>
      <t>(gồm mẫu biểu số 47.1; 47.2 và 47.3)</t>
    </r>
  </si>
  <si>
    <t>Thuyết minh phân bổ chi đảm bảo xã hội</t>
  </si>
  <si>
    <t>Mẫu dự toán, phân bổ dự toán dành cho đơn vị dự toán cấp tỉnh, cấp huyện</t>
  </si>
  <si>
    <t>Mẫu biểu số 48:</t>
  </si>
  <si>
    <t>Dùng cho các Sở và cơ quan cấp tỉnh; Phòng và các cơ quan cấp huyện, báo cáo cơ quan tài chính cùng cấp, kho bạc nhà nước (kèm theo mẫu B, C phụ lục 2)</t>
  </si>
  <si>
    <t>Mẫu biểu số 49:</t>
  </si>
  <si>
    <t>Mẫu biểu cáo cáo chấp hành ngân sách nhà nước</t>
  </si>
  <si>
    <t>Mẫu biểu số 50:</t>
  </si>
  <si>
    <t>Tình hình cân đối NSNN tháng... năm....</t>
  </si>
  <si>
    <t>Dùng cho Bộ Tài chính báo cáo Chính phủ, các cơ quan liên quan</t>
  </si>
  <si>
    <t>Mẫu biểu số 51:</t>
  </si>
  <si>
    <t>Ước thực hiện thu NSNN tháng... năm....</t>
  </si>
  <si>
    <t>Mẫu biểu số 52:</t>
  </si>
  <si>
    <t>Ước thực hiện chi NSNN tháng... năm....</t>
  </si>
  <si>
    <t>Mẫu biểu số 53:</t>
  </si>
  <si>
    <t>Dùng cho cơ quan thuế, hải quan báo cáo cơ quan tài chính cùng cấp và cơ quan liên quan</t>
  </si>
  <si>
    <t>Mẫu biểu số 54:</t>
  </si>
  <si>
    <t>Thực hiện dự toán thu, chi NSNN quý... năm....</t>
  </si>
  <si>
    <t>Dùng cho đơn vị dự toán cấp I thuộc ngân sách trung ương báo cáo Bộ Tài chính</t>
  </si>
  <si>
    <t>Mẫu biểu số 55:</t>
  </si>
  <si>
    <t>Tình hình cân đối NSĐP tháng... năm....</t>
  </si>
  <si>
    <t>Dùng cho Ủy ban nhân dân tỉnh, thành phố trực thuộc trung ương báo cáo Bộ Tài chính</t>
  </si>
  <si>
    <t>Mẫu biểu số 56:</t>
  </si>
  <si>
    <t>Mẫu biểu số 57:</t>
  </si>
  <si>
    <t>Ước thực hiện chi NSĐP tháng... năm....</t>
  </si>
  <si>
    <t>Phần thứ bảy</t>
  </si>
  <si>
    <t>Mẫu biểu báo cáo quyết toán ngân sách nhà nước</t>
  </si>
  <si>
    <t>Mẫu biểu số 58:</t>
  </si>
  <si>
    <t>Số dư tài khoản tiền gửi kinh phí ngân sách cấp của đơn vị dự toán được chuyển nguồn sang năm sau của các đơn vị thuộc ngân sách các cấp năm...chuyển sang năm....</t>
  </si>
  <si>
    <t>Dùng cho các đơn vị dự toán ngân sách thuộc ngân sách các cấp báo cáo cơ quan kho bạc nhà nước</t>
  </si>
  <si>
    <t>Mẫu biểu số 59:</t>
  </si>
  <si>
    <t>Tình hình thực hiện dự toán của các nhiệm vụ được chuyển nguồn sang năm sau của các đơn vị thuộc ngân sách các cấp năm... chuyển sang năm...</t>
  </si>
  <si>
    <t>Mẫu biểu số 60:</t>
  </si>
  <si>
    <t>Cân đối quyết toán ngân sách địa phương năm....</t>
  </si>
  <si>
    <t>Dùng cho Ủy ban nhân dân cấp dưới báo cáo cơ quan tài chính cấp trên trực tiếp</t>
  </si>
  <si>
    <t>Mẫu biểu số 61:</t>
  </si>
  <si>
    <t>Quyết toán thu NSNN, vay NSĐP năm...</t>
  </si>
  <si>
    <t>Mẫu biểu số 62:</t>
  </si>
  <si>
    <t>Quyết toán chi ngân sách địa phương năm....</t>
  </si>
  <si>
    <t>Mẫu biểu số 63:</t>
  </si>
  <si>
    <t>Quyết toán thu NSNN, vay NSĐP theo mục lục ngân sách nhà nước năm...</t>
  </si>
  <si>
    <t>Dùng cho cơ quan tài chính cấp dưới báo cáo cơ quan tài chính cấp trên trực tiếp</t>
  </si>
  <si>
    <t>Mẫu biểu số 64:</t>
  </si>
  <si>
    <t>Quyết toán chi, trả nợ NSĐP theo mục lục ngân sách nhà nước năm...</t>
  </si>
  <si>
    <t>Mẫu biểu số 65:</t>
  </si>
  <si>
    <t>Quyết toán chi chương trình mục tiêu theo mục lục ngân sách nhà nước năm....</t>
  </si>
  <si>
    <t>Mẫu biểu số 66:</t>
  </si>
  <si>
    <t>Thuyết minh tăng, giảm chi quản lý hành chính, Đảng, đoàn thể năm....</t>
  </si>
  <si>
    <t>Mẫu biểu số 67:</t>
  </si>
  <si>
    <t>Thuyết minh chi khắc phục hậu quả thiên tai năm....</t>
  </si>
  <si>
    <t>Mẫu biểu số 68:</t>
  </si>
  <si>
    <t>Thuyết minh tình hình sử dụng nguồn dự phòng, tăng thu và thưởng vượt dự toán thu ngân sách năm....</t>
  </si>
  <si>
    <t>Mẫu biểu số 69:</t>
  </si>
  <si>
    <t>Báo cáo tình hình kiểm toán, thanh tra năm....</t>
  </si>
  <si>
    <t>- Đơn vị dự toán cấp I các cấp báo cáo cơ quan tài chính cùng cấp.</t>
  </si>
  <si>
    <t>- Dùng cho Ủy ban nhân dân báo cáo cơ quan tài chính cấp trên trực tiếp</t>
  </si>
  <si>
    <t>Mẫu biểu số 70:</t>
  </si>
  <si>
    <t>Báo cáo chi chuyển nguồn sang năm sau năm....</t>
  </si>
  <si>
    <t>Dùng cho cơ quan tài chính báo cáo cơ quan tài chính cấp trên trực tiếp</t>
  </si>
  <si>
    <t>CỘNG HÒA XÃ HỘI CHỦ NGHĨA VIỆT NAM</t>
  </si>
  <si>
    <t>Độc lâp - Tự do - hạnh phúc</t>
  </si>
  <si>
    <t>BÁO CÁO TỔNG HỢP</t>
  </si>
  <si>
    <t>QUYẾT TOÁN THU - CHI NGÂN SÁCH HUYỆN ĐĂK TÔ</t>
  </si>
  <si>
    <t>Mẫu biểu số 60</t>
  </si>
  <si>
    <t>(Dùng cho Ủy ban nhân dân cấp dưới báo cáo cơ quan tài chính cấp trên trực tiếp)</t>
  </si>
  <si>
    <t>Đơn vị: đồng</t>
  </si>
  <si>
    <t>Phần thu</t>
  </si>
  <si>
    <t>Tổng số</t>
  </si>
  <si>
    <t>Thu NS cấp tỉnh</t>
  </si>
  <si>
    <t>Thu NS cấp huyện</t>
  </si>
  <si>
    <t>Thu NS xã</t>
  </si>
  <si>
    <t>Phần chi</t>
  </si>
  <si>
    <t>Chi NS cấp tỉnh</t>
  </si>
  <si>
    <t>Chi NS cấp huyện</t>
  </si>
  <si>
    <t>Chi NS xã</t>
  </si>
  <si>
    <t>Tổng số thu</t>
  </si>
  <si>
    <t>Tổng số chi</t>
  </si>
  <si>
    <t>A Tổng số thu cân đối ngân sách</t>
  </si>
  <si>
    <t>A Tổng số chi cân đối ngân sách</t>
  </si>
  <si>
    <t>1 Các khoản thu NSĐP hưởng 100%</t>
  </si>
  <si>
    <t>1 Chi đầu tư phát triển</t>
  </si>
  <si>
    <t>2 Các khoản thu phân chia theo tỷ lệ %</t>
  </si>
  <si>
    <t>2 Chi trả nợ lãi, phí tiền vay</t>
  </si>
  <si>
    <t>3 Thu từ quỹ dự trữ tài chính</t>
  </si>
  <si>
    <t>3 Chi thường xuyên</t>
  </si>
  <si>
    <t>4 Thu kết dư năm trước</t>
  </si>
  <si>
    <t>4 Chi bổ sung quỹ dự trữ tài chính</t>
  </si>
  <si>
    <t>5 Thu chuyển nguồn từ năm trước sang</t>
  </si>
  <si>
    <t>5 Chi bổ sung cho ngân sách cấp dưới</t>
  </si>
  <si>
    <t>6 Thu từ ngân sách cấp dưới nộp lên</t>
  </si>
  <si>
    <t>6 Chi chuyển nguồn sang năm sau</t>
  </si>
  <si>
    <t>7 Thu bổ sung từ ngân sách cấp trên</t>
  </si>
  <si>
    <t>7. Chi nộp ngân sách cấp trên</t>
  </si>
  <si>
    <t>Tr.đó: - Bổ sung cân đối ngân sách</t>
  </si>
  <si>
    <t xml:space="preserve">             - Bổ sung có mục tiêu</t>
  </si>
  <si>
    <t>- Kết dư ngân sách năm quyết toán = (Thu - chi)</t>
  </si>
  <si>
    <r>
      <t>B Vay của ngân sách cấp tỉnh</t>
    </r>
    <r>
      <rPr>
        <b/>
        <vertAlign val="superscript"/>
        <sz val="10"/>
        <color indexed="8"/>
        <rFont val="Arial"/>
        <family val="2"/>
      </rPr>
      <t>1</t>
    </r>
    <r>
      <rPr>
        <b/>
        <sz val="10"/>
        <color indexed="8"/>
        <rFont val="Arial"/>
        <family val="2"/>
      </rPr>
      <t xml:space="preserve"> (chi tiết theo mục đích vay và nguồn vay)</t>
    </r>
  </si>
  <si>
    <r>
      <t>B Chi trả nợ gốc (chi tiết từng nguồn trả nợ gốc)</t>
    </r>
    <r>
      <rPr>
        <b/>
        <vertAlign val="superscript"/>
        <sz val="10"/>
        <color indexed="8"/>
        <rFont val="Arial"/>
        <family val="2"/>
      </rPr>
      <t>1</t>
    </r>
  </si>
  <si>
    <t xml:space="preserve">Thử lại </t>
  </si>
  <si>
    <t>KHO BẠC NHÀ NƯỚC HUYỆN ĐĂK TÔ</t>
  </si>
  <si>
    <t>PHÒNG TÀI CHÍNH - KẾ HOẠCH HUYỆN ĐĂK TÔ</t>
  </si>
  <si>
    <t>TM. UBND HUYỆN ĐĂK TÔ</t>
  </si>
  <si>
    <t>GIÁM ĐỐC</t>
  </si>
  <si>
    <t>TRƯỞNG PHÒNG</t>
  </si>
  <si>
    <t>CHỦ TỊCH</t>
  </si>
  <si>
    <t>Mẫu biểu số 61</t>
  </si>
  <si>
    <t>Đơn vị:  đồng</t>
  </si>
  <si>
    <t>Nội dung</t>
  </si>
  <si>
    <t>Dự toán năm</t>
  </si>
  <si>
    <t>Quyết toán năm</t>
  </si>
  <si>
    <t>Phân chia theo từng cấp ngân sách</t>
  </si>
  <si>
    <t>So sánh QT/DT (%)</t>
  </si>
  <si>
    <t>Cấp trên giao</t>
  </si>
  <si>
    <t>HĐND quyết định</t>
  </si>
  <si>
    <t>Thu NS TW</t>
  </si>
  <si>
    <t>A</t>
  </si>
  <si>
    <t>B</t>
  </si>
  <si>
    <t>(3)=(4)+(5)+(6)+(7)</t>
  </si>
  <si>
    <t>4</t>
  </si>
  <si>
    <t>5</t>
  </si>
  <si>
    <t>6</t>
  </si>
  <si>
    <t>7</t>
  </si>
  <si>
    <t>8=3/1</t>
  </si>
  <si>
    <t>9=3/2</t>
  </si>
  <si>
    <t>TỔNG SỐ (A+B+C+D+E+F+G)</t>
  </si>
  <si>
    <t>THU NGÂN SÁCH NHÀ NƯỚC</t>
  </si>
  <si>
    <t>I</t>
  </si>
  <si>
    <t>Thu nội địa thường xuyên</t>
  </si>
  <si>
    <t>Thu từ khu vực doanh nghiệp nhà nước do Trung ương quản lý</t>
  </si>
  <si>
    <t>- Thuế giá trị gia tăng</t>
  </si>
  <si>
    <t>Trong đó: Thu từ hoạt động thăm dò, khai thác, dầu khí</t>
  </si>
  <si>
    <t>- Thuế thu nhập doanh nghiệp</t>
  </si>
  <si>
    <t>- Thuế tiêu thụ đặc biệt</t>
  </si>
  <si>
    <t>Trong đó: Thu từ cơ sở kinh doanh nhập khẩu tiếp tục bán ra trong nước</t>
  </si>
  <si>
    <t>- Thuế Tài nguyên</t>
  </si>
  <si>
    <t>- Thu khác</t>
  </si>
  <si>
    <t>Trong đó: Thuế tài nguyên dầu, khí</t>
  </si>
  <si>
    <t>Thu từ khu vực doanh nghiệp nhà nước do địa phương quản lý</t>
  </si>
  <si>
    <t>- Thuế tài nguyên</t>
  </si>
  <si>
    <t>Thu từ khu vực doanh nghiệp có vốn đầu tư nước ngoài</t>
  </si>
  <si>
    <t>Trong đó: Thu từ hoạt động thăm dò và khai thác dầu, khí</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</si>
  <si>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</si>
  <si>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</si>
  <si>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</si>
  <si>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</si>
  <si>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Thu từ khu vực kinh tế ngoài quốc doanh</t>
  </si>
  <si>
    <t xml:space="preserve">Trong đó: Thu từ cơ sở kinh doanh nhập khẩu tiếp tục bán ra trong nước </t>
  </si>
  <si>
    <t>- Thuế môn bài</t>
  </si>
  <si>
    <t>Lệ phí trước bạ</t>
  </si>
  <si>
    <t>Thuế sử dụng đất nông nghiệp</t>
  </si>
  <si>
    <t>Thuế sử dụng đất phi nông nghiệp</t>
  </si>
  <si>
    <t>Thuế thu nhập cá nhân</t>
  </si>
  <si>
    <t>Thuế bảo vệ môi trường</t>
  </si>
  <si>
    <t>Trong đó: - Thu từ hàng hóa nhập khẩu</t>
  </si>
  <si>
    <t>- Thu từ hàng hóa sản xuất trong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</si>
  <si>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</si>
  <si>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</si>
  <si>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</si>
  <si>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</si>
  <si>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</si>
  <si>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</si>
  <si>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</si>
  <si>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12</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</si>
  <si>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</si>
  <si>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</si>
  <si>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</si>
  <si>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</si>
  <si>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</si>
  <si>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</si>
  <si>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</si>
  <si>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</si>
  <si>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</si>
  <si>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</si>
  <si>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</si>
  <si>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Thu khác ngân sách</t>
  </si>
  <si>
    <t>Trong đó: - Thu khác ngân sách trung ương</t>
  </si>
  <si>
    <t>Thu tiền cấp quyền khai thác khoáng sản</t>
  </si>
  <si>
    <t>Trong đó: - Giấy phép do Trung ương cấp</t>
  </si>
  <si>
    <t>- Giấy phép do Ủy ban nhân dân cấp tỉnh cấp</t>
  </si>
  <si>
    <t>Thu từ quỹ đất công ích và thu hoa lợi công sản khác</t>
  </si>
  <si>
    <t>Thu cổ tức và lợi nhuận sau thuế</t>
  </si>
  <si>
    <t>Thu từ hoạt động xổ số kiến thiết (kể cả xổ số điện toán)</t>
  </si>
  <si>
    <t>II</t>
  </si>
  <si>
    <t>Thu về dầu thô</t>
  </si>
  <si>
    <t xml:space="preserve">Thu về dầu thô theo hiệp định, hợp đồng </t>
  </si>
  <si>
    <t>1.1</t>
  </si>
  <si>
    <t>Thuế tài nguyên</t>
  </si>
  <si>
    <t>1.2</t>
  </si>
  <si>
    <t>Thuế thu nhập doanh nghiệp</t>
  </si>
  <si>
    <t>1.3</t>
  </si>
  <si>
    <t>Lợi nhuận sau thuế được chia của Chính phủ Việt Nam</t>
  </si>
  <si>
    <t>1.4</t>
  </si>
  <si>
    <t>Dầu lãi được chia của Chính phủ Việt Nam</t>
  </si>
  <si>
    <t>1.5</t>
  </si>
  <si>
    <t xml:space="preserve">Thuế đặc biệt </t>
  </si>
  <si>
    <t>1.6</t>
  </si>
  <si>
    <t>Thu khác</t>
  </si>
  <si>
    <t xml:space="preserve">Thu về Condensate theo hiệp định, hợp đồng. </t>
  </si>
  <si>
    <t>Phụ thu về dầu, khí</t>
  </si>
  <si>
    <t>Thu về khí thiên nhiên (không bao gồm doanh nghiệp có vốn đầu tư nước ngoài)</t>
  </si>
  <si>
    <t>III</t>
  </si>
  <si>
    <t>Thu Hải quan</t>
  </si>
  <si>
    <t>Thuế xuất khẩu</t>
  </si>
  <si>
    <t>Thuế nhập khẩu</t>
  </si>
  <si>
    <t>Thuế tiêu thụ đặc biệt hàng nhập khẩu</t>
  </si>
  <si>
    <t>Thuế giá trị gia tăng hàng nhập khẩu</t>
  </si>
  <si>
    <t>Thuế bổ sung đối với hàng hóa nhập khẩu vào Việt Nam</t>
  </si>
  <si>
    <t>Thu chênh lệch giá hàng xuất nhập khẩu</t>
  </si>
  <si>
    <t>Thuế bảo vệ môi trường do cơ quan hải quan thực hiện</t>
  </si>
  <si>
    <t>Phí, lệ phí hải quan</t>
  </si>
  <si>
    <t>IV</t>
  </si>
  <si>
    <t>Thu Viện trợ</t>
  </si>
  <si>
    <t>V</t>
  </si>
  <si>
    <t>Các khoản huy động, đóng góp</t>
  </si>
  <si>
    <t>Các khoản huy động đóng góp xây dựng cơ sở hạ tầng</t>
  </si>
  <si>
    <t>Các khoản huy động đóng góp khác</t>
  </si>
  <si>
    <t>VI</t>
  </si>
  <si>
    <t>Thu hồi vốn của Nhà nước và thu từ quỹ dự trữ tài chính</t>
  </si>
  <si>
    <t>Thu từ bán cổ phần, vốn góp của Nhà nước nộp ngân sách</t>
  </si>
  <si>
    <t>Thu từ các khoản cho vay của ngân sách</t>
  </si>
  <si>
    <t>2.1</t>
  </si>
  <si>
    <t>Thu nợ gốc cho vay</t>
  </si>
  <si>
    <t>2.2</t>
  </si>
  <si>
    <t>Thu lãi cho vay</t>
  </si>
  <si>
    <t>Thu từ quỹ dự trữ tài chính</t>
  </si>
  <si>
    <t>VAY CỦA NGÂN SÁCH ĐỊA PHƯƠNG</t>
  </si>
  <si>
    <t>Vay bù đắp bội chi NSĐP</t>
  </si>
  <si>
    <t>Vay trong nước</t>
  </si>
  <si>
    <t>Vay lại từ nguồn Chính phủ vay ngoài nước</t>
  </si>
  <si>
    <t>Vay để trả nợ gốc vay</t>
  </si>
  <si>
    <t>C</t>
  </si>
  <si>
    <t>THU CHUYỂN GIAO NGÂN SÁCH</t>
  </si>
  <si>
    <t>Thu bổ sung từ ngân sách cấp trên</t>
  </si>
  <si>
    <t>1.</t>
  </si>
  <si>
    <t xml:space="preserve">Bổ sung cân đối </t>
  </si>
  <si>
    <t>2.</t>
  </si>
  <si>
    <t>Bổ sung có mục tiêu</t>
  </si>
  <si>
    <t xml:space="preserve">Bổ sung có mục tiêu bằng nguồn vốn trong nước </t>
  </si>
  <si>
    <t>Bổ sung có mục tiêu bằng nguồn vốn ngoài nước</t>
  </si>
  <si>
    <t>Thu từ ngân sách cấp dưới nộp lên</t>
  </si>
  <si>
    <t>D</t>
  </si>
  <si>
    <t>THU CHUYỂN NGUỒN</t>
  </si>
  <si>
    <t>E</t>
  </si>
  <si>
    <t>THU KẾT DƯ NGÂN SÁCH</t>
  </si>
  <si>
    <t>F</t>
  </si>
  <si>
    <t xml:space="preserve"> Các khoản thu quản lý qua ngân sách</t>
  </si>
  <si>
    <t xml:space="preserve"> Nguồn thu học phí</t>
  </si>
  <si>
    <t xml:space="preserve"> Nguồn thu viện trợ</t>
  </si>
  <si>
    <t>Ghi chú: Đây là mẫu chung cho cấp tỉnh, huyện, xã, khi báo cáo, dùng và in các chỉ tiêu thuộc phạm vi được giao quản lý của cấp tương ứng</t>
  </si>
  <si>
    <t>Mẫu biểu số 62</t>
  </si>
  <si>
    <t>(Dùng cho Ủy ban nhân dân cấp dưới báo cáo cơ quan tài chính cấp trên trên trực tiếp)</t>
  </si>
  <si>
    <t>Nội dung chi</t>
  </si>
  <si>
    <t>So sánh QT/DT(%)</t>
  </si>
  <si>
    <t>NGUỒN 
CÂN ĐỐI</t>
  </si>
  <si>
    <t xml:space="preserve">TỈNH </t>
  </si>
  <si>
    <t>TRUNG ƯƠNG</t>
  </si>
  <si>
    <t>CTMT</t>
  </si>
  <si>
    <t>Tổng số Chi NSĐP</t>
  </si>
  <si>
    <t>(3)=(4)+(5)+(6)</t>
  </si>
  <si>
    <t>(7)=(3):(1)</t>
  </si>
  <si>
    <t>(8)= (3):(2)</t>
  </si>
  <si>
    <t>CHI CÂN ĐỐI NGÂN SÁCH</t>
  </si>
  <si>
    <t>Chi đầu tư phát triển</t>
  </si>
  <si>
    <t>Chi quốc phòng</t>
  </si>
  <si>
    <t>Chi an ninh và trật tự an toàn xã hội</t>
  </si>
  <si>
    <t>Chi Giáo dục - đào tạo và dạy nghề</t>
  </si>
  <si>
    <t>Chi Khoa học và công nghệ</t>
  </si>
  <si>
    <t>Chi Y tế, dân số và gia đình</t>
  </si>
  <si>
    <t>Chi Văn hóa thông tin</t>
  </si>
  <si>
    <t>1.7</t>
  </si>
  <si>
    <t>Chi Phát thanh, truyền hình, thông tấn</t>
  </si>
  <si>
    <t>1.8</t>
  </si>
  <si>
    <t>Chi Thể dục thể thao</t>
  </si>
  <si>
    <t>1.9</t>
  </si>
  <si>
    <t>Chi Bảo vệ môi trường</t>
  </si>
  <si>
    <t>1.10</t>
  </si>
  <si>
    <t>Chi các hoạt động kinh tế</t>
  </si>
  <si>
    <t>1.11</t>
  </si>
  <si>
    <t>Chi hoạt động của các cơ quan quản lý nhà nước, đảng, đoàn thể</t>
  </si>
  <si>
    <t>1.12</t>
  </si>
  <si>
    <t>Chi Bảo đảm xã hội</t>
  </si>
  <si>
    <t>1.13</t>
  </si>
  <si>
    <t>Chi ngành, lĩnh vực khác</t>
  </si>
  <si>
    <t>Chi đầu tư và hỗ trợ vốn cho các doanh nghiệp hoạt động công</t>
  </si>
  <si>
    <t>Chi đầu tư phát triển khác</t>
  </si>
  <si>
    <t>Chi trả nợ lãi vay theo quy định</t>
  </si>
  <si>
    <t>Chi thường xuyên</t>
  </si>
  <si>
    <t>2.3</t>
  </si>
  <si>
    <t>2.4</t>
  </si>
  <si>
    <t>2.5</t>
  </si>
  <si>
    <t>2.6</t>
  </si>
  <si>
    <t>2.7</t>
  </si>
  <si>
    <t>2.8</t>
  </si>
  <si>
    <t>2.9</t>
  </si>
  <si>
    <t>2.10</t>
  </si>
  <si>
    <t>2.11</t>
  </si>
  <si>
    <t>2.12</t>
  </si>
  <si>
    <t>2.13</t>
  </si>
  <si>
    <t>Chi khác</t>
  </si>
  <si>
    <t>2.14</t>
  </si>
  <si>
    <t>Dự phòng</t>
  </si>
  <si>
    <t>Nguồn cải cách tiền lương</t>
  </si>
  <si>
    <t>Chi bổ sung quỹ dự trữ tài chính</t>
  </si>
  <si>
    <t>Chi chuyển nguồn</t>
  </si>
  <si>
    <t>CHI BỔ SUNG CHO NGÂN SÁCH CẤP DƯỚI</t>
  </si>
  <si>
    <t>Bổ sung cân đối</t>
  </si>
  <si>
    <t>Tr. đó: - Bằng nguồn vốn trong nước</t>
  </si>
  <si>
    <t xml:space="preserve">           - Bằng nguồn vốn ngoài nước</t>
  </si>
  <si>
    <t>CHI NỘP NGÂN SÁCH CẤP TRÊN</t>
  </si>
  <si>
    <t>C. Các khoản chi quản lý qua ngân sách</t>
  </si>
  <si>
    <t>Chi từ nguồn thu học phí</t>
  </si>
  <si>
    <t xml:space="preserve">Chi từ nguồn thu viện trợ </t>
  </si>
  <si>
    <t>TỔNG SỐ (A+B+C)</t>
  </si>
  <si>
    <t>Ghi chú:</t>
  </si>
  <si>
    <t>Đây là mẫu chung cho cấp tỉnh, huyện, xã, khi báo cáo, dùng và in các chỉ tiêu thuộc phạm vi được giao quản lý của cấp tương ứng</t>
  </si>
  <si>
    <t>- Cột (1) chỉ phản ánh những chỉ tiêu TW giao ở dòng tương ứng</t>
  </si>
  <si>
    <t>(1) - Phản ánh các khoản chi từ nguồn thu đơn vị được để lại chi theo chế độ quy định</t>
  </si>
  <si>
    <t>Mẫu biểu số 63</t>
  </si>
  <si>
    <t>QUYẾT TOÁN THU NSNN, VAY NSĐP THEO MỤC LỤC NSNN</t>
  </si>
  <si>
    <t>(Dùng cho cơ quan tài chính cấp dưới báo cáo cơ quan tài chính cấp trên trực tiếp)</t>
  </si>
  <si>
    <t>Cấp</t>
  </si>
  <si>
    <t>Chương</t>
  </si>
  <si>
    <t>Mục</t>
  </si>
  <si>
    <t>Tiểu mục</t>
  </si>
  <si>
    <t>NSNN</t>
  </si>
  <si>
    <t>NSTW</t>
  </si>
  <si>
    <t>NS cấp tỉnh</t>
  </si>
  <si>
    <t>NS cấp huyện</t>
  </si>
  <si>
    <t>NS xã</t>
  </si>
  <si>
    <t>Hợp nhóm, Tiểu nhóm, Mục và Tiểu mục (hợp nhóm toàn bộ các cấp và hợp nhóm theo từng cấp)</t>
  </si>
  <si>
    <t>Ngày   tháng    năm</t>
  </si>
  <si>
    <t>…., ngày    tháng     năm</t>
  </si>
  <si>
    <t>GIÁM ĐỐC KBNN……….</t>
  </si>
  <si>
    <t>THỦ TRƯỞNG CƠ QUAN TÀI CHÍNH</t>
  </si>
  <si>
    <t>(Ký tên, đóng dấu)</t>
  </si>
  <si>
    <t>Mẫu biểu số 64</t>
  </si>
  <si>
    <t>QUYẾT TOÁN CHI, TRẢ NỢ NSĐP THEO MỤC LỤC NSNN NĂM....</t>
  </si>
  <si>
    <t>Loại</t>
  </si>
  <si>
    <t>Khoản</t>
  </si>
  <si>
    <t>Số QT</t>
  </si>
  <si>
    <t>Mẫu biểu số 65</t>
  </si>
  <si>
    <t>MÃ CTMT</t>
  </si>
  <si>
    <t>Tên chương trình mục tiêu</t>
  </si>
  <si>
    <t>TỔNG CỘNG</t>
  </si>
  <si>
    <t>Chương trình MTQG xây dựng nông thôn  mới</t>
  </si>
  <si>
    <t>Vốn đầu tư phát triển</t>
  </si>
  <si>
    <t>Xã Kon Đào</t>
  </si>
  <si>
    <t>Xã Pô Kô</t>
  </si>
  <si>
    <t>Xã Ngọc Tụ</t>
  </si>
  <si>
    <t>3.1</t>
  </si>
  <si>
    <t>3.2</t>
  </si>
  <si>
    <t>Xã Đăk Rơ Nga</t>
  </si>
  <si>
    <t>4.1</t>
  </si>
  <si>
    <t>4.2</t>
  </si>
  <si>
    <t>Xã Văn Lem</t>
  </si>
  <si>
    <t>5.1</t>
  </si>
  <si>
    <t>5.2</t>
  </si>
  <si>
    <t>Xã Đăk Trăm</t>
  </si>
  <si>
    <t>6.1</t>
  </si>
  <si>
    <t>6.2</t>
  </si>
  <si>
    <t>Vốn sự nghiệp</t>
  </si>
  <si>
    <t>Đào tạo nghề nông nghiệp</t>
  </si>
  <si>
    <t>Trung tâm GDNN-GDTX</t>
  </si>
  <si>
    <t>Kinh phí quản lý</t>
  </si>
  <si>
    <t>UBND xã Ngọc Tụ</t>
  </si>
  <si>
    <t>UBND xã Đăk Rơ Nga</t>
  </si>
  <si>
    <t>UBND xã Đăk Trăm</t>
  </si>
  <si>
    <t>UBND xã Văn Lem</t>
  </si>
  <si>
    <t>UBND xã Diên Bình</t>
  </si>
  <si>
    <t>UBND xã Tân Cảnh</t>
  </si>
  <si>
    <t>UBND xã Kon Đào</t>
  </si>
  <si>
    <t>UBND xã Pô Kô</t>
  </si>
  <si>
    <t>Phòng Nông nghiệp và PTNT huyện</t>
  </si>
  <si>
    <t>3.3</t>
  </si>
  <si>
    <t>3.4</t>
  </si>
  <si>
    <t>3.5</t>
  </si>
  <si>
    <t>Các hoạt động khác</t>
  </si>
  <si>
    <t>4.3</t>
  </si>
  <si>
    <t>4.4</t>
  </si>
  <si>
    <t>4.5</t>
  </si>
  <si>
    <t>4.6</t>
  </si>
  <si>
    <t>4.7</t>
  </si>
  <si>
    <t>4.8</t>
  </si>
  <si>
    <t>4.9</t>
  </si>
  <si>
    <t>00394</t>
  </si>
  <si>
    <t>Chương trình MTQG giảm nghèo bền vững</t>
  </si>
  <si>
    <t>Xã Diên Bình</t>
  </si>
  <si>
    <t>6.3</t>
  </si>
  <si>
    <t>6.4</t>
  </si>
  <si>
    <t>7.1</t>
  </si>
  <si>
    <t xml:space="preserve">Hỗ trợ phát triển sản xuất </t>
  </si>
  <si>
    <t>Xã Ngọc Tụ</t>
  </si>
  <si>
    <t>Xã Văn Lem</t>
  </si>
  <si>
    <t>Xã Đăk Rơ Nga</t>
  </si>
  <si>
    <t>Xã Đăk Trăm</t>
  </si>
  <si>
    <t>- Thôn Đăk Lung</t>
  </si>
  <si>
    <t>Duy tu bảo dưỡng</t>
  </si>
  <si>
    <t>Hỗ trợ PTSX, đa dạng hóa sinh kế và nhân rộng mô hình giảm nghèo trên địa bàn các xã ngoài chương trình 135</t>
  </si>
  <si>
    <t>Thị trấn Đăk Tô</t>
  </si>
  <si>
    <t>Xã Tân Cảnh</t>
  </si>
  <si>
    <t>Truyền thông và giảm nghèo về thông tin</t>
  </si>
  <si>
    <t>Phòng Lao động, Thương binh và Xã hội huyện</t>
  </si>
  <si>
    <t>Nâng cao năng lực và giám sát, đánh giá thực hiện chương trình</t>
  </si>
  <si>
    <t>Nâng cao năng lực</t>
  </si>
  <si>
    <t>Giám sát, đánh giá</t>
  </si>
  <si>
    <t>5.2.1</t>
  </si>
  <si>
    <t>5.2.2</t>
  </si>
  <si>
    <t>5.2.3</t>
  </si>
  <si>
    <t>5.2.4</t>
  </si>
  <si>
    <t>5.2.5</t>
  </si>
  <si>
    <t>5.2.6</t>
  </si>
  <si>
    <t>5.2.7</t>
  </si>
  <si>
    <t>5.2.8</t>
  </si>
  <si>
    <t>5.2.9</t>
  </si>
  <si>
    <t>5.2.10</t>
  </si>
  <si>
    <t>Mẫu biểu số 66</t>
  </si>
  <si>
    <t>Trong đó</t>
  </si>
  <si>
    <t>Ghi chú</t>
  </si>
  <si>
    <t>Số chi QLHC tăng so với dự toán tỉnh giao đầu năm</t>
  </si>
  <si>
    <t>1=2+3+4</t>
  </si>
  <si>
    <t xml:space="preserve">Tỉnh giao </t>
  </si>
  <si>
    <t xml:space="preserve">Quyết toán </t>
  </si>
  <si>
    <t xml:space="preserve">chênh lệch </t>
  </si>
  <si>
    <t>Số quyết toán chi tăng, giảm so với dự toán</t>
  </si>
  <si>
    <t xml:space="preserve">Huyện </t>
  </si>
  <si>
    <t xml:space="preserve">Xã </t>
  </si>
  <si>
    <t xml:space="preserve">Do chính sách thay đổi </t>
  </si>
  <si>
    <t>- Chính sách tiền lương tăng thêm</t>
  </si>
  <si>
    <t>Nhiệm vụ chi đột xuất được bổ sung</t>
  </si>
  <si>
    <t>Kinh phí tiếp xúc cử tri của HĐND tỉnh</t>
  </si>
  <si>
    <t xml:space="preserve">Kinh phí tinh giản biên chế </t>
  </si>
  <si>
    <t>Tăng, giảm biên chế so với dự toán</t>
  </si>
  <si>
    <t>Hợp đồng lao động theo đề án của Huyện ủy</t>
  </si>
  <si>
    <t>- Số biên chế tăng, giảm</t>
  </si>
  <si>
    <t>- Số kinh phí tăng, giảm</t>
  </si>
  <si>
    <t>Trong đó: - Số ô tô</t>
  </si>
  <si>
    <r>
      <t xml:space="preserve">               - Số kinh phí</t>
    </r>
    <r>
      <rPr>
        <sz val="10"/>
        <color indexed="8"/>
        <rFont val="Arial"/>
        <family val="2"/>
      </rPr>
      <t xml:space="preserve"> </t>
    </r>
  </si>
  <si>
    <t>Sửa chữa trụ sở làm việc</t>
  </si>
  <si>
    <t>Ghi chú: Trường hợp (giảm) thì ghi số âm (có dấu trừ ở trước)</t>
  </si>
  <si>
    <t>Mẫu biểu số 67</t>
  </si>
  <si>
    <t>THUYẾT MINH</t>
  </si>
  <si>
    <t>Tổng nguồn</t>
  </si>
  <si>
    <t>Nguồn trong nước</t>
  </si>
  <si>
    <t>Tỉnh bổ sung</t>
  </si>
  <si>
    <t>Các tổ chức, cá nhân trong nước ủng hộ</t>
  </si>
  <si>
    <t>Nguồn của NSĐP</t>
  </si>
  <si>
    <t>Tr.đó: - Từ nguồn dự phòng</t>
  </si>
  <si>
    <t>- Từ quỹ dự trữ tài chính</t>
  </si>
  <si>
    <t>- Từ nguồn tăng thu</t>
  </si>
  <si>
    <t>- Từ nguồn thưởng vượt thu</t>
  </si>
  <si>
    <t>- Từ nguồn chuyển nguồn năm 2016 chuyển sang</t>
  </si>
  <si>
    <t>Các nguồn khác</t>
  </si>
  <si>
    <t>Nguồn viện trợ nước ngoài</t>
  </si>
  <si>
    <t>Tổng kinh phí sử dụng đã được quyết toán chi NSĐP</t>
  </si>
  <si>
    <t>Chi đầu tư XDCB</t>
  </si>
  <si>
    <t>Chi sự nghiệp kinh tế</t>
  </si>
  <si>
    <t xml:space="preserve">Chi sự nghiệp phát thanh truyền hình </t>
  </si>
  <si>
    <t>Chi quản lý hành chính</t>
  </si>
  <si>
    <t>Chi đảm bảo xã hội</t>
  </si>
  <si>
    <t>Chi nộp trả ngân sách cấp trên</t>
  </si>
  <si>
    <t>Mẫu biểu số 68</t>
  </si>
  <si>
    <t>THUYẾT MINH TÌNH HÌNH SỬ DỤNG</t>
  </si>
  <si>
    <t>TTR</t>
  </si>
  <si>
    <t>DB</t>
  </si>
  <si>
    <t>PK</t>
  </si>
  <si>
    <t>TC</t>
  </si>
  <si>
    <t>KĐ</t>
  </si>
  <si>
    <t>NT</t>
  </si>
  <si>
    <t>ĐRN</t>
  </si>
  <si>
    <t>ĐT</t>
  </si>
  <si>
    <t>VL</t>
  </si>
  <si>
    <t>Tăng thu</t>
  </si>
  <si>
    <t>Thưởng vượt dự toán thu</t>
  </si>
  <si>
    <t>Tổng</t>
  </si>
  <si>
    <t xml:space="preserve">Dự phòng </t>
  </si>
  <si>
    <t xml:space="preserve">Thị trấn </t>
  </si>
  <si>
    <t xml:space="preserve">Diên Bình </t>
  </si>
  <si>
    <t>pô Kô</t>
  </si>
  <si>
    <t xml:space="preserve">Tân Cảnh </t>
  </si>
  <si>
    <t xml:space="preserve">Kon Đào </t>
  </si>
  <si>
    <t xml:space="preserve">Ngọc Tụ </t>
  </si>
  <si>
    <t xml:space="preserve">Đăk rơ nga </t>
  </si>
  <si>
    <t xml:space="preserve">Đăk Trăm </t>
  </si>
  <si>
    <t xml:space="preserve">Văn Lem </t>
  </si>
  <si>
    <t xml:space="preserve">Tổng nguồn </t>
  </si>
  <si>
    <t>Chi đầu tư và hỗ trợ vốn doanh nghiệp (nếu có theo phân cấp)</t>
  </si>
  <si>
    <t xml:space="preserve">Chi quản lý hành chính </t>
  </si>
  <si>
    <t xml:space="preserve">Sự nghiệp Kinh tế </t>
  </si>
  <si>
    <t xml:space="preserve">Chi quốc phòng </t>
  </si>
  <si>
    <t xml:space="preserve">Sự nghiệp phát thanh truyền hình </t>
  </si>
  <si>
    <t xml:space="preserve">Chi khác </t>
  </si>
  <si>
    <t>…</t>
  </si>
  <si>
    <t>Ghi chú: Đây là mẫu chung cho cấp tỉnh, huyện, xã, khi báo cáo dùng các chỉ tiêu thuộc phạm vi được giao quản lý của cấp tương ứng</t>
  </si>
  <si>
    <t>Mẫu biểu số 69</t>
  </si>
  <si>
    <t>(Dùng đơn vị dự toán cấp I các cấp báo cáo cơ quan tài chính cùng cấp; UBND cấp dưới báo cáo cơ quan tài chính cấp trên trực tiếp)</t>
  </si>
  <si>
    <t>Số kiến nghị của</t>
  </si>
  <si>
    <t>Số tồn tại chưa xử lý</t>
  </si>
  <si>
    <t>Thanh tra</t>
  </si>
  <si>
    <t>Kiểm toán</t>
  </si>
  <si>
    <t xml:space="preserve">Kiến nghị của kiểm toán, thanh tra các năm trước còn tồn tại chưa xử lý </t>
  </si>
  <si>
    <t>Các khoản phải thu nộp ngân sách</t>
  </si>
  <si>
    <t xml:space="preserve"> - Kiến nghị thu hồi</t>
  </si>
  <si>
    <t>Các khoản ghi thu, ghi chi vào ngân sách</t>
  </si>
  <si>
    <t>Số chi sai chế độ phải xuất toán</t>
  </si>
  <si>
    <t>a. Nộp trả ngân sách</t>
  </si>
  <si>
    <t>b. Cơ quan tài chính giảm trừ cấp phát</t>
  </si>
  <si>
    <t>Các khoản thu phải nộp ngân sách</t>
  </si>
  <si>
    <r>
      <t>Chi tiết:</t>
    </r>
    <r>
      <rPr>
        <sz val="10"/>
        <color indexed="8"/>
        <rFont val="Arial"/>
        <family val="2"/>
      </rPr>
      <t xml:space="preserve"> ....</t>
    </r>
  </si>
  <si>
    <t xml:space="preserve">             …</t>
  </si>
  <si>
    <t>Chi tiết:....</t>
  </si>
  <si>
    <t xml:space="preserve">           ….</t>
  </si>
  <si>
    <t xml:space="preserve">Số chi sai chế độ phải xuất toán </t>
  </si>
  <si>
    <t>a</t>
  </si>
  <si>
    <t>Nộp trả ngân sách:</t>
  </si>
  <si>
    <t>Trong đó: - Xây dựng cơ bản</t>
  </si>
  <si>
    <t xml:space="preserve">               - Chi thường xuyên</t>
  </si>
  <si>
    <t>b</t>
  </si>
  <si>
    <t xml:space="preserve">Cơ quan tài chính giảm trừ cấp phát </t>
  </si>
  <si>
    <t xml:space="preserve">                - Chi thường xuyên </t>
  </si>
  <si>
    <t>Bổ sung quyết toán ngân sách năm nay</t>
  </si>
  <si>
    <t xml:space="preserve">                - Chi thường xuyên</t>
  </si>
  <si>
    <t xml:space="preserve">Kiến nghị của kiểm toán, thanh tra năm nay </t>
  </si>
  <si>
    <t>Đã thực
 hiện xong</t>
  </si>
  <si>
    <t xml:space="preserve"> - Thu hồi nộp ngân sách</t>
  </si>
  <si>
    <t xml:space="preserve"> - Giảm trừ hồ sơ thanh toán</t>
  </si>
  <si>
    <t>Cơ quan tài chính giảm trừ cấp phát</t>
  </si>
  <si>
    <t>Chuyển quyết toán ngân sách năm sau</t>
  </si>
  <si>
    <t>Hết nhiệm vụ chi</t>
  </si>
  <si>
    <t>Các vấn đề khác liên quan cần giải trình</t>
  </si>
  <si>
    <t>……</t>
  </si>
  <si>
    <t>Mẫu biểu số 70</t>
  </si>
  <si>
    <t>Năm trước (năm liền kề)</t>
  </si>
  <si>
    <t>Năm báo cáo</t>
  </si>
  <si>
    <t>Năm báo cáo so với năm liền kề</t>
  </si>
  <si>
    <t>Giải trình</t>
  </si>
  <si>
    <t>Huyện</t>
  </si>
  <si>
    <t>Xã</t>
  </si>
  <si>
    <t>Số tuyệt đối</t>
  </si>
  <si>
    <t>Số tương đối</t>
  </si>
  <si>
    <t>3=2-1</t>
  </si>
  <si>
    <t>4=3/1</t>
  </si>
  <si>
    <t>Thu chương 760</t>
  </si>
  <si>
    <t>Chi đầu tư phát triển thực hiện chuyển sang năm sau theo quy định của Luật đầu tư công. Trường hợp đặc biệt, Thủ tướng Chính phủ quyết định về việc cho phép chuyển nguồn sang năm sau nữa, nhưng không quá thời hạn giải ngân của dự án nằm trong kế hoạch đầu tư công trung hạn</t>
  </si>
  <si>
    <t>Chi chuyển nguồn chương 760 khoản 434</t>
  </si>
  <si>
    <t>Chi mua sắm trang thiết bị đã đầy đủ hồ sơ, hợp đồng mua sắm trang thiết bị ký bước ngày 31 tháng 12 năm thực hiện dự toán</t>
  </si>
  <si>
    <t>Nguồn thực hiện chính sách tiền lương, phụ cấp, trợ cấp và các khoản tính theo tiền lương cơ sở, bảo trợ xã hội</t>
  </si>
  <si>
    <t>Kinh phí được giao tự chủ của các đơn vị sự nghiệp công lập và các cơ quan nhà nước; các khoản viện trợ không hoàn lại đã xác định cụ thể nhiệm vụ chi</t>
  </si>
  <si>
    <t>Các khoản dự toán được cấp có thẩm quyền bổ sung sau ngày 30 tháng 9 năm thực hiện dự toán, không bao gồm các khoản bổ sung do các đơn vị dự toán cấp trên điều chỉnh dự toán đã giao của các đơn vị dự toán trực thuộc</t>
  </si>
  <si>
    <t>Kinh phí nghiên cứu khoa học bố trí cho các đề tài, dự án nghiên cứu khoa học được cấp có thẩm quyền quyết định đang trong thời gian thực hiện</t>
  </si>
  <si>
    <t>Các khoản tăng thu, tiết kiệm chi được sử dụng theo quy định tại khoản 2 Điều 59 của Luật ngân sách nhà nước được cấp có thẩm quyền quyết định cho phép sử dụng vào năm sau</t>
  </si>
  <si>
    <t>Các khoản chuyển nguồn khác theo pháp
 luật quy định</t>
  </si>
  <si>
    <t>(Giải trình: Nêu lý do số liệu năm báo cáo tăng/giảm so với số liệu năm liền kề)</t>
  </si>
  <si>
    <t>Biểu mẫu số 63</t>
  </si>
  <si>
    <t>TỔNG HỢP CÁC QUỸ TÀI CHÍNH NHÀ NƯỚC</t>
  </si>
  <si>
    <t>(Dùng cho ngân sách các cấp chính quyền địa phương)</t>
  </si>
  <si>
    <t>Đơn vị: Triệu đồng</t>
  </si>
  <si>
    <t>Tên Quỹ</t>
  </si>
  <si>
    <t>Kế hoạch năm…</t>
  </si>
  <si>
    <t>Tổng nguồn vốn phát sinh trong năm</t>
  </si>
  <si>
    <t>Tổng sử dụng nguồn vốn trong năm</t>
  </si>
  <si>
    <t>Chênh lệch nguồn trong năm</t>
  </si>
  <si>
    <r>
      <t xml:space="preserve">Trong đó: Hỗ trợ từ NSĐP </t>
    </r>
    <r>
      <rPr>
        <sz val="14"/>
        <rFont val="Times New Roman"/>
        <family val="1"/>
      </rPr>
      <t>(nếu có)</t>
    </r>
  </si>
  <si>
    <t>5=2-4</t>
  </si>
  <si>
    <t>9=6-8</t>
  </si>
  <si>
    <t>10=1+6-8</t>
  </si>
  <si>
    <t>Cấp huyện</t>
  </si>
  <si>
    <t>r</t>
  </si>
  <si>
    <t>Quỹ Bảo trợ trẻ em</t>
  </si>
  <si>
    <t>Quỹ Vì người nghèo huyện ĐăkTô</t>
  </si>
  <si>
    <t>Quỹ Cứu Trợ huyện Đăktô</t>
  </si>
  <si>
    <t>Quỹ Biển đông</t>
  </si>
  <si>
    <t>Cấp xã</t>
  </si>
  <si>
    <t>UBND Thị trấn Đăk Tô</t>
  </si>
  <si>
    <t>Quỹ vì người nghèo</t>
  </si>
  <si>
    <t>Quỹ khuyến học</t>
  </si>
  <si>
    <t>Quỹ NCT</t>
  </si>
  <si>
    <t xml:space="preserve">UBND xã Diên Bình </t>
  </si>
  <si>
    <t>Quỹ Vì người nghèo</t>
  </si>
  <si>
    <t>Quỹ Đền ơn đáp nghĩa</t>
  </si>
  <si>
    <t>Quỹ Chăm sóc người cao tuổi</t>
  </si>
  <si>
    <t>Quỹ Khuyến học</t>
  </si>
  <si>
    <t xml:space="preserve">UBND xã Kon Đào </t>
  </si>
  <si>
    <t xml:space="preserve">UBND xã Đăk Trăm </t>
  </si>
  <si>
    <t>Quỹ người nghèo</t>
  </si>
  <si>
    <t xml:space="preserve">Tổng cộng </t>
  </si>
  <si>
    <t>Biểu mẫu số 64</t>
  </si>
  <si>
    <t>So sánh (%)</t>
  </si>
  <si>
    <t>3=2/1*100</t>
  </si>
  <si>
    <t>TỔNG SỐ</t>
  </si>
  <si>
    <t xml:space="preserve">Cấp huyện </t>
  </si>
  <si>
    <t xml:space="preserve"> Sự nghiệp môi trường</t>
  </si>
  <si>
    <t>Dịch vụ thu gom vận chuyển và xử lý chất
 thải rắn sinh hoạt</t>
  </si>
  <si>
    <t xml:space="preserve"> Sự nghiệp kinh tế và sự nghiệp khác</t>
  </si>
  <si>
    <t>Dịch vụ cho thuê điểm kinh doanh buôn bán và trông giữ xe tại chợ trung tâm thị trấn Đăk Tô</t>
  </si>
  <si>
    <t>Dịch vụ giết mổ gia súc tập trung</t>
  </si>
  <si>
    <t xml:space="preserve"> Sự nghiệp giáo dục</t>
  </si>
  <si>
    <t>Bậc Mầm non</t>
  </si>
  <si>
    <t>01</t>
  </si>
  <si>
    <t>Trường MN Bình Minh</t>
  </si>
  <si>
    <t>Thu học phí</t>
  </si>
  <si>
    <t>Thu từ hoạt động dịch vụ</t>
  </si>
  <si>
    <t>02</t>
  </si>
  <si>
    <t>Trường MN Sao Mai</t>
  </si>
  <si>
    <t>03</t>
  </si>
  <si>
    <t>04</t>
  </si>
  <si>
    <t>Trường MN Pô K ô</t>
  </si>
  <si>
    <t>05</t>
  </si>
  <si>
    <t>Trường MN Vành Khuyên</t>
  </si>
  <si>
    <t>06</t>
  </si>
  <si>
    <t>Trường MN Hoa Phượng</t>
  </si>
  <si>
    <t>07</t>
  </si>
  <si>
    <t>Trường MN Đăk Trăm</t>
  </si>
  <si>
    <t>08</t>
  </si>
  <si>
    <t>Trường MN Đăk Rô Gia</t>
  </si>
  <si>
    <t>09</t>
  </si>
  <si>
    <t>Trường MN Ánh Dương</t>
  </si>
  <si>
    <t>10</t>
  </si>
  <si>
    <t>Trường MN Hoạ Mi</t>
  </si>
  <si>
    <t>11</t>
  </si>
  <si>
    <t>Trường MN Ngọc Tụ</t>
  </si>
  <si>
    <t>Trường MN ĐăkRơNga</t>
  </si>
  <si>
    <t>13</t>
  </si>
  <si>
    <t>Trường MN Văn Lem</t>
  </si>
  <si>
    <t>Trung học cơ sở</t>
  </si>
  <si>
    <t>Trường THCS Lương T Vinh</t>
  </si>
  <si>
    <t>Thu từ hoạt động dạy thêm học thêm</t>
  </si>
  <si>
    <t>Trường THCS Nguyễn Du</t>
  </si>
  <si>
    <t>Trường THCS 24/4</t>
  </si>
  <si>
    <t>Trường THCS Nguyễn Trãi</t>
  </si>
  <si>
    <t>Trường THCS Pô Kô</t>
  </si>
  <si>
    <t>Trường THCS Đăk Trăm</t>
  </si>
  <si>
    <t>Trường THCS Văn Lem</t>
  </si>
  <si>
    <t>Trường THCS Ngọc Tụ</t>
  </si>
  <si>
    <t>-….</t>
  </si>
  <si>
    <t>Các đơn vị do cấp tỉnh quản lý</t>
  </si>
  <si>
    <t>Trong đó:</t>
  </si>
  <si>
    <t>- Sự nghiệp giáo dục - đào tạo và dạy nghề</t>
  </si>
  <si>
    <t>- Sự nghiệp y tế</t>
  </si>
  <si>
    <t>Các đơn vị do cấp huyện quản lý</t>
  </si>
  <si>
    <t>Các đơn vị do cấp xã quản lý</t>
  </si>
  <si>
    <t xml:space="preserve">                                                        TM. UBND HUYỆN ĐĂK TÔ</t>
  </si>
  <si>
    <t xml:space="preserve">                                                        CHỦ TỊCH</t>
  </si>
  <si>
    <t>ĐƠN VỊ………………………., MÃ SỐ:………..</t>
  </si>
  <si>
    <t>Mẫu biểu số 59</t>
  </si>
  <si>
    <t>MÃ CHƯƠNG:…….</t>
  </si>
  <si>
    <t>MÃ KBNN GIAO DỊCH:………..</t>
  </si>
  <si>
    <t>TÌNH HÌNH THỰC HIỆN DỰ TOÁN CỦA CÁC NHIỆM VỤ ĐƯỢC CHUYỂN NGUỒN SANG NĂM SAU</t>
  </si>
  <si>
    <t>CỦA CÁC ĐƠN VỊ THUỘC NGÂN SÁCH CÁC CẤP THEO HÌNH THỨC RÚT DỰ TOÁN</t>
  </si>
  <si>
    <t>(Dùng cho các đơn vị dự toán ngân sách, chủ đầu tư thuộc ngân sách các cấp báo cáo cơ quan kho bạc nhà nước)</t>
  </si>
  <si>
    <t>Đơn vị</t>
  </si>
  <si>
    <r>
      <t xml:space="preserve">Tính chất nguồn kinh phí </t>
    </r>
    <r>
      <rPr>
        <b/>
        <vertAlign val="superscript"/>
        <sz val="10"/>
        <color indexed="8"/>
        <rFont val="Arial"/>
        <family val="2"/>
      </rPr>
      <t>(1)</t>
    </r>
  </si>
  <si>
    <t>Loại, Khoản</t>
  </si>
  <si>
    <t>Dự toán năm được chi</t>
  </si>
  <si>
    <t>Dự toán đã sử dụng đến 31/01 năm sau</t>
  </si>
  <si>
    <t>Số dư tại thời điểm 31/01 được chuyển sang năm sau</t>
  </si>
  <si>
    <r>
      <t xml:space="preserve">Dự toán năm trước chuyển sang </t>
    </r>
    <r>
      <rPr>
        <b/>
        <vertAlign val="superscript"/>
        <sz val="10"/>
        <color indexed="8"/>
        <rFont val="Arial"/>
        <family val="2"/>
      </rPr>
      <t>(2)</t>
    </r>
  </si>
  <si>
    <t>Dự toán giao đầu năm</t>
  </si>
  <si>
    <r>
      <t xml:space="preserve">Dự toán điều chỉnh </t>
    </r>
    <r>
      <rPr>
        <b/>
        <vertAlign val="superscript"/>
        <sz val="10"/>
        <color indexed="8"/>
        <rFont val="Arial"/>
        <family val="2"/>
      </rPr>
      <t>(3)</t>
    </r>
  </si>
  <si>
    <t>Số dư dự toán</t>
  </si>
  <si>
    <t>Số dư tạm ứng</t>
  </si>
  <si>
    <t>5= 6+7+8</t>
  </si>
  <si>
    <t>10=5-9</t>
  </si>
  <si>
    <r>
      <t>CHI THƯỜNG XUYÊN</t>
    </r>
    <r>
      <rPr>
        <b/>
        <vertAlign val="superscript"/>
        <sz val="10"/>
        <color indexed="8"/>
        <rFont val="Arial"/>
        <family val="2"/>
      </rPr>
      <t>(4)</t>
    </r>
  </si>
  <si>
    <t>- Kinh phí được giao tự chủ</t>
  </si>
  <si>
    <t>- Kinh phí được bổ sung sau ngày 30 tháng 9 năm …….</t>
  </si>
  <si>
    <t>Kinh phí chương trình MTQG và Chương trình mục tiêu (chi tiết từng chương trình)</t>
  </si>
  <si>
    <t>CHI ĐẦU TƯ PHÁT TRIỂN (5)</t>
  </si>
  <si>
    <t>Dự án A</t>
  </si>
  <si>
    <t>….</t>
  </si>
  <si>
    <t>Ghi chú: Mẫu biểu sử dụng cho cả chi thường xuyên, chi đầu tư phát triển.</t>
  </si>
  <si>
    <t>(1) Do Kho bạc Nhà nước thực hiện.</t>
  </si>
  <si>
    <t>(2) Dự toán năm trước chuyển sang, gồm: số dư dự toán và số dư tạm ứng năm trước được chuyển sang năm sau.</t>
  </si>
  <si>
    <t>(3) Dự toán điều chỉnh là hiệu số giữa số bổ sung với số giảm dự toán trong năm; nếu dương thì ghi dấu cộng (+), nếu âm thì ghi dấu trừ (-).</t>
  </si>
  <si>
    <t xml:space="preserve">(4) Chi tiết theo từng nội dung được phép chuyển nguồn sang năm sau theo quy định của Luật NSNN </t>
  </si>
  <si>
    <t>và Nghị định số 163/2016/NĐ-CP ngày 21/12/2016 của Chính phủ.</t>
  </si>
  <si>
    <t>(5) Đối với chi đầu tư phát triển, số dư dự toán, số dư tạm ứng (chưa thanh toán) chi đầu tư phát triển</t>
  </si>
  <si>
    <t>được chuyển sang năm sau theo quy định của Luật ngân sách nhà nước.</t>
  </si>
  <si>
    <t>.... ngày... tháng... năm...</t>
  </si>
  <si>
    <t>Xác nhận của KBNN</t>
  </si>
  <si>
    <t>THỦ TRƯỞNG ĐƠN VỊ</t>
  </si>
  <si>
    <t>Mẫu biểu số 58</t>
  </si>
  <si>
    <t xml:space="preserve">SỐ DƯ TÀI KHOẢN TIỀN GỬI KINH PHÍ NGÂN SÁCH CẤP CỦA ĐƠN VỊ DỰ TOÁN </t>
  </si>
  <si>
    <t>ĐƯỢC CHUYỂN NGUỒN SANG NĂM SAU CỦA CÁC ĐƠN VỊ THUỘC NGÂN SÁCH CÁC CẤP</t>
  </si>
  <si>
    <t>NĂM …… CHUYỂN SANG NĂM ……..</t>
  </si>
  <si>
    <r>
      <t xml:space="preserve">Mã tính chất nguồn kinh phí </t>
    </r>
    <r>
      <rPr>
        <b/>
        <vertAlign val="superscript"/>
        <sz val="10"/>
        <color indexed="8"/>
        <rFont val="Times New Roman"/>
        <family val="1"/>
      </rPr>
      <t>(1)</t>
    </r>
  </si>
  <si>
    <t>Mục, Tiểu mục</t>
  </si>
  <si>
    <t>Số dư tài khoản tiền gửi</t>
  </si>
  <si>
    <r>
      <t>Kinh phí thường xuyên</t>
    </r>
    <r>
      <rPr>
        <b/>
        <vertAlign val="superscript"/>
        <sz val="10"/>
        <color indexed="8"/>
        <rFont val="Times New Roman"/>
        <family val="1"/>
      </rPr>
      <t>(2)</t>
    </r>
  </si>
  <si>
    <t>- Kinh phí được bổ sung sau ngày 30 tháng 9 năm…..</t>
  </si>
  <si>
    <t>....</t>
  </si>
  <si>
    <t>………..</t>
  </si>
  <si>
    <t>(1) Do Kho bạc Nhà nước thực hiện;</t>
  </si>
  <si>
    <t xml:space="preserve">(2) Chi tiết theo từng nội dung được phép chuyển nguồn sang năm </t>
  </si>
  <si>
    <t xml:space="preserve">sau theo quy định của Luật NSNN và Nghị định số 163/2016/NĐ-CP </t>
  </si>
  <si>
    <t>ngày 21/12/2016 của Chính phủ.</t>
  </si>
  <si>
    <t>00393</t>
  </si>
  <si>
    <t>070</t>
  </si>
  <si>
    <t>071</t>
  </si>
  <si>
    <t>073</t>
  </si>
  <si>
    <t>5.3</t>
  </si>
  <si>
    <t>5.4</t>
  </si>
  <si>
    <t>5.5</t>
  </si>
  <si>
    <t>072</t>
  </si>
  <si>
    <t>5.6</t>
  </si>
  <si>
    <t>5.7</t>
  </si>
  <si>
    <t>5.8</t>
  </si>
  <si>
    <t>6.5</t>
  </si>
  <si>
    <t>Ban Quản lý đầu tư dự án xây dựng huyện</t>
  </si>
  <si>
    <t>7.2</t>
  </si>
  <si>
    <t>8.1</t>
  </si>
  <si>
    <t>075</t>
  </si>
  <si>
    <t>00405</t>
  </si>
  <si>
    <t>Duy tu, bảo dưỡng, vận hành các công trình sau đầu tư</t>
  </si>
  <si>
    <t>098</t>
  </si>
  <si>
    <t>00395</t>
  </si>
  <si>
    <t>00023</t>
  </si>
  <si>
    <t>Đường đi khu sản xuất thôn Đăk Lung, xã Kon Đào (đoạn 2)</t>
  </si>
  <si>
    <t>Thôn Đăk Kang Peng</t>
  </si>
  <si>
    <t>Thôn Đăk Mơ Ham</t>
  </si>
  <si>
    <t>Thôn Kon Tu Dốp I</t>
  </si>
  <si>
    <t>Thôn Đăk Lung</t>
  </si>
  <si>
    <t>00024</t>
  </si>
  <si>
    <t>00025</t>
  </si>
  <si>
    <t>00026</t>
  </si>
  <si>
    <t>Chi đầu tư phát triển cho chương trình, dự án theo lĩnh vực (10% tiền SD đất trích cho công tác đo đạc QT chi TX)</t>
  </si>
  <si>
    <r>
      <t xml:space="preserve">Chi các hoạt động kinh tế </t>
    </r>
    <r>
      <rPr>
        <sz val="10"/>
        <color indexed="10"/>
        <rFont val="Arial"/>
        <family val="2"/>
      </rPr>
      <t>(bao gồm 10% tiền SD đất vốn đầu tư chi mục TX)</t>
    </r>
  </si>
  <si>
    <r>
      <t>Chi Bảo đảm xã hội</t>
    </r>
    <r>
      <rPr>
        <sz val="10"/>
        <color indexed="10"/>
        <rFont val="Arial"/>
        <family val="2"/>
      </rPr>
      <t xml:space="preserve"> (Bao gồm hỗ trợ nhà ở vốn đầu tư chi TM thường xuyên)</t>
    </r>
  </si>
  <si>
    <t>NGUỒN 
CÂN ĐỐI (lấy số liệu đã trừ tiết kiệm)</t>
  </si>
  <si>
    <t xml:space="preserve">Nguồn năm trước chuyển sang </t>
  </si>
  <si>
    <t>Chi an ninh</t>
  </si>
  <si>
    <t xml:space="preserve">Quỹ khuyến học </t>
  </si>
  <si>
    <t xml:space="preserve">Quỹ đền ơn đáp nghĩa </t>
  </si>
  <si>
    <t>Thu hồi khoản chi năm trước đã nộp ngân sách cấp trên ko
 được loại trừ tăng thu 70%</t>
  </si>
  <si>
    <t>KD</t>
  </si>
  <si>
    <t>CN</t>
  </si>
  <si>
    <t>Trường mầm non xã Ngọc Tụ (điểm trường thôn Kon Pring, điểm trường thôn Đăk Tăng), Hạng mục:  Sân chơi, Tường rào.</t>
  </si>
  <si>
    <t>Trường tiểu học xã Đăk Rơ Nga; Hạng mục: Nhà hiệu bộ</t>
  </si>
  <si>
    <t xml:space="preserve">Trường mầm non Văn Lem, điểm trường thôn Đăk Xanh; Hạng mục: Sân bê tông </t>
  </si>
  <si>
    <t>Đường nội thôn Đăk Rô Gia, xã Đăk Trăm</t>
  </si>
  <si>
    <t>Trường tiểu học Đăk Trăm, điểm trường thôn Đăk Rô Gia</t>
  </si>
  <si>
    <t>Đường nội thôn Tê Pheo</t>
  </si>
  <si>
    <t>Trường mầm non Đăk Trăm, điểm trường thôn Đăk Mông</t>
  </si>
  <si>
    <t>Trường mầm non Đăk Trăm (điểm trường trung tâm); hạng mục: Sân vườn</t>
  </si>
  <si>
    <t>Cống tràn liên hợp xã Kon Đào, huyện Đăk Tô</t>
  </si>
  <si>
    <t>Trường THCS xã Văn Lem; Hạng mục: Nhà học 06 phòng</t>
  </si>
  <si>
    <t>Trường mầm non xã Đăk Rơ Nga, điểm trường trung tâm; hạng mục: Nhà hiệu bộ, bếp ăn một chiều</t>
  </si>
  <si>
    <t>Hỗ trợ phát triển sản xuất theo chuỗi giá trị gắn với tiêu thụ sản phẩm</t>
  </si>
  <si>
    <t>Phát triển ngành nghề nông thôn  (bao gồm xây dựng, phát triển mỗi xã một sản phẩm)</t>
  </si>
  <si>
    <t>6200</t>
  </si>
  <si>
    <t>6650</t>
  </si>
  <si>
    <t>6651</t>
  </si>
  <si>
    <t>6658</t>
  </si>
  <si>
    <t>6699</t>
  </si>
  <si>
    <t>6.1.1</t>
  </si>
  <si>
    <t>6.1.2</t>
  </si>
  <si>
    <t>6.1.3</t>
  </si>
  <si>
    <t>6.1.4</t>
  </si>
  <si>
    <t>6.1.5</t>
  </si>
  <si>
    <t>6.1.6</t>
  </si>
  <si>
    <t>6.1.7</t>
  </si>
  <si>
    <t>6.1.8</t>
  </si>
  <si>
    <t>6.2.1</t>
  </si>
  <si>
    <t>6.2.2</t>
  </si>
  <si>
    <t xml:space="preserve">Xã Diên Bình </t>
  </si>
  <si>
    <t xml:space="preserve">Xã Pô Kô </t>
  </si>
  <si>
    <t xml:space="preserve">Xã Tân Cảnh </t>
  </si>
  <si>
    <t>6.3.1</t>
  </si>
  <si>
    <t>Đường ngõ, xóm thôn Đăk Chờ, xã Ngọc Tụ (từ nhà ông A Hjan đến nhà ông A Hang)</t>
  </si>
  <si>
    <t>Kiên cố hóa kênh mương thủy lợi Teark Teo (đoạn 2)</t>
  </si>
  <si>
    <t>Nhà văn hóa xã Đăk Trăm; hạng mục: Cổng, tường rào, sân đường nội bộ</t>
  </si>
  <si>
    <t>6.6</t>
  </si>
  <si>
    <r>
      <t>Chi tiết:</t>
    </r>
    <r>
      <rPr>
        <sz val="10"/>
        <color indexed="8"/>
        <rFont val="Times New Roman"/>
        <family val="1"/>
      </rPr>
      <t>....</t>
    </r>
  </si>
  <si>
    <t>Số xử lý năm 2019</t>
  </si>
  <si>
    <t>Đăk Tô, ngày    tháng    năm 2020</t>
  </si>
  <si>
    <t>Mua sắm tài sản; trang thiết bị văn phòng</t>
  </si>
  <si>
    <t xml:space="preserve">Sửa chữa cải tạo trụ sở làm việc xã </t>
  </si>
  <si>
    <t>Sửa chữa cải tạo nhà làm việc Huyện ủy</t>
  </si>
  <si>
    <t>1</t>
  </si>
  <si>
    <t>2</t>
  </si>
  <si>
    <t>Chi hoạt động kinh tế</t>
  </si>
  <si>
    <t>Chi GD-ĐT và DN</t>
  </si>
  <si>
    <t>3</t>
  </si>
  <si>
    <t>Dư nguồn đến ngày 31/12/2019</t>
  </si>
  <si>
    <t xml:space="preserve">Lĩnh vực </t>
  </si>
  <si>
    <t>An ninh</t>
  </si>
  <si>
    <t xml:space="preserve">Quốc phòng </t>
  </si>
  <si>
    <t xml:space="preserve">Sự nghiệp Môi trường </t>
  </si>
  <si>
    <t xml:space="preserve">Sự nghiệp văn hóa thông tin </t>
  </si>
  <si>
    <t xml:space="preserve">Dự toán 
HĐND huyện giao đầu năm </t>
  </si>
  <si>
    <t>Bổ sung trong năm 
nguồn cân đối huyện</t>
  </si>
  <si>
    <t>Bổ sung trong năm 
nguồn BSCMT; MTNV</t>
  </si>
  <si>
    <t xml:space="preserve">Tổng dự
 toán được sử dụng </t>
  </si>
  <si>
    <t>Số
 quyết toán</t>
  </si>
  <si>
    <t>So sánh
 QT/DT</t>
  </si>
  <si>
    <t>Chuyển nguồn năm 
trước chuyển sang</t>
  </si>
  <si>
    <t xml:space="preserve">Nguồn kết dư </t>
  </si>
  <si>
    <t xml:space="preserve">Huyện giao </t>
  </si>
  <si>
    <t xml:space="preserve">Chênh lệch </t>
  </si>
  <si>
    <t xml:space="preserve">Điều chỉnh từ các nguồn </t>
  </si>
  <si>
    <t>- Sự nghiệp kinh tế</t>
  </si>
  <si>
    <t xml:space="preserve">- Sự nghiệp Văn hóa </t>
  </si>
  <si>
    <t xml:space="preserve">- Sự nghiệp đảm bảo xã hội </t>
  </si>
  <si>
    <t>Ghi chú đầu giai đoạn 2016-2020
 không phân bổ chi tiết trừ SN giáo dục, SN môi trường và SN KHCN</t>
  </si>
  <si>
    <t xml:space="preserve">Ghi chú </t>
  </si>
  <si>
    <t>*</t>
  </si>
  <si>
    <t xml:space="preserve">Bổ sung trong năm </t>
  </si>
  <si>
    <t xml:space="preserve">Nguồn chi khác </t>
  </si>
  <si>
    <t xml:space="preserve">Nguồn dự phòng </t>
  </si>
  <si>
    <t xml:space="preserve">Lĩnh vực Quốc phòng </t>
  </si>
  <si>
    <t xml:space="preserve">Tổng dự toán được sử dụng trong năm </t>
  </si>
  <si>
    <t>Tỉnh giao chi tiết giai đoạn trước
 huyện lấy cơ sở nhập biểu phân bổ các lĩnh vực cột tỉnh giao</t>
  </si>
  <si>
    <t xml:space="preserve">Dự toán </t>
  </si>
  <si>
    <t>QUYẾT TOÁN THU NSNN, VAY NSĐP NĂM 2020</t>
  </si>
  <si>
    <t>CÂN ĐỐI QUYẾT TOÁN NGÂN SÁCH ĐỊA PHƯƠNG NĂM  2020</t>
  </si>
  <si>
    <t>QUYẾT TOÁN CHI NGÂN SÁCH ĐỊA PHƯƠNG NĂM 2020</t>
  </si>
  <si>
    <t>THUYẾT MINH TĂNG, GIẢM CHI QUẢN LÝ HÀNH CHÍNH, ĐẢNG, ĐOÀN THỂ NĂM 2020</t>
  </si>
  <si>
    <t xml:space="preserve">Kinh phí Đại hội đảng các cấp </t>
  </si>
  <si>
    <t>Kinh phí khám sức khỏe phục vụ đại hội đảng</t>
  </si>
  <si>
    <t>Trừ tiết kiệm lần 2</t>
  </si>
  <si>
    <t>Đăk Tô, ngày    tháng    năm 2021</t>
  </si>
  <si>
    <t>CHI KHẮC PHỤC HẬU QUẢ THIÊN TAI NĂM 2020</t>
  </si>
  <si>
    <t xml:space="preserve">NT: DP huyện BS SC trụ sở do thiên tai </t>
  </si>
  <si>
    <t>Trung ương bổ sung (Chưa thực hiện chuyển nguồn sang năm sau tiếp tục thực hiện)</t>
  </si>
  <si>
    <t>Nguồn dự phòng năm 2020</t>
  </si>
  <si>
    <t>Tăng thu năm 2020</t>
  </si>
  <si>
    <t xml:space="preserve">Thu hồi Nguồn dự phòng năm 2019 đã tạm cấp hỗ trợ phòng chống dịch </t>
  </si>
  <si>
    <t>Chi nguồn dự phòng</t>
  </si>
  <si>
    <t>Chi nguồn tăng thu</t>
  </si>
  <si>
    <t>III.1</t>
  </si>
  <si>
    <t>I.1</t>
  </si>
  <si>
    <t>I.2</t>
  </si>
  <si>
    <t xml:space="preserve">Khắc phục hậu quả thiên tai </t>
  </si>
  <si>
    <t>Hỗ trợ công tác phòng chống dịch Covid 19</t>
  </si>
  <si>
    <t xml:space="preserve">Chi huấn luyện kiểm tra sẵn sàng động viên quân nhân dự bị và phương tiện kỹ thuật </t>
  </si>
  <si>
    <t xml:space="preserve">Chi kinh phí hỗ trợ hộ nghèo, hộ cận nghèo đón tết nguyên đán </t>
  </si>
  <si>
    <t>Chi sự nghiệp giáo dục - đào tạo</t>
  </si>
  <si>
    <t>Hỗ trợ công tác phòng chống dịch bạch hầu</t>
  </si>
  <si>
    <t>Chi trợ cấp ngân sách xã</t>
  </si>
  <si>
    <t xml:space="preserve">Tiểu mục </t>
  </si>
  <si>
    <t>Trường Mầm non xã Pô Kô (điểm trường thôn Đăk Rao Nhỏ); Hạng mục: 01 phòng học</t>
  </si>
  <si>
    <t>Trường Tiểu học xã Pô Kô (Điểm trường số 01 thôn Kon Tu Dốp II); Hạng mục: Sân bê tông, Tường rào</t>
  </si>
  <si>
    <t>Trường Tiểu học xã Ngọc Tụ (điểm trường thôn Đăk Tông), HM: Công trình vệ sinh, sân vườn</t>
  </si>
  <si>
    <t>Trường Mầm non xã Ngọc Tụ (điểm trường thôn Đăk Tông); HM: Sân vườn</t>
  </si>
  <si>
    <t>Đường đi khu sản xuất Kon Pring, xã Ngọc Tụ; HM: Cầu sắt và đường hai đầu cầu</t>
  </si>
  <si>
    <t>Đường GTNT thôn Đăk Nu, xã Ngọc Tụ (đoạn từ đường ĐH 53 đến rẫy cao su ông A Tuyên)</t>
  </si>
  <si>
    <t>Đường đi khu sản xuất thôn Đăk Manh II ( Đoạn từ cây xoài đến đầu đường bê tông)</t>
  </si>
  <si>
    <t>Trường mầm non trung tâm xã Đăk Rơ Nga; Hạng mục: Nhà vệ sinh giáo viên và các công trình phụ trợ</t>
  </si>
  <si>
    <t>Làm mới nhà Rông thôn Đăk Manh II, xã Đăk Rơ Nga</t>
  </si>
  <si>
    <t>Trường mầm non Văn Lem (Điểm trường thôn Tê Rông); Hạng mục: sân bê tông và công trình phụ trợ</t>
  </si>
  <si>
    <t>Nhà rông thôn Tê Rông; Hạng mục: làm mới nhà rông</t>
  </si>
  <si>
    <t>Đường đi khu sản xuất thôn Tê Pen (Đoạn từ cầu đến làng cũ); Hạng mục: nền, mặt đường và công trình thoát nước.</t>
  </si>
  <si>
    <t>Đường đi khu sản xuất Măng Rương; Hạng mục: Nền, mặt đường và công trình thoát nước.</t>
  </si>
  <si>
    <t>Đường đi khu sản xuất thôn Tê Hơ Ô (Nhánh 1-đoạn từ đầu rẫy cao su A Nông); Hạng mục: Nền, mặt đường và công trình thoát nước.</t>
  </si>
  <si>
    <t>Nhà rông thôn Đăk Trăm</t>
  </si>
  <si>
    <t>Sân thể thao thôn Đăk Rô Gia, Đăk Rò, Đăk Mông</t>
  </si>
  <si>
    <t xml:space="preserve">Trường mầm non thôn Đăk Rô Gia (điểm trường thôn Tê Pheo), xã Đăk Trăm; Hạng mục: Tường rào </t>
  </si>
  <si>
    <t>5.9</t>
  </si>
  <si>
    <t>Đường đi khu dân cư và khu sản xuất thôn Đăk Mông, xã Đăk Trăm (02 nhánh)</t>
  </si>
  <si>
    <t>5.10</t>
  </si>
  <si>
    <t>Đường đi khu sản xuất thôn Tê Pheo, xã Đăk Trăm</t>
  </si>
  <si>
    <t>Nhà văn hóa đa năng xã Pô Kô; Hạng mục: Nhà văn hóa và các hạng mục phụ trợ</t>
  </si>
  <si>
    <t>Nhà văn hóa đa năng xã Đăk Trăm; Hạng mục: Nhà văn hóa và các hạng mục phụ trợ</t>
  </si>
  <si>
    <t>Nhà văn hóa xã Diên Bình; HM: Sân vườn, hàng rào</t>
  </si>
  <si>
    <t>Đường đi khu sản xuất thôn 1 (đường đập Bòn Hòn), xã Kon Đào</t>
  </si>
  <si>
    <t>Phòng NN và PTNT</t>
  </si>
  <si>
    <t>9.1</t>
  </si>
  <si>
    <t>Hỗ trợ hợp tác xã Tiến Đạt</t>
  </si>
  <si>
    <t>9.2</t>
  </si>
  <si>
    <t>Hỗ trợ hợp tác xã Nông nghiệp và Dịch vụ Thương mại Rạng Đông</t>
  </si>
  <si>
    <t>kinh tế</t>
  </si>
  <si>
    <t>giáo dục</t>
  </si>
  <si>
    <t>VHtt</t>
  </si>
  <si>
    <t>MT</t>
  </si>
  <si>
    <t>ĐBXH</t>
  </si>
  <si>
    <t>QH</t>
  </si>
  <si>
    <t>Hỗ trợ xã đăng ký thực hiện đạt chuẩn Bộ tiêu chí xã NTM nâng cao (Tân Cảnh)</t>
  </si>
  <si>
    <t>Hỗ trợ việc tổ chức, thực hiện lập kế hoạch đầu tư cấp xã (3,7 triệu đồng/BQL cấp xã/năm;) thôn (1,23 triệu đồng/thôn/năm)</t>
  </si>
  <si>
    <t>6.2.3</t>
  </si>
  <si>
    <t>6.2.4</t>
  </si>
  <si>
    <t>6.2.5</t>
  </si>
  <si>
    <t>6.2.6</t>
  </si>
  <si>
    <t>6.2.7</t>
  </si>
  <si>
    <t>6.2.8</t>
  </si>
  <si>
    <t>Hoàn thiện hệ thống trung tâm văn hóa - thể thao, Nhà văn hóa - khu thể thao thôn</t>
  </si>
  <si>
    <t>00401</t>
  </si>
  <si>
    <t>6.3.2</t>
  </si>
  <si>
    <t>6.3.3</t>
  </si>
  <si>
    <t>6.3.4</t>
  </si>
  <si>
    <t>6.3.5</t>
  </si>
  <si>
    <t>6.3.6</t>
  </si>
  <si>
    <t>6.3.7</t>
  </si>
  <si>
    <t>6.3.8</t>
  </si>
  <si>
    <t>Vệ sinh môi trường</t>
  </si>
  <si>
    <t>6.4.1</t>
  </si>
  <si>
    <t>00402</t>
  </si>
  <si>
    <t>6.4.2</t>
  </si>
  <si>
    <t>6.4.3</t>
  </si>
  <si>
    <t>6.4.4</t>
  </si>
  <si>
    <t>6.4.5</t>
  </si>
  <si>
    <t>6.4.6</t>
  </si>
  <si>
    <t>6.4.7</t>
  </si>
  <si>
    <t>6.4.8</t>
  </si>
  <si>
    <t>Đào tạo, tập huấn, giám sát đánh giá</t>
  </si>
  <si>
    <t>6.5.1</t>
  </si>
  <si>
    <t>6.5.2</t>
  </si>
  <si>
    <t>Hỗ trợ mua sắm máy móc, dây chuyền sơ chế, chế biến sản phẩm nông nghiệp; Hỗ trợ xét nghiệm mẫu nước giếng để đánh giá tỷ lệ hộ dân sử dụng nước sạch</t>
  </si>
  <si>
    <t>6.8</t>
  </si>
  <si>
    <t>Lập Đồ án quy hoạch chi tiết xây dựng Trung tâm xã Pô Kô</t>
  </si>
  <si>
    <t>6.8.1</t>
  </si>
  <si>
    <t>00392</t>
  </si>
  <si>
    <t>Nhà rông thôn Đăk Chờ, xã Ngọc Tụ</t>
  </si>
  <si>
    <t>Thủy lợi Đăk Tông, xã Ngọc Tụ; HM: Kiên cố hóa kênh mương</t>
  </si>
  <si>
    <t>Đường nội thôn Đăk Tăng xã Ngọc Tụ (đoạn từ trường tiểu học đến rẫy ông A Bé)</t>
  </si>
  <si>
    <t>Đường nội thôn Đăk Chờ xã Ngọc Tụ (đoạn từ Võ Thị Hồng đến nhà A Xoan)</t>
  </si>
  <si>
    <t>Trường Tiểu học Văn Lem (điểm trường thôn Đăk Xanh); HM: hàng rào và các công trình phụ trợ</t>
  </si>
  <si>
    <t>Trường Mầm non Văn Lem (điểm trường thôn Tê Rông-đoạn trước đường GTNT thôn Tê Rông); HM: Cổng, hàng rào và công trình phụ trợ</t>
  </si>
  <si>
    <t>Trường THCS Văn Lem, xã Văn Lem; HM: Sân bê tông, rãnh thoát nước và các công trình phụ trợ</t>
  </si>
  <si>
    <t>Tường rào trường Mầm non Đăk Rô Gia, điểm trường trung tâm, xã Đăk Trăm</t>
  </si>
  <si>
    <t>Đường đi khu sản xuất thôn Đăk Mông, xã Đăk Trăm</t>
  </si>
  <si>
    <t>Đường đi khu sản xuất thôn Đăk Đring, xã Đăk Trăm</t>
  </si>
  <si>
    <t>Ngầm đi khu sản xuất qua suối Đăk Pló</t>
  </si>
  <si>
    <t>Đường đi khu sản xuất Đăk Pung (đoạn từ ĐH 53 đến đất ông A Diêng)</t>
  </si>
  <si>
    <t>Đường vào xóm mới (từ ĐH 53 đến đất nhà ông A Brin)</t>
  </si>
  <si>
    <t xml:space="preserve"> Đường đi khu sản xuất làng cũ (đoạn từ rẫy nhà bà Y Đim qua ngầm 2)</t>
  </si>
  <si>
    <t xml:space="preserve"> Đường đi khu sản xuất làng cũ (đoạn dốc Đăk Vang, ngầm 3, thôn Đăk Kang Pêng), xã Diên Bình</t>
  </si>
  <si>
    <t xml:space="preserve"> Đường đi khu sản xuất vào khu ĐăkHLin, thôn Kon Tu Dốp I, xã Pô Kô (Đoạn 3)</t>
  </si>
  <si>
    <t xml:space="preserve">Đường GTNT thôn Đăk Mơ Ham, xã Pô Kô </t>
  </si>
  <si>
    <t>Đường đi khu sản xuất thôn Kon Đào 1, Kon Đào 2 (đoạn ngầm đá), xã Kon Đào</t>
  </si>
  <si>
    <t>- Thôn Đăk Mơ Ham</t>
  </si>
  <si>
    <t>- Thôn Kon Tu Dốp</t>
  </si>
  <si>
    <t xml:space="preserve"> - Thôn Kon Đào</t>
  </si>
  <si>
    <t xml:space="preserve">Thôn Kon Đào </t>
  </si>
  <si>
    <t>Hệ thống điện chiếu sáng công lộ đường Trần Hưng Đạo và đường Quang Trung, thị trấn Đăk Tô, huyện Đăk Tô</t>
  </si>
  <si>
    <t>Hệ thống điện chiếu sáng công lộ đường Nguyễn Văn Cừ (đoạn từ đường Trần Hưng Đạo đến đường Nguyễn Trãi), đường Lê Lợi (đoạn từ Lê Duẩn đến Nguyễn Văn Cừ) và đường 24/4 (đoạn từ Cầu 42 đến đội quản lý đường dây 500Kv), thị trấn Đăk Tô, huyện Đăk Tô</t>
  </si>
  <si>
    <t>Lắp đặt mới điện hoa, sửa chữa điện hoa bị hư hỏng trên các tuyến đường Hùng Vương, Lê Duẩn, Chiến Thắng</t>
  </si>
  <si>
    <t>Đường giao thông từ xã Đăk Hring huyện Đăk Hà di xã Diên Bình và thị trấn Đăk Tô, huyện Đăk Tô, tỉnh Kon Tum</t>
  </si>
  <si>
    <t>Kế hoạch năm 2020</t>
  </si>
  <si>
    <t>Thực hiện năm 2020</t>
  </si>
  <si>
    <t>Trường MN Diên Bình</t>
  </si>
  <si>
    <t>Trường PTBTBT-THCS Đăk Rơ Nga</t>
  </si>
  <si>
    <t xml:space="preserve">TỔNG HỢP THU DỊCH VỤ CỦA ĐƠN VỊ SỰ NGHIỆP CÔNG NĂM 2020
(KHÔNG BAO GỒM NGUỒN NGÂN SÁCH NHÀ NƯỚC) </t>
  </si>
  <si>
    <t>Hỗ trợ công tác phòng chống dịch Covid 19 và bệnh sốt xuất huyết</t>
  </si>
  <si>
    <t>Hỗ trợ công tác phòng chống dịch bệnh sốt xuất huyết</t>
  </si>
  <si>
    <t>Hỗ trợ phòng chống dịch bệnh và lợn bị tiêu hủy</t>
  </si>
  <si>
    <t>Chi hỗ trợ xã đội trực chiến đấu ngày thành lập QĐNDVN, Noel</t>
  </si>
  <si>
    <t>NGOÀI NGÂN SÁCH DO ĐỊA PHƯƠNG QUẢN LÝ NĂM 2020</t>
  </si>
  <si>
    <t>Dư nguồn đến ngày 31/12/2020</t>
  </si>
  <si>
    <t>rồi</t>
  </si>
  <si>
    <t>Sữa chữa đường nước UBND xã</t>
  </si>
  <si>
    <t>Mua sắm máy tính</t>
  </si>
  <si>
    <t>Chi cải tiến tiền lương</t>
  </si>
  <si>
    <t>Chi y tế</t>
  </si>
  <si>
    <t>Hỗ trợ gạo cứu đói</t>
  </si>
  <si>
    <t>Chi hỗ trợ cứu đói giáp hạt</t>
  </si>
  <si>
    <t>Chi hỗ trợ thiên tai</t>
  </si>
  <si>
    <t>Bù đắp hụt thu ngân sách</t>
  </si>
  <si>
    <t>NGUỒN DỰ PHÒNG, TĂNG THU VÀ THƯỞNG VƯỢT DỰ TOÁN THU NGÂN SÁCH NĂM 2020</t>
  </si>
  <si>
    <t>BÁO CÁO CHI CHUYỂN NGUỒN SANG NĂM SAU NĂM 2021</t>
  </si>
  <si>
    <t>III.2</t>
  </si>
  <si>
    <t>NĂM 2020</t>
  </si>
  <si>
    <t>Tháng 4/2021</t>
  </si>
  <si>
    <t>QUYẾT TOÁN CHI CHƯƠNG TRÌNH MỤC TIÊU THEO MỤC LỤC NSNN NĂM 2020</t>
  </si>
  <si>
    <t>BÁO CÁO TÌNH HÌNH KIỂM TOÁN, THANH TRA NĂM 2020</t>
  </si>
  <si>
    <t xml:space="preserve">                                             Đăk Tô, ngày    tháng    năm 2021</t>
  </si>
  <si>
    <t>Dự toán</t>
  </si>
  <si>
    <t>NS địa phương được hưởng</t>
  </si>
  <si>
    <t>Kèm theo Báo cáo số:        /BC-UBND, ngày        /tháng        năm 2021 của UBND huyện Đăk Tô)</t>
  </si>
  <si>
    <t>Kèm theo Nghi quyết số:       /TTr-UBND, ngày        /tháng        năm 2021 của UBND huyện Đăk Tô)</t>
  </si>
  <si>
    <t>Kèm theo Nghi quyết số:       /NQ-HĐND, ngày        /tháng        năm 2021 của HĐND huyện Đăk Tô)</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</si>
</sst>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_);\(\$#,##0\)"/>
    <numFmt numFmtId="175" formatCode="\$#,##0_);[Red]\(\$#,##0\)"/>
    <numFmt numFmtId="176" formatCode="\$#,##0.00_);\(\$#,##0.00\)"/>
    <numFmt numFmtId="177" formatCode="\$#,##0.00_);[Red]\(\$#,##0.00\)"/>
    <numFmt numFmtId="178" formatCode="&quot;£&quot;#,##0.00;[Red]\-&quot;£&quot;#,##0.00"/>
    <numFmt numFmtId="179" formatCode="###,###,###"/>
    <numFmt numFmtId="180" formatCode="_-* #,##0\ _₫_-;\-* #,##0\ _₫_-;_-* &quot;-&quot;??\ _₫_-;_-@_-"/>
    <numFmt numFmtId="181" formatCode="00"/>
    <numFmt numFmtId="182" formatCode="_(* #,##0_);_(* \(#,##0\);_(* &quot;-&quot;??_);_(@_)"/>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_-* #,##0.0000\ _₫_-;\-* #,##0.0000\ _₫_-;_-* &quot;-&quot;??\ _₫_-;_-@_-"/>
    <numFmt numFmtId="189" formatCode="_-* #,##0.0\ _₫_-;\-* #,##0.0\ _₫_-;_-* &quot;-&quot;??\ _₫_-;_-@_-"/>
    <numFmt numFmtId="190" formatCode="_-* #,##0.00000\ _₫_-;\-* #,##0.00000\ _₫_-;_-* &quot;-&quot;??\ _₫_-;_-@_-"/>
    <numFmt numFmtId="191" formatCode="#,##0.000"/>
  </numFmts>
  <fonts count="187">
    <font>
      <sz val="10"/>
      <color theme="1"/>
      <name val="Times New Roman"/>
      <family val="1"/>
    </font>
    <font>
      <sz val="11"/>
      <color indexed="8"/>
      <name val="Calibri"/>
      <family val="2"/>
    </font>
    <font>
      <sz val="10"/>
      <color indexed="8"/>
      <name val="Times New Roman"/>
      <family val="1"/>
    </font>
    <font>
      <b/>
      <sz val="10"/>
      <color indexed="8"/>
      <name val="Arial"/>
      <family val="2"/>
    </font>
    <font>
      <sz val="10"/>
      <color indexed="8"/>
      <name val="Arial"/>
      <family val="2"/>
    </font>
    <font>
      <b/>
      <sz val="12"/>
      <name val="Times New Roman"/>
      <family val="1"/>
    </font>
    <font>
      <i/>
      <sz val="9"/>
      <name val="Times New Roman"/>
      <family val="1"/>
    </font>
    <font>
      <i/>
      <sz val="12"/>
      <name val="Times New Roman"/>
      <family val="1"/>
    </font>
    <font>
      <sz val="13"/>
      <color indexed="8"/>
      <name val="Times New Roman"/>
      <family val="1"/>
    </font>
    <font>
      <sz val="12"/>
      <name val="Times New Roman"/>
      <family val="1"/>
    </font>
    <font>
      <b/>
      <sz val="11"/>
      <name val="Times New Roman"/>
      <family val="1"/>
    </font>
    <font>
      <sz val="10"/>
      <name val="Times New Roman"/>
      <family val="1"/>
    </font>
    <font>
      <b/>
      <i/>
      <sz val="11"/>
      <name val="Times New Roman"/>
      <family val="1"/>
    </font>
    <font>
      <b/>
      <sz val="13"/>
      <name val="Times New Roman"/>
      <family val="1"/>
    </font>
    <font>
      <b/>
      <sz val="14"/>
      <name val="Times New Roman"/>
      <family val="1"/>
    </font>
    <font>
      <i/>
      <sz val="10"/>
      <name val="Times New Roman"/>
      <family val="1"/>
    </font>
    <font>
      <i/>
      <sz val="11"/>
      <name val="Times New Roman"/>
      <family val="1"/>
    </font>
    <font>
      <sz val="12"/>
      <color indexed="8"/>
      <name val="Times New Roman"/>
      <family val="1"/>
    </font>
    <font>
      <i/>
      <sz val="12"/>
      <color indexed="8"/>
      <name val="Times New Roman"/>
      <family val="1"/>
    </font>
    <font>
      <i/>
      <sz val="14"/>
      <name val="Times New Roman"/>
      <family val="1"/>
    </font>
    <font>
      <b/>
      <sz val="10"/>
      <name val="Times New Roman"/>
      <family val="1"/>
    </font>
    <font>
      <sz val="14"/>
      <name val="Times New Roman"/>
      <family val="1"/>
    </font>
    <font>
      <sz val="11"/>
      <color indexed="8"/>
      <name val="Times New Roman"/>
      <family val="1"/>
    </font>
    <font>
      <sz val="11"/>
      <name val="Times New Roman"/>
      <family val="1"/>
    </font>
    <font>
      <b/>
      <i/>
      <sz val="10"/>
      <name val="Times New Roman"/>
      <family val="1"/>
    </font>
    <font>
      <sz val="9"/>
      <name val="Times New Roman"/>
      <family val="1"/>
    </font>
    <font>
      <b/>
      <sz val="26"/>
      <name val="Times New Roman"/>
      <family val="1"/>
    </font>
    <font>
      <b/>
      <sz val="20"/>
      <name val="Times New Roman"/>
      <family val="1"/>
    </font>
    <font>
      <sz val="12"/>
      <name val=".VnArial Narrow"/>
      <family val="2"/>
    </font>
    <font>
      <sz val="10"/>
      <name val="Arial"/>
      <family val="2"/>
    </font>
    <font>
      <b/>
      <vertAlign val="superscript"/>
      <sz val="10"/>
      <color indexed="8"/>
      <name val="Times New Roman"/>
      <family val="1"/>
    </font>
    <font>
      <b/>
      <vertAlign val="superscript"/>
      <sz val="10"/>
      <color indexed="8"/>
      <name val="Arial"/>
      <family val="2"/>
    </font>
    <font>
      <i/>
      <sz val="9"/>
      <color indexed="8"/>
      <name val="Times New Roman"/>
      <family val="1"/>
    </font>
    <font>
      <b/>
      <sz val="9"/>
      <name val="Tahoma"/>
      <family val="2"/>
    </font>
    <font>
      <sz val="9"/>
      <name val="Tahoma"/>
      <family val="2"/>
    </font>
    <font>
      <sz val="10"/>
      <color indexed="10"/>
      <name val="Arial"/>
      <family val="2"/>
    </font>
    <font>
      <b/>
      <sz val="9"/>
      <name val="Times New Roman"/>
      <family val="1"/>
    </font>
    <font>
      <i/>
      <sz val="12"/>
      <name val="Arial"/>
      <family val="2"/>
    </font>
    <font>
      <b/>
      <i/>
      <sz val="12"/>
      <name val="Times New Roman"/>
      <family val="1"/>
    </font>
    <font>
      <sz val="10"/>
      <color indexed="9"/>
      <name val="Times New Roman"/>
      <family val="1"/>
    </font>
    <font>
      <sz val="10"/>
      <color indexed="20"/>
      <name val="Times New Roman"/>
      <family val="1"/>
    </font>
    <font>
      <b/>
      <sz val="10"/>
      <color indexed="52"/>
      <name val="Times New Roman"/>
      <family val="1"/>
    </font>
    <font>
      <b/>
      <sz val="10"/>
      <color indexed="9"/>
      <name val="Times New Roman"/>
      <family val="1"/>
    </font>
    <font>
      <i/>
      <sz val="10"/>
      <color indexed="23"/>
      <name val="Times New Roman"/>
      <family val="1"/>
    </font>
    <font>
      <u val="single"/>
      <sz val="10"/>
      <color indexed="25"/>
      <name val="Times New Roman"/>
      <family val="1"/>
    </font>
    <font>
      <sz val="10"/>
      <color indexed="17"/>
      <name val="Times New Roman"/>
      <family val="1"/>
    </font>
    <font>
      <b/>
      <sz val="15"/>
      <color indexed="54"/>
      <name val="Times New Roman"/>
      <family val="1"/>
    </font>
    <font>
      <b/>
      <sz val="13"/>
      <color indexed="54"/>
      <name val="Times New Roman"/>
      <family val="1"/>
    </font>
    <font>
      <b/>
      <sz val="11"/>
      <color indexed="54"/>
      <name val="Times New Roman"/>
      <family val="1"/>
    </font>
    <font>
      <u val="single"/>
      <sz val="10"/>
      <color indexed="30"/>
      <name val="Times New Roman"/>
      <family val="1"/>
    </font>
    <font>
      <sz val="10"/>
      <color indexed="62"/>
      <name val="Times New Roman"/>
      <family val="1"/>
    </font>
    <font>
      <sz val="10"/>
      <color indexed="52"/>
      <name val="Times New Roman"/>
      <family val="1"/>
    </font>
    <font>
      <sz val="10"/>
      <color indexed="60"/>
      <name val="Times New Roman"/>
      <family val="1"/>
    </font>
    <font>
      <b/>
      <sz val="10"/>
      <color indexed="63"/>
      <name val="Times New Roman"/>
      <family val="1"/>
    </font>
    <font>
      <sz val="18"/>
      <color indexed="54"/>
      <name val="Calibri Light"/>
      <family val="2"/>
    </font>
    <font>
      <b/>
      <sz val="10"/>
      <color indexed="8"/>
      <name val="Times New Roman"/>
      <family val="1"/>
    </font>
    <font>
      <sz val="10"/>
      <color indexed="10"/>
      <name val="Times New Roman"/>
      <family val="1"/>
    </font>
    <font>
      <i/>
      <sz val="10"/>
      <color indexed="8"/>
      <name val="Times New Roman"/>
      <family val="1"/>
    </font>
    <font>
      <b/>
      <sz val="11"/>
      <color indexed="10"/>
      <name val="Calibri"/>
      <family val="2"/>
    </font>
    <font>
      <i/>
      <sz val="13"/>
      <color indexed="8"/>
      <name val="Times New Roman"/>
      <family val="1"/>
    </font>
    <font>
      <i/>
      <sz val="14"/>
      <color indexed="8"/>
      <name val="Arial"/>
      <family val="2"/>
    </font>
    <font>
      <sz val="14"/>
      <color indexed="8"/>
      <name val="Times New Roman"/>
      <family val="1"/>
    </font>
    <font>
      <b/>
      <i/>
      <sz val="10"/>
      <color indexed="8"/>
      <name val="Times New Roman"/>
      <family val="1"/>
    </font>
    <font>
      <b/>
      <sz val="11"/>
      <color indexed="8"/>
      <name val="Times New Roman"/>
      <family val="1"/>
    </font>
    <font>
      <b/>
      <i/>
      <sz val="11"/>
      <color indexed="8"/>
      <name val="Times New Roman"/>
      <family val="1"/>
    </font>
    <font>
      <b/>
      <sz val="14"/>
      <color indexed="8"/>
      <name val="Times New Roman"/>
      <family val="1"/>
    </font>
    <font>
      <b/>
      <sz val="12"/>
      <color indexed="8"/>
      <name val="Times New Roman"/>
      <family val="1"/>
    </font>
    <font>
      <sz val="11"/>
      <color indexed="10"/>
      <name val="Times New Roman"/>
      <family val="1"/>
    </font>
    <font>
      <b/>
      <sz val="11"/>
      <color indexed="10"/>
      <name val="Times New Roman"/>
      <family val="1"/>
    </font>
    <font>
      <i/>
      <sz val="10"/>
      <color indexed="8"/>
      <name val="Arial"/>
      <family val="2"/>
    </font>
    <font>
      <b/>
      <sz val="10"/>
      <color indexed="10"/>
      <name val="Arial"/>
      <family val="2"/>
    </font>
    <font>
      <b/>
      <sz val="10"/>
      <color indexed="36"/>
      <name val="Arial"/>
      <family val="2"/>
    </font>
    <font>
      <sz val="10"/>
      <color indexed="17"/>
      <name val="Arial"/>
      <family val="2"/>
    </font>
    <font>
      <b/>
      <i/>
      <sz val="10"/>
      <color indexed="10"/>
      <name val="Arial"/>
      <family val="2"/>
    </font>
    <font>
      <b/>
      <i/>
      <sz val="10"/>
      <color indexed="17"/>
      <name val="Arial"/>
      <family val="2"/>
    </font>
    <font>
      <b/>
      <i/>
      <sz val="10"/>
      <color indexed="8"/>
      <name val="Arial"/>
      <family val="2"/>
    </font>
    <font>
      <i/>
      <sz val="10"/>
      <color indexed="17"/>
      <name val="Arial"/>
      <family val="2"/>
    </font>
    <font>
      <i/>
      <sz val="10"/>
      <color indexed="10"/>
      <name val="Arial"/>
      <family val="2"/>
    </font>
    <font>
      <b/>
      <sz val="10"/>
      <color indexed="10"/>
      <name val="Times New Roman"/>
      <family val="1"/>
    </font>
    <font>
      <i/>
      <sz val="12"/>
      <color indexed="8"/>
      <name val="Arial"/>
      <family val="2"/>
    </font>
    <font>
      <sz val="10"/>
      <color indexed="36"/>
      <name val="Times New Roman"/>
      <family val="1"/>
    </font>
    <font>
      <sz val="10"/>
      <color indexed="30"/>
      <name val="Times New Roman"/>
      <family val="1"/>
    </font>
    <font>
      <b/>
      <sz val="10"/>
      <color indexed="30"/>
      <name val="Arial"/>
      <family val="2"/>
    </font>
    <font>
      <sz val="10"/>
      <color indexed="36"/>
      <name val="Arial"/>
      <family val="2"/>
    </font>
    <font>
      <sz val="10"/>
      <color indexed="30"/>
      <name val="Arial"/>
      <family val="2"/>
    </font>
    <font>
      <sz val="9"/>
      <color indexed="8"/>
      <name val="Times New Roman"/>
      <family val="1"/>
    </font>
    <font>
      <b/>
      <sz val="9"/>
      <color indexed="10"/>
      <name val="Times New Roman"/>
      <family val="1"/>
    </font>
    <font>
      <b/>
      <sz val="9"/>
      <color indexed="60"/>
      <name val="Times New Roman"/>
      <family val="1"/>
    </font>
    <font>
      <b/>
      <sz val="9"/>
      <color indexed="8"/>
      <name val="Times New Roman"/>
      <family val="1"/>
    </font>
    <font>
      <u val="single"/>
      <sz val="9"/>
      <color indexed="30"/>
      <name val="Times New Roman"/>
      <family val="1"/>
    </font>
    <font>
      <sz val="9"/>
      <color indexed="10"/>
      <name val="Times New Roman"/>
      <family val="1"/>
    </font>
    <font>
      <b/>
      <i/>
      <sz val="9"/>
      <color indexed="8"/>
      <name val="Times New Roman"/>
      <family val="1"/>
    </font>
    <font>
      <i/>
      <sz val="9"/>
      <color indexed="10"/>
      <name val="Times New Roman"/>
      <family val="1"/>
    </font>
    <font>
      <i/>
      <sz val="10"/>
      <color indexed="10"/>
      <name val="Times New Roman"/>
      <family val="1"/>
    </font>
    <font>
      <sz val="12"/>
      <color indexed="10"/>
      <name val="Times New Roman"/>
      <family val="1"/>
    </font>
    <font>
      <sz val="10"/>
      <color indexed="57"/>
      <name val="Times New Roman"/>
      <family val="1"/>
    </font>
    <font>
      <i/>
      <sz val="10"/>
      <color indexed="57"/>
      <name val="Arial"/>
      <family val="2"/>
    </font>
    <font>
      <sz val="14"/>
      <color indexed="10"/>
      <name val="Times New Roman"/>
      <family val="1"/>
    </font>
    <font>
      <b/>
      <i/>
      <sz val="10"/>
      <color indexed="10"/>
      <name val="Times New Roman"/>
      <family val="1"/>
    </font>
    <font>
      <b/>
      <sz val="9"/>
      <color indexed="53"/>
      <name val="Times New Roman"/>
      <family val="1"/>
    </font>
    <font>
      <b/>
      <u val="single"/>
      <sz val="9"/>
      <color indexed="30"/>
      <name val="Times New Roman"/>
      <family val="1"/>
    </font>
    <font>
      <b/>
      <sz val="14"/>
      <color indexed="8"/>
      <name val="Arial"/>
      <family val="2"/>
    </font>
    <font>
      <i/>
      <sz val="14"/>
      <color indexed="8"/>
      <name val="Times New Roman"/>
      <family val="1"/>
    </font>
    <font>
      <sz val="11"/>
      <color theme="1"/>
      <name val="Calibri"/>
      <family val="2"/>
    </font>
    <font>
      <sz val="10"/>
      <color theme="0"/>
      <name val="Times New Roman"/>
      <family val="1"/>
    </font>
    <font>
      <sz val="10"/>
      <color rgb="FF9C0006"/>
      <name val="Times New Roman"/>
      <family val="1"/>
    </font>
    <font>
      <b/>
      <sz val="10"/>
      <color rgb="FFFA7D00"/>
      <name val="Times New Roman"/>
      <family val="1"/>
    </font>
    <font>
      <b/>
      <sz val="10"/>
      <color theme="0"/>
      <name val="Times New Roman"/>
      <family val="1"/>
    </font>
    <font>
      <i/>
      <sz val="10"/>
      <color rgb="FF7F7F7F"/>
      <name val="Times New Roman"/>
      <family val="1"/>
    </font>
    <font>
      <u val="single"/>
      <sz val="10"/>
      <color theme="11"/>
      <name val="Times New Roman"/>
      <family val="1"/>
    </font>
    <font>
      <sz val="10"/>
      <color rgb="FF006100"/>
      <name val="Times New Roman"/>
      <family val="1"/>
    </font>
    <font>
      <b/>
      <sz val="15"/>
      <color theme="3"/>
      <name val="Times New Roman"/>
      <family val="1"/>
    </font>
    <font>
      <b/>
      <sz val="13"/>
      <color theme="3"/>
      <name val="Times New Roman"/>
      <family val="1"/>
    </font>
    <font>
      <b/>
      <sz val="11"/>
      <color theme="3"/>
      <name val="Times New Roman"/>
      <family val="1"/>
    </font>
    <font>
      <u val="single"/>
      <sz val="10"/>
      <color theme="10"/>
      <name val="Times New Roman"/>
      <family val="1"/>
    </font>
    <font>
      <sz val="10"/>
      <color rgb="FF3F3F76"/>
      <name val="Times New Roman"/>
      <family val="1"/>
    </font>
    <font>
      <sz val="10"/>
      <color rgb="FFFA7D00"/>
      <name val="Times New Roman"/>
      <family val="1"/>
    </font>
    <font>
      <sz val="10"/>
      <color rgb="FF9C6500"/>
      <name val="Times New Roman"/>
      <family val="1"/>
    </font>
    <font>
      <b/>
      <sz val="10"/>
      <color rgb="FF3F3F3F"/>
      <name val="Times New Roman"/>
      <family val="1"/>
    </font>
    <font>
      <sz val="18"/>
      <color theme="3"/>
      <name val="Calibri Light"/>
      <family val="2"/>
    </font>
    <font>
      <b/>
      <sz val="10"/>
      <color theme="1"/>
      <name val="Times New Roman"/>
      <family val="1"/>
    </font>
    <font>
      <sz val="10"/>
      <color rgb="FFFF0000"/>
      <name val="Times New Roman"/>
      <family val="1"/>
    </font>
    <font>
      <b/>
      <sz val="10"/>
      <color rgb="FF000000"/>
      <name val="Times New Roman"/>
      <family val="1"/>
    </font>
    <font>
      <sz val="10"/>
      <color rgb="FF000000"/>
      <name val="Times New Roman"/>
      <family val="1"/>
    </font>
    <font>
      <i/>
      <sz val="10"/>
      <color rgb="FF000000"/>
      <name val="Times New Roman"/>
      <family val="1"/>
    </font>
    <font>
      <b/>
      <sz val="10"/>
      <color rgb="FF000000"/>
      <name val="Arial"/>
      <family val="2"/>
    </font>
    <font>
      <sz val="10"/>
      <color rgb="FF000000"/>
      <name val="Arial"/>
      <family val="2"/>
    </font>
    <font>
      <b/>
      <sz val="11"/>
      <color rgb="FFFF0000"/>
      <name val="Calibri"/>
      <family val="2"/>
    </font>
    <font>
      <i/>
      <sz val="12"/>
      <color theme="1"/>
      <name val="Times New Roman"/>
      <family val="1"/>
    </font>
    <font>
      <sz val="12"/>
      <color theme="1"/>
      <name val="Times New Roman"/>
      <family val="1"/>
    </font>
    <font>
      <i/>
      <sz val="13"/>
      <color theme="1"/>
      <name val="Times New Roman"/>
      <family val="1"/>
    </font>
    <font>
      <i/>
      <sz val="14"/>
      <color rgb="FF000000"/>
      <name val="Arial"/>
      <family val="2"/>
    </font>
    <font>
      <sz val="14"/>
      <color theme="1"/>
      <name val="Times New Roman"/>
      <family val="1"/>
    </font>
    <font>
      <b/>
      <i/>
      <sz val="10"/>
      <color theme="1"/>
      <name val="Times New Roman"/>
      <family val="1"/>
    </font>
    <font>
      <b/>
      <sz val="11"/>
      <color theme="1"/>
      <name val="Times New Roman"/>
      <family val="1"/>
    </font>
    <font>
      <sz val="11"/>
      <color theme="1"/>
      <name val="Times New Roman"/>
      <family val="1"/>
    </font>
    <font>
      <b/>
      <i/>
      <sz val="11"/>
      <color theme="1"/>
      <name val="Times New Roman"/>
      <family val="1"/>
    </font>
    <font>
      <b/>
      <sz val="14"/>
      <color theme="1"/>
      <name val="Times New Roman"/>
      <family val="1"/>
    </font>
    <font>
      <b/>
      <sz val="12"/>
      <color theme="1"/>
      <name val="Times New Roman"/>
      <family val="1"/>
    </font>
    <font>
      <sz val="11"/>
      <color rgb="FFFF0000"/>
      <name val="Times New Roman"/>
      <family val="1"/>
    </font>
    <font>
      <b/>
      <sz val="11"/>
      <color rgb="FFFF0000"/>
      <name val="Times New Roman"/>
      <family val="1"/>
    </font>
    <font>
      <i/>
      <sz val="10"/>
      <color rgb="FF000000"/>
      <name val="Arial"/>
      <family val="2"/>
    </font>
    <font>
      <b/>
      <sz val="10"/>
      <color rgb="FFFF0000"/>
      <name val="Arial"/>
      <family val="2"/>
    </font>
    <font>
      <sz val="10"/>
      <color rgb="FFFF0000"/>
      <name val="Arial"/>
      <family val="2"/>
    </font>
    <font>
      <b/>
      <sz val="12"/>
      <color rgb="FF000000"/>
      <name val="Times New Roman"/>
      <family val="1"/>
    </font>
    <font>
      <sz val="12"/>
      <color rgb="FF000000"/>
      <name val="Times New Roman"/>
      <family val="1"/>
    </font>
    <font>
      <i/>
      <sz val="12"/>
      <color rgb="FF000000"/>
      <name val="Times New Roman"/>
      <family val="1"/>
    </font>
    <font>
      <i/>
      <sz val="10"/>
      <color theme="1"/>
      <name val="Times New Roman"/>
      <family val="1"/>
    </font>
    <font>
      <sz val="10"/>
      <color rgb="FF00B050"/>
      <name val="Times New Roman"/>
      <family val="1"/>
    </font>
    <font>
      <b/>
      <sz val="10"/>
      <color rgb="FF7030A0"/>
      <name val="Arial"/>
      <family val="2"/>
    </font>
    <font>
      <sz val="10"/>
      <color rgb="FF00B050"/>
      <name val="Arial"/>
      <family val="2"/>
    </font>
    <font>
      <b/>
      <i/>
      <sz val="10"/>
      <color rgb="FFFF0000"/>
      <name val="Arial"/>
      <family val="2"/>
    </font>
    <font>
      <b/>
      <i/>
      <sz val="10"/>
      <color rgb="FF00B050"/>
      <name val="Arial"/>
      <family val="2"/>
    </font>
    <font>
      <b/>
      <i/>
      <sz val="10"/>
      <color rgb="FF000000"/>
      <name val="Arial"/>
      <family val="2"/>
    </font>
    <font>
      <i/>
      <sz val="10"/>
      <color rgb="FF00B050"/>
      <name val="Arial"/>
      <family val="2"/>
    </font>
    <font>
      <i/>
      <sz val="10"/>
      <color rgb="FFFF0000"/>
      <name val="Arial"/>
      <family val="2"/>
    </font>
    <font>
      <b/>
      <sz val="10"/>
      <color rgb="FFFF0000"/>
      <name val="Times New Roman"/>
      <family val="1"/>
    </font>
    <font>
      <i/>
      <sz val="12"/>
      <color rgb="FF000000"/>
      <name val="Arial"/>
      <family val="2"/>
    </font>
    <font>
      <sz val="10"/>
      <color rgb="FF7030A0"/>
      <name val="Times New Roman"/>
      <family val="1"/>
    </font>
    <font>
      <sz val="10"/>
      <color rgb="FF0070C0"/>
      <name val="Times New Roman"/>
      <family val="1"/>
    </font>
    <font>
      <b/>
      <sz val="10"/>
      <color rgb="FF0070C0"/>
      <name val="Arial"/>
      <family val="2"/>
    </font>
    <font>
      <sz val="10"/>
      <color rgb="FF7030A0"/>
      <name val="Arial"/>
      <family val="2"/>
    </font>
    <font>
      <sz val="10"/>
      <color rgb="FF0070C0"/>
      <name val="Arial"/>
      <family val="2"/>
    </font>
    <font>
      <sz val="9"/>
      <color theme="1"/>
      <name val="Times New Roman"/>
      <family val="1"/>
    </font>
    <font>
      <b/>
      <sz val="9"/>
      <color rgb="FFFF0000"/>
      <name val="Times New Roman"/>
      <family val="1"/>
    </font>
    <font>
      <i/>
      <sz val="9"/>
      <color rgb="FF000000"/>
      <name val="Times New Roman"/>
      <family val="1"/>
    </font>
    <font>
      <b/>
      <sz val="9"/>
      <color rgb="FFC00000"/>
      <name val="Times New Roman"/>
      <family val="1"/>
    </font>
    <font>
      <b/>
      <sz val="9"/>
      <color rgb="FF000000"/>
      <name val="Times New Roman"/>
      <family val="1"/>
    </font>
    <font>
      <sz val="9"/>
      <color rgb="FF000000"/>
      <name val="Times New Roman"/>
      <family val="1"/>
    </font>
    <font>
      <u val="single"/>
      <sz val="9"/>
      <color theme="10"/>
      <name val="Times New Roman"/>
      <family val="1"/>
    </font>
    <font>
      <sz val="9"/>
      <color rgb="FFFF0000"/>
      <name val="Times New Roman"/>
      <family val="1"/>
    </font>
    <font>
      <b/>
      <i/>
      <sz val="9"/>
      <color rgb="FF000000"/>
      <name val="Times New Roman"/>
      <family val="1"/>
    </font>
    <font>
      <i/>
      <sz val="9"/>
      <color rgb="FFFF0000"/>
      <name val="Times New Roman"/>
      <family val="1"/>
    </font>
    <font>
      <i/>
      <sz val="10"/>
      <color rgb="FFFF0000"/>
      <name val="Times New Roman"/>
      <family val="1"/>
    </font>
    <font>
      <b/>
      <i/>
      <sz val="10"/>
      <color rgb="FF000000"/>
      <name val="Times New Roman"/>
      <family val="1"/>
    </font>
    <font>
      <sz val="12"/>
      <color rgb="FFFF0000"/>
      <name val="Times New Roman"/>
      <family val="1"/>
    </font>
    <font>
      <sz val="10"/>
      <color theme="9"/>
      <name val="Times New Roman"/>
      <family val="1"/>
    </font>
    <font>
      <i/>
      <sz val="10"/>
      <color theme="9"/>
      <name val="Arial"/>
      <family val="2"/>
    </font>
    <font>
      <sz val="14"/>
      <color rgb="FFFF0000"/>
      <name val="Times New Roman"/>
      <family val="1"/>
    </font>
    <font>
      <b/>
      <i/>
      <sz val="10"/>
      <color rgb="FFFF0000"/>
      <name val="Times New Roman"/>
      <family val="1"/>
    </font>
    <font>
      <b/>
      <u val="single"/>
      <sz val="9"/>
      <color theme="10"/>
      <name val="Times New Roman"/>
      <family val="1"/>
    </font>
    <font>
      <b/>
      <sz val="9"/>
      <color theme="5" tint="-0.24997000396251678"/>
      <name val="Times New Roman"/>
      <family val="1"/>
    </font>
    <font>
      <b/>
      <sz val="14"/>
      <color rgb="FF000000"/>
      <name val="Arial"/>
      <family val="2"/>
    </font>
    <font>
      <i/>
      <sz val="14"/>
      <color theme="1"/>
      <name val="Times New Roman"/>
      <family val="1"/>
    </font>
    <font>
      <i/>
      <sz val="14"/>
      <color rgb="FF000000"/>
      <name val="Times New Roman"/>
      <family val="1"/>
    </font>
    <font>
      <b/>
      <sz val="14"/>
      <color rgb="FF000000"/>
      <name val="Times New Roman"/>
      <family val="1"/>
    </font>
    <font>
      <b/>
      <sz val="8"/>
      <name val="Times New Roman"/>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gradientFill degree="90">
        <stop position="0">
          <color theme="0"/>
        </stop>
        <stop position="1">
          <color rgb="FF00B050"/>
        </stop>
      </gradientFill>
    </fill>
    <fill>
      <gradientFill degree="90">
        <stop position="0">
          <color theme="0"/>
        </stop>
        <stop position="1">
          <color rgb="FF00B050"/>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patternFill patternType="solid">
        <fgColor theme="0"/>
        <bgColor indexed="64"/>
      </patternFill>
    </fill>
    <fill>
      <patternFill patternType="solid">
        <fgColor indexed="27"/>
        <bgColor indexed="64"/>
      </patternFill>
    </fill>
    <fill>
      <patternFill patternType="solid">
        <fgColor rgb="FFFFFFFF"/>
        <bgColor indexed="64"/>
      </patternFill>
    </fill>
    <fill>
      <gradientFill degree="90">
        <stop position="0">
          <color theme="0"/>
        </stop>
        <stop position="1">
          <color theme="4"/>
        </stop>
      </gradientFill>
    </fill>
    <fill>
      <gradientFill degree="90">
        <stop position="0">
          <color theme="0"/>
        </stop>
        <stop position="1">
          <color theme="4"/>
        </stop>
      </gradient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thin"/>
      <bottom style="thin"/>
    </border>
    <border>
      <left style="thin"/>
      <right style="thin"/>
      <top>
        <color indexed="63"/>
      </top>
      <bottom>
        <color indexed="63"/>
      </bottom>
    </border>
    <border>
      <left style="thin"/>
      <right style="thin"/>
      <top style="hair"/>
      <bottom>
        <color indexed="63"/>
      </bottom>
    </border>
    <border>
      <left style="thin"/>
      <right style="thin"/>
      <top style="dotted"/>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thin">
        <color rgb="FF000000"/>
      </left>
      <right style="thin">
        <color rgb="FF000000"/>
      </right>
      <top style="dotted">
        <color rgb="FF000000"/>
      </top>
      <bottom style="dotted">
        <color rgb="FF000000"/>
      </bottom>
    </border>
    <border>
      <left style="thin">
        <color rgb="FF000000"/>
      </left>
      <right style="thin">
        <color rgb="FF000000"/>
      </right>
      <top style="thin">
        <color rgb="FF000000"/>
      </top>
      <bottom style="dotted">
        <color rgb="FF000000"/>
      </bottom>
    </border>
    <border>
      <left style="thin">
        <color rgb="FF000000"/>
      </left>
      <right style="thin">
        <color rgb="FF000000"/>
      </right>
      <top>
        <color indexed="63"/>
      </top>
      <bottom>
        <color indexed="63"/>
      </bottom>
    </border>
    <border>
      <left style="thin"/>
      <right style="thin"/>
      <top style="dotted"/>
      <bottom style="dotted"/>
    </border>
    <border>
      <left style="thin">
        <color rgb="FF000000"/>
      </left>
      <right style="thin">
        <color rgb="FF000000"/>
      </right>
      <top style="dotted">
        <color rgb="FF000000"/>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thin">
        <color rgb="FF000000"/>
      </left>
      <right>
        <color indexed="63"/>
      </right>
      <top style="thin">
        <color rgb="FF000000"/>
      </top>
      <bottom style="dotted">
        <color rgb="FF000000"/>
      </bottom>
    </border>
    <border>
      <left>
        <color indexed="63"/>
      </left>
      <right style="thin">
        <color rgb="FF000000"/>
      </right>
      <top style="thin">
        <color rgb="FF000000"/>
      </top>
      <bottom style="dotted">
        <color rgb="FF000000"/>
      </bottom>
    </border>
    <border>
      <left style="thin"/>
      <right>
        <color indexed="63"/>
      </right>
      <top>
        <color indexed="63"/>
      </top>
      <bottom>
        <color indexed="63"/>
      </bottom>
    </border>
    <border>
      <left style="thin"/>
      <right style="thin"/>
      <top style="medium"/>
      <bottom style="thin"/>
    </border>
  </borders>
  <cellStyleXfs count="71">
    <xf numFmtId="0" fontId="0" fillId="0" borderId="0">
      <alignment/>
      <protection/>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29" fillId="0" borderId="0">
      <alignment/>
      <protection/>
    </xf>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3" fontId="29"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0" fillId="0" borderId="0">
      <alignment/>
      <protection/>
    </xf>
    <xf numFmtId="0" fontId="29" fillId="0" borderId="0">
      <alignment/>
      <protection/>
    </xf>
    <xf numFmtId="0" fontId="28" fillId="0" borderId="0">
      <alignment/>
      <protection/>
    </xf>
    <xf numFmtId="0" fontId="103" fillId="0" borderId="0">
      <alignment/>
      <protection/>
    </xf>
    <xf numFmtId="0" fontId="29"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795">
    <xf numFmtId="0" fontId="0" fillId="0" borderId="0" xfId="0" applyAlignment="1">
      <alignment/>
    </xf>
    <xf numFmtId="0" fontId="0" fillId="0" borderId="0" xfId="0" applyFont="1" applyAlignment="1">
      <alignment/>
    </xf>
    <xf numFmtId="0" fontId="122" fillId="0" borderId="0" xfId="0" applyFont="1" applyAlignment="1">
      <alignment vertical="center"/>
    </xf>
    <xf numFmtId="0" fontId="122" fillId="0" borderId="0" xfId="0" applyFont="1" applyAlignment="1">
      <alignment/>
    </xf>
    <xf numFmtId="0" fontId="122" fillId="5" borderId="10" xfId="0" applyFont="1" applyFill="1" applyBorder="1" applyAlignment="1">
      <alignment horizontal="center" vertical="center" wrapText="1"/>
    </xf>
    <xf numFmtId="0" fontId="123" fillId="2" borderId="10" xfId="0" applyFont="1" applyFill="1" applyBorder="1" applyAlignment="1">
      <alignment horizontal="center" vertical="center" wrapText="1"/>
    </xf>
    <xf numFmtId="0" fontId="122" fillId="0" borderId="11" xfId="0" applyFont="1" applyBorder="1" applyAlignment="1">
      <alignment horizontal="center" vertical="center" wrapText="1"/>
    </xf>
    <xf numFmtId="0" fontId="122" fillId="0" borderId="11" xfId="0" applyFont="1" applyBorder="1" applyAlignment="1">
      <alignment vertical="center" wrapText="1"/>
    </xf>
    <xf numFmtId="0" fontId="123" fillId="0" borderId="11" xfId="0" applyFont="1" applyBorder="1" applyAlignment="1">
      <alignment horizontal="center" vertical="center" wrapText="1"/>
    </xf>
    <xf numFmtId="0" fontId="123" fillId="0" borderId="12" xfId="0" applyFont="1" applyBorder="1" applyAlignment="1">
      <alignment horizontal="center" vertical="center" wrapText="1"/>
    </xf>
    <xf numFmtId="0" fontId="123" fillId="0" borderId="12" xfId="0" applyFont="1" applyBorder="1" applyAlignment="1">
      <alignment vertical="center" wrapText="1"/>
    </xf>
    <xf numFmtId="0" fontId="122" fillId="0" borderId="12" xfId="0" applyFont="1" applyBorder="1" applyAlignment="1">
      <alignment horizontal="center" vertical="center" wrapText="1"/>
    </xf>
    <xf numFmtId="0" fontId="122" fillId="0" borderId="12" xfId="0" applyFont="1" applyBorder="1" applyAlignment="1">
      <alignment vertical="center" wrapText="1"/>
    </xf>
    <xf numFmtId="0" fontId="123" fillId="0" borderId="13" xfId="0" applyFont="1" applyBorder="1" applyAlignment="1">
      <alignment horizontal="center" vertical="center" wrapText="1"/>
    </xf>
    <xf numFmtId="0" fontId="123" fillId="0" borderId="13" xfId="0" applyFont="1" applyBorder="1" applyAlignment="1">
      <alignment vertical="center" wrapText="1"/>
    </xf>
    <xf numFmtId="0" fontId="123" fillId="0" borderId="0" xfId="0" applyFont="1" applyAlignment="1">
      <alignment vertical="center"/>
    </xf>
    <xf numFmtId="0" fontId="123" fillId="0" borderId="0" xfId="0" applyFont="1" applyAlignment="1">
      <alignment/>
    </xf>
    <xf numFmtId="0" fontId="120" fillId="0" borderId="0" xfId="0" applyFont="1" applyAlignment="1">
      <alignment/>
    </xf>
    <xf numFmtId="0" fontId="124" fillId="0" borderId="0" xfId="0" applyFont="1" applyAlignment="1">
      <alignment/>
    </xf>
    <xf numFmtId="0" fontId="125" fillId="0" borderId="0" xfId="0" applyFont="1" applyAlignment="1">
      <alignment vertical="center"/>
    </xf>
    <xf numFmtId="0" fontId="125" fillId="0" borderId="0" xfId="0" applyFont="1" applyAlignment="1">
      <alignment/>
    </xf>
    <xf numFmtId="0" fontId="125" fillId="0" borderId="0" xfId="0" applyFont="1" applyAlignment="1">
      <alignment horizontal="center"/>
    </xf>
    <xf numFmtId="0" fontId="125" fillId="5" borderId="10" xfId="0" applyFont="1" applyFill="1" applyBorder="1" applyAlignment="1">
      <alignment horizontal="center" vertical="center" wrapText="1"/>
    </xf>
    <xf numFmtId="0" fontId="126" fillId="2" borderId="10" xfId="0" applyFont="1" applyFill="1" applyBorder="1" applyAlignment="1">
      <alignment horizontal="center" vertical="center" wrapText="1"/>
    </xf>
    <xf numFmtId="0" fontId="125" fillId="0" borderId="11" xfId="0" applyFont="1" applyBorder="1" applyAlignment="1">
      <alignment horizontal="center" vertical="center" wrapText="1"/>
    </xf>
    <xf numFmtId="0" fontId="125" fillId="0" borderId="11" xfId="0" applyFont="1" applyBorder="1" applyAlignment="1">
      <alignment vertical="center" wrapText="1"/>
    </xf>
    <xf numFmtId="0" fontId="126" fillId="0" borderId="11" xfId="0" applyFont="1" applyBorder="1" applyAlignment="1">
      <alignment horizontal="center" vertical="center" wrapText="1"/>
    </xf>
    <xf numFmtId="0" fontId="126" fillId="0" borderId="12" xfId="0" applyFont="1" applyBorder="1" applyAlignment="1">
      <alignment horizontal="center" vertical="center" wrapText="1"/>
    </xf>
    <xf numFmtId="0" fontId="126" fillId="0" borderId="12" xfId="0" applyFont="1" applyBorder="1" applyAlignment="1">
      <alignment vertical="center" wrapText="1"/>
    </xf>
    <xf numFmtId="0" fontId="125" fillId="0" borderId="12" xfId="0" applyFont="1" applyBorder="1" applyAlignment="1">
      <alignment horizontal="center" vertical="center" wrapText="1"/>
    </xf>
    <xf numFmtId="0" fontId="125" fillId="0" borderId="12" xfId="0" applyFont="1" applyBorder="1" applyAlignment="1">
      <alignment vertical="center" wrapText="1"/>
    </xf>
    <xf numFmtId="0" fontId="126" fillId="0" borderId="13" xfId="0" applyFont="1" applyBorder="1" applyAlignment="1">
      <alignment horizontal="center" vertical="center" wrapText="1"/>
    </xf>
    <xf numFmtId="0" fontId="126" fillId="0" borderId="13" xfId="0" applyFont="1" applyBorder="1" applyAlignment="1">
      <alignment vertical="center" wrapText="1"/>
    </xf>
    <xf numFmtId="0" fontId="126" fillId="0" borderId="0" xfId="0" applyFont="1" applyAlignment="1">
      <alignment vertical="center"/>
    </xf>
    <xf numFmtId="0" fontId="126" fillId="0" borderId="0" xfId="0" applyFont="1" applyAlignment="1">
      <alignment/>
    </xf>
    <xf numFmtId="0" fontId="127" fillId="0" borderId="0" xfId="0" applyFont="1" applyAlignment="1">
      <alignment horizontal="center" vertical="center"/>
    </xf>
    <xf numFmtId="0" fontId="5" fillId="0" borderId="0" xfId="62" applyFont="1" applyFill="1" applyAlignment="1">
      <alignment vertical="center"/>
      <protection/>
    </xf>
    <xf numFmtId="179" fontId="6" fillId="0" borderId="0" xfId="62" applyNumberFormat="1" applyFont="1" applyFill="1" applyAlignment="1">
      <alignment vertical="center" wrapText="1"/>
      <protection/>
    </xf>
    <xf numFmtId="0" fontId="7" fillId="0" borderId="0" xfId="62" applyFont="1" applyFill="1" applyAlignment="1">
      <alignment vertical="center"/>
      <protection/>
    </xf>
    <xf numFmtId="0" fontId="9" fillId="0" borderId="0" xfId="62" applyFont="1" applyFill="1" applyAlignment="1">
      <alignment vertical="center" wrapText="1"/>
      <protection/>
    </xf>
    <xf numFmtId="0" fontId="9" fillId="0" borderId="0" xfId="62" applyFont="1" applyFill="1" applyAlignment="1">
      <alignment vertical="center"/>
      <protection/>
    </xf>
    <xf numFmtId="0" fontId="10" fillId="0" borderId="0" xfId="62" applyFont="1" applyFill="1" applyAlignment="1">
      <alignment vertical="center"/>
      <protection/>
    </xf>
    <xf numFmtId="0" fontId="11" fillId="0" borderId="0" xfId="62" applyFont="1" applyFill="1" applyAlignment="1">
      <alignment vertical="center"/>
      <protection/>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179" fontId="15" fillId="0" borderId="0" xfId="62" applyNumberFormat="1" applyFont="1" applyFill="1" applyBorder="1" applyAlignment="1">
      <alignment horizontal="right" vertical="center"/>
      <protection/>
    </xf>
    <xf numFmtId="179" fontId="16" fillId="0" borderId="0" xfId="62" applyNumberFormat="1" applyFont="1" applyFill="1" applyBorder="1" applyAlignment="1">
      <alignment horizontal="right" vertical="center"/>
      <protection/>
    </xf>
    <xf numFmtId="0" fontId="9" fillId="0" borderId="0" xfId="62" applyFont="1" applyFill="1" applyBorder="1" applyAlignment="1">
      <alignment vertical="center"/>
      <protection/>
    </xf>
    <xf numFmtId="179" fontId="5" fillId="0" borderId="14" xfId="62" applyNumberFormat="1" applyFont="1" applyFill="1" applyBorder="1" applyAlignment="1" applyProtection="1">
      <alignment horizontal="center" vertical="center" wrapText="1"/>
      <protection/>
    </xf>
    <xf numFmtId="0" fontId="5" fillId="0" borderId="10" xfId="62" applyFont="1" applyFill="1" applyBorder="1" applyAlignment="1">
      <alignment horizontal="center" vertical="center" wrapText="1"/>
      <protection/>
    </xf>
    <xf numFmtId="179" fontId="5" fillId="0" borderId="10" xfId="62" applyNumberFormat="1" applyFont="1" applyFill="1" applyBorder="1" applyAlignment="1" applyProtection="1">
      <alignment horizontal="center" vertical="center" wrapText="1"/>
      <protection/>
    </xf>
    <xf numFmtId="0" fontId="5" fillId="0" borderId="14"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179" fontId="6" fillId="0" borderId="10" xfId="62" applyNumberFormat="1" applyFont="1" applyFill="1" applyBorder="1" applyAlignment="1" applyProtection="1">
      <alignment horizontal="center" vertical="center" wrapText="1"/>
      <protection/>
    </xf>
    <xf numFmtId="179" fontId="6" fillId="0" borderId="10" xfId="62" applyNumberFormat="1" applyFont="1" applyFill="1" applyBorder="1" applyAlignment="1">
      <alignment horizontal="center" vertical="center" wrapText="1"/>
      <protection/>
    </xf>
    <xf numFmtId="179" fontId="6" fillId="0" borderId="0" xfId="62" applyNumberFormat="1" applyFont="1" applyFill="1" applyAlignment="1">
      <alignment horizontal="center" vertical="center" wrapText="1"/>
      <protection/>
    </xf>
    <xf numFmtId="179" fontId="6" fillId="0" borderId="0" xfId="62" applyNumberFormat="1" applyFont="1" applyFill="1" applyBorder="1" applyAlignment="1">
      <alignment vertical="center" wrapText="1"/>
      <protection/>
    </xf>
    <xf numFmtId="179" fontId="5" fillId="0" borderId="15" xfId="62" applyNumberFormat="1" applyFont="1" applyFill="1" applyBorder="1" applyAlignment="1" applyProtection="1">
      <alignment horizontal="center" vertical="center"/>
      <protection/>
    </xf>
    <xf numFmtId="179" fontId="5" fillId="0" borderId="15" xfId="62" applyNumberFormat="1" applyFont="1" applyFill="1" applyBorder="1" applyAlignment="1">
      <alignment horizontal="center" vertical="center"/>
      <protection/>
    </xf>
    <xf numFmtId="3" fontId="5" fillId="0" borderId="15" xfId="43" applyNumberFormat="1" applyFont="1" applyFill="1" applyBorder="1" applyAlignment="1">
      <alignment horizontal="center" vertical="center"/>
    </xf>
    <xf numFmtId="43" fontId="5" fillId="0" borderId="15" xfId="43" applyNumberFormat="1" applyFont="1" applyFill="1" applyBorder="1" applyAlignment="1">
      <alignment horizontal="center" vertical="center"/>
    </xf>
    <xf numFmtId="0" fontId="5" fillId="0" borderId="0" xfId="62" applyFont="1" applyFill="1" applyBorder="1" applyAlignment="1">
      <alignment vertical="center"/>
      <protection/>
    </xf>
    <xf numFmtId="179" fontId="5" fillId="0" borderId="12" xfId="62" applyNumberFormat="1" applyFont="1" applyFill="1" applyBorder="1" applyAlignment="1" applyProtection="1">
      <alignment horizontal="center" vertical="center"/>
      <protection/>
    </xf>
    <xf numFmtId="179" fontId="5" fillId="0" borderId="12" xfId="62" applyNumberFormat="1" applyFont="1" applyFill="1" applyBorder="1" applyAlignment="1">
      <alignment horizontal="center" vertical="center"/>
      <protection/>
    </xf>
    <xf numFmtId="3" fontId="5" fillId="0" borderId="12" xfId="43" applyNumberFormat="1" applyFont="1" applyFill="1" applyBorder="1" applyAlignment="1">
      <alignment horizontal="center" vertical="center"/>
    </xf>
    <xf numFmtId="179" fontId="5" fillId="0" borderId="12" xfId="62" applyNumberFormat="1" applyFont="1" applyFill="1" applyBorder="1" applyAlignment="1" applyProtection="1">
      <alignment horizontal="left" vertical="center"/>
      <protection/>
    </xf>
    <xf numFmtId="3" fontId="5" fillId="0" borderId="12" xfId="43" applyNumberFormat="1" applyFont="1" applyFill="1" applyBorder="1" applyAlignment="1">
      <alignment vertical="center"/>
    </xf>
    <xf numFmtId="179" fontId="7" fillId="0" borderId="12" xfId="62" applyNumberFormat="1" applyFont="1" applyFill="1" applyBorder="1" applyAlignment="1">
      <alignment horizontal="center" vertical="center"/>
      <protection/>
    </xf>
    <xf numFmtId="179" fontId="7" fillId="0" borderId="12" xfId="62" applyNumberFormat="1" applyFont="1" applyFill="1" applyBorder="1" applyAlignment="1" applyProtection="1">
      <alignment horizontal="left" vertical="center" wrapText="1"/>
      <protection/>
    </xf>
    <xf numFmtId="3" fontId="7" fillId="0" borderId="12" xfId="43" applyNumberFormat="1" applyFont="1" applyFill="1" applyBorder="1" applyAlignment="1">
      <alignment vertical="center"/>
    </xf>
    <xf numFmtId="43" fontId="7" fillId="0" borderId="12" xfId="43" applyNumberFormat="1" applyFont="1" applyFill="1" applyBorder="1" applyAlignment="1">
      <alignment vertical="center"/>
    </xf>
    <xf numFmtId="0" fontId="7" fillId="0" borderId="12" xfId="62" applyFont="1" applyFill="1" applyBorder="1" applyAlignment="1">
      <alignment horizontal="center" vertical="center"/>
      <protection/>
    </xf>
    <xf numFmtId="0" fontId="7" fillId="0" borderId="12" xfId="62" applyFont="1" applyFill="1" applyBorder="1" applyAlignment="1">
      <alignment vertical="center"/>
      <protection/>
    </xf>
    <xf numFmtId="3" fontId="7" fillId="0" borderId="12" xfId="62" applyNumberFormat="1" applyFont="1" applyFill="1" applyBorder="1" applyAlignment="1">
      <alignment vertical="center"/>
      <protection/>
    </xf>
    <xf numFmtId="0" fontId="9" fillId="0" borderId="12" xfId="0" applyFont="1" applyFill="1" applyBorder="1" applyAlignment="1">
      <alignment horizontal="left"/>
    </xf>
    <xf numFmtId="0" fontId="7" fillId="0" borderId="12" xfId="0" applyFont="1" applyFill="1" applyBorder="1" applyAlignment="1">
      <alignment horizontal="left"/>
    </xf>
    <xf numFmtId="0" fontId="128" fillId="0" borderId="12" xfId="0" applyFont="1" applyBorder="1" applyAlignment="1">
      <alignment/>
    </xf>
    <xf numFmtId="181" fontId="9" fillId="0" borderId="12" xfId="0" applyNumberFormat="1" applyFont="1" applyFill="1" applyBorder="1" applyAlignment="1">
      <alignment horizontal="left"/>
    </xf>
    <xf numFmtId="0" fontId="5" fillId="0" borderId="12" xfId="0" applyFont="1" applyFill="1" applyBorder="1" applyAlignment="1">
      <alignment horizontal="left"/>
    </xf>
    <xf numFmtId="0" fontId="7" fillId="0" borderId="13" xfId="0" applyFont="1" applyFill="1" applyBorder="1" applyAlignment="1">
      <alignment horizontal="left"/>
    </xf>
    <xf numFmtId="0" fontId="9" fillId="0" borderId="10" xfId="0" applyNumberFormat="1" applyFont="1" applyFill="1" applyBorder="1" applyAlignment="1">
      <alignment horizontal="left"/>
    </xf>
    <xf numFmtId="3" fontId="129" fillId="0" borderId="10" xfId="0" applyNumberFormat="1" applyFont="1" applyBorder="1" applyAlignment="1">
      <alignment/>
    </xf>
    <xf numFmtId="9" fontId="128" fillId="0" borderId="10" xfId="0" applyNumberFormat="1" applyFont="1" applyBorder="1" applyAlignment="1">
      <alignment/>
    </xf>
    <xf numFmtId="0" fontId="128" fillId="0" borderId="10" xfId="0" applyFont="1" applyBorder="1" applyAlignment="1">
      <alignment horizontal="center"/>
    </xf>
    <xf numFmtId="0" fontId="7" fillId="0" borderId="10" xfId="0" applyFont="1" applyFill="1" applyBorder="1" applyAlignment="1">
      <alignment horizontal="left"/>
    </xf>
    <xf numFmtId="3" fontId="128" fillId="0" borderId="10" xfId="0" applyNumberFormat="1" applyFont="1" applyBorder="1" applyAlignment="1">
      <alignment/>
    </xf>
    <xf numFmtId="0" fontId="9" fillId="0" borderId="10" xfId="0" applyFont="1" applyFill="1" applyBorder="1" applyAlignment="1">
      <alignment horizontal="left"/>
    </xf>
    <xf numFmtId="3" fontId="130" fillId="0" borderId="10" xfId="0" applyNumberFormat="1" applyFont="1" applyBorder="1" applyAlignment="1">
      <alignment/>
    </xf>
    <xf numFmtId="179" fontId="7" fillId="0" borderId="16" xfId="62" applyNumberFormat="1" applyFont="1" applyFill="1" applyBorder="1" applyAlignment="1">
      <alignment horizontal="center" vertical="center"/>
      <protection/>
    </xf>
    <xf numFmtId="179" fontId="19" fillId="0" borderId="12" xfId="62" applyNumberFormat="1" applyFont="1" applyFill="1" applyBorder="1" applyAlignment="1" applyProtection="1">
      <alignment horizontal="left" vertical="center"/>
      <protection/>
    </xf>
    <xf numFmtId="0" fontId="15" fillId="0" borderId="12" xfId="62" applyFont="1" applyFill="1" applyBorder="1" applyAlignment="1">
      <alignment vertical="center"/>
      <protection/>
    </xf>
    <xf numFmtId="0" fontId="15" fillId="0" borderId="17" xfId="62" applyFont="1" applyFill="1" applyBorder="1" applyAlignment="1">
      <alignment vertical="center"/>
      <protection/>
    </xf>
    <xf numFmtId="179" fontId="5" fillId="0" borderId="16" xfId="62" applyNumberFormat="1" applyFont="1" applyFill="1" applyBorder="1" applyAlignment="1">
      <alignment horizontal="center" vertical="center"/>
      <protection/>
    </xf>
    <xf numFmtId="179" fontId="14" fillId="0" borderId="12" xfId="62" applyNumberFormat="1" applyFont="1" applyFill="1" applyBorder="1" applyAlignment="1" applyProtection="1">
      <alignment horizontal="left" vertical="center"/>
      <protection/>
    </xf>
    <xf numFmtId="0" fontId="20" fillId="0" borderId="12" xfId="62" applyFont="1" applyFill="1" applyBorder="1" applyAlignment="1">
      <alignment vertical="center"/>
      <protection/>
    </xf>
    <xf numFmtId="0" fontId="20" fillId="0" borderId="17" xfId="62" applyFont="1" applyFill="1" applyBorder="1" applyAlignment="1">
      <alignment vertical="center"/>
      <protection/>
    </xf>
    <xf numFmtId="0" fontId="11" fillId="0" borderId="12" xfId="62" applyFont="1" applyFill="1" applyBorder="1" applyAlignment="1">
      <alignment vertical="center"/>
      <protection/>
    </xf>
    <xf numFmtId="0" fontId="11" fillId="0" borderId="17" xfId="62" applyFont="1" applyFill="1" applyBorder="1" applyAlignment="1">
      <alignment vertical="center"/>
      <protection/>
    </xf>
    <xf numFmtId="179" fontId="9" fillId="0" borderId="18" xfId="62" applyNumberFormat="1" applyFont="1" applyFill="1" applyBorder="1" applyAlignment="1" applyProtection="1">
      <alignment horizontal="justify" vertical="center"/>
      <protection/>
    </xf>
    <xf numFmtId="179" fontId="21" fillId="0" borderId="19" xfId="62" applyNumberFormat="1" applyFont="1" applyFill="1" applyBorder="1" applyAlignment="1" applyProtection="1">
      <alignment horizontal="justify" vertical="center"/>
      <protection/>
    </xf>
    <xf numFmtId="0" fontId="9" fillId="0" borderId="19" xfId="62" applyFont="1" applyFill="1" applyBorder="1" applyAlignment="1">
      <alignment vertical="center"/>
      <protection/>
    </xf>
    <xf numFmtId="0" fontId="9" fillId="0" borderId="20" xfId="62" applyFont="1" applyFill="1" applyBorder="1" applyAlignment="1">
      <alignment vertical="center"/>
      <protection/>
    </xf>
    <xf numFmtId="180" fontId="131" fillId="0" borderId="0" xfId="43" applyNumberFormat="1" applyFont="1" applyAlignment="1">
      <alignment/>
    </xf>
    <xf numFmtId="0" fontId="125" fillId="0" borderId="0" xfId="0" applyFont="1" applyAlignment="1">
      <alignment/>
    </xf>
    <xf numFmtId="0" fontId="132" fillId="0" borderId="0" xfId="63" applyFont="1" applyAlignment="1">
      <alignment vertical="center" wrapText="1"/>
      <protection/>
    </xf>
    <xf numFmtId="0" fontId="133" fillId="0" borderId="0" xfId="63" applyFont="1" applyAlignment="1">
      <alignment horizontal="center" vertical="center" wrapText="1"/>
      <protection/>
    </xf>
    <xf numFmtId="0" fontId="134" fillId="0" borderId="0" xfId="63" applyFont="1" applyAlignment="1">
      <alignment horizontal="center" vertical="center" wrapText="1"/>
      <protection/>
    </xf>
    <xf numFmtId="0" fontId="135" fillId="0" borderId="0" xfId="63" applyFont="1" applyAlignment="1">
      <alignment vertical="center"/>
      <protection/>
    </xf>
    <xf numFmtId="0" fontId="134" fillId="0" borderId="0" xfId="63" applyFont="1" applyAlignment="1">
      <alignment vertical="center"/>
      <protection/>
    </xf>
    <xf numFmtId="0" fontId="135" fillId="0" borderId="0" xfId="63" applyFont="1">
      <alignment/>
      <protection/>
    </xf>
    <xf numFmtId="0" fontId="134" fillId="0" borderId="0" xfId="63" applyFont="1">
      <alignment/>
      <protection/>
    </xf>
    <xf numFmtId="0" fontId="22" fillId="0" borderId="0" xfId="63" applyFont="1" applyAlignment="1">
      <alignment/>
      <protection/>
    </xf>
    <xf numFmtId="0" fontId="132" fillId="0" borderId="0" xfId="63" applyFont="1">
      <alignment/>
      <protection/>
    </xf>
    <xf numFmtId="0" fontId="132" fillId="0" borderId="0" xfId="63" applyFont="1" applyAlignment="1">
      <alignment horizontal="center" vertical="center" wrapText="1"/>
      <protection/>
    </xf>
    <xf numFmtId="0" fontId="136" fillId="0" borderId="10" xfId="63" applyFont="1" applyBorder="1" applyAlignment="1">
      <alignment horizontal="center" vertical="center" wrapText="1"/>
      <protection/>
    </xf>
    <xf numFmtId="0" fontId="12" fillId="0" borderId="10" xfId="63" applyFont="1" applyBorder="1" applyAlignment="1">
      <alignment horizontal="center" vertical="center" wrapText="1"/>
      <protection/>
    </xf>
    <xf numFmtId="0" fontId="134" fillId="0" borderId="15" xfId="63" applyFont="1" applyBorder="1" applyAlignment="1">
      <alignment horizontal="center" vertical="center" wrapText="1"/>
      <protection/>
    </xf>
    <xf numFmtId="4" fontId="10" fillId="0" borderId="15" xfId="63" applyNumberFormat="1" applyFont="1" applyBorder="1" applyAlignment="1">
      <alignment horizontal="right" vertical="center" wrapText="1"/>
      <protection/>
    </xf>
    <xf numFmtId="0" fontId="135" fillId="0" borderId="12" xfId="63" applyFont="1" applyBorder="1" applyAlignment="1">
      <alignment horizontal="center" vertical="center"/>
      <protection/>
    </xf>
    <xf numFmtId="0" fontId="135" fillId="0" borderId="12" xfId="63" applyFont="1" applyBorder="1" applyAlignment="1">
      <alignment horizontal="left" vertical="center"/>
      <protection/>
    </xf>
    <xf numFmtId="4" fontId="135" fillId="0" borderId="12" xfId="63" applyNumberFormat="1" applyFont="1" applyBorder="1" applyAlignment="1">
      <alignment vertical="center"/>
      <protection/>
    </xf>
    <xf numFmtId="4" fontId="23" fillId="0" borderId="12" xfId="63" applyNumberFormat="1" applyFont="1" applyBorder="1" applyAlignment="1">
      <alignment vertical="center" wrapText="1"/>
      <protection/>
    </xf>
    <xf numFmtId="4" fontId="22" fillId="0" borderId="12" xfId="63" applyNumberFormat="1" applyFont="1" applyBorder="1" applyAlignment="1">
      <alignment vertical="center"/>
      <protection/>
    </xf>
    <xf numFmtId="0" fontId="134" fillId="0" borderId="12" xfId="63" applyFont="1" applyBorder="1" applyAlignment="1">
      <alignment horizontal="center" vertical="center"/>
      <protection/>
    </xf>
    <xf numFmtId="0" fontId="134" fillId="0" borderId="12" xfId="63" applyFont="1" applyBorder="1" applyAlignment="1">
      <alignment vertical="center"/>
      <protection/>
    </xf>
    <xf numFmtId="4" fontId="134" fillId="0" borderId="12" xfId="63" applyNumberFormat="1" applyFont="1" applyBorder="1" applyAlignment="1">
      <alignment vertical="center"/>
      <protection/>
    </xf>
    <xf numFmtId="0" fontId="135" fillId="0" borderId="12" xfId="63" applyFont="1" applyBorder="1" applyAlignment="1">
      <alignment vertical="center"/>
      <protection/>
    </xf>
    <xf numFmtId="4" fontId="135" fillId="0" borderId="12" xfId="63" applyNumberFormat="1" applyFont="1" applyBorder="1" applyAlignment="1">
      <alignment horizontal="right" vertical="center"/>
      <protection/>
    </xf>
    <xf numFmtId="0" fontId="22" fillId="0" borderId="12" xfId="63" applyFont="1" applyBorder="1" applyAlignment="1">
      <alignment horizontal="center"/>
      <protection/>
    </xf>
    <xf numFmtId="4" fontId="22" fillId="0" borderId="12" xfId="43" applyNumberFormat="1" applyFont="1" applyBorder="1" applyAlignment="1">
      <alignment/>
    </xf>
    <xf numFmtId="4" fontId="23" fillId="0" borderId="12" xfId="43" applyNumberFormat="1" applyFont="1" applyBorder="1" applyAlignment="1">
      <alignment wrapText="1"/>
    </xf>
    <xf numFmtId="0" fontId="22" fillId="0" borderId="12" xfId="63" applyFont="1" applyBorder="1" applyAlignment="1">
      <alignment/>
      <protection/>
    </xf>
    <xf numFmtId="0" fontId="134" fillId="0" borderId="13" xfId="63" applyFont="1" applyBorder="1" applyAlignment="1">
      <alignment horizontal="center" vertical="center"/>
      <protection/>
    </xf>
    <xf numFmtId="0" fontId="134" fillId="0" borderId="13" xfId="63" applyFont="1" applyBorder="1" applyAlignment="1">
      <alignment vertical="center"/>
      <protection/>
    </xf>
    <xf numFmtId="4" fontId="134" fillId="0" borderId="13" xfId="63" applyNumberFormat="1" applyFont="1" applyBorder="1" applyAlignment="1">
      <alignment vertical="center"/>
      <protection/>
    </xf>
    <xf numFmtId="0" fontId="134" fillId="0" borderId="0" xfId="63" applyFont="1" applyBorder="1" applyAlignment="1">
      <alignment horizontal="center" vertical="center"/>
      <protection/>
    </xf>
    <xf numFmtId="0" fontId="134" fillId="0" borderId="0" xfId="63" applyFont="1" applyBorder="1" applyAlignment="1">
      <alignment vertical="center"/>
      <protection/>
    </xf>
    <xf numFmtId="4" fontId="134" fillId="0" borderId="0" xfId="63" applyNumberFormat="1" applyFont="1" applyBorder="1" applyAlignment="1">
      <alignment vertical="center"/>
      <protection/>
    </xf>
    <xf numFmtId="0" fontId="137" fillId="0" borderId="0" xfId="63" applyFont="1" applyAlignment="1">
      <alignment horizontal="center"/>
      <protection/>
    </xf>
    <xf numFmtId="0" fontId="138" fillId="0" borderId="0" xfId="63" applyFont="1" applyAlignment="1">
      <alignment horizontal="right" vertical="center"/>
      <protection/>
    </xf>
    <xf numFmtId="0" fontId="129" fillId="0" borderId="0" xfId="63" applyFont="1" applyAlignment="1">
      <alignment vertical="center"/>
      <protection/>
    </xf>
    <xf numFmtId="0" fontId="19" fillId="0" borderId="0" xfId="60" applyFont="1" applyBorder="1" applyAlignment="1">
      <alignment horizontal="right"/>
      <protection/>
    </xf>
    <xf numFmtId="0" fontId="19" fillId="0" borderId="0" xfId="60" applyFont="1" applyBorder="1" applyAlignment="1">
      <alignment/>
      <protection/>
    </xf>
    <xf numFmtId="0" fontId="133" fillId="0" borderId="10" xfId="63" applyFont="1" applyBorder="1" applyAlignment="1">
      <alignment horizontal="center" vertical="center" wrapText="1"/>
      <protection/>
    </xf>
    <xf numFmtId="0" fontId="139" fillId="0" borderId="0" xfId="63" applyFont="1" applyAlignment="1">
      <alignment vertical="center"/>
      <protection/>
    </xf>
    <xf numFmtId="0" fontId="140" fillId="0" borderId="0" xfId="63" applyFont="1">
      <alignment/>
      <protection/>
    </xf>
    <xf numFmtId="0" fontId="121" fillId="0" borderId="0" xfId="0" applyFont="1" applyAlignment="1">
      <alignment/>
    </xf>
    <xf numFmtId="180" fontId="0" fillId="0" borderId="0" xfId="43" applyNumberFormat="1" applyFont="1" applyAlignment="1">
      <alignment/>
    </xf>
    <xf numFmtId="0" fontId="141" fillId="0" borderId="0" xfId="0" applyFont="1" applyAlignment="1">
      <alignment horizontal="center"/>
    </xf>
    <xf numFmtId="0" fontId="142" fillId="33" borderId="10" xfId="0" applyFont="1" applyFill="1" applyBorder="1" applyAlignment="1">
      <alignment horizontal="center" vertical="center" wrapText="1"/>
    </xf>
    <xf numFmtId="180" fontId="142" fillId="33" borderId="21" xfId="43" applyNumberFormat="1" applyFont="1" applyFill="1" applyBorder="1" applyAlignment="1">
      <alignment horizontal="center" vertical="center" wrapText="1"/>
    </xf>
    <xf numFmtId="180" fontId="126" fillId="2" borderId="10" xfId="43" applyNumberFormat="1" applyFont="1" applyFill="1" applyBorder="1" applyAlignment="1">
      <alignment horizontal="center" vertical="center" wrapText="1"/>
    </xf>
    <xf numFmtId="0" fontId="126" fillId="2" borderId="22" xfId="0" applyFont="1" applyFill="1" applyBorder="1" applyAlignment="1">
      <alignment horizontal="center" vertical="center" wrapText="1"/>
    </xf>
    <xf numFmtId="180" fontId="126" fillId="2" borderId="22" xfId="43" applyNumberFormat="1" applyFont="1" applyFill="1" applyBorder="1" applyAlignment="1">
      <alignment horizontal="center" vertical="center" wrapText="1"/>
    </xf>
    <xf numFmtId="0" fontId="126" fillId="0" borderId="11" xfId="0" applyFont="1" applyBorder="1" applyAlignment="1">
      <alignment vertical="center" wrapText="1"/>
    </xf>
    <xf numFmtId="180" fontId="126" fillId="0" borderId="15" xfId="43" applyNumberFormat="1" applyFont="1" applyBorder="1" applyAlignment="1">
      <alignment horizontal="center" vertical="center" wrapText="1"/>
    </xf>
    <xf numFmtId="180" fontId="126" fillId="0" borderId="12" xfId="43" applyNumberFormat="1" applyFont="1" applyBorder="1" applyAlignment="1">
      <alignment horizontal="center" vertical="center" wrapText="1"/>
    </xf>
    <xf numFmtId="180" fontId="126" fillId="0" borderId="13" xfId="43" applyNumberFormat="1" applyFont="1" applyBorder="1" applyAlignment="1">
      <alignment horizontal="center" vertical="center" wrapText="1"/>
    </xf>
    <xf numFmtId="0" fontId="143" fillId="0" borderId="0" xfId="0" applyFont="1" applyBorder="1" applyAlignment="1">
      <alignment horizontal="center" vertical="center" wrapText="1"/>
    </xf>
    <xf numFmtId="0" fontId="143" fillId="0" borderId="0" xfId="0" applyFont="1" applyBorder="1" applyAlignment="1">
      <alignment vertical="center" wrapText="1"/>
    </xf>
    <xf numFmtId="180" fontId="143" fillId="0" borderId="0" xfId="43" applyNumberFormat="1" applyFont="1" applyBorder="1" applyAlignment="1">
      <alignment horizontal="center" vertical="center" wrapText="1"/>
    </xf>
    <xf numFmtId="0" fontId="141" fillId="0" borderId="0" xfId="0" applyFont="1" applyAlignment="1">
      <alignment vertical="center"/>
    </xf>
    <xf numFmtId="0" fontId="126" fillId="0" borderId="0" xfId="0" applyFont="1" applyAlignment="1">
      <alignment horizontal="right" vertical="center"/>
    </xf>
    <xf numFmtId="180" fontId="126" fillId="0" borderId="15" xfId="0" applyNumberFormat="1" applyFont="1" applyBorder="1" applyAlignment="1">
      <alignment horizontal="center" vertical="center" wrapText="1"/>
    </xf>
    <xf numFmtId="180" fontId="126" fillId="0" borderId="12" xfId="0" applyNumberFormat="1" applyFont="1" applyBorder="1" applyAlignment="1">
      <alignment horizontal="center" vertical="center" wrapText="1"/>
    </xf>
    <xf numFmtId="0" fontId="126" fillId="0" borderId="15" xfId="0" applyFont="1" applyBorder="1" applyAlignment="1">
      <alignment horizontal="center" vertical="center" wrapText="1"/>
    </xf>
    <xf numFmtId="173" fontId="126" fillId="0" borderId="12" xfId="0" applyNumberFormat="1" applyFont="1" applyBorder="1" applyAlignment="1">
      <alignment horizontal="center" vertical="center" wrapText="1"/>
    </xf>
    <xf numFmtId="180" fontId="0" fillId="0" borderId="0" xfId="0" applyNumberFormat="1" applyAlignment="1">
      <alignment/>
    </xf>
    <xf numFmtId="180" fontId="126" fillId="0" borderId="13" xfId="0" applyNumberFormat="1" applyFont="1" applyBorder="1" applyAlignment="1">
      <alignment horizontal="center" vertical="center" wrapText="1"/>
    </xf>
    <xf numFmtId="0" fontId="129" fillId="0" borderId="0" xfId="0" applyFont="1" applyAlignment="1">
      <alignment/>
    </xf>
    <xf numFmtId="0" fontId="125" fillId="0" borderId="0" xfId="0" applyFont="1" applyAlignment="1">
      <alignment horizontal="center" vertical="center"/>
    </xf>
    <xf numFmtId="180" fontId="125" fillId="5" borderId="10" xfId="43" applyNumberFormat="1" applyFont="1" applyFill="1" applyBorder="1" applyAlignment="1">
      <alignment horizontal="center" vertical="center" wrapText="1"/>
    </xf>
    <xf numFmtId="0" fontId="125" fillId="0" borderId="15" xfId="0" applyFont="1" applyBorder="1" applyAlignment="1">
      <alignment horizontal="center" vertical="center" wrapText="1"/>
    </xf>
    <xf numFmtId="0" fontId="125" fillId="0" borderId="15" xfId="0" applyFont="1" applyBorder="1" applyAlignment="1">
      <alignment vertical="center" wrapText="1"/>
    </xf>
    <xf numFmtId="180" fontId="125" fillId="0" borderId="15" xfId="43" applyNumberFormat="1" applyFont="1" applyBorder="1" applyAlignment="1">
      <alignment horizontal="center" vertical="center" wrapText="1"/>
    </xf>
    <xf numFmtId="180" fontId="125" fillId="0" borderId="12" xfId="43" applyNumberFormat="1" applyFont="1" applyBorder="1" applyAlignment="1">
      <alignment horizontal="center" vertical="center" wrapText="1"/>
    </xf>
    <xf numFmtId="0" fontId="129" fillId="0" borderId="12" xfId="0" applyFont="1" applyBorder="1" applyAlignment="1">
      <alignment horizontal="center" vertical="center"/>
    </xf>
    <xf numFmtId="0" fontId="129" fillId="0" borderId="12" xfId="0" applyFont="1" applyBorder="1" applyAlignment="1">
      <alignment/>
    </xf>
    <xf numFmtId="182" fontId="129" fillId="0" borderId="12" xfId="43" applyNumberFormat="1" applyFont="1" applyBorder="1" applyAlignment="1">
      <alignment horizontal="center" vertical="center"/>
    </xf>
    <xf numFmtId="182" fontId="129" fillId="0" borderId="12" xfId="0" applyNumberFormat="1" applyFont="1" applyBorder="1" applyAlignment="1">
      <alignment horizontal="center" vertical="center"/>
    </xf>
    <xf numFmtId="182" fontId="129" fillId="0" borderId="12" xfId="0" applyNumberFormat="1" applyFont="1" applyBorder="1" applyAlignment="1">
      <alignment/>
    </xf>
    <xf numFmtId="0" fontId="141" fillId="0" borderId="12" xfId="0" applyFont="1" applyBorder="1" applyAlignment="1">
      <alignment vertical="center" wrapText="1"/>
    </xf>
    <xf numFmtId="0" fontId="144" fillId="0" borderId="12" xfId="60" applyFont="1" applyBorder="1" applyAlignment="1">
      <alignment horizontal="center" vertical="center" wrapText="1"/>
      <protection/>
    </xf>
    <xf numFmtId="0" fontId="144" fillId="0" borderId="12" xfId="60" applyFont="1" applyBorder="1" applyAlignment="1">
      <alignment vertical="center" wrapText="1"/>
      <protection/>
    </xf>
    <xf numFmtId="180" fontId="144" fillId="0" borderId="12" xfId="46" applyNumberFormat="1" applyFont="1" applyBorder="1" applyAlignment="1">
      <alignment horizontal="center" vertical="center" wrapText="1"/>
    </xf>
    <xf numFmtId="0" fontId="145" fillId="0" borderId="12" xfId="60" applyFont="1" applyBorder="1" applyAlignment="1">
      <alignment horizontal="center" vertical="center" wrapText="1"/>
      <protection/>
    </xf>
    <xf numFmtId="180" fontId="145" fillId="0" borderId="12" xfId="46" applyNumberFormat="1" applyFont="1" applyBorder="1" applyAlignment="1">
      <alignment horizontal="center" vertical="center" wrapText="1"/>
    </xf>
    <xf numFmtId="0" fontId="146" fillId="0" borderId="12" xfId="60" applyFont="1" applyBorder="1" applyAlignment="1">
      <alignment vertical="center" wrapText="1"/>
      <protection/>
    </xf>
    <xf numFmtId="0" fontId="145" fillId="0" borderId="12" xfId="60" applyFont="1" applyBorder="1" applyAlignment="1">
      <alignment vertical="center" wrapText="1"/>
      <protection/>
    </xf>
    <xf numFmtId="0" fontId="120" fillId="0" borderId="0" xfId="0" applyFont="1" applyAlignment="1">
      <alignment vertical="center"/>
    </xf>
    <xf numFmtId="0" fontId="147" fillId="0" borderId="0" xfId="0" applyFont="1" applyAlignment="1">
      <alignment vertical="center"/>
    </xf>
    <xf numFmtId="0" fontId="133" fillId="0" borderId="0" xfId="0" applyFont="1" applyAlignment="1">
      <alignment vertical="center"/>
    </xf>
    <xf numFmtId="0" fontId="0" fillId="0" borderId="0" xfId="0" applyAlignment="1">
      <alignment vertical="center"/>
    </xf>
    <xf numFmtId="180" fontId="0" fillId="0" borderId="0" xfId="43" applyNumberFormat="1" applyFont="1" applyAlignment="1">
      <alignment vertical="center"/>
    </xf>
    <xf numFmtId="180" fontId="121" fillId="0" borderId="0" xfId="43" applyNumberFormat="1" applyFont="1" applyAlignment="1">
      <alignment vertical="center"/>
    </xf>
    <xf numFmtId="180" fontId="148" fillId="0" borderId="0" xfId="43" applyNumberFormat="1" applyFont="1" applyAlignment="1">
      <alignment vertical="center"/>
    </xf>
    <xf numFmtId="3" fontId="0" fillId="0" borderId="0" xfId="0" applyNumberFormat="1" applyAlignment="1">
      <alignment vertical="center"/>
    </xf>
    <xf numFmtId="180" fontId="149" fillId="5" borderId="10" xfId="43" applyNumberFormat="1" applyFont="1" applyFill="1" applyBorder="1" applyAlignment="1">
      <alignment horizontal="center" vertical="center" wrapText="1"/>
    </xf>
    <xf numFmtId="180" fontId="126" fillId="2" borderId="10" xfId="43" applyNumberFormat="1" applyFont="1" applyFill="1" applyBorder="1" applyAlignment="1">
      <alignment vertical="center" wrapText="1"/>
    </xf>
    <xf numFmtId="180" fontId="143" fillId="2" borderId="10" xfId="43" applyNumberFormat="1" applyFont="1" applyFill="1" applyBorder="1" applyAlignment="1">
      <alignment vertical="center" wrapText="1"/>
    </xf>
    <xf numFmtId="180" fontId="150" fillId="2" borderId="10" xfId="43" applyNumberFormat="1" applyFont="1" applyFill="1" applyBorder="1" applyAlignment="1">
      <alignment vertical="center" wrapText="1"/>
    </xf>
    <xf numFmtId="180" fontId="142" fillId="0" borderId="11" xfId="43" applyNumberFormat="1" applyFont="1" applyBorder="1" applyAlignment="1">
      <alignment horizontal="center" vertical="center" wrapText="1"/>
    </xf>
    <xf numFmtId="180" fontId="125" fillId="0" borderId="11" xfId="43" applyNumberFormat="1" applyFont="1" applyBorder="1" applyAlignment="1">
      <alignment horizontal="center" vertical="center" wrapText="1"/>
    </xf>
    <xf numFmtId="180" fontId="151" fillId="0" borderId="23" xfId="43" applyNumberFormat="1" applyFont="1" applyBorder="1" applyAlignment="1">
      <alignment horizontal="center" vertical="center" wrapText="1"/>
    </xf>
    <xf numFmtId="180" fontId="152" fillId="0" borderId="23" xfId="43" applyNumberFormat="1" applyFont="1" applyBorder="1" applyAlignment="1">
      <alignment horizontal="center" vertical="center" wrapText="1"/>
    </xf>
    <xf numFmtId="0" fontId="141" fillId="0" borderId="12" xfId="0" applyFont="1" applyBorder="1" applyAlignment="1">
      <alignment horizontal="center" vertical="center" wrapText="1"/>
    </xf>
    <xf numFmtId="0" fontId="153" fillId="0" borderId="12" xfId="0" applyFont="1" applyBorder="1" applyAlignment="1">
      <alignment horizontal="center" vertical="center" wrapText="1"/>
    </xf>
    <xf numFmtId="0" fontId="153" fillId="0" borderId="12" xfId="0" applyFont="1" applyBorder="1" applyAlignment="1">
      <alignment vertical="center" wrapText="1"/>
    </xf>
    <xf numFmtId="180" fontId="153" fillId="0" borderId="12" xfId="43" applyNumberFormat="1" applyFont="1" applyBorder="1" applyAlignment="1">
      <alignment horizontal="center" vertical="center" wrapText="1"/>
    </xf>
    <xf numFmtId="180" fontId="141" fillId="0" borderId="12" xfId="43" applyNumberFormat="1" applyFont="1" applyBorder="1" applyAlignment="1">
      <alignment horizontal="center" vertical="center" wrapText="1"/>
    </xf>
    <xf numFmtId="180" fontId="154" fillId="0" borderId="12" xfId="43" applyNumberFormat="1" applyFont="1" applyBorder="1" applyAlignment="1">
      <alignment horizontal="center" vertical="center" wrapText="1"/>
    </xf>
    <xf numFmtId="0" fontId="141" fillId="0" borderId="23" xfId="0" applyFont="1" applyBorder="1" applyAlignment="1">
      <alignment vertical="center" wrapText="1"/>
    </xf>
    <xf numFmtId="0" fontId="125" fillId="0" borderId="23" xfId="0" applyFont="1" applyBorder="1" applyAlignment="1">
      <alignment horizontal="center" vertical="center" wrapText="1"/>
    </xf>
    <xf numFmtId="0" fontId="125" fillId="0" borderId="23" xfId="0" applyFont="1" applyBorder="1" applyAlignment="1">
      <alignment vertical="center" wrapText="1"/>
    </xf>
    <xf numFmtId="0" fontId="126" fillId="0" borderId="23" xfId="0" applyFont="1" applyBorder="1" applyAlignment="1">
      <alignment horizontal="center" vertical="center" wrapText="1"/>
    </xf>
    <xf numFmtId="180" fontId="126" fillId="0" borderId="11" xfId="43" applyNumberFormat="1" applyFont="1" applyBorder="1" applyAlignment="1">
      <alignment horizontal="center" vertical="center" wrapText="1"/>
    </xf>
    <xf numFmtId="180" fontId="125" fillId="0" borderId="23" xfId="43" applyNumberFormat="1" applyFont="1" applyBorder="1" applyAlignment="1">
      <alignment horizontal="center" vertical="center" wrapText="1"/>
    </xf>
    <xf numFmtId="180" fontId="142" fillId="0" borderId="23" xfId="43" applyNumberFormat="1" applyFont="1" applyBorder="1" applyAlignment="1">
      <alignment horizontal="center" vertical="center" wrapText="1"/>
    </xf>
    <xf numFmtId="180" fontId="143" fillId="0" borderId="13" xfId="43" applyNumberFormat="1" applyFont="1" applyBorder="1" applyAlignment="1">
      <alignment horizontal="center" vertical="center" wrapText="1"/>
    </xf>
    <xf numFmtId="180" fontId="150" fillId="0" borderId="13" xfId="43" applyNumberFormat="1" applyFont="1" applyBorder="1" applyAlignment="1">
      <alignment horizontal="center" vertical="center" wrapText="1"/>
    </xf>
    <xf numFmtId="180" fontId="142" fillId="5" borderId="10" xfId="43" applyNumberFormat="1" applyFont="1" applyFill="1" applyBorder="1" applyAlignment="1">
      <alignment horizontal="center" vertical="center" wrapText="1"/>
    </xf>
    <xf numFmtId="180" fontId="143" fillId="0" borderId="11" xfId="43" applyNumberFormat="1" applyFont="1" applyBorder="1" applyAlignment="1">
      <alignment horizontal="center" vertical="center" wrapText="1"/>
    </xf>
    <xf numFmtId="180" fontId="143" fillId="5" borderId="10" xfId="43" applyNumberFormat="1" applyFont="1" applyFill="1" applyBorder="1" applyAlignment="1">
      <alignment horizontal="center" vertical="center" wrapText="1"/>
    </xf>
    <xf numFmtId="180" fontId="155" fillId="0" borderId="12" xfId="43" applyNumberFormat="1" applyFont="1" applyBorder="1" applyAlignment="1">
      <alignment horizontal="center" vertical="center" wrapText="1"/>
    </xf>
    <xf numFmtId="180" fontId="142" fillId="0" borderId="12" xfId="43" applyNumberFormat="1" applyFont="1" applyBorder="1" applyAlignment="1">
      <alignment horizontal="center" vertical="center" wrapText="1"/>
    </xf>
    <xf numFmtId="180" fontId="143" fillId="0" borderId="12" xfId="43" applyNumberFormat="1" applyFont="1" applyBorder="1" applyAlignment="1">
      <alignment horizontal="center" vertical="center" wrapText="1"/>
    </xf>
    <xf numFmtId="0" fontId="126" fillId="2" borderId="10" xfId="0" applyFont="1" applyFill="1" applyBorder="1" applyAlignment="1">
      <alignment vertical="center" wrapText="1"/>
    </xf>
    <xf numFmtId="3" fontId="0" fillId="34" borderId="0" xfId="0" applyNumberFormat="1" applyFill="1" applyAlignment="1">
      <alignment vertical="center"/>
    </xf>
    <xf numFmtId="3" fontId="120" fillId="0" borderId="0" xfId="0" applyNumberFormat="1" applyFont="1" applyAlignment="1">
      <alignment vertical="center"/>
    </xf>
    <xf numFmtId="3" fontId="147" fillId="0" borderId="0" xfId="0" applyNumberFormat="1" applyFont="1" applyAlignment="1">
      <alignment vertical="center"/>
    </xf>
    <xf numFmtId="3" fontId="133" fillId="0" borderId="0" xfId="0" applyNumberFormat="1" applyFont="1" applyAlignment="1">
      <alignment vertical="center"/>
    </xf>
    <xf numFmtId="180" fontId="0" fillId="0" borderId="0" xfId="43" applyNumberFormat="1" applyFont="1" applyAlignment="1">
      <alignment/>
    </xf>
    <xf numFmtId="0" fontId="124" fillId="0" borderId="0" xfId="0" applyFont="1" applyAlignment="1">
      <alignment horizontal="right" vertical="center"/>
    </xf>
    <xf numFmtId="180" fontId="122" fillId="5" borderId="10" xfId="43" applyNumberFormat="1" applyFont="1" applyFill="1" applyBorder="1" applyAlignment="1">
      <alignment horizontal="center" vertical="center" wrapText="1"/>
    </xf>
    <xf numFmtId="180" fontId="123" fillId="2" borderId="10" xfId="43" applyNumberFormat="1" applyFont="1" applyFill="1" applyBorder="1" applyAlignment="1">
      <alignment horizontal="center" vertical="center" wrapText="1"/>
    </xf>
    <xf numFmtId="180" fontId="123" fillId="0" borderId="11" xfId="43" applyNumberFormat="1" applyFont="1" applyBorder="1" applyAlignment="1">
      <alignment horizontal="center" vertical="center" wrapText="1"/>
    </xf>
    <xf numFmtId="180" fontId="122" fillId="0" borderId="12" xfId="43" applyNumberFormat="1" applyFont="1" applyBorder="1" applyAlignment="1">
      <alignment horizontal="right" vertical="center" wrapText="1"/>
    </xf>
    <xf numFmtId="180" fontId="123" fillId="0" borderId="12" xfId="43" applyNumberFormat="1" applyFont="1" applyBorder="1" applyAlignment="1">
      <alignment horizontal="right" vertical="center" wrapText="1"/>
    </xf>
    <xf numFmtId="0" fontId="123" fillId="0" borderId="12" xfId="0" applyFont="1" applyBorder="1" applyAlignment="1">
      <alignment horizontal="right" vertical="center" wrapText="1"/>
    </xf>
    <xf numFmtId="180" fontId="121" fillId="0" borderId="0" xfId="0" applyNumberFormat="1" applyFont="1" applyAlignment="1">
      <alignment/>
    </xf>
    <xf numFmtId="180" fontId="123" fillId="0" borderId="12" xfId="43" applyNumberFormat="1" applyFont="1" applyBorder="1" applyAlignment="1">
      <alignment horizontal="center" vertical="center" wrapText="1"/>
    </xf>
    <xf numFmtId="180" fontId="122" fillId="0" borderId="12" xfId="43" applyNumberFormat="1" applyFont="1" applyBorder="1" applyAlignment="1">
      <alignment horizontal="center" vertical="center" wrapText="1"/>
    </xf>
    <xf numFmtId="0" fontId="122" fillId="0" borderId="12" xfId="0" applyFont="1" applyBorder="1" applyAlignment="1">
      <alignment horizontal="right" vertical="center" wrapText="1"/>
    </xf>
    <xf numFmtId="0" fontId="122" fillId="0" borderId="13" xfId="0" applyFont="1" applyBorder="1" applyAlignment="1">
      <alignment horizontal="center" vertical="center" wrapText="1"/>
    </xf>
    <xf numFmtId="0" fontId="122" fillId="0" borderId="13" xfId="0" applyFont="1" applyBorder="1" applyAlignment="1">
      <alignment vertical="center" wrapText="1"/>
    </xf>
    <xf numFmtId="180" fontId="122" fillId="0" borderId="13" xfId="43" applyNumberFormat="1" applyFont="1" applyBorder="1" applyAlignment="1">
      <alignment horizontal="right" vertical="center" wrapText="1"/>
    </xf>
    <xf numFmtId="0" fontId="120" fillId="0" borderId="0" xfId="0" applyFont="1" applyAlignment="1">
      <alignment/>
    </xf>
    <xf numFmtId="0" fontId="0" fillId="0" borderId="0" xfId="0" applyFont="1" applyAlignment="1">
      <alignment/>
    </xf>
    <xf numFmtId="3" fontId="121" fillId="0" borderId="0" xfId="0" applyNumberFormat="1" applyFont="1" applyAlignment="1">
      <alignment/>
    </xf>
    <xf numFmtId="3" fontId="0" fillId="0" borderId="0" xfId="0" applyNumberFormat="1" applyAlignment="1">
      <alignment/>
    </xf>
    <xf numFmtId="0" fontId="141" fillId="0" borderId="0" xfId="0" applyFont="1" applyAlignment="1">
      <alignment horizontal="right" vertical="center"/>
    </xf>
    <xf numFmtId="3" fontId="121" fillId="0" borderId="0" xfId="43" applyNumberFormat="1" applyFont="1" applyAlignment="1">
      <alignment/>
    </xf>
    <xf numFmtId="3" fontId="156" fillId="0" borderId="0" xfId="0" applyNumberFormat="1" applyFont="1" applyAlignment="1">
      <alignment/>
    </xf>
    <xf numFmtId="0" fontId="0" fillId="0" borderId="13" xfId="0" applyBorder="1" applyAlignment="1">
      <alignment/>
    </xf>
    <xf numFmtId="180" fontId="0" fillId="0" borderId="13" xfId="43" applyNumberFormat="1" applyFont="1" applyBorder="1" applyAlignment="1">
      <alignment/>
    </xf>
    <xf numFmtId="3" fontId="157" fillId="0" borderId="0" xfId="43" applyNumberFormat="1" applyFont="1" applyAlignment="1">
      <alignment/>
    </xf>
    <xf numFmtId="0" fontId="5" fillId="0" borderId="0" xfId="0" applyFont="1" applyFill="1" applyAlignment="1">
      <alignment horizontal="center"/>
    </xf>
    <xf numFmtId="3" fontId="5" fillId="0" borderId="0" xfId="0" applyNumberFormat="1" applyFont="1" applyFill="1" applyAlignment="1">
      <alignment/>
    </xf>
    <xf numFmtId="3" fontId="5" fillId="0" borderId="0" xfId="0" applyNumberFormat="1" applyFont="1" applyFill="1" applyAlignment="1">
      <alignment horizontal="center"/>
    </xf>
    <xf numFmtId="3" fontId="120" fillId="0" borderId="0" xfId="0" applyNumberFormat="1" applyFont="1" applyAlignment="1">
      <alignment/>
    </xf>
    <xf numFmtId="3" fontId="0" fillId="0" borderId="0" xfId="0" applyNumberFormat="1" applyFont="1" applyAlignment="1">
      <alignment/>
    </xf>
    <xf numFmtId="180" fontId="11" fillId="0" borderId="0" xfId="43" applyNumberFormat="1" applyFont="1" applyFill="1" applyAlignment="1">
      <alignment/>
    </xf>
    <xf numFmtId="0" fontId="20" fillId="0" borderId="0" xfId="0" applyFont="1" applyFill="1" applyAlignment="1">
      <alignment horizontal="center"/>
    </xf>
    <xf numFmtId="180" fontId="11" fillId="0" borderId="0" xfId="43" applyNumberFormat="1" applyFont="1" applyFill="1" applyAlignment="1">
      <alignment horizontal="right" vertical="center"/>
    </xf>
    <xf numFmtId="182" fontId="11" fillId="0" borderId="24" xfId="45" applyNumberFormat="1" applyFont="1" applyFill="1" applyBorder="1" applyAlignment="1">
      <alignment horizontal="left" vertical="center" wrapText="1"/>
    </xf>
    <xf numFmtId="180" fontId="25" fillId="0" borderId="24" xfId="43" applyNumberFormat="1" applyFont="1" applyFill="1" applyBorder="1" applyAlignment="1">
      <alignment horizontal="right" vertical="center" wrapText="1"/>
    </xf>
    <xf numFmtId="0" fontId="143" fillId="0" borderId="12" xfId="0" applyFont="1" applyBorder="1" applyAlignment="1">
      <alignment vertical="center" wrapText="1"/>
    </xf>
    <xf numFmtId="0" fontId="0" fillId="0" borderId="12" xfId="0" applyBorder="1" applyAlignment="1">
      <alignment/>
    </xf>
    <xf numFmtId="0" fontId="141" fillId="0" borderId="0" xfId="0" applyFont="1" applyAlignment="1">
      <alignment/>
    </xf>
    <xf numFmtId="0" fontId="125" fillId="5" borderId="15" xfId="0" applyFont="1" applyFill="1" applyBorder="1" applyAlignment="1">
      <alignment horizontal="center" vertical="center" wrapText="1"/>
    </xf>
    <xf numFmtId="0" fontId="156" fillId="0" borderId="0" xfId="0" applyFont="1" applyAlignment="1">
      <alignment/>
    </xf>
    <xf numFmtId="180" fontId="158" fillId="0" borderId="0" xfId="43" applyNumberFormat="1" applyFont="1" applyAlignment="1">
      <alignment/>
    </xf>
    <xf numFmtId="180" fontId="159" fillId="0" borderId="0" xfId="43" applyNumberFormat="1" applyFont="1" applyAlignment="1">
      <alignment/>
    </xf>
    <xf numFmtId="180" fontId="160" fillId="5" borderId="10" xfId="43" applyNumberFormat="1" applyFont="1" applyFill="1" applyBorder="1" applyAlignment="1">
      <alignment horizontal="center" vertical="center" wrapText="1"/>
    </xf>
    <xf numFmtId="180" fontId="149" fillId="0" borderId="11" xfId="43" applyNumberFormat="1" applyFont="1" applyBorder="1" applyAlignment="1">
      <alignment horizontal="center" vertical="center" wrapText="1"/>
    </xf>
    <xf numFmtId="0" fontId="142" fillId="0" borderId="12" xfId="0" applyFont="1" applyBorder="1" applyAlignment="1">
      <alignment horizontal="center" vertical="center" wrapText="1"/>
    </xf>
    <xf numFmtId="0" fontId="142" fillId="0" borderId="12" xfId="0" applyFont="1" applyBorder="1" applyAlignment="1">
      <alignment vertical="center" wrapText="1"/>
    </xf>
    <xf numFmtId="180" fontId="149" fillId="0" borderId="12" xfId="43" applyNumberFormat="1" applyFont="1" applyBorder="1" applyAlignment="1">
      <alignment horizontal="center" vertical="center" wrapText="1"/>
    </xf>
    <xf numFmtId="0" fontId="143" fillId="0" borderId="12" xfId="0" applyFont="1" applyBorder="1" applyAlignment="1">
      <alignment horizontal="center" vertical="center" wrapText="1"/>
    </xf>
    <xf numFmtId="180" fontId="161" fillId="0" borderId="12" xfId="43" applyNumberFormat="1" applyFont="1" applyBorder="1" applyAlignment="1">
      <alignment horizontal="center" vertical="center" wrapText="1"/>
    </xf>
    <xf numFmtId="180" fontId="162" fillId="0" borderId="12" xfId="43" applyNumberFormat="1" applyFont="1" applyBorder="1" applyAlignment="1">
      <alignment horizontal="center" vertical="center" wrapText="1"/>
    </xf>
    <xf numFmtId="180" fontId="160" fillId="0" borderId="12" xfId="43" applyNumberFormat="1" applyFont="1" applyBorder="1" applyAlignment="1">
      <alignment horizontal="center" vertical="center" wrapText="1"/>
    </xf>
    <xf numFmtId="180" fontId="149" fillId="0" borderId="23" xfId="43" applyNumberFormat="1" applyFont="1" applyBorder="1" applyAlignment="1">
      <alignment horizontal="center" vertical="center" wrapText="1"/>
    </xf>
    <xf numFmtId="0" fontId="5" fillId="0" borderId="12" xfId="0" applyFont="1" applyFill="1" applyBorder="1" applyAlignment="1">
      <alignment/>
    </xf>
    <xf numFmtId="0" fontId="9" fillId="0" borderId="12" xfId="0" applyFont="1" applyFill="1" applyBorder="1" applyAlignment="1">
      <alignment/>
    </xf>
    <xf numFmtId="0" fontId="126" fillId="0" borderId="22" xfId="0" applyFont="1" applyBorder="1" applyAlignment="1">
      <alignment horizontal="center" vertical="center" wrapText="1"/>
    </xf>
    <xf numFmtId="0" fontId="9" fillId="0" borderId="22" xfId="0" applyFont="1" applyFill="1" applyBorder="1" applyAlignment="1">
      <alignment/>
    </xf>
    <xf numFmtId="180" fontId="161" fillId="0" borderId="22" xfId="43" applyNumberFormat="1" applyFont="1" applyBorder="1" applyAlignment="1">
      <alignment horizontal="center" vertical="center" wrapText="1"/>
    </xf>
    <xf numFmtId="180" fontId="149" fillId="0" borderId="22" xfId="43" applyNumberFormat="1" applyFont="1" applyBorder="1" applyAlignment="1">
      <alignment horizontal="center" vertical="center" wrapText="1"/>
    </xf>
    <xf numFmtId="180" fontId="162" fillId="0" borderId="22" xfId="43" applyNumberFormat="1" applyFont="1" applyBorder="1" applyAlignment="1">
      <alignment horizontal="center" vertical="center" wrapText="1"/>
    </xf>
    <xf numFmtId="0" fontId="142" fillId="0" borderId="0" xfId="0" applyFont="1" applyBorder="1" applyAlignment="1">
      <alignment horizontal="center" vertical="center" wrapText="1"/>
    </xf>
    <xf numFmtId="180" fontId="142" fillId="0" borderId="0" xfId="43" applyNumberFormat="1" applyFont="1" applyBorder="1" applyAlignment="1">
      <alignment horizontal="center" vertical="center" wrapText="1"/>
    </xf>
    <xf numFmtId="180" fontId="141" fillId="0" borderId="0" xfId="43" applyNumberFormat="1" applyFont="1" applyAlignment="1">
      <alignment horizontal="center"/>
    </xf>
    <xf numFmtId="180" fontId="125" fillId="0" borderId="0" xfId="43" applyNumberFormat="1" applyFont="1" applyAlignment="1">
      <alignment/>
    </xf>
    <xf numFmtId="180" fontId="126" fillId="0" borderId="11" xfId="43" applyNumberFormat="1" applyFont="1" applyBorder="1" applyAlignment="1">
      <alignment vertical="center" wrapText="1"/>
    </xf>
    <xf numFmtId="180" fontId="125" fillId="0" borderId="11" xfId="43" applyNumberFormat="1" applyFont="1" applyBorder="1" applyAlignment="1">
      <alignment vertical="center" wrapText="1"/>
    </xf>
    <xf numFmtId="180" fontId="160" fillId="0" borderId="22" xfId="43" applyNumberFormat="1" applyFont="1" applyBorder="1" applyAlignment="1">
      <alignment horizontal="center" vertical="center" wrapText="1"/>
    </xf>
    <xf numFmtId="180" fontId="125" fillId="0" borderId="22" xfId="43" applyNumberFormat="1" applyFont="1" applyBorder="1" applyAlignment="1">
      <alignment horizontal="center" vertical="center" wrapText="1"/>
    </xf>
    <xf numFmtId="173" fontId="125" fillId="0" borderId="11" xfId="43" applyNumberFormat="1" applyFont="1" applyBorder="1" applyAlignment="1">
      <alignment horizontal="center" vertical="center" wrapText="1"/>
    </xf>
    <xf numFmtId="173" fontId="142" fillId="0" borderId="12" xfId="43" applyNumberFormat="1" applyFont="1" applyBorder="1" applyAlignment="1">
      <alignment horizontal="center" vertical="center" wrapText="1"/>
    </xf>
    <xf numFmtId="173" fontId="143" fillId="0" borderId="12" xfId="43" applyNumberFormat="1" applyFont="1" applyBorder="1" applyAlignment="1">
      <alignment horizontal="center" vertical="center" wrapText="1"/>
    </xf>
    <xf numFmtId="173" fontId="126" fillId="0" borderId="12" xfId="43" applyNumberFormat="1" applyFont="1" applyBorder="1" applyAlignment="1">
      <alignment horizontal="center" vertical="center" wrapText="1"/>
    </xf>
    <xf numFmtId="173" fontId="125" fillId="0" borderId="12" xfId="43" applyNumberFormat="1" applyFont="1" applyBorder="1" applyAlignment="1">
      <alignment horizontal="center" vertical="center" wrapText="1"/>
    </xf>
    <xf numFmtId="173" fontId="126" fillId="0" borderId="11" xfId="43" applyNumberFormat="1" applyFont="1" applyBorder="1" applyAlignment="1">
      <alignment vertical="center" wrapText="1"/>
    </xf>
    <xf numFmtId="173" fontId="125" fillId="0" borderId="11" xfId="43" applyNumberFormat="1" applyFont="1" applyBorder="1" applyAlignment="1">
      <alignment vertical="center" wrapText="1"/>
    </xf>
    <xf numFmtId="173" fontId="125" fillId="0" borderId="22" xfId="43" applyNumberFormat="1" applyFont="1" applyBorder="1" applyAlignment="1">
      <alignment horizontal="center" vertical="center" wrapText="1"/>
    </xf>
    <xf numFmtId="0" fontId="153" fillId="0" borderId="0" xfId="0" applyFont="1" applyAlignment="1">
      <alignment vertical="center"/>
    </xf>
    <xf numFmtId="0" fontId="133" fillId="0" borderId="0" xfId="0" applyFont="1" applyAlignment="1">
      <alignment/>
    </xf>
    <xf numFmtId="0" fontId="125" fillId="2" borderId="10" xfId="0" applyFont="1" applyFill="1" applyBorder="1" applyAlignment="1">
      <alignment horizontal="center" vertical="center" wrapText="1"/>
    </xf>
    <xf numFmtId="180" fontId="125" fillId="2" borderId="10" xfId="43"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155" fillId="0" borderId="12" xfId="0" applyFont="1" applyBorder="1" applyAlignment="1">
      <alignment vertical="center" wrapText="1"/>
    </xf>
    <xf numFmtId="180" fontId="120" fillId="0" borderId="0" xfId="0" applyNumberFormat="1" applyFont="1" applyAlignment="1">
      <alignment/>
    </xf>
    <xf numFmtId="180" fontId="125" fillId="0" borderId="13" xfId="43" applyNumberFormat="1" applyFont="1" applyBorder="1" applyAlignment="1">
      <alignment horizontal="center" vertical="center" wrapText="1"/>
    </xf>
    <xf numFmtId="180" fontId="125" fillId="0" borderId="0" xfId="43" applyNumberFormat="1" applyFont="1" applyAlignment="1">
      <alignment horizontal="right" vertical="center" wrapText="1"/>
    </xf>
    <xf numFmtId="180" fontId="0" fillId="0" borderId="0" xfId="43" applyNumberFormat="1" applyFont="1" applyAlignment="1">
      <alignment horizontal="right"/>
    </xf>
    <xf numFmtId="173" fontId="125" fillId="0" borderId="13" xfId="43" applyNumberFormat="1" applyFont="1" applyBorder="1" applyAlignment="1">
      <alignment horizontal="center" vertical="center" wrapText="1"/>
    </xf>
    <xf numFmtId="0" fontId="0" fillId="0" borderId="0" xfId="0" applyAlignment="1">
      <alignment horizontal="center"/>
    </xf>
    <xf numFmtId="0" fontId="147" fillId="0" borderId="0" xfId="0" applyFont="1" applyAlignment="1">
      <alignment/>
    </xf>
    <xf numFmtId="0" fontId="141" fillId="2" borderId="10" xfId="0" applyFont="1" applyFill="1" applyBorder="1" applyAlignment="1">
      <alignment horizontal="center" vertical="center" wrapText="1"/>
    </xf>
    <xf numFmtId="180" fontId="125" fillId="0" borderId="11" xfId="43" applyNumberFormat="1" applyFont="1" applyBorder="1" applyAlignment="1">
      <alignment horizontal="right" vertical="center" wrapText="1"/>
    </xf>
    <xf numFmtId="180" fontId="125" fillId="0" borderId="12" xfId="43" applyNumberFormat="1" applyFont="1" applyBorder="1" applyAlignment="1">
      <alignment horizontal="right" vertical="center" wrapText="1"/>
    </xf>
    <xf numFmtId="180" fontId="125" fillId="0" borderId="12" xfId="43" applyNumberFormat="1" applyFont="1" applyBorder="1" applyAlignment="1">
      <alignment vertical="center" wrapText="1"/>
    </xf>
    <xf numFmtId="180" fontId="126" fillId="0" borderId="12" xfId="43" applyNumberFormat="1" applyFont="1" applyBorder="1" applyAlignment="1">
      <alignment horizontal="right" vertical="center" wrapText="1"/>
    </xf>
    <xf numFmtId="180" fontId="126" fillId="0" borderId="12" xfId="43" applyNumberFormat="1" applyFont="1" applyBorder="1" applyAlignment="1">
      <alignment vertical="center" wrapText="1"/>
    </xf>
    <xf numFmtId="180" fontId="125" fillId="0" borderId="13" xfId="43" applyNumberFormat="1" applyFont="1" applyBorder="1" applyAlignment="1">
      <alignment horizontal="right" vertical="center" wrapText="1"/>
    </xf>
    <xf numFmtId="180" fontId="125" fillId="0" borderId="13" xfId="43" applyNumberFormat="1" applyFont="1" applyBorder="1" applyAlignment="1">
      <alignment vertical="center" wrapText="1"/>
    </xf>
    <xf numFmtId="180" fontId="143" fillId="0" borderId="0" xfId="43" applyNumberFormat="1" applyFont="1" applyBorder="1" applyAlignment="1">
      <alignment horizontal="right" vertical="center" wrapText="1"/>
    </xf>
    <xf numFmtId="180" fontId="143" fillId="0" borderId="0" xfId="43" applyNumberFormat="1" applyFont="1" applyBorder="1" applyAlignment="1">
      <alignment vertical="center" wrapText="1"/>
    </xf>
    <xf numFmtId="0" fontId="126" fillId="0" borderId="0" xfId="0" applyFont="1" applyBorder="1" applyAlignment="1">
      <alignment vertical="center" wrapText="1"/>
    </xf>
    <xf numFmtId="180" fontId="126" fillId="0" borderId="0" xfId="43" applyNumberFormat="1" applyFont="1" applyBorder="1" applyAlignment="1">
      <alignment horizontal="right" vertical="center" wrapText="1"/>
    </xf>
    <xf numFmtId="180" fontId="126" fillId="0" borderId="0" xfId="43" applyNumberFormat="1" applyFont="1" applyBorder="1" applyAlignment="1">
      <alignment vertical="center" wrapText="1"/>
    </xf>
    <xf numFmtId="180" fontId="126" fillId="0" borderId="0" xfId="43" applyNumberFormat="1" applyFont="1" applyBorder="1" applyAlignment="1">
      <alignment horizontal="center" vertical="center" wrapText="1"/>
    </xf>
    <xf numFmtId="180" fontId="126" fillId="0" borderId="0" xfId="43" applyNumberFormat="1" applyFont="1" applyAlignment="1">
      <alignment horizontal="right" vertical="center"/>
    </xf>
    <xf numFmtId="0" fontId="153" fillId="0" borderId="0" xfId="0" applyFont="1" applyAlignment="1">
      <alignment/>
    </xf>
    <xf numFmtId="0" fontId="11" fillId="0" borderId="0" xfId="0" applyFont="1" applyAlignment="1">
      <alignment/>
    </xf>
    <xf numFmtId="0" fontId="14" fillId="0" borderId="25" xfId="0" applyFont="1" applyBorder="1" applyAlignment="1">
      <alignment horizontal="center"/>
    </xf>
    <xf numFmtId="0" fontId="14" fillId="0" borderId="26" xfId="0" applyFont="1" applyBorder="1" applyAlignment="1">
      <alignment horizontal="center"/>
    </xf>
    <xf numFmtId="0" fontId="19" fillId="0" borderId="0" xfId="0" applyFont="1" applyFill="1" applyAlignment="1">
      <alignment horizontal="center"/>
    </xf>
    <xf numFmtId="0" fontId="11" fillId="0" borderId="26" xfId="0" applyFont="1" applyBorder="1" applyAlignment="1">
      <alignment horizontal="center"/>
    </xf>
    <xf numFmtId="0" fontId="26" fillId="0" borderId="26" xfId="0" applyFont="1" applyBorder="1" applyAlignment="1">
      <alignment horizontal="center"/>
    </xf>
    <xf numFmtId="0" fontId="27" fillId="0" borderId="26" xfId="0" applyFont="1" applyBorder="1" applyAlignment="1">
      <alignment horizontal="center"/>
    </xf>
    <xf numFmtId="0" fontId="5" fillId="0" borderId="26" xfId="0" applyFont="1" applyBorder="1" applyAlignment="1">
      <alignment horizontal="center"/>
    </xf>
    <xf numFmtId="0" fontId="11" fillId="0" borderId="27" xfId="0" applyFont="1" applyBorder="1" applyAlignment="1">
      <alignment/>
    </xf>
    <xf numFmtId="0" fontId="163" fillId="33" borderId="0" xfId="0" applyFont="1" applyFill="1" applyAlignment="1">
      <alignment/>
    </xf>
    <xf numFmtId="0" fontId="163" fillId="0" borderId="0" xfId="0" applyFont="1" applyAlignment="1">
      <alignment horizontal="center" vertical="center"/>
    </xf>
    <xf numFmtId="0" fontId="163" fillId="0" borderId="0" xfId="0" applyFont="1" applyAlignment="1">
      <alignment/>
    </xf>
    <xf numFmtId="0" fontId="164" fillId="35" borderId="0" xfId="0" applyFont="1" applyFill="1" applyAlignment="1">
      <alignment horizontal="center" vertical="center"/>
    </xf>
    <xf numFmtId="0" fontId="164" fillId="0" borderId="0" xfId="0" applyFont="1" applyAlignment="1">
      <alignment vertical="center"/>
    </xf>
    <xf numFmtId="0" fontId="165" fillId="0" borderId="28" xfId="0" applyFont="1" applyBorder="1" applyAlignment="1">
      <alignment horizontal="center" vertical="center"/>
    </xf>
    <xf numFmtId="0" fontId="166" fillId="36" borderId="29" xfId="0" applyFont="1" applyFill="1" applyBorder="1" applyAlignment="1">
      <alignment horizontal="center" vertical="center" wrapText="1"/>
    </xf>
    <xf numFmtId="0" fontId="167" fillId="37" borderId="30" xfId="0" applyFont="1" applyFill="1" applyBorder="1" applyAlignment="1">
      <alignment horizontal="center" vertical="center" wrapText="1"/>
    </xf>
    <xf numFmtId="0" fontId="167" fillId="38" borderId="30" xfId="0" applyFont="1" applyFill="1" applyBorder="1" applyAlignment="1">
      <alignment vertical="center" wrapText="1"/>
    </xf>
    <xf numFmtId="0" fontId="168" fillId="39" borderId="30" xfId="0" applyFont="1" applyFill="1" applyBorder="1" applyAlignment="1">
      <alignment vertical="center" wrapText="1"/>
    </xf>
    <xf numFmtId="0" fontId="163" fillId="0" borderId="10" xfId="0" applyFont="1" applyBorder="1" applyAlignment="1">
      <alignment horizontal="center" vertical="center"/>
    </xf>
    <xf numFmtId="0" fontId="167" fillId="0" borderId="30" xfId="0" applyFont="1" applyBorder="1" applyAlignment="1">
      <alignment vertical="center" wrapText="1"/>
    </xf>
    <xf numFmtId="0" fontId="168" fillId="0" borderId="30" xfId="0" applyFont="1" applyBorder="1" applyAlignment="1">
      <alignment vertical="center" wrapText="1"/>
    </xf>
    <xf numFmtId="0" fontId="167" fillId="0" borderId="31" xfId="0" applyFont="1" applyBorder="1" applyAlignment="1">
      <alignment vertical="center" wrapText="1"/>
    </xf>
    <xf numFmtId="0" fontId="168" fillId="0" borderId="31" xfId="0" applyFont="1" applyBorder="1" applyAlignment="1">
      <alignment vertical="center" wrapText="1"/>
    </xf>
    <xf numFmtId="0" fontId="169" fillId="0" borderId="0" xfId="56" applyFont="1" applyAlignment="1">
      <alignment vertical="center"/>
    </xf>
    <xf numFmtId="0" fontId="169" fillId="0" borderId="31" xfId="56" applyFont="1" applyBorder="1" applyAlignment="1">
      <alignment vertical="center" wrapText="1"/>
    </xf>
    <xf numFmtId="0" fontId="169" fillId="0" borderId="30" xfId="56" applyFont="1" applyBorder="1" applyAlignment="1">
      <alignment vertical="center" wrapText="1"/>
    </xf>
    <xf numFmtId="0" fontId="168" fillId="3" borderId="31" xfId="0" applyFont="1" applyFill="1" applyBorder="1" applyAlignment="1">
      <alignment vertical="center" wrapText="1"/>
    </xf>
    <xf numFmtId="0" fontId="167" fillId="3" borderId="30" xfId="0" applyFont="1" applyFill="1" applyBorder="1" applyAlignment="1">
      <alignment horizontal="center" vertical="center" wrapText="1"/>
    </xf>
    <xf numFmtId="0" fontId="167" fillId="3" borderId="30" xfId="0" applyFont="1" applyFill="1" applyBorder="1" applyAlignment="1">
      <alignment vertical="center" wrapText="1"/>
    </xf>
    <xf numFmtId="0" fontId="168" fillId="3" borderId="30" xfId="0" applyFont="1" applyFill="1" applyBorder="1" applyAlignment="1">
      <alignment vertical="center" wrapText="1"/>
    </xf>
    <xf numFmtId="0" fontId="163" fillId="0" borderId="31" xfId="0" applyFont="1" applyBorder="1" applyAlignment="1">
      <alignment vertical="center" wrapText="1"/>
    </xf>
    <xf numFmtId="0" fontId="168" fillId="0" borderId="28" xfId="0" applyFont="1" applyBorder="1" applyAlignment="1">
      <alignment vertical="center" wrapText="1"/>
    </xf>
    <xf numFmtId="0" fontId="163" fillId="0" borderId="10" xfId="0" applyFont="1" applyBorder="1" applyAlignment="1">
      <alignment vertical="center" wrapText="1"/>
    </xf>
    <xf numFmtId="0" fontId="163" fillId="3" borderId="30" xfId="0" applyFont="1" applyFill="1" applyBorder="1" applyAlignment="1">
      <alignment vertical="center" wrapText="1"/>
    </xf>
    <xf numFmtId="0" fontId="164" fillId="40" borderId="30" xfId="0" applyFont="1" applyFill="1" applyBorder="1" applyAlignment="1">
      <alignment horizontal="center" vertical="center" wrapText="1"/>
    </xf>
    <xf numFmtId="0" fontId="164" fillId="40" borderId="30" xfId="0" applyFont="1" applyFill="1" applyBorder="1" applyAlignment="1">
      <alignment vertical="center" wrapText="1"/>
    </xf>
    <xf numFmtId="0" fontId="170" fillId="40" borderId="30" xfId="0" applyFont="1" applyFill="1" applyBorder="1" applyAlignment="1">
      <alignment vertical="center" wrapText="1"/>
    </xf>
    <xf numFmtId="0" fontId="171" fillId="25" borderId="30" xfId="0" applyFont="1" applyFill="1" applyBorder="1" applyAlignment="1">
      <alignment horizontal="center" vertical="center" wrapText="1"/>
    </xf>
    <xf numFmtId="0" fontId="171" fillId="25" borderId="30" xfId="0" applyFont="1" applyFill="1" applyBorder="1" applyAlignment="1">
      <alignment vertical="center" wrapText="1"/>
    </xf>
    <xf numFmtId="0" fontId="168" fillId="25" borderId="30" xfId="0" applyFont="1" applyFill="1" applyBorder="1" applyAlignment="1">
      <alignment vertical="center" wrapText="1"/>
    </xf>
    <xf numFmtId="0" fontId="167" fillId="25" borderId="30" xfId="0" applyFont="1" applyFill="1" applyBorder="1" applyAlignment="1">
      <alignment horizontal="center" vertical="center" wrapText="1"/>
    </xf>
    <xf numFmtId="0" fontId="167" fillId="25" borderId="30" xfId="0" applyFont="1" applyFill="1" applyBorder="1" applyAlignment="1">
      <alignment vertical="center" wrapText="1"/>
    </xf>
    <xf numFmtId="0" fontId="168" fillId="25" borderId="32" xfId="0" applyFont="1" applyFill="1" applyBorder="1" applyAlignment="1">
      <alignment vertical="center" wrapText="1"/>
    </xf>
    <xf numFmtId="0" fontId="169" fillId="0" borderId="10" xfId="56" applyFont="1" applyBorder="1" applyAlignment="1">
      <alignment vertical="center" wrapText="1"/>
    </xf>
    <xf numFmtId="180" fontId="3" fillId="41" borderId="10" xfId="43" applyNumberFormat="1" applyFont="1" applyFill="1" applyBorder="1" applyAlignment="1" quotePrefix="1">
      <alignment horizontal="center" vertical="center" wrapText="1"/>
    </xf>
    <xf numFmtId="0" fontId="4" fillId="0" borderId="12" xfId="0" applyFont="1" applyBorder="1" applyAlignment="1" quotePrefix="1">
      <alignment vertical="center" wrapText="1"/>
    </xf>
    <xf numFmtId="0" fontId="2" fillId="0" borderId="12" xfId="0" applyFont="1" applyBorder="1" applyAlignment="1" quotePrefix="1">
      <alignment vertical="center" wrapText="1"/>
    </xf>
    <xf numFmtId="0" fontId="17" fillId="0" borderId="10" xfId="0" applyFont="1" applyBorder="1" applyAlignment="1" quotePrefix="1">
      <alignment horizontal="center"/>
    </xf>
    <xf numFmtId="179" fontId="19" fillId="0" borderId="12" xfId="62" applyNumberFormat="1" applyFont="1" applyFill="1" applyBorder="1" applyAlignment="1" applyProtection="1" quotePrefix="1">
      <alignment horizontal="left" vertical="center"/>
      <protection/>
    </xf>
    <xf numFmtId="1" fontId="121" fillId="42" borderId="33" xfId="0" applyNumberFormat="1" applyFont="1" applyFill="1" applyBorder="1" applyAlignment="1">
      <alignment horizontal="justify" vertical="center" wrapText="1"/>
    </xf>
    <xf numFmtId="182" fontId="170" fillId="42" borderId="33" xfId="0" applyNumberFormat="1" applyFont="1" applyFill="1" applyBorder="1" applyAlignment="1">
      <alignment horizontal="right" vertical="center" wrapText="1" shrinkToFit="1"/>
    </xf>
    <xf numFmtId="182" fontId="172" fillId="42" borderId="33" xfId="0" applyNumberFormat="1" applyFont="1" applyFill="1" applyBorder="1" applyAlignment="1">
      <alignment horizontal="right" vertical="center" wrapText="1" shrinkToFit="1"/>
    </xf>
    <xf numFmtId="0" fontId="156" fillId="0" borderId="33" xfId="0" applyFont="1" applyBorder="1" applyAlignment="1">
      <alignment horizontal="left" vertical="center" wrapText="1"/>
    </xf>
    <xf numFmtId="0" fontId="121" fillId="42" borderId="33" xfId="0" applyFont="1" applyFill="1" applyBorder="1" applyAlignment="1">
      <alignment horizontal="left" vertical="center" wrapText="1"/>
    </xf>
    <xf numFmtId="180" fontId="150" fillId="0" borderId="11" xfId="43" applyNumberFormat="1" applyFont="1" applyBorder="1" applyAlignment="1">
      <alignment horizontal="center" vertical="center" wrapText="1"/>
    </xf>
    <xf numFmtId="3" fontId="0" fillId="0" borderId="0" xfId="0" applyNumberFormat="1" applyFont="1" applyAlignment="1">
      <alignment vertical="center"/>
    </xf>
    <xf numFmtId="0" fontId="0" fillId="0" borderId="0" xfId="0" applyFont="1" applyAlignment="1">
      <alignment vertical="center"/>
    </xf>
    <xf numFmtId="0" fontId="29" fillId="0" borderId="12" xfId="0" applyFont="1" applyBorder="1" applyAlignment="1">
      <alignment vertical="center" wrapText="1"/>
    </xf>
    <xf numFmtId="180" fontId="121" fillId="0" borderId="0" xfId="43" applyNumberFormat="1" applyFont="1" applyAlignment="1">
      <alignment horizontal="right"/>
    </xf>
    <xf numFmtId="180" fontId="0" fillId="0" borderId="0" xfId="43" applyNumberFormat="1" applyFont="1" applyAlignment="1">
      <alignment horizontal="right"/>
    </xf>
    <xf numFmtId="180" fontId="20" fillId="0" borderId="0" xfId="43" applyNumberFormat="1" applyFont="1" applyFill="1" applyAlignment="1">
      <alignment/>
    </xf>
    <xf numFmtId="180" fontId="20" fillId="0" borderId="14" xfId="43" applyNumberFormat="1" applyFont="1" applyFill="1" applyBorder="1" applyAlignment="1">
      <alignment horizontal="center" vertical="center" wrapText="1"/>
    </xf>
    <xf numFmtId="0" fontId="20" fillId="0" borderId="34" xfId="0" applyFont="1" applyBorder="1" applyAlignment="1">
      <alignment horizontal="center" vertical="center" wrapText="1"/>
    </xf>
    <xf numFmtId="180" fontId="20" fillId="0" borderId="34" xfId="0" applyNumberFormat="1" applyFont="1" applyBorder="1" applyAlignment="1">
      <alignment horizontal="right" vertical="center" wrapText="1"/>
    </xf>
    <xf numFmtId="0" fontId="20" fillId="0" borderId="33" xfId="0" applyFont="1" applyBorder="1" applyAlignment="1">
      <alignment horizontal="center" wrapText="1"/>
    </xf>
    <xf numFmtId="0" fontId="20" fillId="0" borderId="33" xfId="0" applyFont="1" applyBorder="1" applyAlignment="1">
      <alignment horizontal="left" vertical="center" wrapText="1"/>
    </xf>
    <xf numFmtId="0" fontId="20" fillId="0" borderId="33" xfId="0" applyFont="1" applyBorder="1" applyAlignment="1">
      <alignment horizontal="center" vertical="center" wrapText="1"/>
    </xf>
    <xf numFmtId="180" fontId="20" fillId="0" borderId="33" xfId="0" applyNumberFormat="1" applyFont="1" applyBorder="1" applyAlignment="1">
      <alignment horizontal="right" vertical="center" wrapText="1"/>
    </xf>
    <xf numFmtId="0" fontId="156" fillId="0" borderId="33" xfId="0" applyFont="1" applyBorder="1" applyAlignment="1">
      <alignment horizontal="center" vertical="center" wrapText="1"/>
    </xf>
    <xf numFmtId="0" fontId="164" fillId="0" borderId="33" xfId="0" applyFont="1" applyBorder="1" applyAlignment="1">
      <alignment horizontal="left" vertical="center" wrapText="1"/>
    </xf>
    <xf numFmtId="180" fontId="164" fillId="0" borderId="33" xfId="0" applyNumberFormat="1" applyFont="1" applyBorder="1" applyAlignment="1">
      <alignment horizontal="right" vertical="center" wrapText="1"/>
    </xf>
    <xf numFmtId="0" fontId="121" fillId="0" borderId="33" xfId="0" applyFont="1" applyBorder="1" applyAlignment="1">
      <alignment horizontal="center" vertical="center" wrapText="1"/>
    </xf>
    <xf numFmtId="0" fontId="173" fillId="0" borderId="33" xfId="0" applyFont="1" applyBorder="1" applyAlignment="1">
      <alignment horizontal="center" vertical="center" wrapText="1"/>
    </xf>
    <xf numFmtId="0" fontId="172" fillId="0" borderId="33" xfId="0" applyFont="1" applyBorder="1" applyAlignment="1">
      <alignment horizontal="left" vertical="center" wrapText="1"/>
    </xf>
    <xf numFmtId="180" fontId="172" fillId="0" borderId="33" xfId="0" applyNumberFormat="1" applyFont="1" applyBorder="1" applyAlignment="1">
      <alignment horizontal="right" vertical="center" wrapText="1"/>
    </xf>
    <xf numFmtId="1" fontId="121" fillId="33" borderId="12" xfId="64" applyNumberFormat="1" applyFont="1" applyFill="1" applyBorder="1" applyAlignment="1">
      <alignment vertical="center" wrapText="1"/>
      <protection/>
    </xf>
    <xf numFmtId="0" fontId="173" fillId="0" borderId="33" xfId="0" applyFont="1" applyBorder="1" applyAlignment="1" quotePrefix="1">
      <alignment horizontal="center" vertical="center" wrapText="1"/>
    </xf>
    <xf numFmtId="180" fontId="170" fillId="0" borderId="33" xfId="0" applyNumberFormat="1" applyFont="1" applyBorder="1" applyAlignment="1">
      <alignment horizontal="right" vertical="center" wrapText="1"/>
    </xf>
    <xf numFmtId="0" fontId="170" fillId="0" borderId="33" xfId="0" applyFont="1" applyBorder="1" applyAlignment="1">
      <alignment horizontal="left" vertical="center" wrapText="1"/>
    </xf>
    <xf numFmtId="0" fontId="121" fillId="0" borderId="33" xfId="0" applyFont="1" applyBorder="1" applyAlignment="1" quotePrefix="1">
      <alignment horizontal="center" vertical="center" wrapText="1"/>
    </xf>
    <xf numFmtId="0" fontId="172" fillId="0" borderId="35" xfId="0" applyFont="1" applyBorder="1" applyAlignment="1">
      <alignment horizontal="left" vertical="center" wrapText="1"/>
    </xf>
    <xf numFmtId="182" fontId="170" fillId="33" borderId="12" xfId="43" applyNumberFormat="1" applyFont="1" applyFill="1" applyBorder="1" applyAlignment="1">
      <alignment horizontal="right" vertical="center" wrapText="1" shrinkToFit="1"/>
    </xf>
    <xf numFmtId="180" fontId="36" fillId="0" borderId="33" xfId="0" applyNumberFormat="1" applyFont="1" applyBorder="1" applyAlignment="1">
      <alignment horizontal="right" vertical="center" wrapText="1"/>
    </xf>
    <xf numFmtId="182" fontId="20" fillId="0" borderId="33" xfId="0" applyNumberFormat="1" applyFont="1" applyBorder="1" applyAlignment="1">
      <alignment horizontal="right" vertical="center" wrapText="1"/>
    </xf>
    <xf numFmtId="0" fontId="173" fillId="42" borderId="33"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33" xfId="0" applyFont="1" applyBorder="1" applyAlignment="1">
      <alignment horizontal="left" vertical="center" wrapText="1"/>
    </xf>
    <xf numFmtId="180" fontId="25" fillId="0" borderId="33" xfId="0" applyNumberFormat="1" applyFont="1" applyBorder="1" applyAlignment="1">
      <alignment horizontal="right" vertical="center" wrapText="1"/>
    </xf>
    <xf numFmtId="0" fontId="15" fillId="0" borderId="33" xfId="0" applyFont="1" applyBorder="1" applyAlignment="1">
      <alignment horizontal="center" vertical="center" wrapText="1"/>
    </xf>
    <xf numFmtId="180" fontId="6" fillId="0" borderId="33" xfId="0" applyNumberFormat="1" applyFont="1" applyBorder="1" applyAlignment="1">
      <alignment horizontal="right" vertical="center" wrapText="1"/>
    </xf>
    <xf numFmtId="0" fontId="156" fillId="42" borderId="33" xfId="0" applyFont="1" applyFill="1" applyBorder="1" applyAlignment="1">
      <alignment horizontal="center" vertical="center" wrapText="1"/>
    </xf>
    <xf numFmtId="180" fontId="156" fillId="42" borderId="33" xfId="0" applyNumberFormat="1" applyFont="1" applyFill="1" applyBorder="1" applyAlignment="1">
      <alignment horizontal="right" vertical="center" wrapText="1"/>
    </xf>
    <xf numFmtId="180" fontId="156" fillId="0" borderId="33" xfId="0" applyNumberFormat="1" applyFont="1" applyBorder="1" applyAlignment="1">
      <alignment horizontal="right" vertical="center" wrapText="1"/>
    </xf>
    <xf numFmtId="0" fontId="164" fillId="0" borderId="33" xfId="0" applyFont="1" applyBorder="1" applyAlignment="1">
      <alignment vertical="center" wrapText="1"/>
    </xf>
    <xf numFmtId="182" fontId="164" fillId="0" borderId="33" xfId="0" applyNumberFormat="1" applyFont="1" applyBorder="1" applyAlignment="1">
      <alignment vertical="center" wrapText="1"/>
    </xf>
    <xf numFmtId="0" fontId="172" fillId="0" borderId="33" xfId="0" applyFont="1" applyBorder="1" applyAlignment="1">
      <alignment vertical="center" wrapText="1"/>
    </xf>
    <xf numFmtId="182" fontId="172" fillId="0" borderId="33" xfId="0" applyNumberFormat="1" applyFont="1" applyBorder="1" applyAlignment="1">
      <alignment vertical="center" wrapText="1"/>
    </xf>
    <xf numFmtId="182" fontId="170" fillId="0" borderId="33" xfId="0" applyNumberFormat="1" applyFont="1" applyBorder="1" applyAlignment="1">
      <alignment vertical="center" wrapText="1"/>
    </xf>
    <xf numFmtId="183" fontId="121" fillId="42" borderId="33" xfId="0" applyNumberFormat="1" applyFont="1" applyFill="1" applyBorder="1" applyAlignment="1">
      <alignment vertical="center" wrapText="1"/>
    </xf>
    <xf numFmtId="182" fontId="164" fillId="0" borderId="33" xfId="0" applyNumberFormat="1" applyFont="1" applyBorder="1" applyAlignment="1">
      <alignment horizontal="right" vertical="center" wrapText="1"/>
    </xf>
    <xf numFmtId="0" fontId="170" fillId="0" borderId="33" xfId="0" applyFont="1" applyBorder="1" applyAlignment="1">
      <alignment vertical="center" wrapText="1"/>
    </xf>
    <xf numFmtId="182" fontId="172" fillId="0" borderId="33" xfId="0" applyNumberFormat="1" applyFont="1" applyBorder="1" applyAlignment="1">
      <alignment horizontal="right" vertical="center" wrapText="1"/>
    </xf>
    <xf numFmtId="0" fontId="24" fillId="0" borderId="33" xfId="0" applyFont="1" applyBorder="1" applyAlignment="1">
      <alignment horizontal="center" vertical="center" wrapText="1"/>
    </xf>
    <xf numFmtId="182" fontId="20" fillId="0" borderId="33" xfId="0" applyNumberFormat="1" applyFont="1" applyBorder="1" applyAlignment="1">
      <alignment horizontal="left" vertical="center" wrapText="1"/>
    </xf>
    <xf numFmtId="180" fontId="20" fillId="0" borderId="33" xfId="0" applyNumberFormat="1" applyFont="1" applyBorder="1" applyAlignment="1">
      <alignment horizontal="center" vertical="center" wrapText="1"/>
    </xf>
    <xf numFmtId="180" fontId="37" fillId="0" borderId="0" xfId="43" applyNumberFormat="1" applyFont="1" applyAlignment="1">
      <alignment/>
    </xf>
    <xf numFmtId="0" fontId="125" fillId="0" borderId="12" xfId="0" applyFont="1" applyBorder="1" applyAlignment="1">
      <alignment vertical="center" wrapText="1"/>
    </xf>
    <xf numFmtId="0" fontId="141" fillId="0" borderId="12" xfId="0" applyFont="1" applyBorder="1" applyAlignment="1">
      <alignment horizontal="center" vertical="center" wrapText="1"/>
    </xf>
    <xf numFmtId="180" fontId="126" fillId="0" borderId="12" xfId="43" applyNumberFormat="1" applyFont="1" applyBorder="1" applyAlignment="1">
      <alignment horizontal="center" vertical="center" wrapText="1"/>
    </xf>
    <xf numFmtId="0" fontId="126" fillId="0" borderId="12" xfId="0" applyFont="1" applyBorder="1" applyAlignment="1">
      <alignment horizontal="center" vertical="center" wrapText="1"/>
    </xf>
    <xf numFmtId="0" fontId="141" fillId="0" borderId="0" xfId="0" applyFont="1" applyAlignment="1">
      <alignment horizontal="center" vertical="center"/>
    </xf>
    <xf numFmtId="0" fontId="125" fillId="0" borderId="12" xfId="0" applyFont="1" applyBorder="1" applyAlignment="1">
      <alignment vertical="center" wrapText="1"/>
    </xf>
    <xf numFmtId="180" fontId="125" fillId="5" borderId="10" xfId="43" applyNumberFormat="1" applyFont="1" applyFill="1" applyBorder="1" applyAlignment="1">
      <alignment horizontal="center" vertical="center" wrapText="1"/>
    </xf>
    <xf numFmtId="0" fontId="125" fillId="5" borderId="10" xfId="0" applyFont="1" applyFill="1" applyBorder="1" applyAlignment="1">
      <alignment horizontal="center" vertical="center" wrapText="1"/>
    </xf>
    <xf numFmtId="0" fontId="141" fillId="0" borderId="12" xfId="0" applyFont="1" applyBorder="1" applyAlignment="1">
      <alignment horizontal="center" vertical="center" wrapText="1"/>
    </xf>
    <xf numFmtId="180" fontId="126" fillId="0" borderId="12" xfId="43" applyNumberFormat="1" applyFont="1" applyBorder="1" applyAlignment="1">
      <alignment horizontal="center" vertical="center" wrapText="1"/>
    </xf>
    <xf numFmtId="0" fontId="143" fillId="0" borderId="12" xfId="0" applyFont="1" applyBorder="1" applyAlignment="1">
      <alignment vertical="center" wrapText="1"/>
    </xf>
    <xf numFmtId="0" fontId="126" fillId="0" borderId="12" xfId="0" applyFont="1" applyBorder="1" applyAlignment="1">
      <alignment horizontal="center" vertical="center" wrapText="1"/>
    </xf>
    <xf numFmtId="0" fontId="122" fillId="0" borderId="12" xfId="60" applyFont="1" applyBorder="1" applyAlignment="1">
      <alignment horizontal="center" vertical="center" wrapText="1"/>
      <protection/>
    </xf>
    <xf numFmtId="0" fontId="122" fillId="0" borderId="12" xfId="60" applyFont="1" applyBorder="1" applyAlignment="1">
      <alignment vertical="center" wrapText="1"/>
      <protection/>
    </xf>
    <xf numFmtId="180" fontId="122" fillId="0" borderId="12" xfId="46" applyNumberFormat="1" applyFont="1" applyBorder="1" applyAlignment="1">
      <alignment horizontal="center" vertical="center" wrapText="1"/>
    </xf>
    <xf numFmtId="0" fontId="120" fillId="0" borderId="12" xfId="0" applyFont="1" applyBorder="1" applyAlignment="1">
      <alignment horizontal="center" vertical="center" wrapText="1"/>
    </xf>
    <xf numFmtId="0" fontId="120" fillId="0" borderId="12" xfId="0" applyFont="1" applyBorder="1" applyAlignment="1">
      <alignment horizontal="center" vertical="center"/>
    </xf>
    <xf numFmtId="0" fontId="120" fillId="0" borderId="12" xfId="0" applyFont="1" applyBorder="1" applyAlignment="1">
      <alignment/>
    </xf>
    <xf numFmtId="182" fontId="120" fillId="0" borderId="12" xfId="0" applyNumberFormat="1" applyFont="1" applyBorder="1" applyAlignment="1">
      <alignment/>
    </xf>
    <xf numFmtId="0" fontId="120" fillId="0" borderId="12" xfId="0" applyFont="1" applyBorder="1" applyAlignment="1">
      <alignment wrapText="1"/>
    </xf>
    <xf numFmtId="0" fontId="0" fillId="0" borderId="12" xfId="0" applyFont="1" applyBorder="1" applyAlignment="1">
      <alignment horizontal="center" vertical="center"/>
    </xf>
    <xf numFmtId="0" fontId="0" fillId="0" borderId="12" xfId="0" applyFont="1" applyBorder="1" applyAlignment="1">
      <alignment/>
    </xf>
    <xf numFmtId="182" fontId="0" fillId="0" borderId="12" xfId="43" applyNumberFormat="1" applyFont="1" applyBorder="1" applyAlignment="1">
      <alignment/>
    </xf>
    <xf numFmtId="0" fontId="120" fillId="0" borderId="12" xfId="0" applyFont="1" applyBorder="1" applyAlignment="1">
      <alignment/>
    </xf>
    <xf numFmtId="0" fontId="123" fillId="0" borderId="12" xfId="60" applyFont="1" applyBorder="1" applyAlignment="1">
      <alignment horizontal="center" vertical="center" wrapText="1"/>
      <protection/>
    </xf>
    <xf numFmtId="0" fontId="0" fillId="0" borderId="12" xfId="0" applyFont="1" applyBorder="1" applyAlignment="1">
      <alignment horizontal="left" vertical="top" wrapText="1"/>
    </xf>
    <xf numFmtId="180" fontId="123" fillId="0" borderId="12" xfId="46" applyNumberFormat="1" applyFont="1" applyBorder="1" applyAlignment="1">
      <alignment horizontal="center" vertical="center" wrapText="1"/>
    </xf>
    <xf numFmtId="0" fontId="124" fillId="0" borderId="12" xfId="60" applyFont="1" applyBorder="1" applyAlignment="1">
      <alignment vertical="center" wrapText="1"/>
      <protection/>
    </xf>
    <xf numFmtId="0" fontId="174" fillId="0" borderId="12" xfId="60" applyFont="1" applyBorder="1" applyAlignment="1">
      <alignment horizontal="center" vertical="center" wrapText="1"/>
      <protection/>
    </xf>
    <xf numFmtId="0" fontId="174" fillId="0" borderId="12" xfId="60" applyFont="1" applyBorder="1" applyAlignment="1">
      <alignment vertical="center" wrapText="1"/>
      <protection/>
    </xf>
    <xf numFmtId="180" fontId="174" fillId="0" borderId="12" xfId="46" applyNumberFormat="1" applyFont="1" applyBorder="1" applyAlignment="1">
      <alignment horizontal="center" vertical="center" wrapText="1"/>
    </xf>
    <xf numFmtId="180" fontId="123" fillId="0" borderId="12" xfId="60" applyNumberFormat="1" applyFont="1" applyBorder="1" applyAlignment="1">
      <alignment horizontal="center" vertical="center" wrapText="1"/>
      <protection/>
    </xf>
    <xf numFmtId="0" fontId="123" fillId="0" borderId="12" xfId="60" applyFont="1" applyBorder="1" applyAlignment="1">
      <alignment vertical="center" wrapText="1"/>
      <protection/>
    </xf>
    <xf numFmtId="180" fontId="121" fillId="0" borderId="0" xfId="0" applyNumberFormat="1" applyFont="1" applyFill="1" applyAlignment="1">
      <alignment/>
    </xf>
    <xf numFmtId="0" fontId="125" fillId="0" borderId="12" xfId="0" applyFont="1" applyBorder="1" applyAlignment="1">
      <alignment vertical="center" wrapText="1"/>
    </xf>
    <xf numFmtId="0" fontId="9" fillId="0" borderId="13" xfId="0" applyFont="1" applyFill="1" applyBorder="1" applyAlignment="1">
      <alignment/>
    </xf>
    <xf numFmtId="173" fontId="126" fillId="0" borderId="13" xfId="43" applyNumberFormat="1" applyFont="1" applyBorder="1" applyAlignment="1">
      <alignment horizontal="center" vertical="center" wrapText="1"/>
    </xf>
    <xf numFmtId="180" fontId="125" fillId="0" borderId="0" xfId="43" applyNumberFormat="1" applyFont="1" applyAlignment="1">
      <alignment vertical="center"/>
    </xf>
    <xf numFmtId="180" fontId="120" fillId="0" borderId="0" xfId="0" applyNumberFormat="1" applyFont="1" applyAlignment="1">
      <alignment vertical="center"/>
    </xf>
    <xf numFmtId="0" fontId="121" fillId="0" borderId="0" xfId="0" applyFont="1" applyAlignment="1">
      <alignment vertical="center"/>
    </xf>
    <xf numFmtId="0" fontId="156" fillId="0" borderId="0" xfId="0" applyFont="1" applyAlignment="1">
      <alignment vertical="center"/>
    </xf>
    <xf numFmtId="0" fontId="5" fillId="0" borderId="12" xfId="0" applyFont="1" applyFill="1" applyBorder="1" applyAlignment="1">
      <alignment vertical="center"/>
    </xf>
    <xf numFmtId="0" fontId="9" fillId="0" borderId="13" xfId="0" applyFont="1" applyFill="1" applyBorder="1" applyAlignment="1">
      <alignment vertical="center"/>
    </xf>
    <xf numFmtId="0" fontId="175" fillId="0" borderId="0" xfId="0" applyFont="1" applyFill="1" applyBorder="1" applyAlignment="1">
      <alignment vertical="center"/>
    </xf>
    <xf numFmtId="180" fontId="141" fillId="0" borderId="0" xfId="43" applyNumberFormat="1" applyFont="1" applyAlignment="1">
      <alignment horizontal="center" vertical="center"/>
    </xf>
    <xf numFmtId="180" fontId="0" fillId="0" borderId="0" xfId="43" applyNumberFormat="1" applyFont="1" applyAlignment="1">
      <alignment horizontal="right" vertical="center"/>
    </xf>
    <xf numFmtId="180" fontId="161" fillId="0" borderId="13" xfId="43" applyNumberFormat="1" applyFont="1" applyBorder="1" applyAlignment="1">
      <alignment horizontal="center" vertical="center" wrapText="1"/>
    </xf>
    <xf numFmtId="180" fontId="149" fillId="0" borderId="13" xfId="43" applyNumberFormat="1" applyFont="1" applyBorder="1" applyAlignment="1">
      <alignment horizontal="center" vertical="center" wrapText="1"/>
    </xf>
    <xf numFmtId="180" fontId="162" fillId="0" borderId="13" xfId="43" applyNumberFormat="1" applyFont="1" applyBorder="1" applyAlignment="1">
      <alignment horizontal="center" vertical="center" wrapText="1"/>
    </xf>
    <xf numFmtId="180" fontId="161" fillId="2" borderId="10" xfId="43" applyNumberFormat="1" applyFont="1" applyFill="1" applyBorder="1" applyAlignment="1">
      <alignment vertical="center" wrapText="1"/>
    </xf>
    <xf numFmtId="180" fontId="162" fillId="2" borderId="10" xfId="43" applyNumberFormat="1" applyFont="1" applyFill="1" applyBorder="1" applyAlignment="1">
      <alignment vertical="center" wrapText="1"/>
    </xf>
    <xf numFmtId="0" fontId="0" fillId="0" borderId="0" xfId="0" applyAlignment="1">
      <alignment/>
    </xf>
    <xf numFmtId="180" fontId="161" fillId="2" borderId="10" xfId="43" applyNumberFormat="1" applyFont="1" applyFill="1" applyBorder="1" applyAlignment="1" quotePrefix="1">
      <alignment horizontal="center" vertical="center" wrapText="1"/>
    </xf>
    <xf numFmtId="180" fontId="162" fillId="2" borderId="10" xfId="43" applyNumberFormat="1" applyFont="1" applyFill="1" applyBorder="1" applyAlignment="1" quotePrefix="1">
      <alignment horizontal="center" vertical="center" wrapText="1"/>
    </xf>
    <xf numFmtId="180" fontId="126" fillId="2" borderId="10" xfId="43" applyNumberFormat="1" applyFont="1" applyFill="1" applyBorder="1" applyAlignment="1" quotePrefix="1">
      <alignment horizontal="center" vertical="center" wrapText="1"/>
    </xf>
    <xf numFmtId="3" fontId="5" fillId="0" borderId="12" xfId="43" applyNumberFormat="1" applyFont="1" applyFill="1" applyBorder="1" applyAlignment="1">
      <alignment horizontal="right" vertical="center"/>
    </xf>
    <xf numFmtId="4" fontId="5" fillId="0" borderId="12" xfId="43" applyNumberFormat="1" applyFont="1" applyFill="1" applyBorder="1" applyAlignment="1">
      <alignment horizontal="right" vertical="center"/>
    </xf>
    <xf numFmtId="180" fontId="143" fillId="2" borderId="10" xfId="43" applyNumberFormat="1" applyFont="1" applyFill="1" applyBorder="1" applyAlignment="1" quotePrefix="1">
      <alignment horizontal="center" vertical="center" wrapText="1"/>
    </xf>
    <xf numFmtId="4" fontId="134" fillId="0" borderId="0" xfId="63" applyNumberFormat="1" applyFont="1" applyAlignment="1">
      <alignment horizontal="center" vertical="center" wrapText="1"/>
      <protection/>
    </xf>
    <xf numFmtId="0" fontId="134" fillId="34" borderId="12" xfId="63" applyFont="1" applyFill="1" applyBorder="1" applyAlignment="1">
      <alignment horizontal="center" vertical="center"/>
      <protection/>
    </xf>
    <xf numFmtId="0" fontId="134" fillId="34" borderId="12" xfId="63" applyFont="1" applyFill="1" applyBorder="1" applyAlignment="1">
      <alignment vertical="center"/>
      <protection/>
    </xf>
    <xf numFmtId="4" fontId="134" fillId="34" borderId="12" xfId="63" applyNumberFormat="1" applyFont="1" applyFill="1" applyBorder="1" applyAlignment="1">
      <alignment vertical="center"/>
      <protection/>
    </xf>
    <xf numFmtId="0" fontId="134" fillId="34" borderId="12" xfId="63" applyFont="1" applyFill="1" applyBorder="1" applyAlignment="1">
      <alignment horizontal="left" vertical="center"/>
      <protection/>
    </xf>
    <xf numFmtId="4" fontId="134" fillId="34" borderId="12" xfId="63" applyNumberFormat="1" applyFont="1" applyFill="1" applyBorder="1" applyAlignment="1">
      <alignment horizontal="right" vertical="center"/>
      <protection/>
    </xf>
    <xf numFmtId="4" fontId="10" fillId="34" borderId="12" xfId="63" applyNumberFormat="1" applyFont="1" applyFill="1" applyBorder="1" applyAlignment="1">
      <alignment vertical="center" wrapText="1"/>
      <protection/>
    </xf>
    <xf numFmtId="0" fontId="125" fillId="0" borderId="12" xfId="0" applyFont="1" applyBorder="1" applyAlignment="1">
      <alignment vertical="center" wrapText="1"/>
    </xf>
    <xf numFmtId="0" fontId="141" fillId="0" borderId="12" xfId="0" applyFont="1" applyBorder="1" applyAlignment="1">
      <alignment horizontal="center" vertical="center" wrapText="1"/>
    </xf>
    <xf numFmtId="180" fontId="122" fillId="0" borderId="13" xfId="43"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29" fillId="0" borderId="0" xfId="0" applyFont="1" applyAlignment="1">
      <alignment vertical="center"/>
    </xf>
    <xf numFmtId="0" fontId="129" fillId="0" borderId="12" xfId="0" applyFont="1" applyBorder="1" applyAlignment="1">
      <alignment vertical="center"/>
    </xf>
    <xf numFmtId="0" fontId="129" fillId="0" borderId="13" xfId="0" applyFont="1" applyBorder="1" applyAlignment="1">
      <alignment horizontal="center" vertical="center"/>
    </xf>
    <xf numFmtId="0" fontId="129" fillId="0" borderId="13" xfId="0" applyFont="1" applyBorder="1" applyAlignment="1">
      <alignment vertical="center"/>
    </xf>
    <xf numFmtId="0" fontId="129" fillId="0" borderId="0" xfId="0" applyFont="1" applyAlignment="1">
      <alignment horizontal="center" vertical="center"/>
    </xf>
    <xf numFmtId="0" fontId="138" fillId="0" borderId="11" xfId="0" applyFont="1" applyBorder="1" applyAlignment="1">
      <alignment horizontal="center" vertical="center" wrapText="1"/>
    </xf>
    <xf numFmtId="4" fontId="129" fillId="0" borderId="12" xfId="0" applyNumberFormat="1" applyFont="1" applyBorder="1" applyAlignment="1">
      <alignment vertical="center"/>
    </xf>
    <xf numFmtId="4" fontId="129" fillId="0" borderId="13" xfId="0" applyNumberFormat="1" applyFont="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quotePrefix="1">
      <alignment horizontal="center" vertical="center"/>
    </xf>
    <xf numFmtId="0" fontId="0" fillId="0" borderId="10" xfId="0" applyBorder="1" applyAlignment="1" quotePrefix="1">
      <alignment vertical="center"/>
    </xf>
    <xf numFmtId="0" fontId="120" fillId="0" borderId="10" xfId="0" applyFont="1" applyBorder="1" applyAlignment="1">
      <alignment horizontal="center" vertical="center"/>
    </xf>
    <xf numFmtId="0" fontId="120" fillId="0" borderId="10" xfId="0" applyFont="1" applyBorder="1" applyAlignment="1">
      <alignment vertical="center"/>
    </xf>
    <xf numFmtId="4" fontId="0" fillId="0" borderId="10" xfId="0" applyNumberFormat="1" applyBorder="1" applyAlignment="1">
      <alignment vertical="center"/>
    </xf>
    <xf numFmtId="4" fontId="120" fillId="0" borderId="10" xfId="0" applyNumberFormat="1" applyFont="1" applyBorder="1" applyAlignment="1">
      <alignment vertical="center"/>
    </xf>
    <xf numFmtId="180" fontId="126" fillId="0" borderId="12" xfId="43" applyNumberFormat="1" applyFont="1" applyBorder="1" applyAlignment="1">
      <alignment horizontal="center" vertical="center" wrapText="1"/>
    </xf>
    <xf numFmtId="180" fontId="126" fillId="0" borderId="12" xfId="43" applyNumberFormat="1" applyFont="1" applyBorder="1" applyAlignment="1">
      <alignment horizontal="center" vertical="center" wrapText="1"/>
    </xf>
    <xf numFmtId="180" fontId="142" fillId="0" borderId="12" xfId="43" applyNumberFormat="1" applyFont="1" applyBorder="1" applyAlignment="1">
      <alignment horizontal="right" vertical="center" wrapText="1"/>
    </xf>
    <xf numFmtId="180" fontId="176" fillId="0" borderId="0" xfId="43" applyNumberFormat="1" applyFont="1" applyAlignment="1">
      <alignment horizontal="right"/>
    </xf>
    <xf numFmtId="180" fontId="177" fillId="0" borderId="0" xfId="43" applyNumberFormat="1" applyFont="1" applyAlignment="1">
      <alignment horizontal="center"/>
    </xf>
    <xf numFmtId="180" fontId="4" fillId="0" borderId="12" xfId="43" applyNumberFormat="1" applyFont="1" applyBorder="1" applyAlignment="1">
      <alignment horizontal="center" vertical="center" wrapText="1"/>
    </xf>
    <xf numFmtId="180" fontId="126" fillId="0" borderId="12" xfId="43" applyNumberFormat="1" applyFont="1" applyBorder="1" applyAlignment="1">
      <alignment horizontal="center" vertical="center" wrapText="1"/>
    </xf>
    <xf numFmtId="0" fontId="125" fillId="2" borderId="15" xfId="0" applyFont="1" applyFill="1" applyBorder="1" applyAlignment="1">
      <alignment horizontal="center" vertical="center" wrapText="1"/>
    </xf>
    <xf numFmtId="180" fontId="149" fillId="2" borderId="15" xfId="43" applyNumberFormat="1" applyFont="1" applyFill="1" applyBorder="1" applyAlignment="1">
      <alignment horizontal="center" vertical="center" wrapText="1"/>
    </xf>
    <xf numFmtId="180" fontId="126" fillId="0" borderId="12" xfId="43" applyNumberFormat="1" applyFont="1" applyBorder="1" applyAlignment="1">
      <alignment horizontal="center" vertical="center" wrapText="1"/>
    </xf>
    <xf numFmtId="0" fontId="125" fillId="0" borderId="12" xfId="0" applyFont="1" applyBorder="1" applyAlignment="1">
      <alignment vertical="center" wrapText="1"/>
    </xf>
    <xf numFmtId="0" fontId="141" fillId="0" borderId="12" xfId="0" applyFont="1" applyBorder="1" applyAlignment="1">
      <alignment horizontal="center" vertical="center" wrapText="1"/>
    </xf>
    <xf numFmtId="180" fontId="126" fillId="0" borderId="12" xfId="43" applyNumberFormat="1" applyFont="1" applyBorder="1" applyAlignment="1">
      <alignment horizontal="center" vertical="center" wrapText="1"/>
    </xf>
    <xf numFmtId="0" fontId="126" fillId="0" borderId="12" xfId="0" applyFont="1" applyBorder="1" applyAlignment="1">
      <alignment horizontal="center" vertical="center" wrapText="1"/>
    </xf>
    <xf numFmtId="3" fontId="156" fillId="0" borderId="0" xfId="0" applyNumberFormat="1" applyFont="1" applyAlignment="1">
      <alignment vertical="center"/>
    </xf>
    <xf numFmtId="43" fontId="5" fillId="0" borderId="11" xfId="43" applyNumberFormat="1" applyFont="1" applyFill="1" applyBorder="1" applyAlignment="1">
      <alignment horizontal="center" vertical="center"/>
    </xf>
    <xf numFmtId="0" fontId="11" fillId="0" borderId="0" xfId="0" applyFont="1" applyAlignment="1">
      <alignment horizontal="center"/>
    </xf>
    <xf numFmtId="0" fontId="20" fillId="0" borderId="14" xfId="0" applyFont="1" applyBorder="1" applyAlignment="1">
      <alignment horizontal="center" vertical="center" wrapText="1"/>
    </xf>
    <xf numFmtId="0" fontId="20" fillId="0" borderId="0" xfId="0" applyFont="1" applyAlignment="1">
      <alignment/>
    </xf>
    <xf numFmtId="180" fontId="20" fillId="0" borderId="0" xfId="0" applyNumberFormat="1" applyFont="1" applyAlignment="1">
      <alignment/>
    </xf>
    <xf numFmtId="3" fontId="20" fillId="0" borderId="0" xfId="0" applyNumberFormat="1" applyFont="1" applyAlignment="1">
      <alignment/>
    </xf>
    <xf numFmtId="180" fontId="156" fillId="0" borderId="0" xfId="0" applyNumberFormat="1" applyFont="1" applyAlignment="1">
      <alignment/>
    </xf>
    <xf numFmtId="0" fontId="172" fillId="0" borderId="0" xfId="0" applyFont="1" applyAlignment="1">
      <alignment horizontal="left" vertical="center" wrapText="1"/>
    </xf>
    <xf numFmtId="1" fontId="11" fillId="33" borderId="36" xfId="64" applyNumberFormat="1" applyFont="1" applyFill="1" applyBorder="1" applyAlignment="1">
      <alignment vertical="center" wrapText="1"/>
      <protection/>
    </xf>
    <xf numFmtId="3" fontId="178" fillId="0" borderId="0" xfId="0" applyNumberFormat="1" applyFont="1" applyAlignment="1">
      <alignment/>
    </xf>
    <xf numFmtId="1" fontId="11" fillId="33" borderId="36" xfId="0" applyNumberFormat="1" applyFont="1" applyFill="1" applyBorder="1" applyAlignment="1">
      <alignment horizontal="justify" vertical="center" wrapText="1"/>
    </xf>
    <xf numFmtId="1" fontId="156" fillId="42" borderId="33" xfId="0" applyNumberFormat="1" applyFont="1" applyFill="1" applyBorder="1" applyAlignment="1">
      <alignment horizontal="justify" vertical="center" wrapText="1"/>
    </xf>
    <xf numFmtId="182" fontId="164" fillId="42" borderId="33" xfId="0" applyNumberFormat="1" applyFont="1" applyFill="1" applyBorder="1" applyAlignment="1">
      <alignment horizontal="right" vertical="center" wrapText="1" shrinkToFit="1"/>
    </xf>
    <xf numFmtId="1" fontId="11" fillId="33" borderId="36" xfId="64" applyNumberFormat="1" applyFont="1" applyFill="1" applyBorder="1" applyAlignment="1">
      <alignment vertical="center" wrapText="1"/>
      <protection/>
    </xf>
    <xf numFmtId="190" fontId="20" fillId="0" borderId="0" xfId="0" applyNumberFormat="1" applyFont="1" applyAlignment="1">
      <alignment/>
    </xf>
    <xf numFmtId="180" fontId="11" fillId="0" borderId="33" xfId="0" applyNumberFormat="1" applyFont="1" applyBorder="1" applyAlignment="1">
      <alignment horizontal="right" vertical="center" wrapText="1"/>
    </xf>
    <xf numFmtId="180" fontId="11" fillId="0" borderId="0" xfId="0" applyNumberFormat="1" applyFont="1" applyAlignment="1">
      <alignment/>
    </xf>
    <xf numFmtId="0" fontId="15" fillId="0" borderId="33" xfId="0" applyFont="1" applyBorder="1" applyAlignment="1" quotePrefix="1">
      <alignment horizontal="center" vertical="center" wrapText="1"/>
    </xf>
    <xf numFmtId="0" fontId="15" fillId="0" borderId="33" xfId="0" applyFont="1" applyBorder="1" applyAlignment="1">
      <alignment horizontal="left" vertical="center" wrapText="1"/>
    </xf>
    <xf numFmtId="180" fontId="15" fillId="0" borderId="33" xfId="0" applyNumberFormat="1" applyFont="1" applyBorder="1" applyAlignment="1">
      <alignment horizontal="right" vertical="center" wrapText="1"/>
    </xf>
    <xf numFmtId="0" fontId="15" fillId="0" borderId="0" xfId="0" applyFont="1" applyAlignment="1">
      <alignment/>
    </xf>
    <xf numFmtId="182" fontId="15" fillId="0" borderId="0" xfId="0" applyNumberFormat="1" applyFont="1" applyAlignment="1">
      <alignment/>
    </xf>
    <xf numFmtId="180" fontId="15" fillId="0" borderId="0" xfId="0" applyNumberFormat="1" applyFont="1" applyAlignment="1">
      <alignment/>
    </xf>
    <xf numFmtId="182" fontId="11" fillId="0" borderId="33" xfId="0" applyNumberFormat="1" applyFont="1" applyBorder="1" applyAlignment="1">
      <alignment horizontal="right" vertical="center" wrapText="1"/>
    </xf>
    <xf numFmtId="182" fontId="20" fillId="0" borderId="0" xfId="0" applyNumberFormat="1" applyFont="1" applyAlignment="1">
      <alignment/>
    </xf>
    <xf numFmtId="182" fontId="15" fillId="0" borderId="33" xfId="0" applyNumberFormat="1" applyFont="1" applyBorder="1" applyAlignment="1">
      <alignment horizontal="right" vertical="center" wrapText="1"/>
    </xf>
    <xf numFmtId="0" fontId="24" fillId="0" borderId="0" xfId="0" applyFont="1" applyAlignment="1">
      <alignment/>
    </xf>
    <xf numFmtId="0" fontId="11" fillId="0" borderId="33" xfId="0" applyFont="1" applyBorder="1" applyAlignment="1">
      <alignment vertical="center" wrapText="1"/>
    </xf>
    <xf numFmtId="0" fontId="15" fillId="0" borderId="33" xfId="0" applyFont="1" applyBorder="1" applyAlignment="1">
      <alignment vertical="center" wrapText="1"/>
    </xf>
    <xf numFmtId="0" fontId="11" fillId="33" borderId="33" xfId="0" applyFont="1" applyFill="1" applyBorder="1" applyAlignment="1">
      <alignment horizontal="center" vertical="center" wrapText="1"/>
    </xf>
    <xf numFmtId="0" fontId="11" fillId="33" borderId="33" xfId="0" applyFont="1" applyFill="1" applyBorder="1" applyAlignment="1">
      <alignment vertical="center" wrapText="1"/>
    </xf>
    <xf numFmtId="0" fontId="20" fillId="33" borderId="33" xfId="0" applyFont="1" applyFill="1" applyBorder="1" applyAlignment="1">
      <alignment horizontal="center" vertical="center" wrapText="1"/>
    </xf>
    <xf numFmtId="180" fontId="25" fillId="33" borderId="33" xfId="0" applyNumberFormat="1" applyFont="1" applyFill="1" applyBorder="1" applyAlignment="1">
      <alignment horizontal="right" vertical="center" wrapText="1"/>
    </xf>
    <xf numFmtId="0" fontId="20" fillId="33" borderId="0" xfId="0" applyFont="1" applyFill="1" applyAlignment="1">
      <alignment/>
    </xf>
    <xf numFmtId="0" fontId="15" fillId="33" borderId="33" xfId="0" applyFont="1" applyFill="1" applyBorder="1" applyAlignment="1">
      <alignment horizontal="center" vertical="center" wrapText="1"/>
    </xf>
    <xf numFmtId="0" fontId="15" fillId="33" borderId="33" xfId="0" applyFont="1" applyFill="1" applyBorder="1" applyAlignment="1">
      <alignment vertical="center" wrapText="1"/>
    </xf>
    <xf numFmtId="180" fontId="6" fillId="33" borderId="33" xfId="0" applyNumberFormat="1" applyFont="1" applyFill="1" applyBorder="1" applyAlignment="1">
      <alignment horizontal="right" vertical="center" wrapText="1"/>
    </xf>
    <xf numFmtId="0" fontId="11" fillId="33" borderId="0" xfId="0" applyFont="1" applyFill="1" applyAlignment="1">
      <alignment/>
    </xf>
    <xf numFmtId="0" fontId="15" fillId="33" borderId="0" xfId="0" applyFont="1" applyFill="1" applyAlignment="1">
      <alignment/>
    </xf>
    <xf numFmtId="0" fontId="15" fillId="42" borderId="33" xfId="0" applyFont="1" applyFill="1" applyBorder="1" applyAlignment="1">
      <alignment horizontal="center" vertical="center" wrapText="1"/>
    </xf>
    <xf numFmtId="0" fontId="20" fillId="0" borderId="33" xfId="0" applyFont="1" applyBorder="1" applyAlignment="1" quotePrefix="1">
      <alignment horizontal="center" vertical="center" wrapText="1"/>
    </xf>
    <xf numFmtId="0" fontId="20" fillId="33" borderId="12" xfId="39" applyFont="1" applyFill="1" applyBorder="1" applyAlignment="1">
      <alignment horizontal="left" vertical="center" wrapText="1"/>
      <protection/>
    </xf>
    <xf numFmtId="0" fontId="156" fillId="33" borderId="12" xfId="39" applyFont="1" applyFill="1" applyBorder="1" applyAlignment="1">
      <alignment horizontal="left" vertical="center" wrapText="1"/>
      <protection/>
    </xf>
    <xf numFmtId="180" fontId="0" fillId="0" borderId="33" xfId="0" applyNumberFormat="1" applyBorder="1" applyAlignment="1">
      <alignment horizontal="right" vertical="center" wrapText="1"/>
    </xf>
    <xf numFmtId="0" fontId="11" fillId="42" borderId="33" xfId="0" applyFont="1" applyFill="1" applyBorder="1" applyAlignment="1">
      <alignment horizontal="center" vertical="center" wrapText="1"/>
    </xf>
    <xf numFmtId="1" fontId="11" fillId="33" borderId="12" xfId="64" applyNumberFormat="1" applyFont="1" applyFill="1" applyBorder="1" applyAlignment="1">
      <alignment vertical="center" wrapText="1"/>
      <protection/>
    </xf>
    <xf numFmtId="180" fontId="11" fillId="42" borderId="33" xfId="0" applyNumberFormat="1" applyFont="1" applyFill="1" applyBorder="1" applyAlignment="1">
      <alignment horizontal="right" vertical="center" wrapText="1"/>
    </xf>
    <xf numFmtId="0" fontId="15" fillId="42" borderId="33" xfId="0" applyFont="1" applyFill="1" applyBorder="1" applyAlignment="1" quotePrefix="1">
      <alignment horizontal="center" vertical="center" wrapText="1"/>
    </xf>
    <xf numFmtId="180" fontId="15" fillId="42" borderId="33" xfId="0" applyNumberFormat="1" applyFont="1" applyFill="1" applyBorder="1" applyAlignment="1">
      <alignment horizontal="right" vertical="center" wrapText="1"/>
    </xf>
    <xf numFmtId="1" fontId="20" fillId="33" borderId="12" xfId="64" applyNumberFormat="1" applyFont="1" applyFill="1" applyBorder="1" applyAlignment="1">
      <alignment vertical="center" wrapText="1"/>
      <protection/>
    </xf>
    <xf numFmtId="0" fontId="11" fillId="33" borderId="12" xfId="0" applyFont="1" applyFill="1" applyBorder="1" applyAlignment="1">
      <alignment vertical="center" wrapText="1"/>
    </xf>
    <xf numFmtId="0" fontId="156" fillId="42" borderId="33" xfId="0" applyFont="1" applyFill="1" applyBorder="1" applyAlignment="1" quotePrefix="1">
      <alignment horizontal="center" vertical="center" wrapText="1"/>
    </xf>
    <xf numFmtId="0" fontId="156" fillId="33" borderId="12" xfId="0" applyFont="1" applyFill="1" applyBorder="1" applyAlignment="1">
      <alignment vertical="center" wrapText="1"/>
    </xf>
    <xf numFmtId="0" fontId="20" fillId="0" borderId="12" xfId="39" applyFont="1" applyBorder="1" applyAlignment="1">
      <alignment horizontal="left" vertical="center" wrapText="1"/>
      <protection/>
    </xf>
    <xf numFmtId="0" fontId="156" fillId="33" borderId="23" xfId="39" applyFont="1" applyFill="1" applyBorder="1" applyAlignment="1">
      <alignment horizontal="left" vertical="center" wrapText="1"/>
      <protection/>
    </xf>
    <xf numFmtId="0" fontId="20" fillId="33" borderId="23" xfId="0" applyFont="1" applyFill="1" applyBorder="1" applyAlignment="1">
      <alignment vertical="center" wrapText="1"/>
    </xf>
    <xf numFmtId="0" fontId="179" fillId="0" borderId="0" xfId="0" applyFont="1" applyAlignment="1">
      <alignment/>
    </xf>
    <xf numFmtId="0" fontId="11" fillId="33" borderId="36" xfId="0" applyFont="1" applyFill="1" applyBorder="1" applyAlignment="1">
      <alignment horizontal="left" vertical="center" wrapText="1"/>
    </xf>
    <xf numFmtId="0" fontId="172" fillId="0" borderId="0" xfId="0" applyFont="1" applyAlignment="1">
      <alignment vertical="center" wrapText="1"/>
    </xf>
    <xf numFmtId="182" fontId="156" fillId="0" borderId="0" xfId="0" applyNumberFormat="1" applyFont="1" applyAlignment="1">
      <alignment/>
    </xf>
    <xf numFmtId="0" fontId="173" fillId="0" borderId="0" xfId="0" applyFont="1" applyAlignment="1">
      <alignment/>
    </xf>
    <xf numFmtId="182" fontId="15" fillId="0" borderId="33" xfId="0" applyNumberFormat="1" applyFont="1" applyBorder="1" applyAlignment="1">
      <alignment horizontal="left" vertical="center" wrapText="1"/>
    </xf>
    <xf numFmtId="182" fontId="15" fillId="42" borderId="33" xfId="0" applyNumberFormat="1" applyFont="1" applyFill="1" applyBorder="1" applyAlignment="1">
      <alignment horizontal="right" vertical="center" wrapText="1"/>
    </xf>
    <xf numFmtId="182" fontId="11" fillId="0" borderId="33" xfId="0" applyNumberFormat="1" applyFont="1" applyBorder="1" applyAlignment="1">
      <alignment horizontal="left" vertical="center" wrapText="1"/>
    </xf>
    <xf numFmtId="182" fontId="15" fillId="0" borderId="33" xfId="0" applyNumberFormat="1" applyFont="1" applyBorder="1" applyAlignment="1" quotePrefix="1">
      <alignment horizontal="left" vertical="center" wrapText="1"/>
    </xf>
    <xf numFmtId="0" fontId="11" fillId="0" borderId="33" xfId="0" applyFont="1" applyBorder="1" applyAlignment="1">
      <alignment wrapText="1"/>
    </xf>
    <xf numFmtId="0" fontId="15" fillId="0" borderId="33" xfId="0" applyFont="1" applyBorder="1" applyAlignment="1">
      <alignment wrapText="1"/>
    </xf>
    <xf numFmtId="0" fontId="20" fillId="0" borderId="33" xfId="0" applyFont="1" applyBorder="1" applyAlignment="1">
      <alignment wrapText="1"/>
    </xf>
    <xf numFmtId="182" fontId="15" fillId="0" borderId="37" xfId="0" applyNumberFormat="1" applyFont="1" applyBorder="1" applyAlignment="1">
      <alignment horizontal="left" vertical="center" wrapText="1"/>
    </xf>
    <xf numFmtId="0" fontId="15" fillId="0" borderId="37" xfId="0" applyFont="1" applyBorder="1" applyAlignment="1">
      <alignment horizontal="center" vertical="center" wrapText="1"/>
    </xf>
    <xf numFmtId="180" fontId="6" fillId="0" borderId="37" xfId="0" applyNumberFormat="1" applyFont="1" applyBorder="1" applyAlignment="1">
      <alignment horizontal="right" vertical="center" wrapText="1"/>
    </xf>
    <xf numFmtId="0" fontId="11" fillId="0" borderId="24" xfId="0" applyFont="1" applyBorder="1" applyAlignment="1">
      <alignment horizontal="center" vertical="center"/>
    </xf>
    <xf numFmtId="0" fontId="11" fillId="0" borderId="24" xfId="0" applyFont="1" applyBorder="1" applyAlignment="1">
      <alignment/>
    </xf>
    <xf numFmtId="0" fontId="20" fillId="0" borderId="24" xfId="0" applyFont="1" applyBorder="1" applyAlignment="1">
      <alignment/>
    </xf>
    <xf numFmtId="0" fontId="15" fillId="0" borderId="0" xfId="0" applyFont="1" applyAlignment="1">
      <alignment horizontal="center"/>
    </xf>
    <xf numFmtId="0" fontId="11" fillId="33" borderId="12" xfId="0" applyFont="1" applyFill="1" applyBorder="1" applyAlignment="1">
      <alignment horizontal="left" vertical="center" wrapText="1"/>
    </xf>
    <xf numFmtId="180" fontId="143" fillId="0" borderId="23" xfId="43" applyNumberFormat="1" applyFont="1" applyBorder="1" applyAlignment="1">
      <alignment horizontal="center" vertical="center" wrapText="1"/>
    </xf>
    <xf numFmtId="0" fontId="125" fillId="0" borderId="12" xfId="0" applyFont="1" applyBorder="1" applyAlignment="1">
      <alignment vertical="center" wrapText="1"/>
    </xf>
    <xf numFmtId="0" fontId="141" fillId="0" borderId="12" xfId="0" applyFont="1" applyBorder="1" applyAlignment="1">
      <alignment horizontal="center" vertical="center" wrapText="1"/>
    </xf>
    <xf numFmtId="180" fontId="126" fillId="0" borderId="12" xfId="43" applyNumberFormat="1" applyFont="1" applyBorder="1" applyAlignment="1">
      <alignment horizontal="center" vertical="center" wrapText="1"/>
    </xf>
    <xf numFmtId="0" fontId="137" fillId="0" borderId="0" xfId="63" applyFont="1" applyAlignment="1">
      <alignment horizontal="center" vertical="center" wrapText="1"/>
      <protection/>
    </xf>
    <xf numFmtId="43" fontId="38" fillId="0" borderId="12" xfId="43" applyNumberFormat="1" applyFont="1" applyFill="1" applyBorder="1" applyAlignment="1">
      <alignment vertical="center"/>
    </xf>
    <xf numFmtId="3" fontId="7" fillId="0" borderId="12" xfId="43" applyNumberFormat="1" applyFont="1" applyFill="1" applyBorder="1" applyAlignment="1">
      <alignment horizontal="right" vertical="center"/>
    </xf>
    <xf numFmtId="4" fontId="7" fillId="0" borderId="12" xfId="43" applyNumberFormat="1" applyFont="1" applyFill="1" applyBorder="1" applyAlignment="1">
      <alignment horizontal="right" vertical="center"/>
    </xf>
    <xf numFmtId="0" fontId="7" fillId="0" borderId="0" xfId="62" applyFont="1" applyFill="1" applyBorder="1" applyAlignment="1">
      <alignment vertical="center"/>
      <protection/>
    </xf>
    <xf numFmtId="0" fontId="138" fillId="0" borderId="12" xfId="0" applyFont="1" applyFill="1" applyBorder="1" applyAlignment="1">
      <alignment horizontal="center" vertical="center"/>
    </xf>
    <xf numFmtId="0" fontId="138" fillId="0" borderId="12" xfId="0" applyFont="1" applyFill="1" applyBorder="1" applyAlignment="1">
      <alignment horizontal="left" vertical="center"/>
    </xf>
    <xf numFmtId="3" fontId="138" fillId="0" borderId="12" xfId="0" applyNumberFormat="1" applyFont="1" applyFill="1" applyBorder="1" applyAlignment="1">
      <alignment horizontal="right" vertical="center"/>
    </xf>
    <xf numFmtId="4" fontId="138" fillId="0" borderId="12" xfId="0" applyNumberFormat="1" applyFont="1" applyFill="1" applyBorder="1" applyAlignment="1">
      <alignment horizontal="right" vertical="center"/>
    </xf>
    <xf numFmtId="0" fontId="128" fillId="0" borderId="12" xfId="0" applyFont="1" applyFill="1" applyBorder="1" applyAlignment="1">
      <alignment horizontal="center" vertical="center"/>
    </xf>
    <xf numFmtId="0" fontId="128" fillId="0" borderId="12" xfId="0" applyFont="1" applyFill="1" applyBorder="1" applyAlignment="1">
      <alignment horizontal="left" vertical="center"/>
    </xf>
    <xf numFmtId="3" fontId="128" fillId="0" borderId="12" xfId="0" applyNumberFormat="1" applyFont="1" applyFill="1" applyBorder="1" applyAlignment="1">
      <alignment horizontal="right" vertical="center"/>
    </xf>
    <xf numFmtId="4" fontId="128" fillId="0" borderId="12" xfId="0" applyNumberFormat="1" applyFont="1" applyFill="1" applyBorder="1" applyAlignment="1">
      <alignment horizontal="right" vertical="center"/>
    </xf>
    <xf numFmtId="0" fontId="17" fillId="0" borderId="12" xfId="0" applyFont="1" applyFill="1" applyBorder="1" applyAlignment="1" quotePrefix="1">
      <alignment horizontal="center"/>
    </xf>
    <xf numFmtId="3" fontId="129" fillId="0" borderId="12" xfId="0" applyNumberFormat="1" applyFont="1" applyFill="1" applyBorder="1" applyAlignment="1">
      <alignment/>
    </xf>
    <xf numFmtId="4" fontId="129" fillId="0" borderId="12" xfId="0" applyNumberFormat="1" applyFont="1" applyFill="1" applyBorder="1" applyAlignment="1">
      <alignment/>
    </xf>
    <xf numFmtId="0" fontId="128" fillId="0" borderId="12" xfId="0" applyFont="1" applyFill="1" applyBorder="1" applyAlignment="1">
      <alignment horizontal="center"/>
    </xf>
    <xf numFmtId="3" fontId="128" fillId="0" borderId="12" xfId="0" applyNumberFormat="1" applyFont="1" applyFill="1" applyBorder="1" applyAlignment="1">
      <alignment/>
    </xf>
    <xf numFmtId="4" fontId="128" fillId="0" borderId="12" xfId="0" applyNumberFormat="1" applyFont="1" applyFill="1" applyBorder="1" applyAlignment="1">
      <alignment/>
    </xf>
    <xf numFmtId="3" fontId="18" fillId="0" borderId="12" xfId="0" applyNumberFormat="1" applyFont="1" applyFill="1" applyBorder="1" applyAlignment="1">
      <alignment/>
    </xf>
    <xf numFmtId="4" fontId="18" fillId="0" borderId="12" xfId="0" applyNumberFormat="1" applyFont="1" applyFill="1" applyBorder="1" applyAlignment="1">
      <alignment/>
    </xf>
    <xf numFmtId="0" fontId="128" fillId="0" borderId="12" xfId="0" applyFont="1" applyFill="1" applyBorder="1" applyAlignment="1">
      <alignment/>
    </xf>
    <xf numFmtId="0" fontId="8" fillId="0" borderId="0" xfId="0" applyFont="1" applyFill="1" applyAlignment="1">
      <alignment/>
    </xf>
    <xf numFmtId="180" fontId="8" fillId="0" borderId="0" xfId="43" applyNumberFormat="1" applyFont="1" applyFill="1" applyAlignment="1">
      <alignment/>
    </xf>
    <xf numFmtId="3" fontId="7" fillId="0" borderId="12" xfId="0" applyNumberFormat="1" applyFont="1" applyFill="1" applyBorder="1" applyAlignment="1">
      <alignment/>
    </xf>
    <xf numFmtId="4" fontId="7" fillId="0" borderId="12" xfId="0" applyNumberFormat="1" applyFont="1" applyFill="1" applyBorder="1" applyAlignment="1">
      <alignment/>
    </xf>
    <xf numFmtId="0" fontId="138" fillId="0" borderId="12" xfId="0" applyFont="1" applyFill="1" applyBorder="1" applyAlignment="1">
      <alignment horizontal="center"/>
    </xf>
    <xf numFmtId="3" fontId="138" fillId="0" borderId="12" xfId="0" applyNumberFormat="1" applyFont="1" applyFill="1" applyBorder="1" applyAlignment="1">
      <alignment/>
    </xf>
    <xf numFmtId="4" fontId="138" fillId="0" borderId="12" xfId="0" applyNumberFormat="1" applyFont="1" applyFill="1" applyBorder="1" applyAlignment="1">
      <alignment/>
    </xf>
    <xf numFmtId="4" fontId="17" fillId="0" borderId="12" xfId="0" applyNumberFormat="1" applyFont="1" applyFill="1" applyBorder="1" applyAlignment="1">
      <alignment/>
    </xf>
    <xf numFmtId="0" fontId="128" fillId="0" borderId="13" xfId="0" applyFont="1" applyFill="1" applyBorder="1" applyAlignment="1">
      <alignment horizontal="center"/>
    </xf>
    <xf numFmtId="3" fontId="128" fillId="0" borderId="13" xfId="0" applyNumberFormat="1" applyFont="1" applyFill="1" applyBorder="1" applyAlignment="1">
      <alignment/>
    </xf>
    <xf numFmtId="3" fontId="18" fillId="0" borderId="13" xfId="0" applyNumberFormat="1" applyFont="1" applyFill="1" applyBorder="1" applyAlignment="1">
      <alignment/>
    </xf>
    <xf numFmtId="4" fontId="18" fillId="0" borderId="13" xfId="0" applyNumberFormat="1" applyFont="1" applyFill="1" applyBorder="1" applyAlignment="1">
      <alignment/>
    </xf>
    <xf numFmtId="180" fontId="150" fillId="0" borderId="12" xfId="43" applyNumberFormat="1" applyFont="1" applyBorder="1" applyAlignment="1">
      <alignment horizontal="center" vertical="center" wrapText="1"/>
    </xf>
    <xf numFmtId="180" fontId="151" fillId="0" borderId="12" xfId="43" applyNumberFormat="1" applyFont="1" applyBorder="1" applyAlignment="1">
      <alignment horizontal="center" vertical="center" wrapText="1"/>
    </xf>
    <xf numFmtId="180" fontId="152" fillId="0" borderId="12" xfId="43" applyNumberFormat="1" applyFont="1" applyBorder="1" applyAlignment="1">
      <alignment horizontal="center" vertical="center" wrapText="1"/>
    </xf>
    <xf numFmtId="180" fontId="29" fillId="0" borderId="12" xfId="43" applyNumberFormat="1" applyFont="1" applyBorder="1" applyAlignment="1">
      <alignment horizontal="center" vertical="center" wrapText="1"/>
    </xf>
    <xf numFmtId="0" fontId="126" fillId="0" borderId="23" xfId="0" applyFont="1" applyBorder="1" applyAlignment="1">
      <alignment vertical="center" wrapText="1"/>
    </xf>
    <xf numFmtId="191" fontId="135" fillId="0" borderId="12" xfId="63" applyNumberFormat="1" applyFont="1" applyBorder="1" applyAlignment="1">
      <alignment vertical="center"/>
      <protection/>
    </xf>
    <xf numFmtId="0" fontId="23" fillId="0" borderId="12" xfId="63" applyFont="1" applyBorder="1" applyAlignment="1">
      <alignment horizontal="center" vertical="center"/>
      <protection/>
    </xf>
    <xf numFmtId="0" fontId="23" fillId="0" borderId="12" xfId="63" applyNumberFormat="1" applyFont="1" applyBorder="1" applyAlignment="1">
      <alignment horizontal="left" vertical="center" wrapText="1"/>
      <protection/>
    </xf>
    <xf numFmtId="4" fontId="23" fillId="0" borderId="12" xfId="63" applyNumberFormat="1" applyFont="1" applyBorder="1" applyAlignment="1">
      <alignment vertical="center"/>
      <protection/>
    </xf>
    <xf numFmtId="0" fontId="23" fillId="0" borderId="0" xfId="63" applyFont="1" applyAlignment="1">
      <alignment vertical="center"/>
      <protection/>
    </xf>
    <xf numFmtId="0" fontId="23" fillId="0" borderId="0" xfId="0" applyFont="1" applyAlignment="1">
      <alignment/>
    </xf>
    <xf numFmtId="191" fontId="22" fillId="0" borderId="12" xfId="43" applyNumberFormat="1" applyFont="1" applyBorder="1" applyAlignment="1">
      <alignment/>
    </xf>
    <xf numFmtId="0" fontId="134" fillId="0" borderId="15" xfId="63" applyFont="1" applyBorder="1" applyAlignment="1">
      <alignment horizontal="left" vertical="center" wrapText="1"/>
      <protection/>
    </xf>
    <xf numFmtId="180" fontId="125" fillId="34" borderId="12" xfId="43" applyNumberFormat="1" applyFont="1" applyFill="1" applyBorder="1" applyAlignment="1">
      <alignment horizontal="center" vertical="center" wrapText="1"/>
    </xf>
    <xf numFmtId="180" fontId="126" fillId="0" borderId="38" xfId="43" applyNumberFormat="1" applyFont="1" applyBorder="1" applyAlignment="1">
      <alignment horizontal="center" vertical="center" wrapText="1"/>
    </xf>
    <xf numFmtId="0" fontId="126" fillId="0" borderId="38" xfId="0" applyFont="1" applyBorder="1" applyAlignment="1">
      <alignment horizontal="center" vertical="center" wrapText="1"/>
    </xf>
    <xf numFmtId="0" fontId="9" fillId="0" borderId="38" xfId="0" applyFont="1" applyFill="1" applyBorder="1" applyAlignment="1">
      <alignment vertical="center"/>
    </xf>
    <xf numFmtId="180" fontId="0" fillId="0" borderId="0" xfId="0" applyNumberFormat="1" applyAlignment="1">
      <alignment horizontal="right"/>
    </xf>
    <xf numFmtId="173" fontId="0" fillId="0" borderId="0" xfId="43" applyNumberFormat="1" applyFont="1" applyAlignment="1">
      <alignment vertical="center"/>
    </xf>
    <xf numFmtId="173" fontId="0" fillId="0" borderId="0" xfId="43" applyNumberFormat="1" applyFont="1" applyAlignment="1">
      <alignment/>
    </xf>
    <xf numFmtId="0" fontId="170" fillId="0" borderId="39" xfId="0" applyFont="1" applyBorder="1" applyAlignment="1">
      <alignment vertical="center" wrapText="1"/>
    </xf>
    <xf numFmtId="0" fontId="170" fillId="0" borderId="32" xfId="0" applyFont="1" applyBorder="1" applyAlignment="1">
      <alignment vertical="center" wrapText="1"/>
    </xf>
    <xf numFmtId="0" fontId="170" fillId="0" borderId="40" xfId="0" applyFont="1" applyBorder="1" applyAlignment="1">
      <alignment vertical="center" wrapText="1"/>
    </xf>
    <xf numFmtId="0" fontId="168" fillId="0" borderId="39" xfId="0" applyFont="1" applyBorder="1" applyAlignment="1">
      <alignment vertical="center" wrapText="1"/>
    </xf>
    <xf numFmtId="0" fontId="168" fillId="0" borderId="40" xfId="0" applyFont="1" applyBorder="1" applyAlignment="1">
      <alignment vertical="center" wrapText="1"/>
    </xf>
    <xf numFmtId="0" fontId="168" fillId="0" borderId="32" xfId="0" applyFont="1" applyBorder="1" applyAlignment="1">
      <alignment vertical="center" wrapText="1"/>
    </xf>
    <xf numFmtId="0" fontId="168" fillId="0" borderId="41" xfId="0" applyFont="1" applyBorder="1" applyAlignment="1">
      <alignment vertical="center" wrapText="1"/>
    </xf>
    <xf numFmtId="0" fontId="168" fillId="0" borderId="30" xfId="0" applyFont="1" applyBorder="1" applyAlignment="1">
      <alignment vertical="center" wrapText="1"/>
    </xf>
    <xf numFmtId="0" fontId="168" fillId="3" borderId="39" xfId="0" applyFont="1" applyFill="1" applyBorder="1" applyAlignment="1">
      <alignment vertical="center" wrapText="1"/>
    </xf>
    <xf numFmtId="0" fontId="168" fillId="3" borderId="32" xfId="0" applyFont="1" applyFill="1" applyBorder="1" applyAlignment="1">
      <alignment vertical="center" wrapText="1"/>
    </xf>
    <xf numFmtId="0" fontId="168" fillId="3" borderId="40" xfId="0" applyFont="1" applyFill="1" applyBorder="1" applyAlignment="1">
      <alignment vertical="center" wrapText="1"/>
    </xf>
    <xf numFmtId="0" fontId="169" fillId="0" borderId="41" xfId="56" applyFont="1" applyBorder="1" applyAlignment="1">
      <alignment vertical="center" wrapText="1"/>
    </xf>
    <xf numFmtId="0" fontId="169" fillId="0" borderId="31" xfId="56" applyFont="1" applyBorder="1" applyAlignment="1">
      <alignment vertical="center" wrapText="1"/>
    </xf>
    <xf numFmtId="0" fontId="169" fillId="0" borderId="30" xfId="56" applyFont="1" applyBorder="1" applyAlignment="1">
      <alignment vertical="center" wrapText="1"/>
    </xf>
    <xf numFmtId="0" fontId="169" fillId="0" borderId="10" xfId="56" applyFont="1" applyBorder="1" applyAlignment="1">
      <alignment vertical="center"/>
    </xf>
    <xf numFmtId="0" fontId="167" fillId="3" borderId="41" xfId="0" applyFont="1" applyFill="1" applyBorder="1" applyAlignment="1">
      <alignment vertical="center" wrapText="1"/>
    </xf>
    <xf numFmtId="0" fontId="167" fillId="3" borderId="31" xfId="0" applyFont="1" applyFill="1" applyBorder="1" applyAlignment="1">
      <alignment vertical="center" wrapText="1"/>
    </xf>
    <xf numFmtId="0" fontId="167" fillId="3" borderId="30" xfId="0" applyFont="1" applyFill="1" applyBorder="1" applyAlignment="1">
      <alignment vertical="center" wrapText="1"/>
    </xf>
    <xf numFmtId="0" fontId="163" fillId="0" borderId="14" xfId="0" applyFont="1" applyBorder="1" applyAlignment="1">
      <alignment horizontal="center" vertical="center"/>
    </xf>
    <xf numFmtId="0" fontId="163" fillId="0" borderId="38" xfId="0" applyFont="1" applyBorder="1" applyAlignment="1">
      <alignment horizontal="center" vertical="center"/>
    </xf>
    <xf numFmtId="0" fontId="180" fillId="0" borderId="21" xfId="56" applyFont="1" applyBorder="1" applyAlignment="1">
      <alignment vertical="center"/>
    </xf>
    <xf numFmtId="0" fontId="169" fillId="0" borderId="21" xfId="56" applyFont="1" applyBorder="1" applyAlignment="1">
      <alignment vertical="center"/>
    </xf>
    <xf numFmtId="0" fontId="169" fillId="0" borderId="41" xfId="56" applyFont="1" applyBorder="1" applyAlignment="1">
      <alignment vertical="center"/>
    </xf>
    <xf numFmtId="0" fontId="169" fillId="0" borderId="31" xfId="56" applyFont="1" applyBorder="1" applyAlignment="1">
      <alignment vertical="center"/>
    </xf>
    <xf numFmtId="0" fontId="169" fillId="0" borderId="30" xfId="56" applyFont="1" applyBorder="1" applyAlignment="1">
      <alignment vertical="center"/>
    </xf>
    <xf numFmtId="0" fontId="169" fillId="0" borderId="42" xfId="56" applyFont="1" applyBorder="1" applyAlignment="1">
      <alignment vertical="center"/>
    </xf>
    <xf numFmtId="0" fontId="169" fillId="0" borderId="43" xfId="56" applyFont="1" applyBorder="1" applyAlignment="1">
      <alignment vertical="center"/>
    </xf>
    <xf numFmtId="0" fontId="169" fillId="0" borderId="44" xfId="56" applyFont="1" applyBorder="1" applyAlignment="1">
      <alignment vertical="center"/>
    </xf>
    <xf numFmtId="0" fontId="163" fillId="0" borderId="22" xfId="0" applyFont="1" applyBorder="1" applyAlignment="1">
      <alignment horizontal="center" vertical="center"/>
    </xf>
    <xf numFmtId="0" fontId="167" fillId="3" borderId="41" xfId="0" applyFont="1" applyFill="1" applyBorder="1" applyAlignment="1">
      <alignment horizontal="center" vertical="center" wrapText="1"/>
    </xf>
    <xf numFmtId="0" fontId="167" fillId="3" borderId="31" xfId="0" applyFont="1" applyFill="1" applyBorder="1" applyAlignment="1">
      <alignment horizontal="center" vertical="center" wrapText="1"/>
    </xf>
    <xf numFmtId="0" fontId="167" fillId="3" borderId="30" xfId="0" applyFont="1" applyFill="1" applyBorder="1" applyAlignment="1">
      <alignment horizontal="center" vertical="center" wrapText="1"/>
    </xf>
    <xf numFmtId="0" fontId="181" fillId="43" borderId="0" xfId="0" applyFont="1" applyFill="1" applyAlignment="1">
      <alignment horizontal="center" vertical="center"/>
    </xf>
    <xf numFmtId="0" fontId="171" fillId="44" borderId="0" xfId="0" applyFont="1" applyFill="1" applyBorder="1" applyAlignment="1">
      <alignment horizontal="center" vertical="center"/>
    </xf>
    <xf numFmtId="0" fontId="19" fillId="0" borderId="0" xfId="0" applyFont="1" applyFill="1" applyAlignment="1">
      <alignment horizontal="center"/>
    </xf>
    <xf numFmtId="0" fontId="20" fillId="0" borderId="0" xfId="0" applyFont="1" applyFill="1" applyAlignment="1">
      <alignment horizontal="center"/>
    </xf>
    <xf numFmtId="0" fontId="20" fillId="0" borderId="0" xfId="0" applyFont="1" applyAlignment="1">
      <alignment horizontal="center"/>
    </xf>
    <xf numFmtId="0" fontId="5" fillId="0" borderId="0" xfId="0" applyFont="1" applyFill="1" applyAlignment="1">
      <alignment horizontal="center"/>
    </xf>
    <xf numFmtId="0" fontId="5" fillId="0" borderId="0" xfId="0" applyFont="1" applyFill="1" applyAlignment="1">
      <alignment horizontal="left"/>
    </xf>
    <xf numFmtId="0" fontId="125" fillId="0" borderId="0" xfId="0" applyFont="1" applyAlignment="1">
      <alignment horizontal="center"/>
    </xf>
    <xf numFmtId="180" fontId="125" fillId="0" borderId="0" xfId="43" applyNumberFormat="1" applyFont="1" applyAlignment="1">
      <alignment horizontal="center"/>
    </xf>
    <xf numFmtId="180" fontId="153" fillId="0" borderId="0" xfId="43" applyNumberFormat="1" applyFont="1" applyAlignment="1">
      <alignment horizontal="center"/>
    </xf>
    <xf numFmtId="180" fontId="0" fillId="0" borderId="0" xfId="43" applyNumberFormat="1" applyFont="1" applyAlignment="1">
      <alignment horizontal="center" wrapText="1"/>
    </xf>
    <xf numFmtId="180" fontId="0" fillId="0" borderId="0" xfId="43" applyNumberFormat="1" applyFont="1" applyAlignment="1">
      <alignment horizontal="center"/>
    </xf>
    <xf numFmtId="180" fontId="141" fillId="0" borderId="0" xfId="43" applyNumberFormat="1" applyFont="1" applyAlignment="1">
      <alignment horizontal="center"/>
    </xf>
    <xf numFmtId="0" fontId="182" fillId="0" borderId="0" xfId="0" applyFont="1" applyAlignment="1">
      <alignment horizontal="center"/>
    </xf>
    <xf numFmtId="0" fontId="141" fillId="0" borderId="0" xfId="0" applyFont="1" applyAlignment="1">
      <alignment horizontal="center"/>
    </xf>
    <xf numFmtId="0" fontId="141" fillId="0" borderId="0" xfId="0" applyFont="1" applyAlignment="1">
      <alignment horizontal="center" vertical="center"/>
    </xf>
    <xf numFmtId="0" fontId="3" fillId="0" borderId="12" xfId="0" applyFont="1" applyBorder="1" applyAlignment="1" quotePrefix="1">
      <alignment vertical="center" wrapText="1"/>
    </xf>
    <xf numFmtId="0" fontId="125" fillId="0" borderId="12" xfId="0" applyFont="1" applyBorder="1" applyAlignment="1">
      <alignment vertical="center" wrapText="1"/>
    </xf>
    <xf numFmtId="0" fontId="125" fillId="0" borderId="13" xfId="0" applyFont="1" applyBorder="1" applyAlignment="1">
      <alignment vertical="center" wrapText="1"/>
    </xf>
    <xf numFmtId="180" fontId="141" fillId="0" borderId="0" xfId="43" applyNumberFormat="1" applyFont="1" applyAlignment="1">
      <alignment horizontal="center" vertical="center"/>
    </xf>
    <xf numFmtId="0" fontId="125" fillId="5" borderId="10" xfId="0" applyFont="1" applyFill="1" applyBorder="1" applyAlignment="1">
      <alignment horizontal="center" vertical="center" wrapText="1"/>
    </xf>
    <xf numFmtId="180" fontId="125" fillId="5" borderId="10" xfId="43" applyNumberFormat="1" applyFont="1" applyFill="1" applyBorder="1" applyAlignment="1">
      <alignment horizontal="center" vertical="center" wrapText="1"/>
    </xf>
    <xf numFmtId="0" fontId="125" fillId="0" borderId="0" xfId="0" applyFont="1" applyAlignment="1">
      <alignment horizontal="center" vertical="center"/>
    </xf>
    <xf numFmtId="180" fontId="125" fillId="0" borderId="0" xfId="43" applyNumberFormat="1" applyFont="1" applyAlignment="1">
      <alignment horizontal="center" vertical="center"/>
    </xf>
    <xf numFmtId="180" fontId="153" fillId="0" borderId="0" xfId="43" applyNumberFormat="1" applyFont="1" applyAlignment="1">
      <alignment horizontal="center" vertical="center"/>
    </xf>
    <xf numFmtId="0" fontId="182" fillId="0" borderId="0" xfId="0" applyFont="1" applyAlignment="1">
      <alignment horizontal="center" vertical="center"/>
    </xf>
    <xf numFmtId="0" fontId="141" fillId="0" borderId="12" xfId="0" applyFont="1" applyBorder="1" applyAlignment="1">
      <alignment horizontal="center" vertical="center" wrapText="1"/>
    </xf>
    <xf numFmtId="180" fontId="126" fillId="0" borderId="12" xfId="43" applyNumberFormat="1" applyFont="1" applyBorder="1" applyAlignment="1">
      <alignment horizontal="center" vertical="center" wrapText="1"/>
    </xf>
    <xf numFmtId="180" fontId="157" fillId="0" borderId="0" xfId="43" applyNumberFormat="1" applyFont="1" applyAlignment="1">
      <alignment horizontal="center"/>
    </xf>
    <xf numFmtId="180" fontId="125" fillId="5" borderId="45" xfId="43" applyNumberFormat="1" applyFont="1" applyFill="1" applyBorder="1" applyAlignment="1">
      <alignment horizontal="center" vertical="center" wrapText="1"/>
    </xf>
    <xf numFmtId="180" fontId="125" fillId="5" borderId="46" xfId="43" applyNumberFormat="1" applyFont="1" applyFill="1" applyBorder="1" applyAlignment="1">
      <alignment horizontal="center" vertical="center" wrapText="1"/>
    </xf>
    <xf numFmtId="180" fontId="125" fillId="5" borderId="21" xfId="43" applyNumberFormat="1" applyFont="1" applyFill="1" applyBorder="1" applyAlignment="1">
      <alignment horizontal="center" vertical="center" wrapText="1"/>
    </xf>
    <xf numFmtId="0" fontId="126" fillId="5" borderId="10" xfId="0" applyFont="1" applyFill="1" applyBorder="1" applyAlignment="1">
      <alignment horizontal="center" vertical="center" wrapText="1"/>
    </xf>
    <xf numFmtId="0" fontId="138" fillId="0" borderId="14" xfId="0" applyFont="1" applyBorder="1" applyAlignment="1">
      <alignment horizontal="center" vertical="center" wrapText="1"/>
    </xf>
    <xf numFmtId="0" fontId="138" fillId="0" borderId="11" xfId="0" applyFont="1" applyBorder="1" applyAlignment="1">
      <alignment horizontal="center" vertical="center" wrapText="1"/>
    </xf>
    <xf numFmtId="0" fontId="138" fillId="0" borderId="14" xfId="0" applyFont="1" applyBorder="1" applyAlignment="1">
      <alignment horizontal="center" vertical="center"/>
    </xf>
    <xf numFmtId="0" fontId="138" fillId="0" borderId="11" xfId="0" applyFont="1" applyBorder="1" applyAlignment="1">
      <alignment horizontal="center" vertical="center"/>
    </xf>
    <xf numFmtId="0" fontId="138" fillId="0" borderId="47" xfId="0" applyFont="1" applyBorder="1" applyAlignment="1">
      <alignment horizontal="center" vertical="center" wrapText="1"/>
    </xf>
    <xf numFmtId="0" fontId="138" fillId="0" borderId="48" xfId="0" applyFont="1" applyBorder="1" applyAlignment="1">
      <alignment horizontal="center" vertical="center" wrapText="1"/>
    </xf>
    <xf numFmtId="0" fontId="138" fillId="0" borderId="49" xfId="0" applyFont="1" applyBorder="1" applyAlignment="1">
      <alignment horizontal="center" vertical="center" wrapText="1"/>
    </xf>
    <xf numFmtId="0" fontId="138" fillId="0" borderId="50" xfId="0" applyFont="1" applyBorder="1" applyAlignment="1">
      <alignment horizontal="center" vertical="center" wrapText="1"/>
    </xf>
    <xf numFmtId="0" fontId="0" fillId="0" borderId="10" xfId="0" applyBorder="1" applyAlignment="1">
      <alignment horizontal="center" vertical="center" wrapText="1"/>
    </xf>
    <xf numFmtId="0" fontId="143" fillId="0" borderId="12" xfId="0" applyFont="1" applyBorder="1" applyAlignment="1">
      <alignment vertical="center" wrapText="1"/>
    </xf>
    <xf numFmtId="0" fontId="20" fillId="0" borderId="0" xfId="0" applyFont="1" applyAlignment="1">
      <alignment horizontal="center"/>
    </xf>
    <xf numFmtId="0" fontId="15" fillId="0" borderId="0" xfId="0" applyFont="1" applyAlignment="1">
      <alignment horizontal="center" vertical="center"/>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5" fillId="0" borderId="0" xfId="0" applyFont="1" applyAlignment="1">
      <alignment horizontal="center"/>
    </xf>
    <xf numFmtId="0" fontId="126" fillId="0" borderId="12" xfId="0" applyFont="1" applyBorder="1" applyAlignment="1">
      <alignment horizontal="center" vertical="center" wrapText="1"/>
    </xf>
    <xf numFmtId="0" fontId="142" fillId="0" borderId="0" xfId="0" applyFont="1" applyAlignment="1">
      <alignment horizontal="center" vertical="center"/>
    </xf>
    <xf numFmtId="3" fontId="142" fillId="5" borderId="53" xfId="43" applyNumberFormat="1" applyFont="1" applyFill="1" applyBorder="1" applyAlignment="1">
      <alignment horizontal="center" vertical="center" wrapText="1"/>
    </xf>
    <xf numFmtId="3" fontId="142" fillId="5" borderId="0" xfId="43" applyNumberFormat="1" applyFont="1" applyFill="1" applyBorder="1" applyAlignment="1">
      <alignment horizontal="center" vertical="center" wrapText="1"/>
    </xf>
    <xf numFmtId="3" fontId="121" fillId="0" borderId="53" xfId="0" applyNumberFormat="1" applyFont="1" applyBorder="1" applyAlignment="1">
      <alignment horizontal="center"/>
    </xf>
    <xf numFmtId="3" fontId="121" fillId="0" borderId="0" xfId="0" applyNumberFormat="1" applyFont="1" applyAlignment="1">
      <alignment horizontal="center"/>
    </xf>
    <xf numFmtId="0" fontId="122" fillId="0" borderId="0" xfId="0" applyFont="1" applyAlignment="1">
      <alignment horizontal="center" vertical="center"/>
    </xf>
    <xf numFmtId="0" fontId="124" fillId="0" borderId="0" xfId="0" applyFont="1" applyAlignment="1">
      <alignment horizontal="center" vertical="center"/>
    </xf>
    <xf numFmtId="180" fontId="183" fillId="0" borderId="0" xfId="43" applyNumberFormat="1" applyFont="1" applyAlignment="1">
      <alignment horizontal="center"/>
    </xf>
    <xf numFmtId="180" fontId="138" fillId="0" borderId="0" xfId="43" applyNumberFormat="1" applyFont="1" applyAlignment="1">
      <alignment horizontal="center"/>
    </xf>
    <xf numFmtId="180" fontId="138" fillId="0" borderId="0" xfId="43" applyNumberFormat="1" applyFont="1" applyAlignment="1">
      <alignment horizontal="center" vertical="center"/>
    </xf>
    <xf numFmtId="3" fontId="0" fillId="34" borderId="0" xfId="0" applyNumberFormat="1" applyFill="1" applyAlignment="1">
      <alignment horizontal="center" vertical="center"/>
    </xf>
    <xf numFmtId="180" fontId="183" fillId="0" borderId="0" xfId="43" applyNumberFormat="1" applyFont="1" applyAlignment="1">
      <alignment horizontal="center" vertical="center"/>
    </xf>
    <xf numFmtId="0" fontId="142" fillId="33" borderId="10" xfId="0" applyFont="1" applyFill="1" applyBorder="1" applyAlignment="1">
      <alignment horizontal="center" vertical="center" wrapText="1"/>
    </xf>
    <xf numFmtId="180" fontId="142" fillId="33" borderId="10" xfId="43" applyNumberFormat="1" applyFont="1" applyFill="1" applyBorder="1" applyAlignment="1">
      <alignment horizontal="center" vertical="center" wrapText="1"/>
    </xf>
    <xf numFmtId="180" fontId="142" fillId="33" borderId="45" xfId="43" applyNumberFormat="1" applyFont="1" applyFill="1" applyBorder="1" applyAlignment="1">
      <alignment horizontal="center" vertical="center" wrapText="1"/>
    </xf>
    <xf numFmtId="180" fontId="142" fillId="33" borderId="21" xfId="43" applyNumberFormat="1" applyFont="1" applyFill="1" applyBorder="1" applyAlignment="1">
      <alignment horizontal="center" vertical="center" wrapText="1"/>
    </xf>
    <xf numFmtId="0" fontId="142" fillId="33" borderId="14" xfId="0" applyFont="1" applyFill="1" applyBorder="1" applyAlignment="1">
      <alignment horizontal="center" vertical="center" wrapText="1"/>
    </xf>
    <xf numFmtId="0" fontId="142" fillId="33" borderId="38" xfId="0" applyFont="1" applyFill="1" applyBorder="1" applyAlignment="1">
      <alignment horizontal="center" vertical="center" wrapText="1"/>
    </xf>
    <xf numFmtId="0" fontId="14" fillId="0" borderId="10" xfId="63" applyFont="1" applyBorder="1" applyAlignment="1">
      <alignment horizontal="center" vertical="center" wrapText="1"/>
      <protection/>
    </xf>
    <xf numFmtId="180" fontId="184" fillId="0" borderId="0" xfId="43" applyNumberFormat="1" applyFont="1" applyAlignment="1">
      <alignment horizontal="center"/>
    </xf>
    <xf numFmtId="0" fontId="185" fillId="0" borderId="0" xfId="0" applyFont="1" applyAlignment="1">
      <alignment horizontal="center"/>
    </xf>
    <xf numFmtId="0" fontId="137" fillId="0" borderId="10" xfId="63" applyFont="1" applyBorder="1" applyAlignment="1">
      <alignment horizontal="center" vertical="center" wrapText="1"/>
      <protection/>
    </xf>
    <xf numFmtId="0" fontId="137" fillId="0" borderId="10" xfId="63" applyFont="1" applyBorder="1" applyAlignment="1">
      <alignment horizontal="center" vertical="center"/>
      <protection/>
    </xf>
    <xf numFmtId="0" fontId="137" fillId="0" borderId="0" xfId="63" applyFont="1" applyAlignment="1">
      <alignment horizontal="center" vertical="center" wrapText="1"/>
      <protection/>
    </xf>
    <xf numFmtId="0" fontId="14" fillId="0" borderId="0" xfId="0" applyFont="1" applyAlignment="1">
      <alignment horizontal="center"/>
    </xf>
    <xf numFmtId="0" fontId="137" fillId="0" borderId="54" xfId="63" applyFont="1" applyBorder="1" applyAlignment="1">
      <alignment horizontal="center" vertical="center" wrapText="1"/>
      <protection/>
    </xf>
    <xf numFmtId="0" fontId="12" fillId="0" borderId="0" xfId="62" applyNumberFormat="1" applyFont="1" applyFill="1" applyAlignment="1">
      <alignment horizontal="center" vertical="center" wrapText="1"/>
      <protection/>
    </xf>
    <xf numFmtId="0" fontId="13" fillId="0" borderId="0" xfId="62" applyNumberFormat="1" applyFont="1" applyFill="1" applyAlignment="1">
      <alignment horizontal="center" vertical="center" wrapText="1"/>
      <protection/>
    </xf>
    <xf numFmtId="180" fontId="131" fillId="0" borderId="0" xfId="43" applyNumberFormat="1" applyFont="1" applyAlignment="1">
      <alignment horizontal="center"/>
    </xf>
    <xf numFmtId="0" fontId="125" fillId="0" borderId="0" xfId="0" applyFont="1" applyAlignment="1">
      <alignment horizontal="center" vertical="center" wrapText="1"/>
    </xf>
    <xf numFmtId="0" fontId="141" fillId="0" borderId="0" xfId="0" applyFont="1" applyAlignment="1">
      <alignment horizontal="center" vertical="center" wrapText="1"/>
    </xf>
    <xf numFmtId="0" fontId="156" fillId="0" borderId="0" xfId="0" applyFont="1" applyAlignment="1">
      <alignment horizontal="center"/>
    </xf>
    <xf numFmtId="0" fontId="124" fillId="0" borderId="0" xfId="0" applyFont="1" applyAlignment="1">
      <alignment horizontal="center" vertical="center" wrapText="1"/>
    </xf>
    <xf numFmtId="0" fontId="122" fillId="0" borderId="0" xfId="0" applyFont="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 5" xfId="63"/>
    <cellStyle name="Normal_Bieu mau (CV )"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s>
</file>

<file path=xl/drawings/_rels/drawing11.xml.rels><?xml version="1.0" encoding="utf-8" standalone="yes"?><Relationships xmlns="http://schemas.openxmlformats.org/package/2006/relationships"><Relationship Id="rId1" Type="http://schemas.openxmlformats.org/officeDocument/2006/relationships/hyperlink" Target="#Phuluc1!A1" /></Relationships>
</file>

<file path=xl/drawings/_rels/drawing12.xml.rels><?xml version="1.0" encoding="utf-8" standalone="yes"?><Relationships xmlns="http://schemas.openxmlformats.org/package/2006/relationships"><Relationship Id="rId1" Type="http://schemas.openxmlformats.org/officeDocument/2006/relationships/hyperlink" Target="#Phuluc1!A1" /></Relationships>
</file>

<file path=xl/drawings/_rels/drawing13.xml.rels><?xml version="1.0" encoding="utf-8" standalone="yes"?><Relationships xmlns="http://schemas.openxmlformats.org/package/2006/relationships"><Relationship Id="rId1" Type="http://schemas.openxmlformats.org/officeDocument/2006/relationships/hyperlink" Target="#Phuluc1!A1" /></Relationships>
</file>

<file path=xl/drawings/_rels/drawing14.xml.rels><?xml version="1.0" encoding="utf-8" standalone="yes"?><Relationships xmlns="http://schemas.openxmlformats.org/package/2006/relationships"><Relationship Id="rId1" Type="http://schemas.openxmlformats.org/officeDocument/2006/relationships/hyperlink" Target="#Phuluc1!A1" /></Relationships>
</file>

<file path=xl/drawings/_rels/drawing2.xml.rels><?xml version="1.0" encoding="utf-8" standalone="yes"?><Relationships xmlns="http://schemas.openxmlformats.org/package/2006/relationships"><Relationship Id="rId1" Type="http://schemas.openxmlformats.org/officeDocument/2006/relationships/hyperlink" Target="#Phuluc1!A1" /></Relationships>
</file>

<file path=xl/drawings/_rels/drawing3.xml.rels><?xml version="1.0" encoding="utf-8" standalone="yes"?><Relationships xmlns="http://schemas.openxmlformats.org/package/2006/relationships"><Relationship Id="rId1" Type="http://schemas.openxmlformats.org/officeDocument/2006/relationships/hyperlink" Target="#Phuluc1!A1" /></Relationships>
</file>

<file path=xl/drawings/_rels/drawing4.xml.rels><?xml version="1.0" encoding="utf-8" standalone="yes"?><Relationships xmlns="http://schemas.openxmlformats.org/package/2006/relationships"><Relationship Id="rId1" Type="http://schemas.openxmlformats.org/officeDocument/2006/relationships/hyperlink" Target="#Phuluc1!A1" /></Relationships>
</file>

<file path=xl/drawings/_rels/drawing5.xml.rels><?xml version="1.0" encoding="utf-8" standalone="yes"?><Relationships xmlns="http://schemas.openxmlformats.org/package/2006/relationships"><Relationship Id="rId1" Type="http://schemas.openxmlformats.org/officeDocument/2006/relationships/hyperlink" Target="#Phuluc1!A1" /></Relationships>
</file>

<file path=xl/drawings/_rels/drawing6.xml.rels><?xml version="1.0" encoding="utf-8" standalone="yes"?><Relationships xmlns="http://schemas.openxmlformats.org/package/2006/relationships"><Relationship Id="rId1" Type="http://schemas.openxmlformats.org/officeDocument/2006/relationships/hyperlink" Target="#Phuluc1!A1" /></Relationships>
</file>

<file path=xl/drawings/_rels/drawing7.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 Id="rId3" Type="http://schemas.openxmlformats.org/officeDocument/2006/relationships/hyperlink" Target="#Phuluc1!A1" /><Relationship Id="rId4" Type="http://schemas.openxmlformats.org/officeDocument/2006/relationships/hyperlink" Target="#Phuluc1!A1" /><Relationship Id="rId5" Type="http://schemas.openxmlformats.org/officeDocument/2006/relationships/hyperlink" Target="#Phuluc1!A1" /><Relationship Id="rId6" Type="http://schemas.openxmlformats.org/officeDocument/2006/relationships/hyperlink" Target="#Phuluc1!A1" /><Relationship Id="rId7" Type="http://schemas.openxmlformats.org/officeDocument/2006/relationships/hyperlink" Target="#Phuluc1!A1" /><Relationship Id="rId8" Type="http://schemas.openxmlformats.org/officeDocument/2006/relationships/hyperlink" Target="#Phuluc1!A1" /><Relationship Id="rId9" Type="http://schemas.openxmlformats.org/officeDocument/2006/relationships/hyperlink" Target="#Phuluc1!A1" /><Relationship Id="rId10" Type="http://schemas.openxmlformats.org/officeDocument/2006/relationships/hyperlink" Target="#Phuluc1!A1" /></Relationships>
</file>

<file path=xl/drawings/_rels/drawing8.xml.rels><?xml version="1.0" encoding="utf-8" standalone="yes"?><Relationships xmlns="http://schemas.openxmlformats.org/package/2006/relationships"><Relationship Id="rId1" Type="http://schemas.openxmlformats.org/officeDocument/2006/relationships/hyperlink" Target="#Phuluc1!A1" /><Relationship Id="rId2" Type="http://schemas.openxmlformats.org/officeDocument/2006/relationships/hyperlink" Target="#Phuluc1!A1" /></Relationships>
</file>

<file path=xl/drawings/_rels/drawing9.xml.rels><?xml version="1.0" encoding="utf-8" standalone="yes"?><Relationships xmlns="http://schemas.openxmlformats.org/package/2006/relationships"><Relationship Id="rId1" Type="http://schemas.openxmlformats.org/officeDocument/2006/relationships/hyperlink" Target="#Phulu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3371850</xdr:colOff>
      <xdr:row>3</xdr:row>
      <xdr:rowOff>0</xdr:rowOff>
    </xdr:from>
    <xdr:to>
      <xdr:col>0</xdr:col>
      <xdr:colOff>4648200</xdr:colOff>
      <xdr:row>3</xdr:row>
      <xdr:rowOff>0</xdr:rowOff>
    </xdr:to>
    <xdr:sp>
      <xdr:nvSpPr>
        <xdr:cNvPr id="1" name="Line 1"/>
        <xdr:cNvSpPr>
          <a:spLocks/>
        </xdr:cNvSpPr>
      </xdr:nvSpPr>
      <xdr:spPr>
        <a:xfrm>
          <a:off x="3371850" y="6381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828675</xdr:colOff>
      <xdr:row>1</xdr:row>
      <xdr:rowOff>85725</xdr:rowOff>
    </xdr:from>
    <xdr:to>
      <xdr:col>29</xdr:col>
      <xdr:colOff>0</xdr:colOff>
      <xdr:row>3</xdr:row>
      <xdr:rowOff>19050</xdr:rowOff>
    </xdr:to>
    <xdr:sp>
      <xdr:nvSpPr>
        <xdr:cNvPr id="1" name="TextBox 1">
          <a:hlinkClick r:id="rId1"/>
        </xdr:cNvPr>
        <xdr:cNvSpPr txBox="1">
          <a:spLocks noChangeArrowheads="1"/>
        </xdr:cNvSpPr>
      </xdr:nvSpPr>
      <xdr:spPr>
        <a:xfrm>
          <a:off x="12115800" y="247650"/>
          <a:ext cx="66675" cy="3238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28</xdr:col>
      <xdr:colOff>828675</xdr:colOff>
      <xdr:row>1</xdr:row>
      <xdr:rowOff>85725</xdr:rowOff>
    </xdr:from>
    <xdr:to>
      <xdr:col>29</xdr:col>
      <xdr:colOff>0</xdr:colOff>
      <xdr:row>3</xdr:row>
      <xdr:rowOff>19050</xdr:rowOff>
    </xdr:to>
    <xdr:sp>
      <xdr:nvSpPr>
        <xdr:cNvPr id="2" name="TextBox 2">
          <a:hlinkClick r:id="rId2"/>
        </xdr:cNvPr>
        <xdr:cNvSpPr txBox="1">
          <a:spLocks noChangeArrowheads="1"/>
        </xdr:cNvSpPr>
      </xdr:nvSpPr>
      <xdr:spPr>
        <a:xfrm>
          <a:off x="12115800" y="247650"/>
          <a:ext cx="66675" cy="3238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xdr:row>
      <xdr:rowOff>0</xdr:rowOff>
    </xdr:from>
    <xdr:to>
      <xdr:col>7</xdr:col>
      <xdr:colOff>704850</xdr:colOff>
      <xdr:row>2</xdr:row>
      <xdr:rowOff>95250</xdr:rowOff>
    </xdr:to>
    <xdr:sp>
      <xdr:nvSpPr>
        <xdr:cNvPr id="1" name="TextBox 1">
          <a:hlinkClick r:id="rId1"/>
        </xdr:cNvPr>
        <xdr:cNvSpPr txBox="1">
          <a:spLocks noChangeArrowheads="1"/>
        </xdr:cNvSpPr>
      </xdr:nvSpPr>
      <xdr:spPr>
        <a:xfrm>
          <a:off x="756285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xdr:row>
      <xdr:rowOff>104775</xdr:rowOff>
    </xdr:from>
    <xdr:to>
      <xdr:col>23</xdr:col>
      <xdr:colOff>0</xdr:colOff>
      <xdr:row>3</xdr:row>
      <xdr:rowOff>0</xdr:rowOff>
    </xdr:to>
    <xdr:sp>
      <xdr:nvSpPr>
        <xdr:cNvPr id="1" name="TextBox 1">
          <a:hlinkClick r:id="rId1"/>
        </xdr:cNvPr>
        <xdr:cNvSpPr txBox="1">
          <a:spLocks noChangeArrowheads="1"/>
        </xdr:cNvSpPr>
      </xdr:nvSpPr>
      <xdr:spPr>
        <a:xfrm>
          <a:off x="15468600" y="266700"/>
          <a:ext cx="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11</xdr:col>
      <xdr:colOff>9525</xdr:colOff>
      <xdr:row>4</xdr:row>
      <xdr:rowOff>95250</xdr:rowOff>
    </xdr:to>
    <xdr:sp>
      <xdr:nvSpPr>
        <xdr:cNvPr id="1" name="TextBox 1">
          <a:hlinkClick r:id="rId1"/>
        </xdr:cNvPr>
        <xdr:cNvSpPr txBox="1">
          <a:spLocks noChangeArrowheads="1"/>
        </xdr:cNvSpPr>
      </xdr:nvSpPr>
      <xdr:spPr>
        <a:xfrm>
          <a:off x="7820025" y="48577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7</xdr:col>
      <xdr:colOff>142875</xdr:colOff>
      <xdr:row>2</xdr:row>
      <xdr:rowOff>95250</xdr:rowOff>
    </xdr:to>
    <xdr:sp>
      <xdr:nvSpPr>
        <xdr:cNvPr id="1" name="TextBox 1">
          <a:hlinkClick r:id="rId1"/>
        </xdr:cNvPr>
        <xdr:cNvSpPr txBox="1">
          <a:spLocks noChangeArrowheads="1"/>
        </xdr:cNvSpPr>
      </xdr:nvSpPr>
      <xdr:spPr>
        <a:xfrm>
          <a:off x="601980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1</xdr:row>
      <xdr:rowOff>95250</xdr:rowOff>
    </xdr:from>
    <xdr:to>
      <xdr:col>9</xdr:col>
      <xdr:colOff>495300</xdr:colOff>
      <xdr:row>6</xdr:row>
      <xdr:rowOff>28575</xdr:rowOff>
    </xdr:to>
    <xdr:sp>
      <xdr:nvSpPr>
        <xdr:cNvPr id="1" name="TextBox 2">
          <a:hlinkClick r:id="rId1"/>
        </xdr:cNvPr>
        <xdr:cNvSpPr txBox="1">
          <a:spLocks noChangeArrowheads="1"/>
        </xdr:cNvSpPr>
      </xdr:nvSpPr>
      <xdr:spPr>
        <a:xfrm>
          <a:off x="9477375" y="257175"/>
          <a:ext cx="1171575" cy="10096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9</xdr:col>
      <xdr:colOff>9525</xdr:colOff>
      <xdr:row>2</xdr:row>
      <xdr:rowOff>95250</xdr:rowOff>
    </xdr:to>
    <xdr:sp>
      <xdr:nvSpPr>
        <xdr:cNvPr id="1" name="TextBox 1">
          <a:hlinkClick r:id="rId1"/>
        </xdr:cNvPr>
        <xdr:cNvSpPr txBox="1">
          <a:spLocks noChangeArrowheads="1"/>
        </xdr:cNvSpPr>
      </xdr:nvSpPr>
      <xdr:spPr>
        <a:xfrm>
          <a:off x="10563225" y="257175"/>
          <a:ext cx="1085850" cy="35242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0</xdr:rowOff>
    </xdr:from>
    <xdr:to>
      <xdr:col>17</xdr:col>
      <xdr:colOff>209550</xdr:colOff>
      <xdr:row>2</xdr:row>
      <xdr:rowOff>95250</xdr:rowOff>
    </xdr:to>
    <xdr:sp>
      <xdr:nvSpPr>
        <xdr:cNvPr id="1" name="TextBox 1">
          <a:hlinkClick r:id="rId1"/>
        </xdr:cNvPr>
        <xdr:cNvSpPr txBox="1">
          <a:spLocks noChangeArrowheads="1"/>
        </xdr:cNvSpPr>
      </xdr:nvSpPr>
      <xdr:spPr>
        <a:xfrm>
          <a:off x="9972675" y="161925"/>
          <a:ext cx="990600"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8</xdr:col>
      <xdr:colOff>676275</xdr:colOff>
      <xdr:row>2</xdr:row>
      <xdr:rowOff>95250</xdr:rowOff>
    </xdr:to>
    <xdr:sp>
      <xdr:nvSpPr>
        <xdr:cNvPr id="1" name="TextBox 1">
          <a:hlinkClick r:id="rId1"/>
        </xdr:cNvPr>
        <xdr:cNvSpPr txBox="1">
          <a:spLocks noChangeArrowheads="1"/>
        </xdr:cNvSpPr>
      </xdr:nvSpPr>
      <xdr:spPr>
        <a:xfrm>
          <a:off x="7905750" y="16192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xdr:row>
      <xdr:rowOff>19050</xdr:rowOff>
    </xdr:from>
    <xdr:to>
      <xdr:col>6</xdr:col>
      <xdr:colOff>1323975</xdr:colOff>
      <xdr:row>2</xdr:row>
      <xdr:rowOff>114300</xdr:rowOff>
    </xdr:to>
    <xdr:sp>
      <xdr:nvSpPr>
        <xdr:cNvPr id="1" name="TextBox 1">
          <a:hlinkClick r:id="rId1"/>
        </xdr:cNvPr>
        <xdr:cNvSpPr txBox="1">
          <a:spLocks noChangeArrowheads="1"/>
        </xdr:cNvSpPr>
      </xdr:nvSpPr>
      <xdr:spPr>
        <a:xfrm>
          <a:off x="5162550" y="18097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xdr:row>
      <xdr:rowOff>104775</xdr:rowOff>
    </xdr:from>
    <xdr:to>
      <xdr:col>8</xdr:col>
      <xdr:colOff>0</xdr:colOff>
      <xdr:row>3</xdr:row>
      <xdr:rowOff>38100</xdr:rowOff>
    </xdr:to>
    <xdr:sp>
      <xdr:nvSpPr>
        <xdr:cNvPr id="1" name="TextBox 1">
          <a:hlinkClick r:id="rId1"/>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38100</xdr:rowOff>
    </xdr:to>
    <xdr:sp>
      <xdr:nvSpPr>
        <xdr:cNvPr id="2" name="TextBox 2">
          <a:hlinkClick r:id="rId2"/>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38100</xdr:rowOff>
    </xdr:to>
    <xdr:sp>
      <xdr:nvSpPr>
        <xdr:cNvPr id="3" name="TextBox 3">
          <a:hlinkClick r:id="rId3"/>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38100</xdr:rowOff>
    </xdr:to>
    <xdr:sp>
      <xdr:nvSpPr>
        <xdr:cNvPr id="4" name="TextBox 4">
          <a:hlinkClick r:id="rId4"/>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38100</xdr:rowOff>
    </xdr:to>
    <xdr:sp>
      <xdr:nvSpPr>
        <xdr:cNvPr id="5" name="TextBox 5">
          <a:hlinkClick r:id="rId5"/>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38100</xdr:rowOff>
    </xdr:to>
    <xdr:sp>
      <xdr:nvSpPr>
        <xdr:cNvPr id="6" name="TextBox 6">
          <a:hlinkClick r:id="rId6"/>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38100</xdr:rowOff>
    </xdr:to>
    <xdr:sp>
      <xdr:nvSpPr>
        <xdr:cNvPr id="7" name="TextBox 7">
          <a:hlinkClick r:id="rId7"/>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38100</xdr:rowOff>
    </xdr:to>
    <xdr:sp>
      <xdr:nvSpPr>
        <xdr:cNvPr id="8" name="TextBox 8">
          <a:hlinkClick r:id="rId8"/>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38100</xdr:rowOff>
    </xdr:to>
    <xdr:sp>
      <xdr:nvSpPr>
        <xdr:cNvPr id="9" name="TextBox 9">
          <a:hlinkClick r:id="rId9"/>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7</xdr:col>
      <xdr:colOff>257175</xdr:colOff>
      <xdr:row>1</xdr:row>
      <xdr:rowOff>104775</xdr:rowOff>
    </xdr:from>
    <xdr:to>
      <xdr:col>8</xdr:col>
      <xdr:colOff>0</xdr:colOff>
      <xdr:row>3</xdr:row>
      <xdr:rowOff>38100</xdr:rowOff>
    </xdr:to>
    <xdr:sp>
      <xdr:nvSpPr>
        <xdr:cNvPr id="10" name="TextBox 10">
          <a:hlinkClick r:id="rId10"/>
        </xdr:cNvPr>
        <xdr:cNvSpPr txBox="1">
          <a:spLocks noChangeArrowheads="1"/>
        </xdr:cNvSpPr>
      </xdr:nvSpPr>
      <xdr:spPr>
        <a:xfrm>
          <a:off x="7353300" y="266700"/>
          <a:ext cx="723900" cy="2190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1</xdr:row>
      <xdr:rowOff>114300</xdr:rowOff>
    </xdr:from>
    <xdr:to>
      <xdr:col>6</xdr:col>
      <xdr:colOff>1419225</xdr:colOff>
      <xdr:row>3</xdr:row>
      <xdr:rowOff>47625</xdr:rowOff>
    </xdr:to>
    <xdr:sp>
      <xdr:nvSpPr>
        <xdr:cNvPr id="1" name="TextBox 1">
          <a:hlinkClick r:id="rId1"/>
        </xdr:cNvPr>
        <xdr:cNvSpPr txBox="1">
          <a:spLocks noChangeArrowheads="1"/>
        </xdr:cNvSpPr>
      </xdr:nvSpPr>
      <xdr:spPr>
        <a:xfrm>
          <a:off x="7648575" y="276225"/>
          <a:ext cx="676275"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twoCellAnchor>
    <xdr:from>
      <xdr:col>6</xdr:col>
      <xdr:colOff>742950</xdr:colOff>
      <xdr:row>1</xdr:row>
      <xdr:rowOff>114300</xdr:rowOff>
    </xdr:from>
    <xdr:to>
      <xdr:col>6</xdr:col>
      <xdr:colOff>1419225</xdr:colOff>
      <xdr:row>3</xdr:row>
      <xdr:rowOff>47625</xdr:rowOff>
    </xdr:to>
    <xdr:sp>
      <xdr:nvSpPr>
        <xdr:cNvPr id="2" name="TextBox 2">
          <a:hlinkClick r:id="rId2"/>
        </xdr:cNvPr>
        <xdr:cNvSpPr txBox="1">
          <a:spLocks noChangeArrowheads="1"/>
        </xdr:cNvSpPr>
      </xdr:nvSpPr>
      <xdr:spPr>
        <a:xfrm>
          <a:off x="7648575" y="276225"/>
          <a:ext cx="676275" cy="209550"/>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133350</xdr:rowOff>
    </xdr:from>
    <xdr:to>
      <xdr:col>5</xdr:col>
      <xdr:colOff>857250</xdr:colOff>
      <xdr:row>3</xdr:row>
      <xdr:rowOff>66675</xdr:rowOff>
    </xdr:to>
    <xdr:sp>
      <xdr:nvSpPr>
        <xdr:cNvPr id="1" name="TextBox 1">
          <a:hlinkClick r:id="rId1"/>
        </xdr:cNvPr>
        <xdr:cNvSpPr txBox="1">
          <a:spLocks noChangeArrowheads="1"/>
        </xdr:cNvSpPr>
      </xdr:nvSpPr>
      <xdr:spPr>
        <a:xfrm>
          <a:off x="5953125" y="295275"/>
          <a:ext cx="676275" cy="257175"/>
        </a:xfrm>
        <a:prstGeom prst="rect">
          <a:avLst/>
        </a:prstGeom>
        <a:solidFill>
          <a:srgbClr val="C5E0B4"/>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Trở</a:t>
          </a:r>
          <a:r>
            <a:rPr lang="en-US" cap="none" sz="1100" b="1" i="0" u="none" baseline="0">
              <a:solidFill>
                <a:srgbClr val="FF0000"/>
              </a:solidFill>
              <a:latin typeface="Calibri"/>
              <a:ea typeface="Calibri"/>
              <a:cs typeface="Calibri"/>
            </a:rPr>
            <a:t> về</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1430" cap="flat" cmpd="sng" algn="ctr">
          <a:solidFill>
            <a:schemeClr val="phClr">
              <a:shade val="95000"/>
              <a:satMod val="105000"/>
            </a:scheme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drawing" Target="../drawings/drawing12.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A1:D136"/>
  <sheetViews>
    <sheetView zoomScalePageLayoutView="0" workbookViewId="0" topLeftCell="A1">
      <selection activeCell="A1" sqref="A1"/>
    </sheetView>
  </sheetViews>
  <sheetFormatPr defaultColWidth="9.33203125" defaultRowHeight="12.75"/>
  <cols>
    <col min="1" max="1" width="6.16015625" style="347" customWidth="1"/>
    <col min="2" max="2" width="23.83203125" style="348" customWidth="1"/>
    <col min="3" max="3" width="68" style="348" customWidth="1"/>
    <col min="4" max="4" width="52" style="348" customWidth="1"/>
    <col min="5" max="16384" width="9.33203125" style="348" customWidth="1"/>
  </cols>
  <sheetData>
    <row r="1" spans="2:4" ht="12">
      <c r="B1" s="349" t="s">
        <v>0</v>
      </c>
      <c r="C1" s="350"/>
      <c r="D1" s="350"/>
    </row>
    <row r="2" spans="2:4" ht="12">
      <c r="B2" s="712" t="s">
        <v>1</v>
      </c>
      <c r="C2" s="712"/>
      <c r="D2" s="712"/>
    </row>
    <row r="3" spans="2:4" ht="12">
      <c r="B3" s="713" t="s">
        <v>2</v>
      </c>
      <c r="C3" s="713"/>
      <c r="D3" s="713"/>
    </row>
    <row r="4" spans="2:4" ht="12">
      <c r="B4" s="351"/>
      <c r="C4" s="351"/>
      <c r="D4" s="351"/>
    </row>
    <row r="5" spans="1:4" ht="42" customHeight="1">
      <c r="A5" s="352" t="s">
        <v>3</v>
      </c>
      <c r="B5" s="352" t="s">
        <v>4</v>
      </c>
      <c r="C5" s="352" t="s">
        <v>5</v>
      </c>
      <c r="D5" s="352" t="s">
        <v>6</v>
      </c>
    </row>
    <row r="6" spans="1:4" ht="12" hidden="1">
      <c r="A6" s="353"/>
      <c r="B6" s="354" t="s">
        <v>7</v>
      </c>
      <c r="C6" s="354" t="s">
        <v>8</v>
      </c>
      <c r="D6" s="355"/>
    </row>
    <row r="7" spans="1:4" ht="12" hidden="1">
      <c r="A7" s="356">
        <v>1</v>
      </c>
      <c r="B7" s="357" t="s">
        <v>9</v>
      </c>
      <c r="C7" s="358" t="s">
        <v>10</v>
      </c>
      <c r="D7" s="683" t="s">
        <v>11</v>
      </c>
    </row>
    <row r="8" spans="1:4" ht="12" hidden="1">
      <c r="A8" s="356">
        <v>2</v>
      </c>
      <c r="B8" s="357" t="s">
        <v>12</v>
      </c>
      <c r="C8" s="358" t="s">
        <v>13</v>
      </c>
      <c r="D8" s="685"/>
    </row>
    <row r="9" spans="1:4" ht="12" hidden="1">
      <c r="A9" s="356">
        <v>3</v>
      </c>
      <c r="B9" s="357" t="s">
        <v>14</v>
      </c>
      <c r="C9" s="358" t="s">
        <v>15</v>
      </c>
      <c r="D9" s="684"/>
    </row>
    <row r="10" spans="1:4" ht="36" hidden="1">
      <c r="A10" s="356">
        <v>4</v>
      </c>
      <c r="B10" s="357" t="s">
        <v>16</v>
      </c>
      <c r="C10" s="358" t="s">
        <v>17</v>
      </c>
      <c r="D10" s="358" t="s">
        <v>18</v>
      </c>
    </row>
    <row r="11" spans="1:4" ht="12" hidden="1">
      <c r="A11" s="353"/>
      <c r="B11" s="354" t="s">
        <v>19</v>
      </c>
      <c r="C11" s="354" t="s">
        <v>20</v>
      </c>
      <c r="D11" s="354" t="s">
        <v>21</v>
      </c>
    </row>
    <row r="12" spans="1:4" ht="12" hidden="1">
      <c r="A12" s="698">
        <v>5</v>
      </c>
      <c r="B12" s="700" t="s">
        <v>22</v>
      </c>
      <c r="C12" s="686" t="s">
        <v>23</v>
      </c>
      <c r="D12" s="359" t="s">
        <v>24</v>
      </c>
    </row>
    <row r="13" spans="1:4" ht="24" hidden="1">
      <c r="A13" s="699"/>
      <c r="B13" s="701"/>
      <c r="C13" s="687"/>
      <c r="D13" s="360" t="s">
        <v>25</v>
      </c>
    </row>
    <row r="14" spans="1:4" ht="24" hidden="1">
      <c r="A14" s="356">
        <v>6</v>
      </c>
      <c r="B14" s="361" t="s">
        <v>26</v>
      </c>
      <c r="C14" s="358" t="s">
        <v>27</v>
      </c>
      <c r="D14" s="358" t="s">
        <v>28</v>
      </c>
    </row>
    <row r="15" spans="1:4" ht="12" hidden="1">
      <c r="A15" s="698">
        <v>7</v>
      </c>
      <c r="B15" s="691" t="s">
        <v>29</v>
      </c>
      <c r="C15" s="683" t="s">
        <v>30</v>
      </c>
      <c r="D15" s="359" t="s">
        <v>31</v>
      </c>
    </row>
    <row r="16" spans="1:4" ht="12" hidden="1">
      <c r="A16" s="708"/>
      <c r="B16" s="692"/>
      <c r="C16" s="685"/>
      <c r="D16" s="360" t="s">
        <v>32</v>
      </c>
    </row>
    <row r="17" spans="1:4" ht="12" hidden="1">
      <c r="A17" s="699"/>
      <c r="B17" s="693"/>
      <c r="C17" s="684"/>
      <c r="D17" s="358" t="s">
        <v>33</v>
      </c>
    </row>
    <row r="18" spans="1:4" ht="12" hidden="1">
      <c r="A18" s="698">
        <v>8</v>
      </c>
      <c r="B18" s="702" t="s">
        <v>34</v>
      </c>
      <c r="C18" s="683" t="s">
        <v>35</v>
      </c>
      <c r="D18" s="359" t="s">
        <v>36</v>
      </c>
    </row>
    <row r="19" spans="1:4" ht="12" hidden="1">
      <c r="A19" s="708"/>
      <c r="B19" s="703"/>
      <c r="C19" s="685"/>
      <c r="D19" s="360" t="s">
        <v>32</v>
      </c>
    </row>
    <row r="20" spans="1:4" ht="24" hidden="1">
      <c r="A20" s="708"/>
      <c r="B20" s="703"/>
      <c r="C20" s="685"/>
      <c r="D20" s="360" t="s">
        <v>28</v>
      </c>
    </row>
    <row r="21" spans="1:4" ht="24" hidden="1">
      <c r="A21" s="699"/>
      <c r="B21" s="704"/>
      <c r="C21" s="684"/>
      <c r="D21" s="358" t="s">
        <v>37</v>
      </c>
    </row>
    <row r="22" spans="1:4" ht="12" hidden="1">
      <c r="A22" s="698">
        <v>9</v>
      </c>
      <c r="B22" s="705" t="s">
        <v>38</v>
      </c>
      <c r="C22" s="683" t="s">
        <v>39</v>
      </c>
      <c r="D22" s="359" t="s">
        <v>40</v>
      </c>
    </row>
    <row r="23" spans="1:4" ht="12" hidden="1">
      <c r="A23" s="708"/>
      <c r="B23" s="706"/>
      <c r="C23" s="685"/>
      <c r="D23" s="360" t="s">
        <v>32</v>
      </c>
    </row>
    <row r="24" spans="1:4" ht="24" hidden="1">
      <c r="A24" s="708"/>
      <c r="B24" s="706"/>
      <c r="C24" s="685"/>
      <c r="D24" s="360" t="s">
        <v>28</v>
      </c>
    </row>
    <row r="25" spans="1:4" ht="24" hidden="1">
      <c r="A25" s="699"/>
      <c r="B25" s="707"/>
      <c r="C25" s="684"/>
      <c r="D25" s="358" t="s">
        <v>37</v>
      </c>
    </row>
    <row r="26" spans="1:4" ht="12" hidden="1">
      <c r="A26" s="709">
        <v>10</v>
      </c>
      <c r="B26" s="695" t="s">
        <v>41</v>
      </c>
      <c r="C26" s="688" t="s">
        <v>42</v>
      </c>
      <c r="D26" s="364" t="s">
        <v>43</v>
      </c>
    </row>
    <row r="27" spans="1:4" ht="24" hidden="1">
      <c r="A27" s="710"/>
      <c r="B27" s="696"/>
      <c r="C27" s="689"/>
      <c r="D27" s="364" t="s">
        <v>44</v>
      </c>
    </row>
    <row r="28" spans="1:4" ht="24" hidden="1">
      <c r="A28" s="711"/>
      <c r="B28" s="697"/>
      <c r="C28" s="690"/>
      <c r="D28" s="367" t="s">
        <v>45</v>
      </c>
    </row>
    <row r="29" spans="1:4" ht="12" hidden="1">
      <c r="A29" s="698">
        <v>11</v>
      </c>
      <c r="B29" s="691" t="s">
        <v>46</v>
      </c>
      <c r="C29" s="683" t="s">
        <v>47</v>
      </c>
      <c r="D29" s="359" t="s">
        <v>48</v>
      </c>
    </row>
    <row r="30" spans="1:4" ht="12" hidden="1">
      <c r="A30" s="708"/>
      <c r="B30" s="692"/>
      <c r="C30" s="685"/>
      <c r="D30" s="360" t="s">
        <v>32</v>
      </c>
    </row>
    <row r="31" spans="1:4" ht="24" hidden="1">
      <c r="A31" s="699"/>
      <c r="B31" s="693"/>
      <c r="C31" s="684"/>
      <c r="D31" s="358" t="s">
        <v>49</v>
      </c>
    </row>
    <row r="32" spans="1:4" ht="12" hidden="1">
      <c r="A32" s="698">
        <v>12</v>
      </c>
      <c r="B32" s="691" t="s">
        <v>50</v>
      </c>
      <c r="C32" s="683" t="s">
        <v>47</v>
      </c>
      <c r="D32" s="359" t="s">
        <v>48</v>
      </c>
    </row>
    <row r="33" spans="1:4" ht="36" hidden="1">
      <c r="A33" s="708"/>
      <c r="B33" s="692"/>
      <c r="C33" s="685"/>
      <c r="D33" s="360" t="s">
        <v>51</v>
      </c>
    </row>
    <row r="34" spans="1:4" ht="24" hidden="1">
      <c r="A34" s="699"/>
      <c r="B34" s="693"/>
      <c r="C34" s="684"/>
      <c r="D34" s="358" t="s">
        <v>52</v>
      </c>
    </row>
    <row r="35" spans="1:4" ht="12" hidden="1">
      <c r="A35" s="698">
        <v>13</v>
      </c>
      <c r="B35" s="691" t="s">
        <v>53</v>
      </c>
      <c r="C35" s="683" t="s">
        <v>54</v>
      </c>
      <c r="D35" s="359" t="s">
        <v>55</v>
      </c>
    </row>
    <row r="36" spans="1:4" ht="12" hidden="1">
      <c r="A36" s="708"/>
      <c r="B36" s="692"/>
      <c r="C36" s="685"/>
      <c r="D36" s="360" t="s">
        <v>56</v>
      </c>
    </row>
    <row r="37" spans="1:4" ht="12" hidden="1">
      <c r="A37" s="699"/>
      <c r="B37" s="693"/>
      <c r="C37" s="684"/>
      <c r="D37" s="358" t="s">
        <v>33</v>
      </c>
    </row>
    <row r="38" spans="1:4" ht="12" hidden="1">
      <c r="A38" s="698">
        <v>14</v>
      </c>
      <c r="B38" s="691" t="s">
        <v>57</v>
      </c>
      <c r="C38" s="683" t="s">
        <v>58</v>
      </c>
      <c r="D38" s="360" t="s">
        <v>43</v>
      </c>
    </row>
    <row r="39" spans="1:4" ht="24" hidden="1">
      <c r="A39" s="708"/>
      <c r="B39" s="692"/>
      <c r="C39" s="685"/>
      <c r="D39" s="360" t="s">
        <v>59</v>
      </c>
    </row>
    <row r="40" spans="1:4" ht="12" hidden="1">
      <c r="A40" s="699"/>
      <c r="B40" s="693"/>
      <c r="C40" s="684"/>
      <c r="D40" s="358" t="s">
        <v>33</v>
      </c>
    </row>
    <row r="41" spans="1:4" ht="12" hidden="1">
      <c r="A41" s="698">
        <v>15</v>
      </c>
      <c r="B41" s="691" t="s">
        <v>60</v>
      </c>
      <c r="C41" s="683" t="s">
        <v>58</v>
      </c>
      <c r="D41" s="360" t="s">
        <v>43</v>
      </c>
    </row>
    <row r="42" spans="1:4" ht="24" hidden="1">
      <c r="A42" s="708"/>
      <c r="B42" s="692"/>
      <c r="C42" s="685"/>
      <c r="D42" s="360" t="s">
        <v>61</v>
      </c>
    </row>
    <row r="43" spans="1:4" ht="12" hidden="1">
      <c r="A43" s="699"/>
      <c r="B43" s="693"/>
      <c r="C43" s="684"/>
      <c r="D43" s="358" t="s">
        <v>33</v>
      </c>
    </row>
    <row r="44" spans="1:4" ht="12" hidden="1">
      <c r="A44" s="698">
        <v>16</v>
      </c>
      <c r="B44" s="691" t="s">
        <v>62</v>
      </c>
      <c r="C44" s="683" t="s">
        <v>58</v>
      </c>
      <c r="D44" s="360" t="s">
        <v>43</v>
      </c>
    </row>
    <row r="45" spans="1:4" ht="24" hidden="1">
      <c r="A45" s="708"/>
      <c r="B45" s="692"/>
      <c r="C45" s="685"/>
      <c r="D45" s="360" t="s">
        <v>63</v>
      </c>
    </row>
    <row r="46" spans="1:4" ht="12" hidden="1">
      <c r="A46" s="699"/>
      <c r="B46" s="693"/>
      <c r="C46" s="684"/>
      <c r="D46" s="358" t="s">
        <v>33</v>
      </c>
    </row>
    <row r="47" spans="1:4" ht="12" hidden="1">
      <c r="A47" s="698">
        <v>17</v>
      </c>
      <c r="B47" s="691" t="s">
        <v>64</v>
      </c>
      <c r="C47" s="683" t="s">
        <v>58</v>
      </c>
      <c r="D47" s="360" t="s">
        <v>43</v>
      </c>
    </row>
    <row r="48" spans="1:4" ht="24" hidden="1">
      <c r="A48" s="708"/>
      <c r="B48" s="692"/>
      <c r="C48" s="685"/>
      <c r="D48" s="360" t="s">
        <v>65</v>
      </c>
    </row>
    <row r="49" spans="1:4" ht="12" hidden="1">
      <c r="A49" s="699"/>
      <c r="B49" s="693"/>
      <c r="C49" s="684"/>
      <c r="D49" s="358" t="s">
        <v>33</v>
      </c>
    </row>
    <row r="50" spans="1:4" ht="12" hidden="1">
      <c r="A50" s="356">
        <v>18</v>
      </c>
      <c r="B50" s="363" t="s">
        <v>66</v>
      </c>
      <c r="C50" s="358" t="s">
        <v>67</v>
      </c>
      <c r="D50" s="360" t="s">
        <v>43</v>
      </c>
    </row>
    <row r="51" spans="1:4" ht="12" hidden="1">
      <c r="A51" s="356">
        <v>19</v>
      </c>
      <c r="B51" s="363" t="s">
        <v>68</v>
      </c>
      <c r="C51" s="358" t="s">
        <v>69</v>
      </c>
      <c r="D51" s="360" t="s">
        <v>32</v>
      </c>
    </row>
    <row r="52" spans="1:4" ht="12" hidden="1">
      <c r="A52" s="356">
        <v>20</v>
      </c>
      <c r="B52" s="363" t="s">
        <v>70</v>
      </c>
      <c r="C52" s="358" t="s">
        <v>71</v>
      </c>
      <c r="D52" s="360" t="s">
        <v>33</v>
      </c>
    </row>
    <row r="53" spans="1:4" ht="12" hidden="1">
      <c r="A53" s="356">
        <v>21</v>
      </c>
      <c r="B53" s="363" t="s">
        <v>72</v>
      </c>
      <c r="C53" s="358" t="s">
        <v>73</v>
      </c>
      <c r="D53" s="368"/>
    </row>
    <row r="54" spans="1:4" ht="12" hidden="1">
      <c r="A54" s="356">
        <v>22</v>
      </c>
      <c r="B54" s="363" t="s">
        <v>74</v>
      </c>
      <c r="C54" s="358" t="s">
        <v>75</v>
      </c>
      <c r="D54" s="368"/>
    </row>
    <row r="55" spans="1:4" ht="12" hidden="1">
      <c r="A55" s="356">
        <v>23</v>
      </c>
      <c r="B55" s="363" t="s">
        <v>76</v>
      </c>
      <c r="C55" s="358" t="s">
        <v>77</v>
      </c>
      <c r="D55" s="368"/>
    </row>
    <row r="56" spans="1:4" ht="12" hidden="1">
      <c r="A56" s="356">
        <v>24</v>
      </c>
      <c r="B56" s="363" t="s">
        <v>78</v>
      </c>
      <c r="C56" s="358" t="s">
        <v>79</v>
      </c>
      <c r="D56" s="368"/>
    </row>
    <row r="57" spans="1:4" ht="12" hidden="1">
      <c r="A57" s="356">
        <v>25</v>
      </c>
      <c r="B57" s="363" t="s">
        <v>80</v>
      </c>
      <c r="C57" s="358" t="s">
        <v>81</v>
      </c>
      <c r="D57" s="368"/>
    </row>
    <row r="58" spans="1:4" ht="12" hidden="1">
      <c r="A58" s="356">
        <v>26</v>
      </c>
      <c r="B58" s="363" t="s">
        <v>82</v>
      </c>
      <c r="C58" s="358" t="s">
        <v>83</v>
      </c>
      <c r="D58" s="368"/>
    </row>
    <row r="59" spans="1:4" ht="24" hidden="1">
      <c r="A59" s="356">
        <v>27</v>
      </c>
      <c r="B59" s="363" t="s">
        <v>84</v>
      </c>
      <c r="C59" s="369" t="s">
        <v>85</v>
      </c>
      <c r="D59" s="370" t="s">
        <v>86</v>
      </c>
    </row>
    <row r="60" spans="1:4" ht="12" hidden="1">
      <c r="A60" s="698">
        <v>28</v>
      </c>
      <c r="B60" s="691" t="s">
        <v>87</v>
      </c>
      <c r="C60" s="683" t="s">
        <v>88</v>
      </c>
      <c r="D60" s="360" t="s">
        <v>43</v>
      </c>
    </row>
    <row r="61" spans="1:4" ht="24" hidden="1">
      <c r="A61" s="708"/>
      <c r="B61" s="692"/>
      <c r="C61" s="685"/>
      <c r="D61" s="360" t="s">
        <v>89</v>
      </c>
    </row>
    <row r="62" spans="1:4" ht="12" hidden="1">
      <c r="A62" s="699"/>
      <c r="B62" s="693"/>
      <c r="C62" s="684"/>
      <c r="D62" s="358" t="s">
        <v>90</v>
      </c>
    </row>
    <row r="63" spans="1:4" ht="24" hidden="1">
      <c r="A63" s="356">
        <v>29</v>
      </c>
      <c r="B63" s="363" t="s">
        <v>91</v>
      </c>
      <c r="C63" s="358" t="s">
        <v>92</v>
      </c>
      <c r="D63" s="358" t="s">
        <v>93</v>
      </c>
    </row>
    <row r="64" spans="1:4" ht="12" hidden="1">
      <c r="A64" s="356">
        <v>30</v>
      </c>
      <c r="B64" s="363" t="s">
        <v>94</v>
      </c>
      <c r="C64" s="358" t="s">
        <v>95</v>
      </c>
      <c r="D64" s="360" t="s">
        <v>43</v>
      </c>
    </row>
    <row r="65" spans="1:4" ht="24" hidden="1">
      <c r="A65" s="356">
        <v>31</v>
      </c>
      <c r="B65" s="363" t="s">
        <v>96</v>
      </c>
      <c r="C65" s="358" t="s">
        <v>97</v>
      </c>
      <c r="D65" s="360" t="s">
        <v>32</v>
      </c>
    </row>
    <row r="66" spans="1:4" ht="24" hidden="1">
      <c r="A66" s="356">
        <v>32</v>
      </c>
      <c r="B66" s="363" t="s">
        <v>98</v>
      </c>
      <c r="C66" s="358" t="s">
        <v>99</v>
      </c>
      <c r="D66" s="358" t="s">
        <v>33</v>
      </c>
    </row>
    <row r="67" spans="1:4" ht="12" hidden="1">
      <c r="A67" s="709">
        <v>33</v>
      </c>
      <c r="B67" s="695" t="s">
        <v>100</v>
      </c>
      <c r="C67" s="688" t="s">
        <v>101</v>
      </c>
      <c r="D67" s="364" t="s">
        <v>43</v>
      </c>
    </row>
    <row r="68" spans="1:4" ht="24" hidden="1">
      <c r="A68" s="710"/>
      <c r="B68" s="696"/>
      <c r="C68" s="689"/>
      <c r="D68" s="364" t="s">
        <v>102</v>
      </c>
    </row>
    <row r="69" spans="1:4" ht="24" hidden="1">
      <c r="A69" s="711"/>
      <c r="B69" s="697"/>
      <c r="C69" s="690"/>
      <c r="D69" s="367" t="s">
        <v>103</v>
      </c>
    </row>
    <row r="70" spans="1:4" ht="48" hidden="1">
      <c r="A70" s="365">
        <v>34</v>
      </c>
      <c r="B70" s="366" t="s">
        <v>104</v>
      </c>
      <c r="C70" s="367" t="s">
        <v>105</v>
      </c>
      <c r="D70" s="367" t="s">
        <v>106</v>
      </c>
    </row>
    <row r="71" spans="1:4" ht="24" hidden="1">
      <c r="A71" s="356">
        <v>35</v>
      </c>
      <c r="B71" s="363" t="s">
        <v>107</v>
      </c>
      <c r="C71" s="358" t="s">
        <v>108</v>
      </c>
      <c r="D71" s="358" t="s">
        <v>109</v>
      </c>
    </row>
    <row r="72" spans="1:4" ht="24" hidden="1">
      <c r="A72" s="353"/>
      <c r="B72" s="354" t="s">
        <v>110</v>
      </c>
      <c r="C72" s="354" t="s">
        <v>111</v>
      </c>
      <c r="D72" s="355"/>
    </row>
    <row r="73" spans="1:4" ht="12" hidden="1">
      <c r="A73" s="365">
        <v>36</v>
      </c>
      <c r="B73" s="366" t="s">
        <v>112</v>
      </c>
      <c r="C73" s="367" t="s">
        <v>113</v>
      </c>
      <c r="D73" s="364" t="s">
        <v>43</v>
      </c>
    </row>
    <row r="74" spans="1:4" ht="24" hidden="1">
      <c r="A74" s="365">
        <v>37</v>
      </c>
      <c r="B74" s="366" t="s">
        <v>114</v>
      </c>
      <c r="C74" s="367" t="s">
        <v>115</v>
      </c>
      <c r="D74" s="364" t="s">
        <v>116</v>
      </c>
    </row>
    <row r="75" spans="1:4" ht="12" hidden="1">
      <c r="A75" s="365">
        <v>38</v>
      </c>
      <c r="B75" s="366" t="s">
        <v>117</v>
      </c>
      <c r="C75" s="367" t="s">
        <v>118</v>
      </c>
      <c r="D75" s="364" t="s">
        <v>119</v>
      </c>
    </row>
    <row r="76" spans="1:4" ht="12" hidden="1">
      <c r="A76" s="365">
        <v>39</v>
      </c>
      <c r="B76" s="366" t="s">
        <v>120</v>
      </c>
      <c r="C76" s="367" t="s">
        <v>121</v>
      </c>
      <c r="D76" s="371"/>
    </row>
    <row r="77" spans="1:4" ht="18" customHeight="1" hidden="1">
      <c r="A77" s="353"/>
      <c r="B77" s="354" t="s">
        <v>122</v>
      </c>
      <c r="C77" s="354" t="s">
        <v>123</v>
      </c>
      <c r="D77" s="355"/>
    </row>
    <row r="78" spans="1:4" ht="12" hidden="1">
      <c r="A78" s="698">
        <v>40</v>
      </c>
      <c r="B78" s="691" t="s">
        <v>124</v>
      </c>
      <c r="C78" s="683" t="s">
        <v>125</v>
      </c>
      <c r="D78" s="360" t="s">
        <v>43</v>
      </c>
    </row>
    <row r="79" spans="1:4" ht="12" hidden="1">
      <c r="A79" s="699"/>
      <c r="B79" s="693"/>
      <c r="C79" s="684"/>
      <c r="D79" s="360" t="s">
        <v>32</v>
      </c>
    </row>
    <row r="80" spans="1:4" ht="36" hidden="1">
      <c r="A80" s="356">
        <v>41</v>
      </c>
      <c r="B80" s="363" t="s">
        <v>126</v>
      </c>
      <c r="C80" s="358" t="s">
        <v>127</v>
      </c>
      <c r="D80" s="360" t="s">
        <v>128</v>
      </c>
    </row>
    <row r="81" spans="1:4" ht="30.75" customHeight="1" hidden="1">
      <c r="A81" s="356">
        <v>42</v>
      </c>
      <c r="B81" s="363" t="s">
        <v>129</v>
      </c>
      <c r="C81" s="358" t="s">
        <v>130</v>
      </c>
      <c r="D81" s="358" t="s">
        <v>37</v>
      </c>
    </row>
    <row r="82" spans="1:4" ht="12" hidden="1">
      <c r="A82" s="698">
        <v>43</v>
      </c>
      <c r="B82" s="691" t="s">
        <v>131</v>
      </c>
      <c r="C82" s="683" t="s">
        <v>132</v>
      </c>
      <c r="D82" s="360" t="s">
        <v>43</v>
      </c>
    </row>
    <row r="83" spans="1:4" ht="12" hidden="1">
      <c r="A83" s="708"/>
      <c r="B83" s="692"/>
      <c r="C83" s="685"/>
      <c r="D83" s="360" t="s">
        <v>32</v>
      </c>
    </row>
    <row r="84" spans="1:4" ht="24" hidden="1">
      <c r="A84" s="699"/>
      <c r="B84" s="693"/>
      <c r="C84" s="684"/>
      <c r="D84" s="358" t="s">
        <v>128</v>
      </c>
    </row>
    <row r="85" spans="1:4" ht="24" hidden="1">
      <c r="A85" s="356">
        <v>44</v>
      </c>
      <c r="B85" s="363" t="s">
        <v>133</v>
      </c>
      <c r="C85" s="358" t="s">
        <v>134</v>
      </c>
      <c r="D85" s="358" t="s">
        <v>135</v>
      </c>
    </row>
    <row r="86" spans="1:4" s="346" customFormat="1" ht="18" customHeight="1" hidden="1">
      <c r="A86" s="372"/>
      <c r="B86" s="373" t="s">
        <v>136</v>
      </c>
      <c r="C86" s="373" t="s">
        <v>137</v>
      </c>
      <c r="D86" s="374"/>
    </row>
    <row r="87" spans="1:4" ht="19.5" customHeight="1" hidden="1">
      <c r="A87" s="356">
        <v>45</v>
      </c>
      <c r="B87" s="363" t="s">
        <v>138</v>
      </c>
      <c r="C87" s="358" t="s">
        <v>139</v>
      </c>
      <c r="D87" s="683" t="s">
        <v>140</v>
      </c>
    </row>
    <row r="88" spans="1:4" ht="16.5" customHeight="1" hidden="1">
      <c r="A88" s="356">
        <v>46</v>
      </c>
      <c r="B88" s="363" t="s">
        <v>141</v>
      </c>
      <c r="C88" s="358" t="s">
        <v>142</v>
      </c>
      <c r="D88" s="685"/>
    </row>
    <row r="89" spans="1:4" ht="27" customHeight="1" hidden="1">
      <c r="A89" s="356">
        <v>47</v>
      </c>
      <c r="B89" s="363" t="s">
        <v>143</v>
      </c>
      <c r="C89" s="358" t="s">
        <v>144</v>
      </c>
      <c r="D89" s="685"/>
    </row>
    <row r="90" spans="1:4" ht="12" hidden="1">
      <c r="A90" s="356">
        <v>48</v>
      </c>
      <c r="B90" s="363" t="s">
        <v>145</v>
      </c>
      <c r="C90" s="358" t="s">
        <v>146</v>
      </c>
      <c r="D90" s="685"/>
    </row>
    <row r="91" spans="1:4" ht="12" hidden="1">
      <c r="A91" s="356">
        <v>49</v>
      </c>
      <c r="B91" s="363" t="s">
        <v>147</v>
      </c>
      <c r="C91" s="358" t="s">
        <v>148</v>
      </c>
      <c r="D91" s="685"/>
    </row>
    <row r="92" spans="1:4" ht="12" hidden="1">
      <c r="A92" s="356">
        <v>50</v>
      </c>
      <c r="B92" s="363" t="s">
        <v>149</v>
      </c>
      <c r="C92" s="358" t="s">
        <v>150</v>
      </c>
      <c r="D92" s="684"/>
    </row>
    <row r="93" spans="1:4" ht="24" hidden="1">
      <c r="A93" s="356">
        <v>51</v>
      </c>
      <c r="B93" s="363" t="s">
        <v>151</v>
      </c>
      <c r="C93" s="358" t="s">
        <v>152</v>
      </c>
      <c r="D93" s="683" t="s">
        <v>140</v>
      </c>
    </row>
    <row r="94" spans="1:4" ht="24" hidden="1">
      <c r="A94" s="356">
        <v>52</v>
      </c>
      <c r="B94" s="363" t="s">
        <v>153</v>
      </c>
      <c r="C94" s="358" t="s">
        <v>154</v>
      </c>
      <c r="D94" s="685"/>
    </row>
    <row r="95" spans="1:4" ht="12" hidden="1">
      <c r="A95" s="356">
        <v>53</v>
      </c>
      <c r="B95" s="363" t="s">
        <v>155</v>
      </c>
      <c r="C95" s="358" t="s">
        <v>156</v>
      </c>
      <c r="D95" s="684"/>
    </row>
    <row r="96" spans="1:4" ht="12" hidden="1">
      <c r="A96" s="353"/>
      <c r="B96" s="354" t="s">
        <v>157</v>
      </c>
      <c r="C96" s="354" t="s">
        <v>158</v>
      </c>
      <c r="D96" s="355"/>
    </row>
    <row r="97" spans="1:4" ht="17.25" customHeight="1" hidden="1">
      <c r="A97" s="375"/>
      <c r="B97" s="375"/>
      <c r="C97" s="376" t="s">
        <v>159</v>
      </c>
      <c r="D97" s="377"/>
    </row>
    <row r="98" spans="1:4" ht="12" hidden="1">
      <c r="A98" s="365">
        <v>54</v>
      </c>
      <c r="B98" s="366" t="s">
        <v>160</v>
      </c>
      <c r="C98" s="367" t="s">
        <v>23</v>
      </c>
      <c r="D98" s="688" t="s">
        <v>161</v>
      </c>
    </row>
    <row r="99" spans="1:4" ht="12" hidden="1">
      <c r="A99" s="365">
        <v>55</v>
      </c>
      <c r="B99" s="366" t="s">
        <v>162</v>
      </c>
      <c r="C99" s="367" t="s">
        <v>163</v>
      </c>
      <c r="D99" s="689"/>
    </row>
    <row r="100" spans="1:4" ht="12" hidden="1">
      <c r="A100" s="365">
        <v>56</v>
      </c>
      <c r="B100" s="366" t="s">
        <v>164</v>
      </c>
      <c r="C100" s="367" t="s">
        <v>165</v>
      </c>
      <c r="D100" s="689"/>
    </row>
    <row r="101" spans="1:4" ht="38.25" customHeight="1" hidden="1">
      <c r="A101" s="365">
        <v>57</v>
      </c>
      <c r="B101" s="366" t="s">
        <v>166</v>
      </c>
      <c r="C101" s="367" t="s">
        <v>167</v>
      </c>
      <c r="D101" s="689"/>
    </row>
    <row r="102" spans="1:4" ht="38.25" customHeight="1" hidden="1">
      <c r="A102" s="365">
        <v>58</v>
      </c>
      <c r="B102" s="366" t="s">
        <v>168</v>
      </c>
      <c r="C102" s="367" t="s">
        <v>169</v>
      </c>
      <c r="D102" s="689"/>
    </row>
    <row r="103" spans="1:4" ht="12" hidden="1">
      <c r="A103" s="365">
        <v>59</v>
      </c>
      <c r="B103" s="366" t="s">
        <v>170</v>
      </c>
      <c r="C103" s="367" t="s">
        <v>171</v>
      </c>
      <c r="D103" s="689"/>
    </row>
    <row r="104" spans="1:4" ht="12" hidden="1">
      <c r="A104" s="365">
        <v>60</v>
      </c>
      <c r="B104" s="366" t="s">
        <v>172</v>
      </c>
      <c r="C104" s="367" t="s">
        <v>173</v>
      </c>
      <c r="D104" s="689"/>
    </row>
    <row r="105" spans="1:4" ht="12" hidden="1">
      <c r="A105" s="365">
        <v>61</v>
      </c>
      <c r="B105" s="366" t="s">
        <v>174</v>
      </c>
      <c r="C105" s="367" t="s">
        <v>175</v>
      </c>
      <c r="D105" s="689"/>
    </row>
    <row r="106" spans="1:4" ht="36" customHeight="1" hidden="1">
      <c r="A106" s="365">
        <v>62</v>
      </c>
      <c r="B106" s="366" t="s">
        <v>176</v>
      </c>
      <c r="C106" s="367" t="s">
        <v>177</v>
      </c>
      <c r="D106" s="689"/>
    </row>
    <row r="107" spans="1:4" ht="36" hidden="1">
      <c r="A107" s="365">
        <v>63</v>
      </c>
      <c r="B107" s="366" t="s">
        <v>178</v>
      </c>
      <c r="C107" s="367" t="s">
        <v>179</v>
      </c>
      <c r="D107" s="689"/>
    </row>
    <row r="108" spans="1:4" ht="36" hidden="1">
      <c r="A108" s="365">
        <v>64</v>
      </c>
      <c r="B108" s="366" t="s">
        <v>180</v>
      </c>
      <c r="C108" s="367" t="s">
        <v>181</v>
      </c>
      <c r="D108" s="689"/>
    </row>
    <row r="109" spans="1:4" ht="36" hidden="1">
      <c r="A109" s="365">
        <v>65</v>
      </c>
      <c r="B109" s="366" t="s">
        <v>182</v>
      </c>
      <c r="C109" s="367" t="s">
        <v>183</v>
      </c>
      <c r="D109" s="690"/>
    </row>
    <row r="110" spans="1:4" ht="12" hidden="1">
      <c r="A110" s="378"/>
      <c r="B110" s="378"/>
      <c r="C110" s="379" t="s">
        <v>184</v>
      </c>
      <c r="D110" s="380"/>
    </row>
    <row r="111" spans="1:4" ht="12" hidden="1">
      <c r="A111" s="356">
        <v>66</v>
      </c>
      <c r="B111" s="363" t="s">
        <v>185</v>
      </c>
      <c r="C111" s="358" t="s">
        <v>23</v>
      </c>
      <c r="D111" s="683" t="s">
        <v>186</v>
      </c>
    </row>
    <row r="112" spans="1:4" ht="39.75" customHeight="1" hidden="1">
      <c r="A112" s="356">
        <v>67</v>
      </c>
      <c r="B112" s="363" t="s">
        <v>187</v>
      </c>
      <c r="C112" s="358" t="s">
        <v>163</v>
      </c>
      <c r="D112" s="684"/>
    </row>
    <row r="113" spans="1:4" ht="18" customHeight="1" hidden="1">
      <c r="A113" s="375"/>
      <c r="B113" s="375"/>
      <c r="C113" s="376" t="s">
        <v>188</v>
      </c>
      <c r="D113" s="377"/>
    </row>
    <row r="114" spans="1:4" ht="12" hidden="1">
      <c r="A114" s="365">
        <v>68</v>
      </c>
      <c r="B114" s="366" t="s">
        <v>189</v>
      </c>
      <c r="C114" s="367" t="s">
        <v>190</v>
      </c>
      <c r="D114" s="688" t="s">
        <v>191</v>
      </c>
    </row>
    <row r="115" spans="1:4" ht="12" hidden="1">
      <c r="A115" s="365">
        <v>69</v>
      </c>
      <c r="B115" s="366" t="s">
        <v>192</v>
      </c>
      <c r="C115" s="367" t="s">
        <v>193</v>
      </c>
      <c r="D115" s="689"/>
    </row>
    <row r="116" spans="1:4" ht="12" hidden="1">
      <c r="A116" s="365">
        <v>70</v>
      </c>
      <c r="B116" s="366" t="s">
        <v>194</v>
      </c>
      <c r="C116" s="367" t="s">
        <v>195</v>
      </c>
      <c r="D116" s="690"/>
    </row>
    <row r="117" spans="1:4" ht="24" hidden="1">
      <c r="A117" s="356">
        <v>71</v>
      </c>
      <c r="B117" s="357" t="s">
        <v>196</v>
      </c>
      <c r="C117" s="358" t="s">
        <v>193</v>
      </c>
      <c r="D117" s="358" t="s">
        <v>197</v>
      </c>
    </row>
    <row r="118" spans="1:4" ht="24" hidden="1">
      <c r="A118" s="365">
        <v>72</v>
      </c>
      <c r="B118" s="366" t="s">
        <v>198</v>
      </c>
      <c r="C118" s="367" t="s">
        <v>199</v>
      </c>
      <c r="D118" s="367" t="s">
        <v>200</v>
      </c>
    </row>
    <row r="119" spans="1:4" ht="19.5" customHeight="1" hidden="1">
      <c r="A119" s="356">
        <v>73</v>
      </c>
      <c r="B119" s="363" t="s">
        <v>201</v>
      </c>
      <c r="C119" s="358" t="s">
        <v>202</v>
      </c>
      <c r="D119" s="683" t="s">
        <v>203</v>
      </c>
    </row>
    <row r="120" spans="1:4" ht="18" customHeight="1" hidden="1">
      <c r="A120" s="356">
        <v>74</v>
      </c>
      <c r="B120" s="363" t="s">
        <v>204</v>
      </c>
      <c r="C120" s="358" t="s">
        <v>193</v>
      </c>
      <c r="D120" s="685"/>
    </row>
    <row r="121" spans="1:4" ht="17.25" customHeight="1" hidden="1">
      <c r="A121" s="356">
        <v>75</v>
      </c>
      <c r="B121" s="363" t="s">
        <v>205</v>
      </c>
      <c r="C121" s="358" t="s">
        <v>206</v>
      </c>
      <c r="D121" s="684"/>
    </row>
    <row r="122" spans="1:4" ht="18.75" customHeight="1">
      <c r="A122" s="353"/>
      <c r="B122" s="354" t="s">
        <v>207</v>
      </c>
      <c r="C122" s="354" t="s">
        <v>208</v>
      </c>
      <c r="D122" s="355"/>
    </row>
    <row r="123" spans="1:4" ht="36">
      <c r="A123" s="356">
        <v>76</v>
      </c>
      <c r="B123" s="363" t="s">
        <v>209</v>
      </c>
      <c r="C123" s="358" t="s">
        <v>210</v>
      </c>
      <c r="D123" s="683" t="s">
        <v>211</v>
      </c>
    </row>
    <row r="124" spans="1:4" ht="24">
      <c r="A124" s="356">
        <v>77</v>
      </c>
      <c r="B124" s="363" t="s">
        <v>212</v>
      </c>
      <c r="C124" s="358" t="s">
        <v>213</v>
      </c>
      <c r="D124" s="684"/>
    </row>
    <row r="125" spans="1:4" ht="19.5" customHeight="1">
      <c r="A125" s="356">
        <v>78</v>
      </c>
      <c r="B125" s="363" t="s">
        <v>214</v>
      </c>
      <c r="C125" s="358" t="s">
        <v>215</v>
      </c>
      <c r="D125" s="680" t="s">
        <v>216</v>
      </c>
    </row>
    <row r="126" spans="1:4" ht="18" customHeight="1">
      <c r="A126" s="356">
        <v>79</v>
      </c>
      <c r="B126" s="363" t="s">
        <v>217</v>
      </c>
      <c r="C126" s="358" t="s">
        <v>218</v>
      </c>
      <c r="D126" s="681"/>
    </row>
    <row r="127" spans="1:4" ht="18" customHeight="1">
      <c r="A127" s="356">
        <v>80</v>
      </c>
      <c r="B127" s="363" t="s">
        <v>219</v>
      </c>
      <c r="C127" s="358" t="s">
        <v>220</v>
      </c>
      <c r="D127" s="682"/>
    </row>
    <row r="128" spans="1:4" ht="20.25" customHeight="1">
      <c r="A128" s="356">
        <v>81</v>
      </c>
      <c r="B128" s="363" t="s">
        <v>221</v>
      </c>
      <c r="C128" s="358" t="s">
        <v>222</v>
      </c>
      <c r="D128" s="680" t="s">
        <v>223</v>
      </c>
    </row>
    <row r="129" spans="1:4" ht="21.75" customHeight="1">
      <c r="A129" s="356">
        <v>82</v>
      </c>
      <c r="B129" s="363" t="s">
        <v>224</v>
      </c>
      <c r="C129" s="358" t="s">
        <v>225</v>
      </c>
      <c r="D129" s="681"/>
    </row>
    <row r="130" spans="1:4" ht="12">
      <c r="A130" s="356">
        <v>83</v>
      </c>
      <c r="B130" s="363" t="s">
        <v>226</v>
      </c>
      <c r="C130" s="358" t="s">
        <v>227</v>
      </c>
      <c r="D130" s="681"/>
    </row>
    <row r="131" spans="1:4" ht="18" customHeight="1">
      <c r="A131" s="356">
        <v>84</v>
      </c>
      <c r="B131" s="363" t="s">
        <v>228</v>
      </c>
      <c r="C131" s="358" t="s">
        <v>229</v>
      </c>
      <c r="D131" s="681"/>
    </row>
    <row r="132" spans="1:4" ht="21" customHeight="1">
      <c r="A132" s="356">
        <v>85</v>
      </c>
      <c r="B132" s="363" t="s">
        <v>230</v>
      </c>
      <c r="C132" s="358" t="s">
        <v>231</v>
      </c>
      <c r="D132" s="681"/>
    </row>
    <row r="133" spans="1:4" ht="24">
      <c r="A133" s="356">
        <v>86</v>
      </c>
      <c r="B133" s="362" t="s">
        <v>232</v>
      </c>
      <c r="C133" s="358" t="s">
        <v>233</v>
      </c>
      <c r="D133" s="682"/>
    </row>
    <row r="134" spans="1:4" ht="24">
      <c r="A134" s="698">
        <v>87</v>
      </c>
      <c r="B134" s="694" t="s">
        <v>234</v>
      </c>
      <c r="C134" s="686" t="s">
        <v>235</v>
      </c>
      <c r="D134" s="360" t="s">
        <v>236</v>
      </c>
    </row>
    <row r="135" spans="1:4" ht="24">
      <c r="A135" s="699"/>
      <c r="B135" s="694"/>
      <c r="C135" s="687"/>
      <c r="D135" s="358" t="s">
        <v>237</v>
      </c>
    </row>
    <row r="136" spans="1:4" ht="24">
      <c r="A136" s="356">
        <v>88</v>
      </c>
      <c r="B136" s="381" t="s">
        <v>238</v>
      </c>
      <c r="C136" s="358" t="s">
        <v>239</v>
      </c>
      <c r="D136" s="358" t="s">
        <v>240</v>
      </c>
    </row>
  </sheetData>
  <sheetProtection/>
  <mergeCells count="63">
    <mergeCell ref="B2:D2"/>
    <mergeCell ref="B3:D3"/>
    <mergeCell ref="A12:A13"/>
    <mergeCell ref="A15:A17"/>
    <mergeCell ref="A18:A21"/>
    <mergeCell ref="A22:A25"/>
    <mergeCell ref="D7:D9"/>
    <mergeCell ref="A26:A28"/>
    <mergeCell ref="A29:A31"/>
    <mergeCell ref="A32:A34"/>
    <mergeCell ref="A35:A37"/>
    <mergeCell ref="A38:A40"/>
    <mergeCell ref="A41:A43"/>
    <mergeCell ref="A44:A46"/>
    <mergeCell ref="A47:A49"/>
    <mergeCell ref="A60:A62"/>
    <mergeCell ref="A67:A69"/>
    <mergeCell ref="A78:A79"/>
    <mergeCell ref="A82:A84"/>
    <mergeCell ref="A134:A135"/>
    <mergeCell ref="B12:B13"/>
    <mergeCell ref="B15:B17"/>
    <mergeCell ref="B18:B21"/>
    <mergeCell ref="B22:B25"/>
    <mergeCell ref="B26:B28"/>
    <mergeCell ref="B29:B31"/>
    <mergeCell ref="B32:B34"/>
    <mergeCell ref="B35:B37"/>
    <mergeCell ref="B38:B40"/>
    <mergeCell ref="B41:B43"/>
    <mergeCell ref="B44:B46"/>
    <mergeCell ref="B47:B49"/>
    <mergeCell ref="B60:B62"/>
    <mergeCell ref="B67:B69"/>
    <mergeCell ref="B78:B79"/>
    <mergeCell ref="B82:B84"/>
    <mergeCell ref="B134:B135"/>
    <mergeCell ref="C12:C13"/>
    <mergeCell ref="C15:C17"/>
    <mergeCell ref="C18:C21"/>
    <mergeCell ref="C22:C25"/>
    <mergeCell ref="C26:C28"/>
    <mergeCell ref="C29:C31"/>
    <mergeCell ref="C32:C34"/>
    <mergeCell ref="C35:C37"/>
    <mergeCell ref="D114:D116"/>
    <mergeCell ref="D123:D124"/>
    <mergeCell ref="C38:C40"/>
    <mergeCell ref="C41:C43"/>
    <mergeCell ref="C44:C46"/>
    <mergeCell ref="C47:C49"/>
    <mergeCell ref="C60:C62"/>
    <mergeCell ref="C67:C69"/>
    <mergeCell ref="D125:D127"/>
    <mergeCell ref="D128:D133"/>
    <mergeCell ref="C78:C79"/>
    <mergeCell ref="C82:C84"/>
    <mergeCell ref="C134:C135"/>
    <mergeCell ref="D119:D121"/>
    <mergeCell ref="D87:D92"/>
    <mergeCell ref="D93:D95"/>
    <mergeCell ref="D98:D109"/>
    <mergeCell ref="D111:D112"/>
  </mergeCells>
  <hyperlinks>
    <hyperlink ref="B12:B13" location="'05'!A1" display="Mẫu biểu số 05:"/>
    <hyperlink ref="B14" location="'06'!A1" display="Mẫu biểu số 06:"/>
    <hyperlink ref="B15:B17" location="'07'!A1" display="Mẫu biểu số 07:"/>
    <hyperlink ref="B29:B31" location="'11.1'!A1" display="Mẫu biểu số 11.1:"/>
    <hyperlink ref="B32:B34" location="'11.2'!A1" display="Mẫu biểu số 11.2:"/>
    <hyperlink ref="B35:B37" location="'12.1'!A1" display="Mẫu biểu số 12.1:"/>
    <hyperlink ref="B38:B40" location="'12.2'!A1" display="Mẫu biểu số 12.2"/>
    <hyperlink ref="B41:B43" location="'12.3'!A1" display="Mẫu biểu số 12.3:"/>
    <hyperlink ref="B44:B46" location="'12.4'!A1" display="Mẫu biểu số 12.4:"/>
    <hyperlink ref="B47:B49" location="'12.5'!A1" display="Mẫu biểu số 12.5:"/>
    <hyperlink ref="B50" location="'13.1'!A1" display="Mẫu biểu số 13.1:"/>
    <hyperlink ref="B51" location="'13.2'!A1" display="Mẫu biểu số 13.2:"/>
    <hyperlink ref="B52" location="'13.3'!A1" display="Mẫu biểu số 13.3:"/>
    <hyperlink ref="B53" location="'13.4'!A1" display="Mẫu biểu số 13.4:"/>
    <hyperlink ref="B54" location="'13.5'!A1" display="Mẫu biểu số 13.5:"/>
    <hyperlink ref="B55" location="'13.6'!A1" display="Mẫu biểu số 13.6:"/>
    <hyperlink ref="B56" location="'13.7'!A1" display="Mẫu biểu số 13.7:"/>
    <hyperlink ref="B57" location="'13.8'!A1" display="Mẫu biểu số 13.8:"/>
    <hyperlink ref="B58" location="'13.9'!A1" display="Mẫu biểu số 13.9:"/>
    <hyperlink ref="B59" location="'13.10'!A1" display="Mẫu biểu số 13.10:"/>
    <hyperlink ref="B60:B62" location="'13.11'!A1" display="Mẫu biểu số 13.11:"/>
    <hyperlink ref="B63" location="'13.12'!A1" display="Mẫu biểu số 13.12:"/>
    <hyperlink ref="B64" location="'14'!A1" display="Mẫu biểu số 14:"/>
    <hyperlink ref="B65" location="'15.1'!A1" display="Mẫu biểu số 15.1:"/>
    <hyperlink ref="B66" location="'15.2'!A1" display="Mẫu biểu số 15.2:"/>
    <hyperlink ref="B71" location="'18'!A1" display="Mẫu biểu số 18:"/>
    <hyperlink ref="B78:B79" location="'23'!A1" display="Mẫu biểu số 23:"/>
    <hyperlink ref="B80" location="'24'!A1" display="Mẫu biểu số 24:"/>
    <hyperlink ref="B81" location="'25'!A1" display="Mẫu biểu số 25:"/>
    <hyperlink ref="B82:B84" location="'26'!A1" display="Mẫu biểu số 26:"/>
    <hyperlink ref="B85" location="'27'!A1" display="Mẫu biểu số 27:"/>
    <hyperlink ref="B87" location="'28'!A1" display="Mẫu biểu số 28:"/>
    <hyperlink ref="B88" location="'29.1'!A1" display="Mẫu biểu số 29.1:"/>
    <hyperlink ref="B89" location="'29.2'!A1" display="Mẫu biểu số 29.2:"/>
    <hyperlink ref="B90" location="'30'!A1" display="Mẫu biểu số 30:"/>
    <hyperlink ref="B91" location="'31'!A1" display="Mẫu biểu số 31:"/>
    <hyperlink ref="B92" location="'32'!A1" display="Mẫu biểu số 32:"/>
    <hyperlink ref="B93" location="'33'!A1" display="Mẫu biểu số 33:"/>
    <hyperlink ref="B94" location="'34'!A1" display="Mẫu biểu số 34:"/>
    <hyperlink ref="B95" location="'35'!A1" display="Mẫu biểu số 35:"/>
    <hyperlink ref="B111" location="'48'!A1" display="Mẫu biểu số 48:"/>
    <hyperlink ref="B112" location="'49'!A1" display="Mẫu biểu số 49:"/>
    <hyperlink ref="B119" location="'55'!A1" display="Mẫu biểu số 55:"/>
    <hyperlink ref="B120" location="'56'!A1" display="Mẫu biểu số 56:"/>
    <hyperlink ref="B121" location="'57'!A1" display="Mẫu biểu số 57:"/>
    <hyperlink ref="B123" location="'58'!A1" display="Mẫu biểu số 58:"/>
    <hyperlink ref="B124" location="'59'!A1" display="Mẫu biểu số 59:"/>
    <hyperlink ref="B125" location="'60'!A1" display="Mẫu biểu số 60:"/>
    <hyperlink ref="B126" location="'61'!A1" display="Mẫu biểu số 61:"/>
    <hyperlink ref="B127" location="'62'!A1" display="Mẫu biểu số 62:"/>
    <hyperlink ref="B128" location="'63'!A1" display="Mẫu biểu số 63:"/>
    <hyperlink ref="B129" location="'64'!A1" display="Mẫu biểu số 64:"/>
    <hyperlink ref="B130" location="'65'!A1" display="Mẫu biểu số 65:"/>
    <hyperlink ref="B131" location="'66'!A1" display="Mẫu biểu số 66:"/>
    <hyperlink ref="B132" location="'67'!A1" display="Mẫu biểu số 67:"/>
    <hyperlink ref="B133" location="'68'!A1" display="Mẫu biểu số 68:"/>
    <hyperlink ref="B134:B135" location="'69'!A1" display="Mẫu biểu số 69:"/>
    <hyperlink ref="B136" location="'70'!A1" display="Mẫu biểu số 70:"/>
    <hyperlink ref="B18:B21" location="'08'!A1" display="Mẫu biểu số 08:"/>
    <hyperlink ref="B22:B25" location="'09'!A1" display="Mẫu biểu số 09:"/>
  </hyperlinks>
  <printOptions/>
  <pageMargins left="0.35" right="0.2" top="0.47" bottom="0.55" header="0.31" footer="0.24"/>
  <pageSetup blackAndWhite="1" horizontalDpi="600" verticalDpi="600" orientation="landscape" paperSize="9" r:id="rId1"/>
  <headerFooter>
    <oddFooter>&amp;R&amp;P</oddFooter>
  </headerFooter>
</worksheet>
</file>

<file path=xl/worksheets/sheet10.xml><?xml version="1.0" encoding="utf-8"?>
<worksheet xmlns="http://schemas.openxmlformats.org/spreadsheetml/2006/main" xmlns:r="http://schemas.openxmlformats.org/officeDocument/2006/relationships">
  <sheetPr>
    <tabColor rgb="FFFF0000"/>
  </sheetPr>
  <dimension ref="A1:M506"/>
  <sheetViews>
    <sheetView zoomScalePageLayoutView="0" workbookViewId="0" topLeftCell="A1">
      <selection activeCell="E17" sqref="E17"/>
    </sheetView>
  </sheetViews>
  <sheetFormatPr defaultColWidth="9.33203125" defaultRowHeight="12.75"/>
  <cols>
    <col min="1" max="1" width="8.16015625" style="547" customWidth="1"/>
    <col min="2" max="2" width="72" style="337" customWidth="1"/>
    <col min="3" max="3" width="10" style="337" customWidth="1"/>
    <col min="4" max="4" width="5.33203125" style="337" bestFit="1" customWidth="1"/>
    <col min="5" max="5" width="7" style="337" bestFit="1" customWidth="1"/>
    <col min="6" max="6" width="10.5" style="337" customWidth="1"/>
    <col min="7" max="7" width="11.16015625" style="337" customWidth="1"/>
    <col min="8" max="8" width="17.16015625" style="262" customWidth="1"/>
    <col min="9" max="9" width="9.33203125" style="337" customWidth="1"/>
    <col min="10" max="10" width="18.33203125" style="337" customWidth="1"/>
    <col min="11" max="11" width="19" style="337" customWidth="1"/>
    <col min="12" max="12" width="20" style="337" customWidth="1"/>
    <col min="13" max="13" width="17.66015625" style="337" bestFit="1" customWidth="1"/>
    <col min="14" max="16384" width="9.33203125" style="337" customWidth="1"/>
  </cols>
  <sheetData>
    <row r="1" ht="12.75">
      <c r="H1" s="398" t="s">
        <v>522</v>
      </c>
    </row>
    <row r="3" spans="1:8" ht="12.75">
      <c r="A3" s="755" t="s">
        <v>1143</v>
      </c>
      <c r="B3" s="755"/>
      <c r="C3" s="755"/>
      <c r="D3" s="755"/>
      <c r="E3" s="755"/>
      <c r="F3" s="755"/>
      <c r="G3" s="755"/>
      <c r="H3" s="755"/>
    </row>
    <row r="4" spans="1:8" ht="12.75" hidden="1">
      <c r="A4" s="756" t="s">
        <v>501</v>
      </c>
      <c r="B4" s="756"/>
      <c r="C4" s="756"/>
      <c r="D4" s="756"/>
      <c r="E4" s="756"/>
      <c r="F4" s="756"/>
      <c r="G4" s="756"/>
      <c r="H4" s="756"/>
    </row>
    <row r="5" ht="12.75">
      <c r="H5" s="264" t="s">
        <v>247</v>
      </c>
    </row>
    <row r="6" spans="1:8" ht="36" customHeight="1">
      <c r="A6" s="548" t="s">
        <v>523</v>
      </c>
      <c r="B6" s="548" t="s">
        <v>524</v>
      </c>
      <c r="C6" s="548" t="s">
        <v>503</v>
      </c>
      <c r="D6" s="548" t="s">
        <v>519</v>
      </c>
      <c r="E6" s="548" t="s">
        <v>520</v>
      </c>
      <c r="F6" s="548" t="s">
        <v>504</v>
      </c>
      <c r="G6" s="548" t="s">
        <v>505</v>
      </c>
      <c r="H6" s="399" t="s">
        <v>521</v>
      </c>
    </row>
    <row r="7" spans="1:10" s="549" customFormat="1" ht="12.75" customHeight="1">
      <c r="A7" s="757" t="s">
        <v>525</v>
      </c>
      <c r="B7" s="758"/>
      <c r="C7" s="400"/>
      <c r="D7" s="400"/>
      <c r="E7" s="400"/>
      <c r="F7" s="400"/>
      <c r="G7" s="400"/>
      <c r="H7" s="401">
        <f>H8+H324</f>
        <v>29212401358</v>
      </c>
      <c r="J7" s="550">
        <f>H7/1000000</f>
        <v>29212.401358</v>
      </c>
    </row>
    <row r="8" spans="1:11" s="549" customFormat="1" ht="12.75">
      <c r="A8" s="402" t="s">
        <v>297</v>
      </c>
      <c r="B8" s="403" t="s">
        <v>526</v>
      </c>
      <c r="C8" s="404"/>
      <c r="D8" s="404"/>
      <c r="E8" s="404"/>
      <c r="F8" s="404"/>
      <c r="G8" s="404"/>
      <c r="H8" s="405">
        <f>H9+H150</f>
        <v>22167901094</v>
      </c>
      <c r="J8" s="550"/>
      <c r="K8" s="550"/>
    </row>
    <row r="9" spans="1:11" s="549" customFormat="1" ht="15.75" customHeight="1">
      <c r="A9" s="402" t="s">
        <v>308</v>
      </c>
      <c r="B9" s="403" t="s">
        <v>527</v>
      </c>
      <c r="C9" s="404"/>
      <c r="D9" s="404"/>
      <c r="E9" s="404"/>
      <c r="F9" s="404"/>
      <c r="G9" s="404"/>
      <c r="H9" s="405">
        <f>H10+H18+H42+H59+H80+H108+H135+H141+H145</f>
        <v>16547130094</v>
      </c>
      <c r="J9" s="550"/>
      <c r="K9" s="551"/>
    </row>
    <row r="10" spans="1:11" s="271" customFormat="1" ht="15.75" customHeight="1">
      <c r="A10" s="406">
        <v>1</v>
      </c>
      <c r="B10" s="407" t="s">
        <v>529</v>
      </c>
      <c r="C10" s="406"/>
      <c r="D10" s="406"/>
      <c r="E10" s="406"/>
      <c r="F10" s="406"/>
      <c r="G10" s="406"/>
      <c r="H10" s="408">
        <f>H11+H14</f>
        <v>533658000</v>
      </c>
      <c r="J10" s="552"/>
      <c r="K10" s="253"/>
    </row>
    <row r="11" spans="1:11" s="271" customFormat="1" ht="27.75" customHeight="1">
      <c r="A11" s="409" t="s">
        <v>367</v>
      </c>
      <c r="B11" s="413" t="s">
        <v>1021</v>
      </c>
      <c r="C11" s="410"/>
      <c r="D11" s="410"/>
      <c r="E11" s="410"/>
      <c r="F11" s="410"/>
      <c r="G11" s="410"/>
      <c r="H11" s="388">
        <f>H12+H13</f>
        <v>346685000</v>
      </c>
      <c r="J11" s="552"/>
      <c r="K11" s="253"/>
    </row>
    <row r="12" spans="1:11" s="271" customFormat="1" ht="15.75" customHeight="1">
      <c r="A12" s="410" t="s">
        <v>877</v>
      </c>
      <c r="B12" s="411"/>
      <c r="C12" s="410">
        <v>799</v>
      </c>
      <c r="D12" s="414" t="s">
        <v>878</v>
      </c>
      <c r="E12" s="414" t="s">
        <v>879</v>
      </c>
      <c r="F12" s="410">
        <v>9300</v>
      </c>
      <c r="G12" s="410">
        <v>9301</v>
      </c>
      <c r="H12" s="412">
        <v>341685000</v>
      </c>
      <c r="J12" s="552"/>
      <c r="K12" s="253"/>
    </row>
    <row r="13" spans="1:11" s="271" customFormat="1" ht="15.75" customHeight="1">
      <c r="A13" s="410" t="s">
        <v>877</v>
      </c>
      <c r="B13" s="553"/>
      <c r="C13" s="410">
        <v>799</v>
      </c>
      <c r="D13" s="414" t="s">
        <v>878</v>
      </c>
      <c r="E13" s="414" t="s">
        <v>879</v>
      </c>
      <c r="F13" s="410">
        <v>9400</v>
      </c>
      <c r="G13" s="410">
        <v>9401</v>
      </c>
      <c r="H13" s="412">
        <v>5000000</v>
      </c>
      <c r="J13" s="552"/>
      <c r="K13" s="253"/>
    </row>
    <row r="14" spans="1:11" s="271" customFormat="1" ht="24.75" customHeight="1">
      <c r="A14" s="409" t="s">
        <v>369</v>
      </c>
      <c r="B14" s="413" t="s">
        <v>1022</v>
      </c>
      <c r="C14" s="410"/>
      <c r="D14" s="410"/>
      <c r="E14" s="410"/>
      <c r="F14" s="410"/>
      <c r="G14" s="410"/>
      <c r="H14" s="388">
        <f>SUM(H15:H17)</f>
        <v>186973000</v>
      </c>
      <c r="J14" s="552"/>
      <c r="K14" s="253"/>
    </row>
    <row r="15" spans="1:11" s="271" customFormat="1" ht="15.75" customHeight="1">
      <c r="A15" s="410" t="s">
        <v>877</v>
      </c>
      <c r="B15" s="411"/>
      <c r="C15" s="410">
        <v>799</v>
      </c>
      <c r="D15" s="414" t="s">
        <v>878</v>
      </c>
      <c r="E15" s="414" t="s">
        <v>884</v>
      </c>
      <c r="F15" s="410">
        <v>9300</v>
      </c>
      <c r="G15" s="410">
        <v>9301</v>
      </c>
      <c r="H15" s="412">
        <v>161909000</v>
      </c>
      <c r="K15" s="253"/>
    </row>
    <row r="16" spans="1:11" s="271" customFormat="1" ht="15.75" customHeight="1">
      <c r="A16" s="410" t="s">
        <v>877</v>
      </c>
      <c r="B16" s="411"/>
      <c r="C16" s="410">
        <v>799</v>
      </c>
      <c r="D16" s="414" t="s">
        <v>878</v>
      </c>
      <c r="E16" s="414" t="s">
        <v>884</v>
      </c>
      <c r="F16" s="410">
        <v>9400</v>
      </c>
      <c r="G16" s="410">
        <v>9402</v>
      </c>
      <c r="H16" s="412">
        <v>10772000</v>
      </c>
      <c r="K16" s="253"/>
    </row>
    <row r="17" spans="1:11" s="271" customFormat="1" ht="15.75" customHeight="1">
      <c r="A17" s="410" t="s">
        <v>877</v>
      </c>
      <c r="B17" s="411"/>
      <c r="C17" s="410">
        <v>799</v>
      </c>
      <c r="D17" s="414" t="s">
        <v>878</v>
      </c>
      <c r="E17" s="414" t="s">
        <v>884</v>
      </c>
      <c r="F17" s="410">
        <v>9400</v>
      </c>
      <c r="G17" s="410">
        <v>9449</v>
      </c>
      <c r="H17" s="412">
        <v>14292000</v>
      </c>
      <c r="K17" s="253"/>
    </row>
    <row r="18" spans="1:11" s="271" customFormat="1" ht="15.75" customHeight="1">
      <c r="A18" s="406">
        <v>2</v>
      </c>
      <c r="B18" s="407" t="s">
        <v>530</v>
      </c>
      <c r="C18" s="406"/>
      <c r="D18" s="406"/>
      <c r="E18" s="406"/>
      <c r="F18" s="406"/>
      <c r="G18" s="406"/>
      <c r="H18" s="408">
        <f>H19+H24+H29+H34+H39</f>
        <v>1531068000</v>
      </c>
      <c r="K18" s="253"/>
    </row>
    <row r="19" spans="1:11" s="271" customFormat="1" ht="29.25" customHeight="1">
      <c r="A19" s="409" t="s">
        <v>402</v>
      </c>
      <c r="B19" s="413" t="s">
        <v>917</v>
      </c>
      <c r="C19" s="409"/>
      <c r="D19" s="409"/>
      <c r="E19" s="409"/>
      <c r="F19" s="409"/>
      <c r="G19" s="409"/>
      <c r="H19" s="415">
        <f>SUM(H20:H23)</f>
        <v>199245000</v>
      </c>
      <c r="K19" s="253"/>
    </row>
    <row r="20" spans="1:8" s="271" customFormat="1" ht="15.75" customHeight="1">
      <c r="A20" s="410" t="s">
        <v>877</v>
      </c>
      <c r="B20" s="416"/>
      <c r="C20" s="410">
        <v>799</v>
      </c>
      <c r="D20" s="410" t="s">
        <v>878</v>
      </c>
      <c r="E20" s="410" t="s">
        <v>879</v>
      </c>
      <c r="F20" s="410">
        <v>9300</v>
      </c>
      <c r="G20" s="410">
        <v>9301</v>
      </c>
      <c r="H20" s="412">
        <v>162356000</v>
      </c>
    </row>
    <row r="21" spans="1:8" s="271" customFormat="1" ht="15.75" customHeight="1">
      <c r="A21" s="410" t="s">
        <v>877</v>
      </c>
      <c r="B21" s="416"/>
      <c r="C21" s="410">
        <v>799</v>
      </c>
      <c r="D21" s="410" t="s">
        <v>878</v>
      </c>
      <c r="E21" s="410" t="s">
        <v>879</v>
      </c>
      <c r="F21" s="410">
        <v>9400</v>
      </c>
      <c r="G21" s="410">
        <v>9401</v>
      </c>
      <c r="H21" s="412">
        <v>8397000</v>
      </c>
    </row>
    <row r="22" spans="1:8" s="271" customFormat="1" ht="15.75" customHeight="1">
      <c r="A22" s="410" t="s">
        <v>877</v>
      </c>
      <c r="B22" s="416"/>
      <c r="C22" s="410">
        <v>799</v>
      </c>
      <c r="D22" s="410" t="s">
        <v>878</v>
      </c>
      <c r="E22" s="410" t="s">
        <v>879</v>
      </c>
      <c r="F22" s="410">
        <v>9400</v>
      </c>
      <c r="G22" s="410">
        <v>9402</v>
      </c>
      <c r="H22" s="412">
        <v>25329000</v>
      </c>
    </row>
    <row r="23" spans="1:8" s="271" customFormat="1" ht="15.75" customHeight="1">
      <c r="A23" s="410" t="s">
        <v>877</v>
      </c>
      <c r="B23" s="416"/>
      <c r="C23" s="410">
        <v>799</v>
      </c>
      <c r="D23" s="414" t="s">
        <v>878</v>
      </c>
      <c r="E23" s="414" t="s">
        <v>879</v>
      </c>
      <c r="F23" s="410">
        <v>9400</v>
      </c>
      <c r="G23" s="410">
        <v>9449</v>
      </c>
      <c r="H23" s="412">
        <v>3163000</v>
      </c>
    </row>
    <row r="24" spans="1:8" s="271" customFormat="1" ht="28.5" customHeight="1">
      <c r="A24" s="409" t="s">
        <v>404</v>
      </c>
      <c r="B24" s="413" t="s">
        <v>1023</v>
      </c>
      <c r="C24" s="410"/>
      <c r="D24" s="410"/>
      <c r="E24" s="410"/>
      <c r="F24" s="410"/>
      <c r="G24" s="410"/>
      <c r="H24" s="415">
        <f>SUM(H25:H28)</f>
        <v>480882000</v>
      </c>
    </row>
    <row r="25" spans="1:8" s="271" customFormat="1" ht="15.75" customHeight="1">
      <c r="A25" s="410" t="s">
        <v>877</v>
      </c>
      <c r="B25" s="416"/>
      <c r="C25" s="410">
        <v>799</v>
      </c>
      <c r="D25" s="410" t="s">
        <v>878</v>
      </c>
      <c r="E25" s="414" t="s">
        <v>884</v>
      </c>
      <c r="F25" s="410">
        <v>9300</v>
      </c>
      <c r="G25" s="410">
        <v>9301</v>
      </c>
      <c r="H25" s="412">
        <v>421709000</v>
      </c>
    </row>
    <row r="26" spans="1:8" s="271" customFormat="1" ht="15.75" customHeight="1">
      <c r="A26" s="410" t="s">
        <v>877</v>
      </c>
      <c r="B26" s="416"/>
      <c r="C26" s="410">
        <v>799</v>
      </c>
      <c r="D26" s="410" t="s">
        <v>878</v>
      </c>
      <c r="E26" s="414" t="s">
        <v>884</v>
      </c>
      <c r="F26" s="410">
        <v>9400</v>
      </c>
      <c r="G26" s="410">
        <v>9401</v>
      </c>
      <c r="H26" s="412">
        <v>11651000</v>
      </c>
    </row>
    <row r="27" spans="1:8" s="271" customFormat="1" ht="15.75" customHeight="1">
      <c r="A27" s="410" t="s">
        <v>877</v>
      </c>
      <c r="B27" s="416"/>
      <c r="C27" s="410">
        <v>799</v>
      </c>
      <c r="D27" s="410" t="s">
        <v>878</v>
      </c>
      <c r="E27" s="414" t="s">
        <v>884</v>
      </c>
      <c r="F27" s="410">
        <v>9400</v>
      </c>
      <c r="G27" s="410">
        <v>9402</v>
      </c>
      <c r="H27" s="412">
        <v>44675000</v>
      </c>
    </row>
    <row r="28" spans="1:8" s="271" customFormat="1" ht="15.75" customHeight="1">
      <c r="A28" s="410" t="s">
        <v>877</v>
      </c>
      <c r="B28" s="416"/>
      <c r="C28" s="410">
        <v>799</v>
      </c>
      <c r="D28" s="414" t="s">
        <v>878</v>
      </c>
      <c r="E28" s="414" t="s">
        <v>884</v>
      </c>
      <c r="F28" s="410">
        <v>9400</v>
      </c>
      <c r="G28" s="410">
        <v>9449</v>
      </c>
      <c r="H28" s="412">
        <v>2847000</v>
      </c>
    </row>
    <row r="29" spans="1:8" s="271" customFormat="1" ht="24" customHeight="1">
      <c r="A29" s="409" t="s">
        <v>469</v>
      </c>
      <c r="B29" s="413" t="s">
        <v>1024</v>
      </c>
      <c r="C29" s="409"/>
      <c r="D29" s="417"/>
      <c r="E29" s="417"/>
      <c r="F29" s="409"/>
      <c r="G29" s="409"/>
      <c r="H29" s="415">
        <f>SUM(H30:H33)</f>
        <v>148004000</v>
      </c>
    </row>
    <row r="30" spans="1:8" s="271" customFormat="1" ht="15.75" customHeight="1">
      <c r="A30" s="410" t="s">
        <v>877</v>
      </c>
      <c r="B30" s="416"/>
      <c r="C30" s="410">
        <v>799</v>
      </c>
      <c r="D30" s="410" t="s">
        <v>878</v>
      </c>
      <c r="E30" s="414" t="s">
        <v>879</v>
      </c>
      <c r="F30" s="410">
        <v>9300</v>
      </c>
      <c r="G30" s="410">
        <v>9301</v>
      </c>
      <c r="H30" s="412">
        <v>127322000</v>
      </c>
    </row>
    <row r="31" spans="1:8" s="271" customFormat="1" ht="15.75" customHeight="1">
      <c r="A31" s="410" t="s">
        <v>877</v>
      </c>
      <c r="B31" s="416"/>
      <c r="C31" s="410">
        <v>799</v>
      </c>
      <c r="D31" s="410" t="s">
        <v>878</v>
      </c>
      <c r="E31" s="414" t="s">
        <v>879</v>
      </c>
      <c r="F31" s="410">
        <v>9400</v>
      </c>
      <c r="G31" s="410">
        <v>9401</v>
      </c>
      <c r="H31" s="412">
        <v>3517000</v>
      </c>
    </row>
    <row r="32" spans="1:8" s="271" customFormat="1" ht="15.75" customHeight="1">
      <c r="A32" s="410" t="s">
        <v>877</v>
      </c>
      <c r="B32" s="416"/>
      <c r="C32" s="410">
        <v>799</v>
      </c>
      <c r="D32" s="410" t="s">
        <v>878</v>
      </c>
      <c r="E32" s="414" t="s">
        <v>879</v>
      </c>
      <c r="F32" s="410">
        <v>9400</v>
      </c>
      <c r="G32" s="410">
        <v>9402</v>
      </c>
      <c r="H32" s="412">
        <v>16321000</v>
      </c>
    </row>
    <row r="33" spans="1:8" s="271" customFormat="1" ht="15.75" customHeight="1">
      <c r="A33" s="410" t="s">
        <v>877</v>
      </c>
      <c r="B33" s="416"/>
      <c r="C33" s="410">
        <v>799</v>
      </c>
      <c r="D33" s="414" t="s">
        <v>878</v>
      </c>
      <c r="E33" s="414" t="s">
        <v>879</v>
      </c>
      <c r="F33" s="410">
        <v>9400</v>
      </c>
      <c r="G33" s="410">
        <v>9449</v>
      </c>
      <c r="H33" s="412">
        <v>844000</v>
      </c>
    </row>
    <row r="34" spans="1:8" s="271" customFormat="1" ht="31.5" customHeight="1">
      <c r="A34" s="409" t="s">
        <v>470</v>
      </c>
      <c r="B34" s="413" t="s">
        <v>1025</v>
      </c>
      <c r="C34" s="409"/>
      <c r="D34" s="417"/>
      <c r="E34" s="417"/>
      <c r="F34" s="409"/>
      <c r="G34" s="409"/>
      <c r="H34" s="415">
        <f>SUM(H35:H38)</f>
        <v>396588000</v>
      </c>
    </row>
    <row r="35" spans="1:8" s="271" customFormat="1" ht="15.75" customHeight="1">
      <c r="A35" s="410" t="s">
        <v>877</v>
      </c>
      <c r="B35" s="413"/>
      <c r="C35" s="410">
        <v>799</v>
      </c>
      <c r="D35" s="414">
        <v>280</v>
      </c>
      <c r="E35" s="414">
        <v>292</v>
      </c>
      <c r="F35" s="410">
        <v>9300</v>
      </c>
      <c r="G35" s="410">
        <v>9301</v>
      </c>
      <c r="H35" s="412">
        <v>340770000</v>
      </c>
    </row>
    <row r="36" spans="1:8" s="271" customFormat="1" ht="15.75" customHeight="1">
      <c r="A36" s="410" t="s">
        <v>877</v>
      </c>
      <c r="B36" s="413"/>
      <c r="C36" s="410">
        <v>799</v>
      </c>
      <c r="D36" s="414">
        <v>280</v>
      </c>
      <c r="E36" s="414">
        <v>292</v>
      </c>
      <c r="F36" s="410">
        <v>9400</v>
      </c>
      <c r="G36" s="410">
        <v>9401</v>
      </c>
      <c r="H36" s="412">
        <v>9415000</v>
      </c>
    </row>
    <row r="37" spans="1:8" s="271" customFormat="1" ht="15.75" customHeight="1">
      <c r="A37" s="410" t="s">
        <v>877</v>
      </c>
      <c r="B37" s="413"/>
      <c r="C37" s="410">
        <v>799</v>
      </c>
      <c r="D37" s="414">
        <v>280</v>
      </c>
      <c r="E37" s="414">
        <v>292</v>
      </c>
      <c r="F37" s="410">
        <v>9400</v>
      </c>
      <c r="G37" s="410">
        <v>9402</v>
      </c>
      <c r="H37" s="412">
        <v>44137000</v>
      </c>
    </row>
    <row r="38" spans="1:8" s="271" customFormat="1" ht="15.75" customHeight="1">
      <c r="A38" s="410" t="s">
        <v>877</v>
      </c>
      <c r="B38" s="413"/>
      <c r="C38" s="410">
        <v>799</v>
      </c>
      <c r="D38" s="414">
        <v>280</v>
      </c>
      <c r="E38" s="414">
        <v>292</v>
      </c>
      <c r="F38" s="410">
        <v>9400</v>
      </c>
      <c r="G38" s="410">
        <v>9449</v>
      </c>
      <c r="H38" s="412">
        <v>2266000</v>
      </c>
    </row>
    <row r="39" spans="1:8" s="271" customFormat="1" ht="26.25" customHeight="1">
      <c r="A39" s="409" t="s">
        <v>471</v>
      </c>
      <c r="B39" s="413" t="s">
        <v>1026</v>
      </c>
      <c r="C39" s="409"/>
      <c r="D39" s="417"/>
      <c r="E39" s="417"/>
      <c r="F39" s="409"/>
      <c r="G39" s="409"/>
      <c r="H39" s="415">
        <f>SUM(H40:H41)</f>
        <v>306349000</v>
      </c>
    </row>
    <row r="40" spans="1:8" s="271" customFormat="1" ht="15.75" customHeight="1">
      <c r="A40" s="410" t="s">
        <v>877</v>
      </c>
      <c r="B40" s="416"/>
      <c r="C40" s="410">
        <v>799</v>
      </c>
      <c r="D40" s="414">
        <v>280</v>
      </c>
      <c r="E40" s="414">
        <v>292</v>
      </c>
      <c r="F40" s="410">
        <v>9300</v>
      </c>
      <c r="G40" s="410">
        <v>9301</v>
      </c>
      <c r="H40" s="412">
        <v>304784000</v>
      </c>
    </row>
    <row r="41" spans="1:8" s="271" customFormat="1" ht="15.75" customHeight="1">
      <c r="A41" s="410" t="s">
        <v>877</v>
      </c>
      <c r="B41" s="416"/>
      <c r="C41" s="410">
        <v>799</v>
      </c>
      <c r="D41" s="414">
        <v>280</v>
      </c>
      <c r="E41" s="414">
        <v>292</v>
      </c>
      <c r="F41" s="410">
        <v>9400</v>
      </c>
      <c r="G41" s="410">
        <v>9401</v>
      </c>
      <c r="H41" s="412">
        <v>1565000</v>
      </c>
    </row>
    <row r="42" spans="1:8" s="271" customFormat="1" ht="15.75" customHeight="1">
      <c r="A42" s="406">
        <v>3</v>
      </c>
      <c r="B42" s="407" t="s">
        <v>533</v>
      </c>
      <c r="C42" s="406"/>
      <c r="D42" s="406"/>
      <c r="E42" s="406"/>
      <c r="F42" s="406"/>
      <c r="G42" s="406"/>
      <c r="H42" s="408">
        <f>H43+H48+H52+H57</f>
        <v>1784165000</v>
      </c>
    </row>
    <row r="43" spans="1:8" s="271" customFormat="1" ht="15.75" customHeight="1">
      <c r="A43" s="409" t="s">
        <v>531</v>
      </c>
      <c r="B43" s="413" t="s">
        <v>918</v>
      </c>
      <c r="C43" s="410"/>
      <c r="D43" s="410"/>
      <c r="E43" s="410"/>
      <c r="F43" s="410"/>
      <c r="G43" s="410"/>
      <c r="H43" s="388">
        <f>SUM(H44:H47)</f>
        <v>597069000</v>
      </c>
    </row>
    <row r="44" spans="1:8" s="271" customFormat="1" ht="15.75" customHeight="1">
      <c r="A44" s="410" t="s">
        <v>877</v>
      </c>
      <c r="B44" s="387"/>
      <c r="C44" s="410">
        <v>799</v>
      </c>
      <c r="D44" s="410" t="s">
        <v>878</v>
      </c>
      <c r="E44" s="414" t="s">
        <v>884</v>
      </c>
      <c r="F44" s="410">
        <v>9300</v>
      </c>
      <c r="G44" s="410">
        <v>9301</v>
      </c>
      <c r="H44" s="412">
        <v>539209000</v>
      </c>
    </row>
    <row r="45" spans="1:8" s="271" customFormat="1" ht="15.75" customHeight="1">
      <c r="A45" s="410" t="s">
        <v>877</v>
      </c>
      <c r="B45" s="387"/>
      <c r="C45" s="410">
        <v>799</v>
      </c>
      <c r="D45" s="410" t="s">
        <v>878</v>
      </c>
      <c r="E45" s="414" t="s">
        <v>884</v>
      </c>
      <c r="F45" s="410">
        <v>9400</v>
      </c>
      <c r="G45" s="410">
        <v>9401</v>
      </c>
      <c r="H45" s="412">
        <v>22975000</v>
      </c>
    </row>
    <row r="46" spans="1:8" s="271" customFormat="1" ht="15.75" customHeight="1">
      <c r="A46" s="410" t="s">
        <v>877</v>
      </c>
      <c r="B46" s="387"/>
      <c r="C46" s="410">
        <v>799</v>
      </c>
      <c r="D46" s="410" t="s">
        <v>878</v>
      </c>
      <c r="E46" s="414" t="s">
        <v>884</v>
      </c>
      <c r="F46" s="410">
        <v>9400</v>
      </c>
      <c r="G46" s="410">
        <v>9402</v>
      </c>
      <c r="H46" s="412">
        <v>26180000</v>
      </c>
    </row>
    <row r="47" spans="1:8" s="271" customFormat="1" ht="15.75" customHeight="1">
      <c r="A47" s="410" t="s">
        <v>877</v>
      </c>
      <c r="B47" s="387"/>
      <c r="C47" s="410">
        <v>799</v>
      </c>
      <c r="D47" s="410" t="s">
        <v>878</v>
      </c>
      <c r="E47" s="414" t="s">
        <v>884</v>
      </c>
      <c r="F47" s="410">
        <v>9400</v>
      </c>
      <c r="G47" s="410">
        <v>9449</v>
      </c>
      <c r="H47" s="412">
        <v>8705000</v>
      </c>
    </row>
    <row r="48" spans="1:8" s="271" customFormat="1" ht="27.75" customHeight="1">
      <c r="A48" s="409" t="s">
        <v>532</v>
      </c>
      <c r="B48" s="413" t="s">
        <v>1027</v>
      </c>
      <c r="C48" s="410"/>
      <c r="D48" s="410"/>
      <c r="E48" s="410"/>
      <c r="F48" s="410"/>
      <c r="G48" s="410"/>
      <c r="H48" s="415">
        <f>SUM(H49:H51)</f>
        <v>798312000</v>
      </c>
    </row>
    <row r="49" spans="1:8" s="271" customFormat="1" ht="15.75" customHeight="1">
      <c r="A49" s="410" t="s">
        <v>877</v>
      </c>
      <c r="B49" s="411"/>
      <c r="C49" s="410">
        <v>799</v>
      </c>
      <c r="D49" s="410">
        <v>280</v>
      </c>
      <c r="E49" s="414">
        <v>292</v>
      </c>
      <c r="F49" s="410">
        <v>9300</v>
      </c>
      <c r="G49" s="410">
        <v>9301</v>
      </c>
      <c r="H49" s="412">
        <v>789150000</v>
      </c>
    </row>
    <row r="50" spans="1:8" s="271" customFormat="1" ht="15.75" customHeight="1">
      <c r="A50" s="410" t="s">
        <v>877</v>
      </c>
      <c r="B50" s="411"/>
      <c r="C50" s="410">
        <v>799</v>
      </c>
      <c r="D50" s="410">
        <v>280</v>
      </c>
      <c r="E50" s="414">
        <v>292</v>
      </c>
      <c r="F50" s="410">
        <v>9400</v>
      </c>
      <c r="G50" s="410">
        <v>9401</v>
      </c>
      <c r="H50" s="412">
        <v>3900000</v>
      </c>
    </row>
    <row r="51" spans="1:8" s="271" customFormat="1" ht="15.75" customHeight="1">
      <c r="A51" s="410" t="s">
        <v>877</v>
      </c>
      <c r="B51" s="411"/>
      <c r="C51" s="410">
        <v>799</v>
      </c>
      <c r="D51" s="410">
        <v>280</v>
      </c>
      <c r="E51" s="414">
        <v>292</v>
      </c>
      <c r="F51" s="410">
        <v>9400</v>
      </c>
      <c r="G51" s="410">
        <v>9449</v>
      </c>
      <c r="H51" s="412">
        <v>5262000</v>
      </c>
    </row>
    <row r="52" spans="1:8" s="271" customFormat="1" ht="27.75" customHeight="1">
      <c r="A52" s="409" t="s">
        <v>555</v>
      </c>
      <c r="B52" s="413" t="s">
        <v>1028</v>
      </c>
      <c r="C52" s="410"/>
      <c r="D52" s="410"/>
      <c r="E52" s="414"/>
      <c r="F52" s="410"/>
      <c r="G52" s="410"/>
      <c r="H52" s="415">
        <f>SUM(H53:H56)</f>
        <v>288784000</v>
      </c>
    </row>
    <row r="53" spans="1:8" s="271" customFormat="1" ht="15.75" customHeight="1">
      <c r="A53" s="410" t="s">
        <v>877</v>
      </c>
      <c r="B53" s="411"/>
      <c r="C53" s="410">
        <v>799</v>
      </c>
      <c r="D53" s="410" t="s">
        <v>878</v>
      </c>
      <c r="E53" s="414" t="s">
        <v>879</v>
      </c>
      <c r="F53" s="410">
        <v>9300</v>
      </c>
      <c r="G53" s="410">
        <v>9301</v>
      </c>
      <c r="H53" s="412">
        <v>249484000</v>
      </c>
    </row>
    <row r="54" spans="1:8" s="271" customFormat="1" ht="15.75" customHeight="1">
      <c r="A54" s="410" t="s">
        <v>877</v>
      </c>
      <c r="B54" s="411"/>
      <c r="C54" s="410">
        <v>799</v>
      </c>
      <c r="D54" s="410" t="s">
        <v>878</v>
      </c>
      <c r="E54" s="414" t="s">
        <v>879</v>
      </c>
      <c r="F54" s="410">
        <v>9400</v>
      </c>
      <c r="G54" s="410">
        <v>9401</v>
      </c>
      <c r="H54" s="412">
        <v>9306000</v>
      </c>
    </row>
    <row r="55" spans="1:8" s="271" customFormat="1" ht="15.75" customHeight="1">
      <c r="A55" s="410" t="s">
        <v>877</v>
      </c>
      <c r="B55" s="411"/>
      <c r="C55" s="410">
        <v>799</v>
      </c>
      <c r="D55" s="410" t="s">
        <v>878</v>
      </c>
      <c r="E55" s="414" t="s">
        <v>879</v>
      </c>
      <c r="F55" s="410">
        <v>9400</v>
      </c>
      <c r="G55" s="410">
        <v>9402</v>
      </c>
      <c r="H55" s="412">
        <v>28346000</v>
      </c>
    </row>
    <row r="56" spans="1:8" s="271" customFormat="1" ht="15.75" customHeight="1">
      <c r="A56" s="410" t="s">
        <v>877</v>
      </c>
      <c r="B56" s="411"/>
      <c r="C56" s="410">
        <v>799</v>
      </c>
      <c r="D56" s="410" t="s">
        <v>878</v>
      </c>
      <c r="E56" s="414" t="s">
        <v>879</v>
      </c>
      <c r="F56" s="410">
        <v>9400</v>
      </c>
      <c r="G56" s="410">
        <v>9449</v>
      </c>
      <c r="H56" s="412">
        <v>1648000</v>
      </c>
    </row>
    <row r="57" spans="1:8" s="271" customFormat="1" ht="15.75" customHeight="1">
      <c r="A57" s="409" t="s">
        <v>556</v>
      </c>
      <c r="B57" s="413" t="s">
        <v>1029</v>
      </c>
      <c r="C57" s="410"/>
      <c r="D57" s="410"/>
      <c r="E57" s="414"/>
      <c r="F57" s="410"/>
      <c r="G57" s="410"/>
      <c r="H57" s="415">
        <f>H58</f>
        <v>100000000</v>
      </c>
    </row>
    <row r="58" spans="1:8" s="271" customFormat="1" ht="15.75" customHeight="1">
      <c r="A58" s="410"/>
      <c r="B58" s="411"/>
      <c r="C58" s="410">
        <v>799</v>
      </c>
      <c r="D58" s="410">
        <v>160</v>
      </c>
      <c r="E58" s="414">
        <v>161</v>
      </c>
      <c r="F58" s="410">
        <v>9300</v>
      </c>
      <c r="G58" s="410">
        <v>9301</v>
      </c>
      <c r="H58" s="412">
        <v>100000000</v>
      </c>
    </row>
    <row r="59" spans="1:8" s="271" customFormat="1" ht="15.75" customHeight="1">
      <c r="A59" s="406">
        <v>4</v>
      </c>
      <c r="B59" s="407" t="s">
        <v>536</v>
      </c>
      <c r="C59" s="410"/>
      <c r="D59" s="410"/>
      <c r="E59" s="414"/>
      <c r="F59" s="410"/>
      <c r="G59" s="410"/>
      <c r="H59" s="408">
        <f>H60+H65+H69+H71+H74+H77</f>
        <v>1243388000</v>
      </c>
    </row>
    <row r="60" spans="1:8" s="271" customFormat="1" ht="15.75" customHeight="1">
      <c r="A60" s="409" t="s">
        <v>534</v>
      </c>
      <c r="B60" s="413" t="s">
        <v>919</v>
      </c>
      <c r="C60" s="410"/>
      <c r="D60" s="410"/>
      <c r="E60" s="410"/>
      <c r="F60" s="410"/>
      <c r="G60" s="410"/>
      <c r="H60" s="388">
        <f>SUM(H61:H64)</f>
        <v>54463000</v>
      </c>
    </row>
    <row r="61" spans="1:8" s="271" customFormat="1" ht="15.75" customHeight="1">
      <c r="A61" s="410" t="s">
        <v>877</v>
      </c>
      <c r="B61" s="387"/>
      <c r="C61" s="410">
        <v>799</v>
      </c>
      <c r="D61" s="410" t="s">
        <v>878</v>
      </c>
      <c r="E61" s="414" t="s">
        <v>879</v>
      </c>
      <c r="F61" s="410">
        <v>9300</v>
      </c>
      <c r="G61" s="410">
        <v>9301</v>
      </c>
      <c r="H61" s="389">
        <v>35549000</v>
      </c>
    </row>
    <row r="62" spans="1:8" s="271" customFormat="1" ht="15.75" customHeight="1">
      <c r="A62" s="410" t="s">
        <v>877</v>
      </c>
      <c r="B62" s="387"/>
      <c r="C62" s="410">
        <v>799</v>
      </c>
      <c r="D62" s="410" t="s">
        <v>878</v>
      </c>
      <c r="E62" s="414" t="s">
        <v>879</v>
      </c>
      <c r="F62" s="410">
        <v>9400</v>
      </c>
      <c r="G62" s="410">
        <v>9401</v>
      </c>
      <c r="H62" s="389">
        <v>4002000</v>
      </c>
    </row>
    <row r="63" spans="1:8" s="271" customFormat="1" ht="15.75" customHeight="1">
      <c r="A63" s="410" t="s">
        <v>877</v>
      </c>
      <c r="B63" s="387"/>
      <c r="C63" s="410">
        <v>799</v>
      </c>
      <c r="D63" s="410" t="s">
        <v>878</v>
      </c>
      <c r="E63" s="414" t="s">
        <v>879</v>
      </c>
      <c r="F63" s="410">
        <v>9400</v>
      </c>
      <c r="G63" s="410">
        <v>9402</v>
      </c>
      <c r="H63" s="389">
        <v>13278000</v>
      </c>
    </row>
    <row r="64" spans="1:8" s="271" customFormat="1" ht="15.75" customHeight="1">
      <c r="A64" s="410" t="s">
        <v>877</v>
      </c>
      <c r="B64" s="387"/>
      <c r="C64" s="410">
        <v>799</v>
      </c>
      <c r="D64" s="410" t="s">
        <v>878</v>
      </c>
      <c r="E64" s="414" t="s">
        <v>879</v>
      </c>
      <c r="F64" s="410">
        <v>9400</v>
      </c>
      <c r="G64" s="410">
        <v>9449</v>
      </c>
      <c r="H64" s="389">
        <v>1634000</v>
      </c>
    </row>
    <row r="65" spans="1:8" s="271" customFormat="1" ht="30.75" customHeight="1">
      <c r="A65" s="409" t="s">
        <v>535</v>
      </c>
      <c r="B65" s="413" t="s">
        <v>1030</v>
      </c>
      <c r="C65" s="410"/>
      <c r="D65" s="410"/>
      <c r="E65" s="410"/>
      <c r="F65" s="410"/>
      <c r="G65" s="410"/>
      <c r="H65" s="388">
        <f>SUM(H66:H68)</f>
        <v>168695000</v>
      </c>
    </row>
    <row r="66" spans="1:8" s="271" customFormat="1" ht="15.75" customHeight="1">
      <c r="A66" s="410" t="s">
        <v>877</v>
      </c>
      <c r="B66" s="387"/>
      <c r="C66" s="410">
        <v>799</v>
      </c>
      <c r="D66" s="410" t="s">
        <v>878</v>
      </c>
      <c r="E66" s="414" t="s">
        <v>879</v>
      </c>
      <c r="F66" s="410">
        <v>9300</v>
      </c>
      <c r="G66" s="410">
        <v>9301</v>
      </c>
      <c r="H66" s="389">
        <v>145288000</v>
      </c>
    </row>
    <row r="67" spans="1:8" s="271" customFormat="1" ht="15.75" customHeight="1">
      <c r="A67" s="410" t="s">
        <v>877</v>
      </c>
      <c r="B67" s="387"/>
      <c r="C67" s="410">
        <v>799</v>
      </c>
      <c r="D67" s="410" t="s">
        <v>878</v>
      </c>
      <c r="E67" s="414" t="s">
        <v>879</v>
      </c>
      <c r="F67" s="410">
        <v>9400</v>
      </c>
      <c r="G67" s="410">
        <v>9401</v>
      </c>
      <c r="H67" s="389">
        <v>5419000</v>
      </c>
    </row>
    <row r="68" spans="1:8" s="271" customFormat="1" ht="15.75" customHeight="1">
      <c r="A68" s="410" t="s">
        <v>877</v>
      </c>
      <c r="B68" s="387"/>
      <c r="C68" s="410">
        <v>799</v>
      </c>
      <c r="D68" s="410" t="s">
        <v>878</v>
      </c>
      <c r="E68" s="414" t="s">
        <v>879</v>
      </c>
      <c r="F68" s="410">
        <v>9400</v>
      </c>
      <c r="G68" s="410">
        <v>9402</v>
      </c>
      <c r="H68" s="389">
        <v>17988000</v>
      </c>
    </row>
    <row r="69" spans="1:8" s="271" customFormat="1" ht="15.75" customHeight="1">
      <c r="A69" s="409" t="s">
        <v>559</v>
      </c>
      <c r="B69" s="554" t="s">
        <v>1031</v>
      </c>
      <c r="C69" s="410"/>
      <c r="D69" s="410"/>
      <c r="E69" s="414"/>
      <c r="F69" s="410"/>
      <c r="G69" s="410"/>
      <c r="H69" s="388">
        <f>H70</f>
        <v>98733000</v>
      </c>
    </row>
    <row r="70" spans="1:8" s="271" customFormat="1" ht="15.75" customHeight="1">
      <c r="A70" s="410" t="s">
        <v>877</v>
      </c>
      <c r="B70" s="387"/>
      <c r="C70" s="410">
        <v>799</v>
      </c>
      <c r="D70" s="410">
        <v>160</v>
      </c>
      <c r="E70" s="414">
        <v>161</v>
      </c>
      <c r="F70" s="410">
        <v>9300</v>
      </c>
      <c r="G70" s="410">
        <v>9301</v>
      </c>
      <c r="H70" s="389">
        <v>98733000</v>
      </c>
    </row>
    <row r="71" spans="1:8" s="271" customFormat="1" ht="29.25" customHeight="1">
      <c r="A71" s="409" t="s">
        <v>560</v>
      </c>
      <c r="B71" s="554" t="s">
        <v>1032</v>
      </c>
      <c r="C71" s="409"/>
      <c r="D71" s="409"/>
      <c r="E71" s="417"/>
      <c r="F71" s="409"/>
      <c r="G71" s="409"/>
      <c r="H71" s="388">
        <f>SUM(H72:H73)</f>
        <v>297443000</v>
      </c>
    </row>
    <row r="72" spans="1:8" s="271" customFormat="1" ht="15.75" customHeight="1">
      <c r="A72" s="410" t="s">
        <v>877</v>
      </c>
      <c r="B72" s="387"/>
      <c r="C72" s="410">
        <v>799</v>
      </c>
      <c r="D72" s="410">
        <v>280</v>
      </c>
      <c r="E72" s="414">
        <v>292</v>
      </c>
      <c r="F72" s="410">
        <v>9300</v>
      </c>
      <c r="G72" s="410">
        <v>9301</v>
      </c>
      <c r="H72" s="389">
        <v>295520000</v>
      </c>
    </row>
    <row r="73" spans="1:8" s="271" customFormat="1" ht="15.75" customHeight="1">
      <c r="A73" s="410" t="s">
        <v>877</v>
      </c>
      <c r="B73" s="387"/>
      <c r="C73" s="410">
        <v>799</v>
      </c>
      <c r="D73" s="410">
        <v>280</v>
      </c>
      <c r="E73" s="414">
        <v>292</v>
      </c>
      <c r="F73" s="410">
        <v>9400</v>
      </c>
      <c r="G73" s="410">
        <v>9449</v>
      </c>
      <c r="H73" s="389">
        <v>1923000</v>
      </c>
    </row>
    <row r="74" spans="1:8" s="271" customFormat="1" ht="25.5" customHeight="1">
      <c r="A74" s="409" t="s">
        <v>561</v>
      </c>
      <c r="B74" s="554" t="s">
        <v>1033</v>
      </c>
      <c r="C74" s="410"/>
      <c r="D74" s="414"/>
      <c r="E74" s="414"/>
      <c r="F74" s="410"/>
      <c r="G74" s="410"/>
      <c r="H74" s="388">
        <f>SUM(H75:H76)</f>
        <v>247397000</v>
      </c>
    </row>
    <row r="75" spans="1:8" s="271" customFormat="1" ht="15.75" customHeight="1">
      <c r="A75" s="410" t="s">
        <v>877</v>
      </c>
      <c r="B75" s="387"/>
      <c r="C75" s="410">
        <v>799</v>
      </c>
      <c r="D75" s="410">
        <v>280</v>
      </c>
      <c r="E75" s="414">
        <v>292</v>
      </c>
      <c r="F75" s="410">
        <v>9300</v>
      </c>
      <c r="G75" s="410">
        <v>9301</v>
      </c>
      <c r="H75" s="389">
        <v>245802000</v>
      </c>
    </row>
    <row r="76" spans="1:8" s="271" customFormat="1" ht="15.75" customHeight="1">
      <c r="A76" s="410" t="s">
        <v>877</v>
      </c>
      <c r="B76" s="387"/>
      <c r="C76" s="410">
        <v>799</v>
      </c>
      <c r="D76" s="410">
        <v>280</v>
      </c>
      <c r="E76" s="414">
        <v>292</v>
      </c>
      <c r="F76" s="410">
        <v>9400</v>
      </c>
      <c r="G76" s="410">
        <v>9449</v>
      </c>
      <c r="H76" s="389">
        <v>1595000</v>
      </c>
    </row>
    <row r="77" spans="1:8" s="271" customFormat="1" ht="27" customHeight="1">
      <c r="A77" s="409" t="s">
        <v>562</v>
      </c>
      <c r="B77" s="554" t="s">
        <v>1034</v>
      </c>
      <c r="C77" s="409"/>
      <c r="D77" s="417"/>
      <c r="E77" s="417"/>
      <c r="F77" s="409"/>
      <c r="G77" s="409"/>
      <c r="H77" s="388">
        <f>SUM(H78:H79)</f>
        <v>376657000</v>
      </c>
    </row>
    <row r="78" spans="1:8" s="271" customFormat="1" ht="15.75" customHeight="1">
      <c r="A78" s="410" t="s">
        <v>877</v>
      </c>
      <c r="B78" s="387"/>
      <c r="C78" s="410">
        <v>799</v>
      </c>
      <c r="D78" s="410">
        <v>280</v>
      </c>
      <c r="E78" s="414">
        <v>292</v>
      </c>
      <c r="F78" s="410">
        <v>9300</v>
      </c>
      <c r="G78" s="410">
        <v>9301</v>
      </c>
      <c r="H78" s="389">
        <v>374166000</v>
      </c>
    </row>
    <row r="79" spans="1:8" s="271" customFormat="1" ht="15.75" customHeight="1">
      <c r="A79" s="410" t="s">
        <v>877</v>
      </c>
      <c r="B79" s="387"/>
      <c r="C79" s="410">
        <v>799</v>
      </c>
      <c r="D79" s="410">
        <v>280</v>
      </c>
      <c r="E79" s="414">
        <v>292</v>
      </c>
      <c r="F79" s="410">
        <v>9400</v>
      </c>
      <c r="G79" s="410">
        <v>9449</v>
      </c>
      <c r="H79" s="389">
        <v>2491000</v>
      </c>
    </row>
    <row r="80" spans="1:8" s="271" customFormat="1" ht="15.75" customHeight="1">
      <c r="A80" s="406">
        <v>5</v>
      </c>
      <c r="B80" s="407" t="s">
        <v>539</v>
      </c>
      <c r="C80" s="406"/>
      <c r="D80" s="406"/>
      <c r="E80" s="406"/>
      <c r="F80" s="406"/>
      <c r="G80" s="406"/>
      <c r="H80" s="408">
        <f>H81+H84+H87+H90+H93+H96+H98+H100+H104+H106</f>
        <v>1973996094</v>
      </c>
    </row>
    <row r="81" spans="1:8" s="271" customFormat="1" ht="15.75" customHeight="1">
      <c r="A81" s="409" t="s">
        <v>537</v>
      </c>
      <c r="B81" s="554" t="s">
        <v>921</v>
      </c>
      <c r="C81" s="410"/>
      <c r="D81" s="410"/>
      <c r="E81" s="410"/>
      <c r="F81" s="410"/>
      <c r="G81" s="410"/>
      <c r="H81" s="388">
        <f>SUM(H82:H83)</f>
        <v>249260000</v>
      </c>
    </row>
    <row r="82" spans="1:8" s="271" customFormat="1" ht="15.75" customHeight="1">
      <c r="A82" s="410" t="s">
        <v>877</v>
      </c>
      <c r="B82" s="387"/>
      <c r="C82" s="410">
        <v>799</v>
      </c>
      <c r="D82" s="410" t="s">
        <v>878</v>
      </c>
      <c r="E82" s="414" t="s">
        <v>884</v>
      </c>
      <c r="F82" s="410">
        <v>9300</v>
      </c>
      <c r="G82" s="410">
        <v>9301</v>
      </c>
      <c r="H82" s="412">
        <v>244396000</v>
      </c>
    </row>
    <row r="83" spans="1:8" s="271" customFormat="1" ht="15.75" customHeight="1">
      <c r="A83" s="410" t="s">
        <v>877</v>
      </c>
      <c r="B83" s="387"/>
      <c r="C83" s="410">
        <v>799</v>
      </c>
      <c r="D83" s="410" t="s">
        <v>878</v>
      </c>
      <c r="E83" s="414" t="s">
        <v>884</v>
      </c>
      <c r="F83" s="410">
        <v>9400</v>
      </c>
      <c r="G83" s="410">
        <v>9449</v>
      </c>
      <c r="H83" s="412">
        <v>4864000</v>
      </c>
    </row>
    <row r="84" spans="1:8" s="271" customFormat="1" ht="15.75" customHeight="1">
      <c r="A84" s="409" t="s">
        <v>538</v>
      </c>
      <c r="B84" s="554" t="s">
        <v>920</v>
      </c>
      <c r="C84" s="410"/>
      <c r="D84" s="410"/>
      <c r="E84" s="410"/>
      <c r="F84" s="410"/>
      <c r="G84" s="410"/>
      <c r="H84" s="388">
        <f>SUM(H85:H86)</f>
        <v>200000000</v>
      </c>
    </row>
    <row r="85" spans="1:8" s="271" customFormat="1" ht="15.75" customHeight="1">
      <c r="A85" s="410" t="s">
        <v>877</v>
      </c>
      <c r="B85" s="413"/>
      <c r="C85" s="410">
        <v>799</v>
      </c>
      <c r="D85" s="410">
        <v>280</v>
      </c>
      <c r="E85" s="410">
        <v>292</v>
      </c>
      <c r="F85" s="410">
        <v>9300</v>
      </c>
      <c r="G85" s="410">
        <v>9301</v>
      </c>
      <c r="H85" s="389">
        <v>196747000</v>
      </c>
    </row>
    <row r="86" spans="1:8" s="271" customFormat="1" ht="15.75" customHeight="1">
      <c r="A86" s="410" t="s">
        <v>877</v>
      </c>
      <c r="B86" s="413"/>
      <c r="C86" s="410">
        <v>799</v>
      </c>
      <c r="D86" s="410">
        <v>280</v>
      </c>
      <c r="E86" s="410">
        <v>292</v>
      </c>
      <c r="F86" s="410">
        <v>9400</v>
      </c>
      <c r="G86" s="410">
        <v>9449</v>
      </c>
      <c r="H86" s="389">
        <v>3253000</v>
      </c>
    </row>
    <row r="87" spans="1:8" s="271" customFormat="1" ht="15.75" customHeight="1">
      <c r="A87" s="409" t="s">
        <v>881</v>
      </c>
      <c r="B87" s="554" t="s">
        <v>922</v>
      </c>
      <c r="C87" s="409"/>
      <c r="D87" s="409"/>
      <c r="E87" s="409"/>
      <c r="F87" s="409"/>
      <c r="G87" s="409"/>
      <c r="H87" s="388">
        <f>SUM(H88:H89)</f>
        <v>99766000</v>
      </c>
    </row>
    <row r="88" spans="1:8" s="271" customFormat="1" ht="15.75" customHeight="1">
      <c r="A88" s="410" t="s">
        <v>877</v>
      </c>
      <c r="B88" s="413"/>
      <c r="C88" s="410">
        <v>799</v>
      </c>
      <c r="D88" s="410">
        <v>280</v>
      </c>
      <c r="E88" s="410">
        <v>292</v>
      </c>
      <c r="F88" s="410">
        <v>9300</v>
      </c>
      <c r="G88" s="410">
        <v>9301</v>
      </c>
      <c r="H88" s="389">
        <v>97865000</v>
      </c>
    </row>
    <row r="89" spans="1:8" s="271" customFormat="1" ht="15.75" customHeight="1">
      <c r="A89" s="410" t="s">
        <v>877</v>
      </c>
      <c r="B89" s="413"/>
      <c r="C89" s="410">
        <v>799</v>
      </c>
      <c r="D89" s="410">
        <v>280</v>
      </c>
      <c r="E89" s="410">
        <v>292</v>
      </c>
      <c r="F89" s="410">
        <v>9400</v>
      </c>
      <c r="G89" s="410">
        <v>9449</v>
      </c>
      <c r="H89" s="389">
        <v>1901000</v>
      </c>
    </row>
    <row r="90" spans="1:8" s="271" customFormat="1" ht="15.75" customHeight="1">
      <c r="A90" s="409" t="s">
        <v>882</v>
      </c>
      <c r="B90" s="554" t="s">
        <v>923</v>
      </c>
      <c r="C90" s="410"/>
      <c r="D90" s="410"/>
      <c r="E90" s="410"/>
      <c r="F90" s="410"/>
      <c r="G90" s="410"/>
      <c r="H90" s="388">
        <f>SUM(H91:H92)</f>
        <v>99645000</v>
      </c>
    </row>
    <row r="91" spans="1:8" s="271" customFormat="1" ht="15.75" customHeight="1">
      <c r="A91" s="410" t="s">
        <v>877</v>
      </c>
      <c r="B91" s="413"/>
      <c r="C91" s="410">
        <v>799</v>
      </c>
      <c r="D91" s="410" t="s">
        <v>878</v>
      </c>
      <c r="E91" s="414" t="s">
        <v>879</v>
      </c>
      <c r="F91" s="410">
        <v>9300</v>
      </c>
      <c r="G91" s="410">
        <v>9301</v>
      </c>
      <c r="H91" s="389">
        <v>97023000</v>
      </c>
    </row>
    <row r="92" spans="1:8" s="271" customFormat="1" ht="15.75" customHeight="1">
      <c r="A92" s="410" t="s">
        <v>877</v>
      </c>
      <c r="B92" s="413"/>
      <c r="C92" s="410">
        <v>799</v>
      </c>
      <c r="D92" s="410" t="s">
        <v>878</v>
      </c>
      <c r="E92" s="414" t="s">
        <v>879</v>
      </c>
      <c r="F92" s="410">
        <v>9400</v>
      </c>
      <c r="G92" s="410">
        <v>9449</v>
      </c>
      <c r="H92" s="389">
        <v>2622000</v>
      </c>
    </row>
    <row r="93" spans="1:8" s="271" customFormat="1" ht="15.75" customHeight="1">
      <c r="A93" s="409" t="s">
        <v>883</v>
      </c>
      <c r="B93" s="554" t="s">
        <v>924</v>
      </c>
      <c r="C93" s="410"/>
      <c r="D93" s="410"/>
      <c r="E93" s="410"/>
      <c r="F93" s="410"/>
      <c r="G93" s="410"/>
      <c r="H93" s="388">
        <f>SUM(H94:H95)</f>
        <v>136262000</v>
      </c>
    </row>
    <row r="94" spans="1:8" s="271" customFormat="1" ht="15.75" customHeight="1">
      <c r="A94" s="410" t="s">
        <v>877</v>
      </c>
      <c r="B94" s="413"/>
      <c r="C94" s="410">
        <v>799</v>
      </c>
      <c r="D94" s="410" t="s">
        <v>878</v>
      </c>
      <c r="E94" s="414" t="s">
        <v>879</v>
      </c>
      <c r="F94" s="410">
        <v>9300</v>
      </c>
      <c r="G94" s="410">
        <v>9301</v>
      </c>
      <c r="H94" s="389">
        <v>133423000</v>
      </c>
    </row>
    <row r="95" spans="1:8" s="271" customFormat="1" ht="15.75" customHeight="1">
      <c r="A95" s="410" t="s">
        <v>877</v>
      </c>
      <c r="B95" s="413"/>
      <c r="C95" s="410">
        <v>799</v>
      </c>
      <c r="D95" s="410" t="s">
        <v>878</v>
      </c>
      <c r="E95" s="414" t="s">
        <v>879</v>
      </c>
      <c r="F95" s="410">
        <v>9400</v>
      </c>
      <c r="G95" s="410">
        <v>9449</v>
      </c>
      <c r="H95" s="389">
        <v>2839000</v>
      </c>
    </row>
    <row r="96" spans="1:8" s="271" customFormat="1" ht="15.75" customHeight="1">
      <c r="A96" s="409" t="s">
        <v>885</v>
      </c>
      <c r="B96" s="554" t="s">
        <v>1035</v>
      </c>
      <c r="C96" s="410"/>
      <c r="D96" s="410"/>
      <c r="E96" s="410"/>
      <c r="F96" s="410"/>
      <c r="G96" s="410"/>
      <c r="H96" s="388">
        <f>H97</f>
        <v>99999094</v>
      </c>
    </row>
    <row r="97" spans="1:8" s="271" customFormat="1" ht="15.75" customHeight="1">
      <c r="A97" s="410" t="s">
        <v>877</v>
      </c>
      <c r="B97" s="413"/>
      <c r="C97" s="410">
        <v>799</v>
      </c>
      <c r="D97" s="410">
        <v>160</v>
      </c>
      <c r="E97" s="410">
        <v>161</v>
      </c>
      <c r="F97" s="410">
        <v>9300</v>
      </c>
      <c r="G97" s="410">
        <v>9301</v>
      </c>
      <c r="H97" s="389">
        <v>99999094</v>
      </c>
    </row>
    <row r="98" spans="1:8" s="271" customFormat="1" ht="15.75" customHeight="1">
      <c r="A98" s="409" t="s">
        <v>886</v>
      </c>
      <c r="B98" s="554" t="s">
        <v>1036</v>
      </c>
      <c r="C98" s="410"/>
      <c r="D98" s="410"/>
      <c r="E98" s="410"/>
      <c r="F98" s="410"/>
      <c r="G98" s="410"/>
      <c r="H98" s="388">
        <f>SUM(H99:H99)</f>
        <v>89999000</v>
      </c>
    </row>
    <row r="99" spans="1:8" s="271" customFormat="1" ht="15.75" customHeight="1">
      <c r="A99" s="410" t="s">
        <v>877</v>
      </c>
      <c r="B99" s="413"/>
      <c r="C99" s="410">
        <v>799</v>
      </c>
      <c r="D99" s="414">
        <v>220</v>
      </c>
      <c r="E99" s="414">
        <v>221</v>
      </c>
      <c r="F99" s="410">
        <v>9300</v>
      </c>
      <c r="G99" s="410">
        <v>9301</v>
      </c>
      <c r="H99" s="389">
        <v>89999000</v>
      </c>
    </row>
    <row r="100" spans="1:8" s="271" customFormat="1" ht="27.75" customHeight="1">
      <c r="A100" s="409" t="s">
        <v>887</v>
      </c>
      <c r="B100" s="554" t="s">
        <v>1037</v>
      </c>
      <c r="C100" s="410"/>
      <c r="D100" s="410"/>
      <c r="E100" s="410"/>
      <c r="F100" s="410"/>
      <c r="G100" s="410"/>
      <c r="H100" s="388">
        <f>SUM(H101:H103)</f>
        <v>178697000</v>
      </c>
    </row>
    <row r="101" spans="1:8" s="271" customFormat="1" ht="15.75" customHeight="1">
      <c r="A101" s="410" t="s">
        <v>877</v>
      </c>
      <c r="B101" s="387"/>
      <c r="C101" s="410">
        <v>799</v>
      </c>
      <c r="D101" s="414" t="s">
        <v>878</v>
      </c>
      <c r="E101" s="414" t="s">
        <v>879</v>
      </c>
      <c r="F101" s="410">
        <v>9300</v>
      </c>
      <c r="G101" s="410">
        <v>9301</v>
      </c>
      <c r="H101" s="389">
        <v>154137000</v>
      </c>
    </row>
    <row r="102" spans="1:8" s="271" customFormat="1" ht="15.75" customHeight="1">
      <c r="A102" s="410" t="s">
        <v>877</v>
      </c>
      <c r="B102" s="387"/>
      <c r="C102" s="410">
        <v>799</v>
      </c>
      <c r="D102" s="414" t="s">
        <v>878</v>
      </c>
      <c r="E102" s="414" t="s">
        <v>879</v>
      </c>
      <c r="F102" s="410">
        <v>9400</v>
      </c>
      <c r="G102" s="410">
        <v>9402</v>
      </c>
      <c r="H102" s="389">
        <v>15414000</v>
      </c>
    </row>
    <row r="103" spans="1:8" s="271" customFormat="1" ht="15.75" customHeight="1">
      <c r="A103" s="410" t="s">
        <v>877</v>
      </c>
      <c r="B103" s="387"/>
      <c r="C103" s="410">
        <v>799</v>
      </c>
      <c r="D103" s="414" t="s">
        <v>878</v>
      </c>
      <c r="E103" s="414" t="s">
        <v>879</v>
      </c>
      <c r="F103" s="410">
        <v>9400</v>
      </c>
      <c r="G103" s="410">
        <v>9449</v>
      </c>
      <c r="H103" s="389">
        <v>9146000</v>
      </c>
    </row>
    <row r="104" spans="1:8" s="271" customFormat="1" ht="15.75" customHeight="1">
      <c r="A104" s="409" t="s">
        <v>1038</v>
      </c>
      <c r="B104" s="554" t="s">
        <v>1039</v>
      </c>
      <c r="C104" s="410"/>
      <c r="D104" s="410"/>
      <c r="E104" s="410"/>
      <c r="F104" s="410"/>
      <c r="G104" s="410"/>
      <c r="H104" s="388">
        <f>H105</f>
        <v>296274000</v>
      </c>
    </row>
    <row r="105" spans="1:8" s="271" customFormat="1" ht="15.75" customHeight="1">
      <c r="A105" s="410" t="s">
        <v>877</v>
      </c>
      <c r="B105" s="387"/>
      <c r="C105" s="410">
        <v>799</v>
      </c>
      <c r="D105" s="414">
        <v>280</v>
      </c>
      <c r="E105" s="414">
        <v>292</v>
      </c>
      <c r="F105" s="410">
        <v>9300</v>
      </c>
      <c r="G105" s="410">
        <v>9301</v>
      </c>
      <c r="H105" s="389">
        <v>296274000</v>
      </c>
    </row>
    <row r="106" spans="1:8" s="271" customFormat="1" ht="15.75" customHeight="1">
      <c r="A106" s="409" t="s">
        <v>1040</v>
      </c>
      <c r="B106" s="554" t="s">
        <v>1041</v>
      </c>
      <c r="C106" s="409"/>
      <c r="D106" s="417"/>
      <c r="E106" s="417"/>
      <c r="F106" s="409"/>
      <c r="G106" s="409"/>
      <c r="H106" s="388">
        <f>H107</f>
        <v>524094000</v>
      </c>
    </row>
    <row r="107" spans="1:8" s="271" customFormat="1" ht="15.75" customHeight="1">
      <c r="A107" s="410" t="s">
        <v>877</v>
      </c>
      <c r="B107" s="387"/>
      <c r="C107" s="410">
        <v>799</v>
      </c>
      <c r="D107" s="414">
        <v>280</v>
      </c>
      <c r="E107" s="414">
        <v>292</v>
      </c>
      <c r="F107" s="410">
        <v>9300</v>
      </c>
      <c r="G107" s="410">
        <v>9301</v>
      </c>
      <c r="H107" s="389">
        <v>524094000</v>
      </c>
    </row>
    <row r="108" spans="1:8" s="271" customFormat="1" ht="15.75" customHeight="1">
      <c r="A108" s="406">
        <v>6</v>
      </c>
      <c r="B108" s="407" t="s">
        <v>889</v>
      </c>
      <c r="C108" s="406"/>
      <c r="D108" s="406"/>
      <c r="E108" s="406"/>
      <c r="F108" s="406"/>
      <c r="G108" s="406"/>
      <c r="H108" s="408">
        <f>H109+H115+H121+H126+H130</f>
        <v>8357186000</v>
      </c>
    </row>
    <row r="109" spans="1:8" s="271" customFormat="1" ht="26.25" customHeight="1">
      <c r="A109" s="409" t="s">
        <v>540</v>
      </c>
      <c r="B109" s="554" t="s">
        <v>1042</v>
      </c>
      <c r="C109" s="410"/>
      <c r="D109" s="410"/>
      <c r="E109" s="410"/>
      <c r="F109" s="410"/>
      <c r="G109" s="410"/>
      <c r="H109" s="415">
        <f>SUM(H110:H114)</f>
        <v>2767021000</v>
      </c>
    </row>
    <row r="110" spans="1:8" s="271" customFormat="1" ht="15.75" customHeight="1">
      <c r="A110" s="410" t="s">
        <v>877</v>
      </c>
      <c r="B110" s="411"/>
      <c r="C110" s="410">
        <v>799</v>
      </c>
      <c r="D110" s="410">
        <v>160</v>
      </c>
      <c r="E110" s="414">
        <v>161</v>
      </c>
      <c r="F110" s="410">
        <v>9350</v>
      </c>
      <c r="G110" s="410">
        <v>9351</v>
      </c>
      <c r="H110" s="412">
        <v>234070000</v>
      </c>
    </row>
    <row r="111" spans="1:8" s="271" customFormat="1" ht="15.75" customHeight="1">
      <c r="A111" s="410" t="s">
        <v>877</v>
      </c>
      <c r="B111" s="411"/>
      <c r="C111" s="410">
        <v>799</v>
      </c>
      <c r="D111" s="410">
        <v>160</v>
      </c>
      <c r="E111" s="414">
        <v>161</v>
      </c>
      <c r="F111" s="410">
        <v>9300</v>
      </c>
      <c r="G111" s="410">
        <v>9301</v>
      </c>
      <c r="H111" s="412">
        <v>2214655000</v>
      </c>
    </row>
    <row r="112" spans="1:8" s="271" customFormat="1" ht="15.75" customHeight="1">
      <c r="A112" s="410" t="s">
        <v>877</v>
      </c>
      <c r="B112" s="418"/>
      <c r="C112" s="410">
        <v>799</v>
      </c>
      <c r="D112" s="410">
        <v>160</v>
      </c>
      <c r="E112" s="414">
        <v>161</v>
      </c>
      <c r="F112" s="410">
        <v>9400</v>
      </c>
      <c r="G112" s="410">
        <v>9401</v>
      </c>
      <c r="H112" s="412">
        <v>73351000</v>
      </c>
    </row>
    <row r="113" spans="1:8" s="271" customFormat="1" ht="15.75" customHeight="1">
      <c r="A113" s="410" t="s">
        <v>877</v>
      </c>
      <c r="B113" s="418"/>
      <c r="C113" s="410">
        <v>799</v>
      </c>
      <c r="D113" s="410">
        <v>160</v>
      </c>
      <c r="E113" s="414">
        <v>161</v>
      </c>
      <c r="F113" s="410">
        <v>9400</v>
      </c>
      <c r="G113" s="410">
        <v>9402</v>
      </c>
      <c r="H113" s="412">
        <v>215453000</v>
      </c>
    </row>
    <row r="114" spans="1:8" s="271" customFormat="1" ht="15.75" customHeight="1">
      <c r="A114" s="410" t="s">
        <v>877</v>
      </c>
      <c r="B114" s="418"/>
      <c r="C114" s="410">
        <v>799</v>
      </c>
      <c r="D114" s="410">
        <v>160</v>
      </c>
      <c r="E114" s="414">
        <v>161</v>
      </c>
      <c r="F114" s="410">
        <v>9400</v>
      </c>
      <c r="G114" s="410">
        <v>9449</v>
      </c>
      <c r="H114" s="412">
        <v>29492000</v>
      </c>
    </row>
    <row r="115" spans="1:8" s="271" customFormat="1" ht="26.25" customHeight="1">
      <c r="A115" s="409" t="s">
        <v>541</v>
      </c>
      <c r="B115" s="554" t="s">
        <v>1043</v>
      </c>
      <c r="C115" s="409"/>
      <c r="D115" s="409"/>
      <c r="E115" s="417"/>
      <c r="F115" s="409"/>
      <c r="G115" s="409"/>
      <c r="H115" s="415">
        <f>SUM(H116:H120)</f>
        <v>2333128000</v>
      </c>
    </row>
    <row r="116" spans="1:8" s="271" customFormat="1" ht="15.75" customHeight="1">
      <c r="A116" s="410" t="s">
        <v>877</v>
      </c>
      <c r="B116" s="411"/>
      <c r="C116" s="410">
        <v>799</v>
      </c>
      <c r="D116" s="410">
        <v>160</v>
      </c>
      <c r="E116" s="414">
        <v>161</v>
      </c>
      <c r="F116" s="410">
        <v>9350</v>
      </c>
      <c r="G116" s="410">
        <v>9351</v>
      </c>
      <c r="H116" s="412">
        <v>185800000</v>
      </c>
    </row>
    <row r="117" spans="1:8" s="271" customFormat="1" ht="15.75" customHeight="1">
      <c r="A117" s="410" t="s">
        <v>877</v>
      </c>
      <c r="B117" s="411"/>
      <c r="C117" s="410">
        <v>799</v>
      </c>
      <c r="D117" s="410">
        <v>160</v>
      </c>
      <c r="E117" s="414">
        <v>161</v>
      </c>
      <c r="F117" s="410">
        <v>9300</v>
      </c>
      <c r="G117" s="410">
        <v>9301</v>
      </c>
      <c r="H117" s="412">
        <v>1882404000</v>
      </c>
    </row>
    <row r="118" spans="1:8" s="271" customFormat="1" ht="15.75" customHeight="1">
      <c r="A118" s="410" t="s">
        <v>877</v>
      </c>
      <c r="B118" s="418"/>
      <c r="C118" s="410">
        <v>799</v>
      </c>
      <c r="D118" s="410">
        <v>160</v>
      </c>
      <c r="E118" s="414">
        <v>161</v>
      </c>
      <c r="F118" s="410">
        <v>9400</v>
      </c>
      <c r="G118" s="410">
        <v>9401</v>
      </c>
      <c r="H118" s="412">
        <v>62119000</v>
      </c>
    </row>
    <row r="119" spans="1:8" s="271" customFormat="1" ht="15.75" customHeight="1">
      <c r="A119" s="410" t="s">
        <v>877</v>
      </c>
      <c r="B119" s="418"/>
      <c r="C119" s="410">
        <v>799</v>
      </c>
      <c r="D119" s="410">
        <v>160</v>
      </c>
      <c r="E119" s="414">
        <v>161</v>
      </c>
      <c r="F119" s="410">
        <v>9400</v>
      </c>
      <c r="G119" s="410">
        <v>9402</v>
      </c>
      <c r="H119" s="412">
        <v>191638000</v>
      </c>
    </row>
    <row r="120" spans="1:8" s="271" customFormat="1" ht="15.75" customHeight="1">
      <c r="A120" s="410" t="s">
        <v>877</v>
      </c>
      <c r="B120" s="418"/>
      <c r="C120" s="410">
        <v>799</v>
      </c>
      <c r="D120" s="410">
        <v>160</v>
      </c>
      <c r="E120" s="414">
        <v>161</v>
      </c>
      <c r="F120" s="410">
        <v>9400</v>
      </c>
      <c r="G120" s="410">
        <v>9449</v>
      </c>
      <c r="H120" s="412">
        <v>11167000</v>
      </c>
    </row>
    <row r="121" spans="1:8" s="271" customFormat="1" ht="27" customHeight="1">
      <c r="A121" s="409" t="s">
        <v>569</v>
      </c>
      <c r="B121" s="554" t="s">
        <v>927</v>
      </c>
      <c r="C121" s="410"/>
      <c r="D121" s="410"/>
      <c r="E121" s="414"/>
      <c r="F121" s="410"/>
      <c r="G121" s="410"/>
      <c r="H121" s="419">
        <f>SUM(H122:H125)</f>
        <v>841494000</v>
      </c>
    </row>
    <row r="122" spans="1:11" s="271" customFormat="1" ht="15.75" customHeight="1">
      <c r="A122" s="410" t="s">
        <v>877</v>
      </c>
      <c r="B122" s="411"/>
      <c r="C122" s="410">
        <v>799</v>
      </c>
      <c r="D122" s="410" t="s">
        <v>878</v>
      </c>
      <c r="E122" s="414" t="s">
        <v>879</v>
      </c>
      <c r="F122" s="410">
        <v>9300</v>
      </c>
      <c r="G122" s="410">
        <v>9301</v>
      </c>
      <c r="H122" s="412">
        <v>762734000</v>
      </c>
      <c r="K122" s="555"/>
    </row>
    <row r="123" spans="1:8" s="271" customFormat="1" ht="15.75" customHeight="1">
      <c r="A123" s="410" t="s">
        <v>877</v>
      </c>
      <c r="B123" s="411"/>
      <c r="C123" s="410">
        <v>799</v>
      </c>
      <c r="D123" s="410" t="s">
        <v>878</v>
      </c>
      <c r="E123" s="414" t="s">
        <v>879</v>
      </c>
      <c r="F123" s="410">
        <v>9400</v>
      </c>
      <c r="G123" s="410">
        <v>9401</v>
      </c>
      <c r="H123" s="412">
        <v>32077000</v>
      </c>
    </row>
    <row r="124" spans="1:8" s="271" customFormat="1" ht="15.75" customHeight="1">
      <c r="A124" s="410" t="s">
        <v>877</v>
      </c>
      <c r="B124" s="411"/>
      <c r="C124" s="410">
        <v>799</v>
      </c>
      <c r="D124" s="410" t="s">
        <v>878</v>
      </c>
      <c r="E124" s="414" t="s">
        <v>879</v>
      </c>
      <c r="F124" s="410">
        <v>9400</v>
      </c>
      <c r="G124" s="410">
        <v>9402</v>
      </c>
      <c r="H124" s="412">
        <v>32670000</v>
      </c>
    </row>
    <row r="125" spans="1:8" s="271" customFormat="1" ht="15.75" customHeight="1">
      <c r="A125" s="410" t="s">
        <v>877</v>
      </c>
      <c r="B125" s="553"/>
      <c r="C125" s="410">
        <v>799</v>
      </c>
      <c r="D125" s="410" t="s">
        <v>878</v>
      </c>
      <c r="E125" s="414" t="s">
        <v>879</v>
      </c>
      <c r="F125" s="410">
        <v>9400</v>
      </c>
      <c r="G125" s="410">
        <v>9449</v>
      </c>
      <c r="H125" s="412">
        <v>14013000</v>
      </c>
    </row>
    <row r="126" spans="1:11" s="271" customFormat="1" ht="27.75" customHeight="1">
      <c r="A126" s="409" t="s">
        <v>570</v>
      </c>
      <c r="B126" s="554" t="s">
        <v>926</v>
      </c>
      <c r="C126" s="410"/>
      <c r="D126" s="410"/>
      <c r="E126" s="410"/>
      <c r="F126" s="410"/>
      <c r="G126" s="410"/>
      <c r="H126" s="419">
        <f>SUM(H127:H129)</f>
        <v>1378571000</v>
      </c>
      <c r="K126" s="555"/>
    </row>
    <row r="127" spans="1:11" s="271" customFormat="1" ht="15.75" customHeight="1">
      <c r="A127" s="410" t="s">
        <v>877</v>
      </c>
      <c r="B127" s="411"/>
      <c r="C127" s="410">
        <v>799</v>
      </c>
      <c r="D127" s="410" t="s">
        <v>878</v>
      </c>
      <c r="E127" s="410" t="s">
        <v>880</v>
      </c>
      <c r="F127" s="410">
        <v>9300</v>
      </c>
      <c r="G127" s="410">
        <v>9301</v>
      </c>
      <c r="H127" s="412">
        <v>1277001000</v>
      </c>
      <c r="K127" s="555"/>
    </row>
    <row r="128" spans="1:8" s="271" customFormat="1" ht="15.75" customHeight="1">
      <c r="A128" s="410" t="s">
        <v>877</v>
      </c>
      <c r="B128" s="411"/>
      <c r="C128" s="410">
        <v>799</v>
      </c>
      <c r="D128" s="410" t="s">
        <v>878</v>
      </c>
      <c r="E128" s="410" t="s">
        <v>880</v>
      </c>
      <c r="F128" s="410">
        <v>9400</v>
      </c>
      <c r="G128" s="410">
        <v>9402</v>
      </c>
      <c r="H128" s="412">
        <v>38369000</v>
      </c>
    </row>
    <row r="129" spans="1:8" s="271" customFormat="1" ht="15.75" customHeight="1">
      <c r="A129" s="410" t="s">
        <v>877</v>
      </c>
      <c r="B129" s="553"/>
      <c r="C129" s="410">
        <v>799</v>
      </c>
      <c r="D129" s="410" t="s">
        <v>878</v>
      </c>
      <c r="E129" s="410" t="s">
        <v>880</v>
      </c>
      <c r="F129" s="410">
        <v>9400</v>
      </c>
      <c r="G129" s="410">
        <v>9449</v>
      </c>
      <c r="H129" s="412">
        <v>63201000</v>
      </c>
    </row>
    <row r="130" spans="1:8" s="271" customFormat="1" ht="31.5" customHeight="1">
      <c r="A130" s="409" t="s">
        <v>888</v>
      </c>
      <c r="B130" s="554" t="s">
        <v>925</v>
      </c>
      <c r="C130" s="409"/>
      <c r="D130" s="409"/>
      <c r="E130" s="409"/>
      <c r="F130" s="409"/>
      <c r="G130" s="409"/>
      <c r="H130" s="415">
        <f>SUM(H131:H134)</f>
        <v>1036972000</v>
      </c>
    </row>
    <row r="131" spans="1:8" s="271" customFormat="1" ht="15.75" customHeight="1">
      <c r="A131" s="410" t="s">
        <v>877</v>
      </c>
      <c r="B131" s="411"/>
      <c r="C131" s="410">
        <v>799</v>
      </c>
      <c r="D131" s="414">
        <v>280</v>
      </c>
      <c r="E131" s="414">
        <v>292</v>
      </c>
      <c r="F131" s="410">
        <v>9300</v>
      </c>
      <c r="G131" s="410">
        <v>9301</v>
      </c>
      <c r="H131" s="412">
        <v>914080000</v>
      </c>
    </row>
    <row r="132" spans="1:8" s="271" customFormat="1" ht="15.75" customHeight="1">
      <c r="A132" s="410" t="s">
        <v>877</v>
      </c>
      <c r="B132" s="411"/>
      <c r="C132" s="410">
        <v>799</v>
      </c>
      <c r="D132" s="414">
        <v>280</v>
      </c>
      <c r="E132" s="414">
        <v>292</v>
      </c>
      <c r="F132" s="410">
        <v>9400</v>
      </c>
      <c r="G132" s="410">
        <v>9401</v>
      </c>
      <c r="H132" s="412">
        <v>45559000</v>
      </c>
    </row>
    <row r="133" spans="1:8" s="271" customFormat="1" ht="15.75" customHeight="1">
      <c r="A133" s="410" t="s">
        <v>877</v>
      </c>
      <c r="B133" s="411"/>
      <c r="C133" s="410">
        <v>799</v>
      </c>
      <c r="D133" s="414">
        <v>280</v>
      </c>
      <c r="E133" s="414">
        <v>292</v>
      </c>
      <c r="F133" s="410">
        <v>9400</v>
      </c>
      <c r="G133" s="410">
        <v>9402</v>
      </c>
      <c r="H133" s="412">
        <v>52601000</v>
      </c>
    </row>
    <row r="134" spans="1:8" s="271" customFormat="1" ht="15.75" customHeight="1">
      <c r="A134" s="410"/>
      <c r="B134" s="411"/>
      <c r="C134" s="410">
        <v>799</v>
      </c>
      <c r="D134" s="414">
        <v>280</v>
      </c>
      <c r="E134" s="414">
        <v>292</v>
      </c>
      <c r="F134" s="410">
        <v>9400</v>
      </c>
      <c r="G134" s="410">
        <v>9449</v>
      </c>
      <c r="H134" s="412">
        <v>24732000</v>
      </c>
    </row>
    <row r="135" spans="1:8" s="271" customFormat="1" ht="15.75" customHeight="1">
      <c r="A135" s="406">
        <v>7</v>
      </c>
      <c r="B135" s="407" t="s">
        <v>550</v>
      </c>
      <c r="C135" s="406"/>
      <c r="D135" s="406"/>
      <c r="E135" s="406"/>
      <c r="F135" s="406"/>
      <c r="G135" s="406"/>
      <c r="H135" s="408">
        <f>H136</f>
        <v>299078000</v>
      </c>
    </row>
    <row r="136" spans="1:8" s="271" customFormat="1" ht="15.75" customHeight="1">
      <c r="A136" s="409" t="s">
        <v>571</v>
      </c>
      <c r="B136" s="556" t="s">
        <v>1044</v>
      </c>
      <c r="C136" s="410"/>
      <c r="D136" s="410"/>
      <c r="E136" s="410"/>
      <c r="F136" s="410"/>
      <c r="G136" s="410"/>
      <c r="H136" s="388">
        <f>SUM(H137:H140)</f>
        <v>299078000</v>
      </c>
    </row>
    <row r="137" spans="1:8" s="271" customFormat="1" ht="15.75" customHeight="1">
      <c r="A137" s="410" t="s">
        <v>877</v>
      </c>
      <c r="B137" s="411"/>
      <c r="C137" s="410">
        <v>799</v>
      </c>
      <c r="D137" s="410">
        <v>160</v>
      </c>
      <c r="E137" s="410">
        <v>161</v>
      </c>
      <c r="F137" s="410">
        <v>9300</v>
      </c>
      <c r="G137" s="410">
        <v>9301</v>
      </c>
      <c r="H137" s="412">
        <v>258345000</v>
      </c>
    </row>
    <row r="138" spans="1:8" s="271" customFormat="1" ht="15.75" customHeight="1">
      <c r="A138" s="410" t="s">
        <v>877</v>
      </c>
      <c r="B138" s="411"/>
      <c r="C138" s="410">
        <v>799</v>
      </c>
      <c r="D138" s="410">
        <v>160</v>
      </c>
      <c r="E138" s="410">
        <v>161</v>
      </c>
      <c r="F138" s="410">
        <v>9400</v>
      </c>
      <c r="G138" s="410">
        <v>9401</v>
      </c>
      <c r="H138" s="412">
        <v>8043000</v>
      </c>
    </row>
    <row r="139" spans="1:8" s="271" customFormat="1" ht="15.75" customHeight="1">
      <c r="A139" s="410" t="s">
        <v>877</v>
      </c>
      <c r="B139" s="411"/>
      <c r="C139" s="410">
        <v>799</v>
      </c>
      <c r="D139" s="410">
        <v>160</v>
      </c>
      <c r="E139" s="410">
        <v>161</v>
      </c>
      <c r="F139" s="410">
        <v>9400</v>
      </c>
      <c r="G139" s="410">
        <v>9402</v>
      </c>
      <c r="H139" s="412">
        <v>26392000</v>
      </c>
    </row>
    <row r="140" spans="1:8" s="271" customFormat="1" ht="15.75" customHeight="1">
      <c r="A140" s="410" t="s">
        <v>877</v>
      </c>
      <c r="B140" s="411"/>
      <c r="C140" s="410">
        <v>799</v>
      </c>
      <c r="D140" s="410">
        <v>160</v>
      </c>
      <c r="E140" s="410">
        <v>161</v>
      </c>
      <c r="F140" s="410">
        <v>9400</v>
      </c>
      <c r="G140" s="410">
        <v>9449</v>
      </c>
      <c r="H140" s="412">
        <v>6298000</v>
      </c>
    </row>
    <row r="141" spans="1:8" s="271" customFormat="1" ht="15.75" customHeight="1">
      <c r="A141" s="406">
        <v>8</v>
      </c>
      <c r="B141" s="407" t="s">
        <v>552</v>
      </c>
      <c r="C141" s="406"/>
      <c r="D141" s="406"/>
      <c r="E141" s="406"/>
      <c r="F141" s="406"/>
      <c r="G141" s="406"/>
      <c r="H141" s="408">
        <f>H142</f>
        <v>114591000</v>
      </c>
    </row>
    <row r="142" spans="1:8" s="271" customFormat="1" ht="15.75" customHeight="1">
      <c r="A142" s="409" t="s">
        <v>891</v>
      </c>
      <c r="B142" s="554" t="s">
        <v>1045</v>
      </c>
      <c r="C142" s="410"/>
      <c r="D142" s="410"/>
      <c r="E142" s="410"/>
      <c r="F142" s="410"/>
      <c r="G142" s="410"/>
      <c r="H142" s="388">
        <f>SUM(H143:H144)</f>
        <v>114591000</v>
      </c>
    </row>
    <row r="143" spans="1:8" s="271" customFormat="1" ht="15.75" customHeight="1">
      <c r="A143" s="410" t="s">
        <v>877</v>
      </c>
      <c r="B143" s="387"/>
      <c r="C143" s="410">
        <v>799</v>
      </c>
      <c r="D143" s="410">
        <v>280</v>
      </c>
      <c r="E143" s="410">
        <v>292</v>
      </c>
      <c r="F143" s="410">
        <v>9300</v>
      </c>
      <c r="G143" s="410">
        <v>9301</v>
      </c>
      <c r="H143" s="389">
        <v>113706000</v>
      </c>
    </row>
    <row r="144" spans="1:8" s="271" customFormat="1" ht="15.75" customHeight="1">
      <c r="A144" s="410" t="s">
        <v>877</v>
      </c>
      <c r="B144" s="387"/>
      <c r="C144" s="410">
        <v>799</v>
      </c>
      <c r="D144" s="410">
        <v>280</v>
      </c>
      <c r="E144" s="410">
        <v>292</v>
      </c>
      <c r="F144" s="410">
        <v>9400</v>
      </c>
      <c r="G144" s="410">
        <v>9401</v>
      </c>
      <c r="H144" s="389">
        <v>885000</v>
      </c>
    </row>
    <row r="145" spans="1:8" s="271" customFormat="1" ht="15.75" customHeight="1">
      <c r="A145" s="406">
        <v>9</v>
      </c>
      <c r="B145" s="557" t="s">
        <v>1046</v>
      </c>
      <c r="C145" s="406"/>
      <c r="D145" s="406"/>
      <c r="E145" s="406"/>
      <c r="F145" s="406"/>
      <c r="G145" s="406"/>
      <c r="H145" s="558">
        <f>H146+H148</f>
        <v>710000000</v>
      </c>
    </row>
    <row r="146" spans="1:8" s="271" customFormat="1" ht="15.75" customHeight="1">
      <c r="A146" s="409" t="s">
        <v>1047</v>
      </c>
      <c r="B146" s="559" t="s">
        <v>1048</v>
      </c>
      <c r="C146" s="409"/>
      <c r="D146" s="409"/>
      <c r="E146" s="409"/>
      <c r="F146" s="409"/>
      <c r="G146" s="409"/>
      <c r="H146" s="388">
        <f>H147</f>
        <v>350000000</v>
      </c>
    </row>
    <row r="147" spans="1:8" s="271" customFormat="1" ht="15.75" customHeight="1">
      <c r="A147" s="410" t="s">
        <v>877</v>
      </c>
      <c r="B147" s="387"/>
      <c r="C147" s="410">
        <v>612</v>
      </c>
      <c r="D147" s="410">
        <v>280</v>
      </c>
      <c r="E147" s="410">
        <v>281</v>
      </c>
      <c r="F147" s="410">
        <v>9300</v>
      </c>
      <c r="G147" s="410">
        <v>9301</v>
      </c>
      <c r="H147" s="389">
        <v>350000000</v>
      </c>
    </row>
    <row r="148" spans="1:8" s="271" customFormat="1" ht="15.75" customHeight="1">
      <c r="A148" s="409" t="s">
        <v>1049</v>
      </c>
      <c r="B148" s="559" t="s">
        <v>1050</v>
      </c>
      <c r="C148" s="409"/>
      <c r="D148" s="409"/>
      <c r="E148" s="409"/>
      <c r="F148" s="409"/>
      <c r="G148" s="409"/>
      <c r="H148" s="388">
        <f>H149</f>
        <v>360000000</v>
      </c>
    </row>
    <row r="149" spans="1:8" s="271" customFormat="1" ht="15.75" customHeight="1">
      <c r="A149" s="410" t="s">
        <v>877</v>
      </c>
      <c r="B149" s="387"/>
      <c r="C149" s="410">
        <v>612</v>
      </c>
      <c r="D149" s="410">
        <v>280</v>
      </c>
      <c r="E149" s="410">
        <v>281</v>
      </c>
      <c r="F149" s="410">
        <v>9300</v>
      </c>
      <c r="G149" s="410">
        <v>9301</v>
      </c>
      <c r="H149" s="389">
        <v>360000000</v>
      </c>
    </row>
    <row r="150" spans="1:11" s="549" customFormat="1" ht="15.75" customHeight="1">
      <c r="A150" s="404" t="s">
        <v>364</v>
      </c>
      <c r="B150" s="403" t="s">
        <v>542</v>
      </c>
      <c r="C150" s="404"/>
      <c r="D150" s="404"/>
      <c r="E150" s="404"/>
      <c r="F150" s="404"/>
      <c r="G150" s="404"/>
      <c r="H150" s="405">
        <f>H151+H164+H166+H175+H224+H229</f>
        <v>5620771000</v>
      </c>
      <c r="J150" s="550"/>
      <c r="K150" s="550"/>
    </row>
    <row r="151" spans="1:13" s="549" customFormat="1" ht="15.75" customHeight="1">
      <c r="A151" s="404">
        <v>1</v>
      </c>
      <c r="B151" s="403" t="s">
        <v>928</v>
      </c>
      <c r="C151" s="404"/>
      <c r="D151" s="404"/>
      <c r="E151" s="404"/>
      <c r="F151" s="404"/>
      <c r="G151" s="404"/>
      <c r="H151" s="405">
        <f>H152</f>
        <v>1000000000</v>
      </c>
      <c r="J151" s="550"/>
      <c r="K151" s="560"/>
      <c r="M151" s="550">
        <f>H150+H391</f>
        <v>7694074264</v>
      </c>
    </row>
    <row r="152" spans="1:10" ht="15.75" customHeight="1">
      <c r="A152" s="423"/>
      <c r="B152" s="424" t="s">
        <v>554</v>
      </c>
      <c r="C152" s="423"/>
      <c r="D152" s="423"/>
      <c r="E152" s="423"/>
      <c r="F152" s="423"/>
      <c r="G152" s="423"/>
      <c r="H152" s="561">
        <f>SUM(H153:H163)</f>
        <v>1000000000</v>
      </c>
      <c r="J152" s="562"/>
    </row>
    <row r="153" spans="1:13" s="566" customFormat="1" ht="15.75" customHeight="1">
      <c r="A153" s="563" t="s">
        <v>896</v>
      </c>
      <c r="B153" s="564"/>
      <c r="C153" s="426">
        <v>612</v>
      </c>
      <c r="D153" s="426">
        <v>280</v>
      </c>
      <c r="E153" s="426">
        <v>338</v>
      </c>
      <c r="F153" s="426">
        <v>6250</v>
      </c>
      <c r="G153" s="426">
        <v>6299</v>
      </c>
      <c r="H153" s="565">
        <v>7120000</v>
      </c>
      <c r="J153" s="567"/>
      <c r="M153" s="568">
        <f>M151-J151</f>
        <v>7694074264</v>
      </c>
    </row>
    <row r="154" spans="1:13" s="566" customFormat="1" ht="15.75" customHeight="1">
      <c r="A154" s="563" t="s">
        <v>896</v>
      </c>
      <c r="B154" s="564"/>
      <c r="C154" s="426">
        <v>612</v>
      </c>
      <c r="D154" s="426">
        <v>280</v>
      </c>
      <c r="E154" s="426">
        <v>338</v>
      </c>
      <c r="F154" s="426">
        <v>6500</v>
      </c>
      <c r="G154" s="426">
        <v>6501</v>
      </c>
      <c r="H154" s="565">
        <v>506312</v>
      </c>
      <c r="J154" s="567"/>
      <c r="M154" s="568">
        <f>M152-J152</f>
        <v>0</v>
      </c>
    </row>
    <row r="155" spans="1:10" s="566" customFormat="1" ht="15.75" customHeight="1">
      <c r="A155" s="563" t="s">
        <v>896</v>
      </c>
      <c r="B155" s="564"/>
      <c r="C155" s="426">
        <v>612</v>
      </c>
      <c r="D155" s="426">
        <v>280</v>
      </c>
      <c r="E155" s="426">
        <v>338</v>
      </c>
      <c r="F155" s="426">
        <v>6600</v>
      </c>
      <c r="G155" s="426">
        <v>6601</v>
      </c>
      <c r="H155" s="565">
        <v>1410000</v>
      </c>
      <c r="J155" s="568"/>
    </row>
    <row r="156" spans="1:10" s="566" customFormat="1" ht="15.75" customHeight="1">
      <c r="A156" s="563" t="s">
        <v>896</v>
      </c>
      <c r="B156" s="564"/>
      <c r="C156" s="426">
        <v>612</v>
      </c>
      <c r="D156" s="426">
        <v>280</v>
      </c>
      <c r="E156" s="426">
        <v>338</v>
      </c>
      <c r="F156" s="426">
        <v>6600</v>
      </c>
      <c r="G156" s="426">
        <v>6606</v>
      </c>
      <c r="H156" s="565">
        <v>16000000</v>
      </c>
      <c r="J156" s="568"/>
    </row>
    <row r="157" spans="1:11" s="566" customFormat="1" ht="15.75" customHeight="1">
      <c r="A157" s="563" t="s">
        <v>896</v>
      </c>
      <c r="B157" s="564"/>
      <c r="C157" s="426">
        <v>612</v>
      </c>
      <c r="D157" s="426">
        <v>280</v>
      </c>
      <c r="E157" s="426">
        <v>338</v>
      </c>
      <c r="F157" s="426">
        <v>6650</v>
      </c>
      <c r="G157" s="426">
        <v>6652</v>
      </c>
      <c r="H157" s="565">
        <v>9600000</v>
      </c>
      <c r="J157" s="568">
        <v>7694.074264</v>
      </c>
      <c r="K157" s="568">
        <f>J157*1000000</f>
        <v>7694074264</v>
      </c>
    </row>
    <row r="158" spans="1:10" s="566" customFormat="1" ht="15.75" customHeight="1">
      <c r="A158" s="563" t="s">
        <v>896</v>
      </c>
      <c r="B158" s="564"/>
      <c r="C158" s="426">
        <v>612</v>
      </c>
      <c r="D158" s="426">
        <v>280</v>
      </c>
      <c r="E158" s="426">
        <v>338</v>
      </c>
      <c r="F158" s="426">
        <v>6650</v>
      </c>
      <c r="G158" s="426">
        <v>6658</v>
      </c>
      <c r="H158" s="565">
        <v>17000000</v>
      </c>
      <c r="J158" s="568"/>
    </row>
    <row r="159" spans="1:10" s="566" customFormat="1" ht="15.75" customHeight="1">
      <c r="A159" s="563" t="s">
        <v>896</v>
      </c>
      <c r="B159" s="564"/>
      <c r="C159" s="426">
        <v>612</v>
      </c>
      <c r="D159" s="426">
        <v>280</v>
      </c>
      <c r="E159" s="426">
        <v>338</v>
      </c>
      <c r="F159" s="426">
        <v>6650</v>
      </c>
      <c r="G159" s="426">
        <v>6699</v>
      </c>
      <c r="H159" s="565">
        <v>3600000</v>
      </c>
      <c r="J159" s="568"/>
    </row>
    <row r="160" spans="1:12" s="566" customFormat="1" ht="15.75" customHeight="1">
      <c r="A160" s="563" t="s">
        <v>896</v>
      </c>
      <c r="B160" s="564"/>
      <c r="C160" s="426">
        <v>612</v>
      </c>
      <c r="D160" s="426">
        <v>280</v>
      </c>
      <c r="E160" s="426">
        <v>338</v>
      </c>
      <c r="F160" s="426">
        <v>6550</v>
      </c>
      <c r="G160" s="426">
        <v>6551</v>
      </c>
      <c r="H160" s="565">
        <v>2870000</v>
      </c>
      <c r="J160" s="568">
        <f>J161+J162+J163+J164+J165+J166</f>
        <v>7694074264</v>
      </c>
      <c r="K160" s="568" t="e">
        <f>K161+K162+K163+K164+K165+K166</f>
        <v>#VALUE!</v>
      </c>
      <c r="L160" s="568">
        <f>L161+L162+L163+L164+L165+L166</f>
        <v>7729000000</v>
      </c>
    </row>
    <row r="161" spans="1:12" s="566" customFormat="1" ht="15.75" customHeight="1">
      <c r="A161" s="563" t="s">
        <v>896</v>
      </c>
      <c r="B161" s="564"/>
      <c r="C161" s="426">
        <v>612</v>
      </c>
      <c r="D161" s="426">
        <v>280</v>
      </c>
      <c r="E161" s="426">
        <v>338</v>
      </c>
      <c r="F161" s="426">
        <v>6550</v>
      </c>
      <c r="G161" s="426">
        <v>6599</v>
      </c>
      <c r="H161" s="565">
        <v>854688</v>
      </c>
      <c r="J161" s="568">
        <f>H151+H166+H175+H230+H249+H319+H392+H419+H442+H474++H477+H480+H483+H486+H489+H491+H494+H497+H228</f>
        <v>4951853264</v>
      </c>
      <c r="K161" s="566" t="s">
        <v>1051</v>
      </c>
      <c r="L161" s="567">
        <f>J161+18398736</f>
        <v>4970252000</v>
      </c>
    </row>
    <row r="162" spans="1:13" s="566" customFormat="1" ht="15.75" customHeight="1">
      <c r="A162" s="563" t="s">
        <v>896</v>
      </c>
      <c r="B162" s="564"/>
      <c r="C162" s="426">
        <v>612</v>
      </c>
      <c r="D162" s="426">
        <v>280</v>
      </c>
      <c r="E162" s="426">
        <v>338</v>
      </c>
      <c r="F162" s="426">
        <v>7000</v>
      </c>
      <c r="G162" s="426">
        <v>7049</v>
      </c>
      <c r="H162" s="565">
        <v>938804000</v>
      </c>
      <c r="J162" s="567">
        <f>H165+H225+H226+H227+H314</f>
        <v>1164781000</v>
      </c>
      <c r="K162" s="566" t="s">
        <v>1052</v>
      </c>
      <c r="L162" s="567">
        <f>J162+2219000</f>
        <v>1167000000</v>
      </c>
      <c r="M162" s="567"/>
    </row>
    <row r="163" spans="1:12" s="566" customFormat="1" ht="15.75" customHeight="1">
      <c r="A163" s="563" t="s">
        <v>896</v>
      </c>
      <c r="B163" s="564"/>
      <c r="C163" s="426">
        <v>612</v>
      </c>
      <c r="D163" s="426">
        <v>280</v>
      </c>
      <c r="E163" s="426">
        <v>338</v>
      </c>
      <c r="F163" s="426">
        <v>7750</v>
      </c>
      <c r="G163" s="426">
        <v>7761</v>
      </c>
      <c r="H163" s="565">
        <v>2235000</v>
      </c>
      <c r="J163" s="562">
        <f>H270+H313+H454+H457+H459+H461</f>
        <v>1087990000</v>
      </c>
      <c r="K163" s="568" t="s">
        <v>1053</v>
      </c>
      <c r="L163" s="568">
        <f>J163+10000</f>
        <v>1088000000</v>
      </c>
    </row>
    <row r="164" spans="1:12" s="549" customFormat="1" ht="15.75" customHeight="1">
      <c r="A164" s="404">
        <v>2</v>
      </c>
      <c r="B164" s="403" t="s">
        <v>543</v>
      </c>
      <c r="C164" s="404"/>
      <c r="D164" s="404"/>
      <c r="E164" s="404"/>
      <c r="F164" s="404"/>
      <c r="G164" s="404"/>
      <c r="H164" s="420">
        <f>H165</f>
        <v>687000000</v>
      </c>
      <c r="J164" s="550">
        <f>H294+H320</f>
        <v>163848000</v>
      </c>
      <c r="K164" s="550" t="s">
        <v>1054</v>
      </c>
      <c r="L164" s="550">
        <f>J164</f>
        <v>163848000</v>
      </c>
    </row>
    <row r="165" spans="1:12" s="549" customFormat="1" ht="15.75" customHeight="1">
      <c r="A165" s="426" t="s">
        <v>566</v>
      </c>
      <c r="B165" s="564" t="s">
        <v>544</v>
      </c>
      <c r="C165" s="426">
        <v>622</v>
      </c>
      <c r="D165" s="426" t="s">
        <v>878</v>
      </c>
      <c r="E165" s="426" t="s">
        <v>892</v>
      </c>
      <c r="F165" s="426">
        <v>8000</v>
      </c>
      <c r="G165" s="426">
        <v>8008</v>
      </c>
      <c r="H165" s="569">
        <v>687000000</v>
      </c>
      <c r="J165" s="550">
        <f>H471+H465</f>
        <v>30702000</v>
      </c>
      <c r="K165" s="570" t="s">
        <v>1055</v>
      </c>
      <c r="L165" s="550">
        <f>J165+14298000</f>
        <v>45000000</v>
      </c>
    </row>
    <row r="166" spans="1:12" s="549" customFormat="1" ht="31.5" customHeight="1">
      <c r="A166" s="404">
        <v>3</v>
      </c>
      <c r="B166" s="403" t="s">
        <v>929</v>
      </c>
      <c r="C166" s="404"/>
      <c r="D166" s="404"/>
      <c r="E166" s="404"/>
      <c r="F166" s="404"/>
      <c r="G166" s="404"/>
      <c r="H166" s="421">
        <f>H167</f>
        <v>600000000</v>
      </c>
      <c r="J166" s="550">
        <f>H321</f>
        <v>294900000</v>
      </c>
      <c r="K166" s="549" t="s">
        <v>1056</v>
      </c>
      <c r="L166" s="550">
        <f>J166</f>
        <v>294900000</v>
      </c>
    </row>
    <row r="167" spans="1:11" s="549" customFormat="1" ht="15.75" customHeight="1">
      <c r="A167" s="426"/>
      <c r="B167" s="564" t="s">
        <v>554</v>
      </c>
      <c r="C167" s="426"/>
      <c r="D167" s="426"/>
      <c r="E167" s="426"/>
      <c r="F167" s="426"/>
      <c r="G167" s="426"/>
      <c r="H167" s="569">
        <f>SUM(H168:H174)</f>
        <v>600000000</v>
      </c>
      <c r="K167" s="550"/>
    </row>
    <row r="168" spans="1:8" s="572" customFormat="1" ht="15.75" customHeight="1">
      <c r="A168" s="563" t="s">
        <v>896</v>
      </c>
      <c r="B168" s="564"/>
      <c r="C168" s="426">
        <v>612</v>
      </c>
      <c r="D168" s="426">
        <v>280</v>
      </c>
      <c r="E168" s="426">
        <v>338</v>
      </c>
      <c r="F168" s="426">
        <v>6650</v>
      </c>
      <c r="G168" s="426">
        <v>6699</v>
      </c>
      <c r="H168" s="571">
        <v>10410000</v>
      </c>
    </row>
    <row r="169" spans="1:8" s="572" customFormat="1" ht="15.75" customHeight="1">
      <c r="A169" s="563" t="s">
        <v>896</v>
      </c>
      <c r="B169" s="564"/>
      <c r="C169" s="426">
        <v>612</v>
      </c>
      <c r="D169" s="426">
        <v>280</v>
      </c>
      <c r="E169" s="426">
        <v>338</v>
      </c>
      <c r="F169" s="426">
        <v>6700</v>
      </c>
      <c r="G169" s="426">
        <v>6702</v>
      </c>
      <c r="H169" s="571">
        <v>34800000</v>
      </c>
    </row>
    <row r="170" spans="1:8" s="572" customFormat="1" ht="15.75" customHeight="1">
      <c r="A170" s="563" t="s">
        <v>896</v>
      </c>
      <c r="B170" s="564"/>
      <c r="C170" s="426">
        <v>612</v>
      </c>
      <c r="D170" s="426">
        <v>280</v>
      </c>
      <c r="E170" s="426">
        <v>338</v>
      </c>
      <c r="F170" s="426">
        <v>7000</v>
      </c>
      <c r="G170" s="426">
        <v>7049</v>
      </c>
      <c r="H170" s="571">
        <v>166800000</v>
      </c>
    </row>
    <row r="171" spans="1:8" s="572" customFormat="1" ht="15.75" customHeight="1">
      <c r="A171" s="563" t="s">
        <v>896</v>
      </c>
      <c r="B171" s="564"/>
      <c r="C171" s="426">
        <v>612</v>
      </c>
      <c r="D171" s="426">
        <v>280</v>
      </c>
      <c r="E171" s="426">
        <v>338</v>
      </c>
      <c r="F171" s="426">
        <v>6750</v>
      </c>
      <c r="G171" s="426">
        <v>6751</v>
      </c>
      <c r="H171" s="571">
        <v>37990000</v>
      </c>
    </row>
    <row r="172" spans="1:8" s="572" customFormat="1" ht="15.75" customHeight="1">
      <c r="A172" s="563" t="s">
        <v>896</v>
      </c>
      <c r="B172" s="564"/>
      <c r="C172" s="426">
        <v>612</v>
      </c>
      <c r="D172" s="426">
        <v>280</v>
      </c>
      <c r="E172" s="426">
        <v>338</v>
      </c>
      <c r="F172" s="426">
        <v>7350</v>
      </c>
      <c r="G172" s="426">
        <v>7351</v>
      </c>
      <c r="H172" s="571">
        <v>10000000</v>
      </c>
    </row>
    <row r="173" spans="1:8" s="572" customFormat="1" ht="15.75" customHeight="1">
      <c r="A173" s="563" t="s">
        <v>896</v>
      </c>
      <c r="B173" s="564"/>
      <c r="C173" s="426">
        <v>612</v>
      </c>
      <c r="D173" s="426">
        <v>280</v>
      </c>
      <c r="E173" s="426">
        <v>338</v>
      </c>
      <c r="F173" s="426">
        <v>6600</v>
      </c>
      <c r="G173" s="426">
        <v>6606</v>
      </c>
      <c r="H173" s="571">
        <v>55000000</v>
      </c>
    </row>
    <row r="174" spans="1:8" s="572" customFormat="1" ht="15.75" customHeight="1">
      <c r="A174" s="563" t="s">
        <v>896</v>
      </c>
      <c r="B174" s="564"/>
      <c r="C174" s="426">
        <v>612</v>
      </c>
      <c r="D174" s="426">
        <v>280</v>
      </c>
      <c r="E174" s="426">
        <v>338</v>
      </c>
      <c r="F174" s="426">
        <v>7750</v>
      </c>
      <c r="G174" s="426">
        <v>7799</v>
      </c>
      <c r="H174" s="571">
        <v>285000000</v>
      </c>
    </row>
    <row r="175" spans="1:8" s="549" customFormat="1" ht="15.75" customHeight="1">
      <c r="A175" s="404">
        <v>4</v>
      </c>
      <c r="B175" s="403" t="s">
        <v>545</v>
      </c>
      <c r="C175" s="404"/>
      <c r="D175" s="404"/>
      <c r="E175" s="404"/>
      <c r="F175" s="404"/>
      <c r="G175" s="404"/>
      <c r="H175" s="420">
        <f>H176+H181+H187+H191+H195+H199+H205+H209+H213</f>
        <v>170000000</v>
      </c>
    </row>
    <row r="176" spans="1:8" s="549" customFormat="1" ht="15.75" customHeight="1">
      <c r="A176" s="426" t="s">
        <v>534</v>
      </c>
      <c r="B176" s="573" t="s">
        <v>546</v>
      </c>
      <c r="C176" s="404"/>
      <c r="D176" s="404"/>
      <c r="E176" s="404"/>
      <c r="F176" s="404"/>
      <c r="G176" s="404"/>
      <c r="H176" s="425">
        <f>SUM(H177:H180)</f>
        <v>12000000</v>
      </c>
    </row>
    <row r="177" spans="1:8" s="549" customFormat="1" ht="15.75" customHeight="1">
      <c r="A177" s="426" t="s">
        <v>893</v>
      </c>
      <c r="B177" s="574"/>
      <c r="C177" s="426">
        <v>799</v>
      </c>
      <c r="D177" s="426">
        <v>280</v>
      </c>
      <c r="E177" s="426">
        <v>338</v>
      </c>
      <c r="F177" s="426">
        <v>6550</v>
      </c>
      <c r="G177" s="426">
        <v>6551</v>
      </c>
      <c r="H177" s="427">
        <v>4220000</v>
      </c>
    </row>
    <row r="178" spans="1:8" s="549" customFormat="1" ht="15.75" customHeight="1">
      <c r="A178" s="426" t="s">
        <v>893</v>
      </c>
      <c r="B178" s="574"/>
      <c r="C178" s="426">
        <v>799</v>
      </c>
      <c r="D178" s="426">
        <v>280</v>
      </c>
      <c r="E178" s="426">
        <v>338</v>
      </c>
      <c r="F178" s="426">
        <v>6650</v>
      </c>
      <c r="G178" s="426">
        <v>6658</v>
      </c>
      <c r="H178" s="427">
        <v>800000</v>
      </c>
    </row>
    <row r="179" spans="1:8" s="549" customFormat="1" ht="15.75" customHeight="1">
      <c r="A179" s="426" t="s">
        <v>893</v>
      </c>
      <c r="B179" s="574"/>
      <c r="C179" s="426">
        <v>799</v>
      </c>
      <c r="D179" s="426">
        <v>280</v>
      </c>
      <c r="E179" s="426">
        <v>338</v>
      </c>
      <c r="F179" s="426">
        <v>6650</v>
      </c>
      <c r="G179" s="426">
        <v>6699</v>
      </c>
      <c r="H179" s="427">
        <v>2080000</v>
      </c>
    </row>
    <row r="180" spans="1:8" s="549" customFormat="1" ht="15.75" customHeight="1">
      <c r="A180" s="426" t="s">
        <v>893</v>
      </c>
      <c r="B180" s="574"/>
      <c r="C180" s="426">
        <v>799</v>
      </c>
      <c r="D180" s="426">
        <v>280</v>
      </c>
      <c r="E180" s="426">
        <v>338</v>
      </c>
      <c r="F180" s="426">
        <v>6700</v>
      </c>
      <c r="G180" s="426">
        <v>6704</v>
      </c>
      <c r="H180" s="427">
        <v>4900000</v>
      </c>
    </row>
    <row r="181" spans="1:8" s="579" customFormat="1" ht="15.75" customHeight="1">
      <c r="A181" s="575" t="s">
        <v>535</v>
      </c>
      <c r="B181" s="576" t="s">
        <v>547</v>
      </c>
      <c r="C181" s="577"/>
      <c r="D181" s="577"/>
      <c r="E181" s="577"/>
      <c r="F181" s="577"/>
      <c r="G181" s="577"/>
      <c r="H181" s="578">
        <f>SUM(H182:H186)</f>
        <v>12000000</v>
      </c>
    </row>
    <row r="182" spans="1:8" s="579" customFormat="1" ht="15.75" customHeight="1">
      <c r="A182" s="580" t="s">
        <v>893</v>
      </c>
      <c r="B182" s="581"/>
      <c r="C182" s="580">
        <v>799</v>
      </c>
      <c r="D182" s="580">
        <v>280</v>
      </c>
      <c r="E182" s="580">
        <v>338</v>
      </c>
      <c r="F182" s="580" t="s">
        <v>930</v>
      </c>
      <c r="G182" s="580">
        <v>6249</v>
      </c>
      <c r="H182" s="582">
        <v>2800000</v>
      </c>
    </row>
    <row r="183" spans="1:8" s="579" customFormat="1" ht="15.75" customHeight="1">
      <c r="A183" s="580" t="s">
        <v>893</v>
      </c>
      <c r="B183" s="581"/>
      <c r="C183" s="580">
        <v>799</v>
      </c>
      <c r="D183" s="580">
        <v>280</v>
      </c>
      <c r="E183" s="580">
        <v>338</v>
      </c>
      <c r="F183" s="580">
        <v>6550</v>
      </c>
      <c r="G183" s="580">
        <v>6551</v>
      </c>
      <c r="H183" s="582">
        <v>1180000</v>
      </c>
    </row>
    <row r="184" spans="1:8" s="583" customFormat="1" ht="15.75" customHeight="1">
      <c r="A184" s="580" t="s">
        <v>893</v>
      </c>
      <c r="B184" s="581"/>
      <c r="C184" s="580">
        <v>799</v>
      </c>
      <c r="D184" s="580">
        <v>280</v>
      </c>
      <c r="E184" s="580">
        <v>338</v>
      </c>
      <c r="F184" s="580" t="s">
        <v>931</v>
      </c>
      <c r="G184" s="580" t="s">
        <v>932</v>
      </c>
      <c r="H184" s="582">
        <v>2520000</v>
      </c>
    </row>
    <row r="185" spans="1:8" s="584" customFormat="1" ht="15.75" customHeight="1">
      <c r="A185" s="580" t="s">
        <v>893</v>
      </c>
      <c r="B185" s="581"/>
      <c r="C185" s="580">
        <v>799</v>
      </c>
      <c r="D185" s="580">
        <v>280</v>
      </c>
      <c r="E185" s="580">
        <v>338</v>
      </c>
      <c r="F185" s="580" t="s">
        <v>931</v>
      </c>
      <c r="G185" s="580" t="s">
        <v>933</v>
      </c>
      <c r="H185" s="582">
        <v>3500000</v>
      </c>
    </row>
    <row r="186" spans="1:8" s="584" customFormat="1" ht="15.75" customHeight="1">
      <c r="A186" s="580" t="s">
        <v>893</v>
      </c>
      <c r="B186" s="581"/>
      <c r="C186" s="580">
        <v>799</v>
      </c>
      <c r="D186" s="580">
        <v>280</v>
      </c>
      <c r="E186" s="580">
        <v>338</v>
      </c>
      <c r="F186" s="580" t="s">
        <v>931</v>
      </c>
      <c r="G186" s="580" t="s">
        <v>934</v>
      </c>
      <c r="H186" s="582">
        <v>2000000</v>
      </c>
    </row>
    <row r="187" spans="1:8" s="583" customFormat="1" ht="25.5" customHeight="1">
      <c r="A187" s="575" t="s">
        <v>559</v>
      </c>
      <c r="B187" s="576" t="s">
        <v>548</v>
      </c>
      <c r="C187" s="575"/>
      <c r="D187" s="575"/>
      <c r="E187" s="575"/>
      <c r="F187" s="575"/>
      <c r="G187" s="575"/>
      <c r="H187" s="578">
        <f>SUM(H188:H190)</f>
        <v>12000000</v>
      </c>
    </row>
    <row r="188" spans="1:8" s="566" customFormat="1" ht="25.5" customHeight="1">
      <c r="A188" s="426" t="s">
        <v>893</v>
      </c>
      <c r="B188" s="574"/>
      <c r="C188" s="426">
        <v>799</v>
      </c>
      <c r="D188" s="426">
        <v>280</v>
      </c>
      <c r="E188" s="426">
        <v>338</v>
      </c>
      <c r="F188" s="426">
        <v>6650</v>
      </c>
      <c r="G188" s="426">
        <v>6658</v>
      </c>
      <c r="H188" s="427">
        <f>1500000+3500000</f>
        <v>5000000</v>
      </c>
    </row>
    <row r="189" spans="1:8" s="566" customFormat="1" ht="25.5" customHeight="1">
      <c r="A189" s="426" t="s">
        <v>893</v>
      </c>
      <c r="B189" s="574"/>
      <c r="C189" s="426">
        <v>799</v>
      </c>
      <c r="D189" s="426">
        <v>280</v>
      </c>
      <c r="E189" s="426">
        <v>338</v>
      </c>
      <c r="F189" s="426">
        <v>6550</v>
      </c>
      <c r="G189" s="426">
        <v>6551</v>
      </c>
      <c r="H189" s="427">
        <v>3000000</v>
      </c>
    </row>
    <row r="190" spans="1:8" s="566" customFormat="1" ht="25.5" customHeight="1">
      <c r="A190" s="426" t="s">
        <v>893</v>
      </c>
      <c r="B190" s="574"/>
      <c r="C190" s="426">
        <v>799</v>
      </c>
      <c r="D190" s="426">
        <v>280</v>
      </c>
      <c r="E190" s="426">
        <v>338</v>
      </c>
      <c r="F190" s="426">
        <v>6650</v>
      </c>
      <c r="G190" s="426">
        <v>6699</v>
      </c>
      <c r="H190" s="427">
        <f>1500000+2500000</f>
        <v>4000000</v>
      </c>
    </row>
    <row r="191" spans="1:8" ht="25.5" customHeight="1">
      <c r="A191" s="423" t="s">
        <v>560</v>
      </c>
      <c r="B191" s="573" t="s">
        <v>549</v>
      </c>
      <c r="C191" s="404"/>
      <c r="D191" s="404"/>
      <c r="E191" s="404"/>
      <c r="F191" s="404"/>
      <c r="G191" s="404"/>
      <c r="H191" s="425">
        <f>SUM(H192:H194)</f>
        <v>12000000</v>
      </c>
    </row>
    <row r="192" spans="1:8" ht="25.5" customHeight="1">
      <c r="A192" s="426" t="s">
        <v>893</v>
      </c>
      <c r="B192" s="574"/>
      <c r="C192" s="426">
        <v>799</v>
      </c>
      <c r="D192" s="426">
        <v>280</v>
      </c>
      <c r="E192" s="426">
        <v>338</v>
      </c>
      <c r="F192" s="426">
        <v>6700</v>
      </c>
      <c r="G192" s="426">
        <v>6704</v>
      </c>
      <c r="H192" s="427">
        <v>8500000</v>
      </c>
    </row>
    <row r="193" spans="1:8" ht="25.5" customHeight="1">
      <c r="A193" s="426" t="s">
        <v>893</v>
      </c>
      <c r="B193" s="574"/>
      <c r="C193" s="426">
        <v>799</v>
      </c>
      <c r="D193" s="426">
        <v>280</v>
      </c>
      <c r="E193" s="426">
        <v>338</v>
      </c>
      <c r="F193" s="426">
        <v>6550</v>
      </c>
      <c r="G193" s="426">
        <v>6551</v>
      </c>
      <c r="H193" s="427">
        <v>1500000</v>
      </c>
    </row>
    <row r="194" spans="1:8" ht="25.5" customHeight="1">
      <c r="A194" s="426" t="s">
        <v>893</v>
      </c>
      <c r="B194" s="574"/>
      <c r="C194" s="426">
        <v>799</v>
      </c>
      <c r="D194" s="426">
        <v>280</v>
      </c>
      <c r="E194" s="426">
        <v>338</v>
      </c>
      <c r="F194" s="426">
        <v>6650</v>
      </c>
      <c r="G194" s="426">
        <v>6699</v>
      </c>
      <c r="H194" s="427">
        <v>2000000</v>
      </c>
    </row>
    <row r="195" spans="1:8" ht="25.5" customHeight="1">
      <c r="A195" s="423" t="s">
        <v>561</v>
      </c>
      <c r="B195" s="573" t="s">
        <v>550</v>
      </c>
      <c r="C195" s="404"/>
      <c r="D195" s="404"/>
      <c r="E195" s="404"/>
      <c r="F195" s="404"/>
      <c r="G195" s="404"/>
      <c r="H195" s="425">
        <f>SUM(H196:H198)</f>
        <v>12000000</v>
      </c>
    </row>
    <row r="196" spans="1:8" ht="25.5" customHeight="1">
      <c r="A196" s="426" t="s">
        <v>893</v>
      </c>
      <c r="B196" s="574"/>
      <c r="C196" s="426">
        <v>799</v>
      </c>
      <c r="D196" s="426">
        <v>280</v>
      </c>
      <c r="E196" s="426">
        <v>338</v>
      </c>
      <c r="F196" s="426">
        <v>6650</v>
      </c>
      <c r="G196" s="426">
        <v>6651</v>
      </c>
      <c r="H196" s="427">
        <v>5560000</v>
      </c>
    </row>
    <row r="197" spans="1:8" s="549" customFormat="1" ht="15.75" customHeight="1">
      <c r="A197" s="426" t="s">
        <v>893</v>
      </c>
      <c r="B197" s="574"/>
      <c r="C197" s="426">
        <v>799</v>
      </c>
      <c r="D197" s="426">
        <v>280</v>
      </c>
      <c r="E197" s="426">
        <v>338</v>
      </c>
      <c r="F197" s="426">
        <v>6650</v>
      </c>
      <c r="G197" s="426">
        <v>6658</v>
      </c>
      <c r="H197" s="427">
        <v>2900000</v>
      </c>
    </row>
    <row r="198" spans="1:8" ht="15.75" customHeight="1">
      <c r="A198" s="426" t="s">
        <v>893</v>
      </c>
      <c r="B198" s="574"/>
      <c r="C198" s="426">
        <v>799</v>
      </c>
      <c r="D198" s="426">
        <v>280</v>
      </c>
      <c r="E198" s="426">
        <v>338</v>
      </c>
      <c r="F198" s="426">
        <v>6650</v>
      </c>
      <c r="G198" s="426">
        <v>6699</v>
      </c>
      <c r="H198" s="427">
        <v>3540000</v>
      </c>
    </row>
    <row r="199" spans="1:8" s="566" customFormat="1" ht="15.75" customHeight="1">
      <c r="A199" s="423" t="s">
        <v>562</v>
      </c>
      <c r="B199" s="573" t="s">
        <v>551</v>
      </c>
      <c r="C199" s="404"/>
      <c r="D199" s="404"/>
      <c r="E199" s="404"/>
      <c r="F199" s="404"/>
      <c r="G199" s="404"/>
      <c r="H199" s="425">
        <f>SUM(H200:H204)</f>
        <v>12000000</v>
      </c>
    </row>
    <row r="200" spans="1:8" ht="15.75" customHeight="1">
      <c r="A200" s="426" t="s">
        <v>893</v>
      </c>
      <c r="B200" s="574"/>
      <c r="C200" s="426">
        <v>799</v>
      </c>
      <c r="D200" s="426">
        <v>280</v>
      </c>
      <c r="E200" s="426">
        <v>338</v>
      </c>
      <c r="F200" s="426">
        <v>6550</v>
      </c>
      <c r="G200" s="426">
        <v>6551</v>
      </c>
      <c r="H200" s="427">
        <v>6283000</v>
      </c>
    </row>
    <row r="201" spans="1:8" s="566" customFormat="1" ht="15.75" customHeight="1">
      <c r="A201" s="426" t="s">
        <v>893</v>
      </c>
      <c r="B201" s="574"/>
      <c r="C201" s="426">
        <v>799</v>
      </c>
      <c r="D201" s="426">
        <v>280</v>
      </c>
      <c r="E201" s="426">
        <v>338</v>
      </c>
      <c r="F201" s="426">
        <v>6650</v>
      </c>
      <c r="G201" s="426">
        <v>6658</v>
      </c>
      <c r="H201" s="427">
        <v>2200000</v>
      </c>
    </row>
    <row r="202" spans="1:8" ht="22.5" customHeight="1">
      <c r="A202" s="426" t="s">
        <v>893</v>
      </c>
      <c r="B202" s="574"/>
      <c r="C202" s="426">
        <v>799</v>
      </c>
      <c r="D202" s="426">
        <v>280</v>
      </c>
      <c r="E202" s="426">
        <v>338</v>
      </c>
      <c r="F202" s="426">
        <v>6650</v>
      </c>
      <c r="G202" s="426">
        <v>6699</v>
      </c>
      <c r="H202" s="427">
        <v>3247000</v>
      </c>
    </row>
    <row r="203" spans="1:8" ht="22.5" customHeight="1">
      <c r="A203" s="426" t="s">
        <v>893</v>
      </c>
      <c r="B203" s="574"/>
      <c r="C203" s="426">
        <v>799</v>
      </c>
      <c r="D203" s="426">
        <v>280</v>
      </c>
      <c r="E203" s="426">
        <v>338</v>
      </c>
      <c r="F203" s="426">
        <v>6700</v>
      </c>
      <c r="G203" s="426">
        <v>6701</v>
      </c>
      <c r="H203" s="427">
        <v>60000</v>
      </c>
    </row>
    <row r="204" spans="1:8" ht="22.5" customHeight="1">
      <c r="A204" s="426" t="s">
        <v>893</v>
      </c>
      <c r="B204" s="574"/>
      <c r="C204" s="426">
        <v>799</v>
      </c>
      <c r="D204" s="426">
        <v>280</v>
      </c>
      <c r="E204" s="426">
        <v>338</v>
      </c>
      <c r="F204" s="426">
        <v>6700</v>
      </c>
      <c r="G204" s="426">
        <v>6702</v>
      </c>
      <c r="H204" s="427">
        <v>210000</v>
      </c>
    </row>
    <row r="205" spans="1:8" ht="22.5" customHeight="1">
      <c r="A205" s="423" t="s">
        <v>563</v>
      </c>
      <c r="B205" s="573" t="s">
        <v>552</v>
      </c>
      <c r="C205" s="404"/>
      <c r="D205" s="404"/>
      <c r="E205" s="404"/>
      <c r="F205" s="404"/>
      <c r="G205" s="404"/>
      <c r="H205" s="425">
        <f>SUM(H206:H208)</f>
        <v>12000000</v>
      </c>
    </row>
    <row r="206" spans="1:8" ht="22.5" customHeight="1">
      <c r="A206" s="426" t="s">
        <v>893</v>
      </c>
      <c r="B206" s="574"/>
      <c r="C206" s="426">
        <v>799</v>
      </c>
      <c r="D206" s="426">
        <v>280</v>
      </c>
      <c r="E206" s="426">
        <v>338</v>
      </c>
      <c r="F206" s="585">
        <v>6550</v>
      </c>
      <c r="G206" s="585">
        <v>6551</v>
      </c>
      <c r="H206" s="427">
        <v>5050000</v>
      </c>
    </row>
    <row r="207" spans="1:8" ht="22.5" customHeight="1">
      <c r="A207" s="426" t="s">
        <v>893</v>
      </c>
      <c r="B207" s="574"/>
      <c r="C207" s="426">
        <v>799</v>
      </c>
      <c r="D207" s="426">
        <v>280</v>
      </c>
      <c r="E207" s="426">
        <v>338</v>
      </c>
      <c r="F207" s="585">
        <v>6650</v>
      </c>
      <c r="G207" s="585">
        <v>6658</v>
      </c>
      <c r="H207" s="427">
        <v>5000000</v>
      </c>
    </row>
    <row r="208" spans="1:8" ht="22.5" customHeight="1">
      <c r="A208" s="426" t="s">
        <v>893</v>
      </c>
      <c r="B208" s="574"/>
      <c r="C208" s="426">
        <v>799</v>
      </c>
      <c r="D208" s="426">
        <v>280</v>
      </c>
      <c r="E208" s="426">
        <v>338</v>
      </c>
      <c r="F208" s="585">
        <v>6650</v>
      </c>
      <c r="G208" s="585">
        <v>6699</v>
      </c>
      <c r="H208" s="427">
        <v>1950000</v>
      </c>
    </row>
    <row r="209" spans="1:8" ht="22.5" customHeight="1">
      <c r="A209" s="423" t="s">
        <v>564</v>
      </c>
      <c r="B209" s="573" t="s">
        <v>553</v>
      </c>
      <c r="C209" s="423"/>
      <c r="D209" s="423"/>
      <c r="E209" s="423"/>
      <c r="F209" s="404"/>
      <c r="G209" s="404"/>
      <c r="H209" s="425">
        <f>SUM(H210:H212)</f>
        <v>12000000</v>
      </c>
    </row>
    <row r="210" spans="1:8" s="549" customFormat="1" ht="15.75" customHeight="1">
      <c r="A210" s="426" t="s">
        <v>893</v>
      </c>
      <c r="B210" s="574"/>
      <c r="C210" s="426">
        <v>799</v>
      </c>
      <c r="D210" s="426">
        <v>280</v>
      </c>
      <c r="E210" s="426">
        <v>338</v>
      </c>
      <c r="F210" s="585">
        <v>7100</v>
      </c>
      <c r="G210" s="426">
        <v>7149</v>
      </c>
      <c r="H210" s="427">
        <v>4200000</v>
      </c>
    </row>
    <row r="211" spans="1:8" s="566" customFormat="1" ht="15.75" customHeight="1">
      <c r="A211" s="426" t="s">
        <v>893</v>
      </c>
      <c r="B211" s="574"/>
      <c r="C211" s="426">
        <v>799</v>
      </c>
      <c r="D211" s="426">
        <v>280</v>
      </c>
      <c r="E211" s="426">
        <v>338</v>
      </c>
      <c r="F211" s="426">
        <v>6650</v>
      </c>
      <c r="G211" s="426">
        <v>6658</v>
      </c>
      <c r="H211" s="427">
        <v>6000000</v>
      </c>
    </row>
    <row r="212" spans="1:8" ht="15.75" customHeight="1">
      <c r="A212" s="426" t="s">
        <v>893</v>
      </c>
      <c r="B212" s="574"/>
      <c r="C212" s="426">
        <v>799</v>
      </c>
      <c r="D212" s="426">
        <v>280</v>
      </c>
      <c r="E212" s="426">
        <v>338</v>
      </c>
      <c r="F212" s="426">
        <v>6650</v>
      </c>
      <c r="G212" s="426">
        <v>6699</v>
      </c>
      <c r="H212" s="427">
        <v>1800000</v>
      </c>
    </row>
    <row r="213" spans="1:8" s="566" customFormat="1" ht="15.75" customHeight="1">
      <c r="A213" s="423" t="s">
        <v>565</v>
      </c>
      <c r="B213" s="424" t="s">
        <v>554</v>
      </c>
      <c r="C213" s="404"/>
      <c r="D213" s="404"/>
      <c r="E213" s="404"/>
      <c r="F213" s="404"/>
      <c r="G213" s="404"/>
      <c r="H213" s="425">
        <f>SUM(H214:H223)</f>
        <v>74000000</v>
      </c>
    </row>
    <row r="214" spans="1:8" s="566" customFormat="1" ht="15.75" customHeight="1">
      <c r="A214" s="426" t="s">
        <v>893</v>
      </c>
      <c r="B214" s="564"/>
      <c r="C214" s="426">
        <v>612</v>
      </c>
      <c r="D214" s="426">
        <v>280</v>
      </c>
      <c r="E214" s="426">
        <v>338</v>
      </c>
      <c r="F214" s="426">
        <v>6550</v>
      </c>
      <c r="G214" s="426">
        <v>6551</v>
      </c>
      <c r="H214" s="427">
        <v>8941683</v>
      </c>
    </row>
    <row r="215" spans="1:8" s="566" customFormat="1" ht="15.75" customHeight="1">
      <c r="A215" s="426" t="s">
        <v>893</v>
      </c>
      <c r="B215" s="564"/>
      <c r="C215" s="426">
        <v>612</v>
      </c>
      <c r="D215" s="426">
        <v>280</v>
      </c>
      <c r="E215" s="426">
        <v>338</v>
      </c>
      <c r="F215" s="426">
        <v>6550</v>
      </c>
      <c r="G215" s="426">
        <v>6552</v>
      </c>
      <c r="H215" s="427">
        <v>5300000</v>
      </c>
    </row>
    <row r="216" spans="1:8" s="566" customFormat="1" ht="15.75" customHeight="1">
      <c r="A216" s="426" t="s">
        <v>893</v>
      </c>
      <c r="B216" s="564"/>
      <c r="C216" s="426">
        <v>612</v>
      </c>
      <c r="D216" s="426">
        <v>280</v>
      </c>
      <c r="E216" s="426">
        <v>338</v>
      </c>
      <c r="F216" s="426">
        <v>6500</v>
      </c>
      <c r="G216" s="426">
        <v>6501</v>
      </c>
      <c r="H216" s="427">
        <v>2173795</v>
      </c>
    </row>
    <row r="217" spans="1:8" s="566" customFormat="1" ht="15.75" customHeight="1">
      <c r="A217" s="426" t="s">
        <v>893</v>
      </c>
      <c r="B217" s="564"/>
      <c r="C217" s="426">
        <v>612</v>
      </c>
      <c r="D217" s="426">
        <v>280</v>
      </c>
      <c r="E217" s="426">
        <v>338</v>
      </c>
      <c r="F217" s="426">
        <v>6600</v>
      </c>
      <c r="G217" s="426">
        <v>6603</v>
      </c>
      <c r="H217" s="427">
        <v>800000</v>
      </c>
    </row>
    <row r="218" spans="1:8" s="566" customFormat="1" ht="15.75" customHeight="1">
      <c r="A218" s="426" t="s">
        <v>893</v>
      </c>
      <c r="B218" s="564"/>
      <c r="C218" s="426">
        <v>612</v>
      </c>
      <c r="D218" s="426">
        <v>280</v>
      </c>
      <c r="E218" s="426">
        <v>338</v>
      </c>
      <c r="F218" s="426">
        <v>6600</v>
      </c>
      <c r="G218" s="426">
        <v>6601</v>
      </c>
      <c r="H218" s="427">
        <v>2157522</v>
      </c>
    </row>
    <row r="219" spans="1:8" s="572" customFormat="1" ht="15.75" customHeight="1">
      <c r="A219" s="426" t="s">
        <v>893</v>
      </c>
      <c r="B219" s="564"/>
      <c r="C219" s="426">
        <v>612</v>
      </c>
      <c r="D219" s="426">
        <v>280</v>
      </c>
      <c r="E219" s="426">
        <v>338</v>
      </c>
      <c r="F219" s="426">
        <v>6700</v>
      </c>
      <c r="G219" s="426">
        <v>6702</v>
      </c>
      <c r="H219" s="427">
        <v>7200000</v>
      </c>
    </row>
    <row r="220" spans="1:8" s="566" customFormat="1" ht="15.75" customHeight="1">
      <c r="A220" s="426" t="s">
        <v>893</v>
      </c>
      <c r="B220" s="564"/>
      <c r="C220" s="426">
        <v>612</v>
      </c>
      <c r="D220" s="426">
        <v>280</v>
      </c>
      <c r="E220" s="426">
        <v>338</v>
      </c>
      <c r="F220" s="426">
        <v>6900</v>
      </c>
      <c r="G220" s="426">
        <v>6913</v>
      </c>
      <c r="H220" s="427">
        <v>6800000</v>
      </c>
    </row>
    <row r="221" spans="1:8" s="566" customFormat="1" ht="15.75" customHeight="1">
      <c r="A221" s="426" t="s">
        <v>893</v>
      </c>
      <c r="B221" s="564"/>
      <c r="C221" s="426">
        <v>612</v>
      </c>
      <c r="D221" s="426">
        <v>280</v>
      </c>
      <c r="E221" s="426">
        <v>338</v>
      </c>
      <c r="F221" s="426">
        <v>7750</v>
      </c>
      <c r="G221" s="426">
        <v>7761</v>
      </c>
      <c r="H221" s="427">
        <v>11227000</v>
      </c>
    </row>
    <row r="222" spans="1:8" s="566" customFormat="1" ht="15.75" customHeight="1">
      <c r="A222" s="426" t="s">
        <v>893</v>
      </c>
      <c r="B222" s="564"/>
      <c r="C222" s="426">
        <v>612</v>
      </c>
      <c r="D222" s="426">
        <v>280</v>
      </c>
      <c r="E222" s="426">
        <v>338</v>
      </c>
      <c r="F222" s="426">
        <v>6550</v>
      </c>
      <c r="G222" s="426">
        <v>6599</v>
      </c>
      <c r="H222" s="427">
        <v>1400000</v>
      </c>
    </row>
    <row r="223" spans="1:8" s="566" customFormat="1" ht="15.75" customHeight="1">
      <c r="A223" s="426" t="s">
        <v>893</v>
      </c>
      <c r="B223" s="564"/>
      <c r="C223" s="426">
        <v>612</v>
      </c>
      <c r="D223" s="426">
        <v>280</v>
      </c>
      <c r="E223" s="426">
        <v>338</v>
      </c>
      <c r="F223" s="426">
        <v>7750</v>
      </c>
      <c r="G223" s="426">
        <v>7799</v>
      </c>
      <c r="H223" s="427">
        <v>28000000</v>
      </c>
    </row>
    <row r="224" spans="1:10" s="549" customFormat="1" ht="25.5" customHeight="1">
      <c r="A224" s="586">
        <v>5</v>
      </c>
      <c r="B224" s="587" t="s">
        <v>1057</v>
      </c>
      <c r="C224" s="404"/>
      <c r="D224" s="586"/>
      <c r="E224" s="586"/>
      <c r="F224" s="404"/>
      <c r="G224" s="404"/>
      <c r="H224" s="420">
        <f>SUM(H225:H228)</f>
        <v>497781000</v>
      </c>
      <c r="J224" s="550"/>
    </row>
    <row r="225" spans="1:8" s="566" customFormat="1" ht="15.75" customHeight="1">
      <c r="A225" s="563" t="s">
        <v>877</v>
      </c>
      <c r="B225" s="424"/>
      <c r="C225" s="423">
        <v>799</v>
      </c>
      <c r="D225" s="563" t="s">
        <v>878</v>
      </c>
      <c r="E225" s="563" t="s">
        <v>879</v>
      </c>
      <c r="F225" s="426">
        <v>6950</v>
      </c>
      <c r="G225" s="426">
        <v>6999</v>
      </c>
      <c r="H225" s="427">
        <v>338091000</v>
      </c>
    </row>
    <row r="226" spans="1:8" s="566" customFormat="1" ht="15.75" customHeight="1">
      <c r="A226" s="563" t="s">
        <v>877</v>
      </c>
      <c r="B226" s="424"/>
      <c r="C226" s="423">
        <v>799</v>
      </c>
      <c r="D226" s="563" t="s">
        <v>878</v>
      </c>
      <c r="E226" s="563" t="s">
        <v>884</v>
      </c>
      <c r="F226" s="426">
        <v>6950</v>
      </c>
      <c r="G226" s="426">
        <v>6999</v>
      </c>
      <c r="H226" s="427">
        <v>52710000</v>
      </c>
    </row>
    <row r="227" spans="1:8" s="566" customFormat="1" ht="15.75" customHeight="1">
      <c r="A227" s="563" t="s">
        <v>877</v>
      </c>
      <c r="B227" s="424"/>
      <c r="C227" s="423">
        <v>799</v>
      </c>
      <c r="D227" s="563" t="s">
        <v>878</v>
      </c>
      <c r="E227" s="563" t="s">
        <v>880</v>
      </c>
      <c r="F227" s="426">
        <v>6950</v>
      </c>
      <c r="G227" s="426">
        <v>6999</v>
      </c>
      <c r="H227" s="427">
        <v>76980000</v>
      </c>
    </row>
    <row r="228" spans="1:8" s="566" customFormat="1" ht="15.75" customHeight="1">
      <c r="A228" s="563" t="s">
        <v>877</v>
      </c>
      <c r="B228" s="424"/>
      <c r="C228" s="423">
        <v>799</v>
      </c>
      <c r="D228" s="563">
        <v>280</v>
      </c>
      <c r="E228" s="563">
        <v>312</v>
      </c>
      <c r="F228" s="585">
        <v>7100</v>
      </c>
      <c r="G228" s="426">
        <v>7149</v>
      </c>
      <c r="H228" s="427">
        <v>30000000</v>
      </c>
    </row>
    <row r="229" spans="1:8" s="566" customFormat="1" ht="15.75" customHeight="1">
      <c r="A229" s="404">
        <v>6</v>
      </c>
      <c r="B229" s="403" t="s">
        <v>558</v>
      </c>
      <c r="C229" s="423"/>
      <c r="D229" s="423"/>
      <c r="E229" s="423"/>
      <c r="F229" s="423"/>
      <c r="G229" s="423"/>
      <c r="H229" s="420">
        <f>H230+H249+H270+H294+H311+H318+H321</f>
        <v>2665990000</v>
      </c>
    </row>
    <row r="230" spans="1:8" ht="24.75" customHeight="1">
      <c r="A230" s="404" t="s">
        <v>540</v>
      </c>
      <c r="B230" s="403" t="s">
        <v>894</v>
      </c>
      <c r="C230" s="404"/>
      <c r="D230" s="404"/>
      <c r="E230" s="404"/>
      <c r="F230" s="404"/>
      <c r="G230" s="404"/>
      <c r="H230" s="420">
        <f>H231+H233+H235+H238+H241+H243+H245+H247</f>
        <v>800000000</v>
      </c>
    </row>
    <row r="231" spans="1:8" s="566" customFormat="1" ht="15.75" customHeight="1">
      <c r="A231" s="423" t="s">
        <v>935</v>
      </c>
      <c r="B231" s="573" t="s">
        <v>546</v>
      </c>
      <c r="C231" s="404"/>
      <c r="D231" s="404"/>
      <c r="E231" s="404"/>
      <c r="F231" s="404"/>
      <c r="G231" s="404"/>
      <c r="H231" s="425">
        <f>SUM(H232:H232)</f>
        <v>100000000</v>
      </c>
    </row>
    <row r="232" spans="1:8" s="566" customFormat="1" ht="15.75" customHeight="1">
      <c r="A232" s="426" t="s">
        <v>877</v>
      </c>
      <c r="B232" s="574"/>
      <c r="C232" s="426">
        <v>799</v>
      </c>
      <c r="D232" s="426">
        <v>280</v>
      </c>
      <c r="E232" s="426">
        <v>292</v>
      </c>
      <c r="F232" s="426">
        <v>6900</v>
      </c>
      <c r="G232" s="426">
        <v>6922</v>
      </c>
      <c r="H232" s="427">
        <v>100000000</v>
      </c>
    </row>
    <row r="233" spans="1:8" s="566" customFormat="1" ht="15.75" customHeight="1">
      <c r="A233" s="423" t="s">
        <v>936</v>
      </c>
      <c r="B233" s="573" t="s">
        <v>547</v>
      </c>
      <c r="C233" s="404"/>
      <c r="D233" s="404"/>
      <c r="E233" s="404"/>
      <c r="F233" s="404"/>
      <c r="G233" s="404"/>
      <c r="H233" s="425">
        <f>H234</f>
        <v>100000000</v>
      </c>
    </row>
    <row r="234" spans="1:8" s="566" customFormat="1" ht="15.75" customHeight="1">
      <c r="A234" s="426" t="s">
        <v>877</v>
      </c>
      <c r="B234" s="574"/>
      <c r="C234" s="426">
        <v>799</v>
      </c>
      <c r="D234" s="426">
        <v>280</v>
      </c>
      <c r="E234" s="426">
        <v>292</v>
      </c>
      <c r="F234" s="426">
        <v>6900</v>
      </c>
      <c r="G234" s="426">
        <v>6922</v>
      </c>
      <c r="H234" s="427">
        <v>100000000</v>
      </c>
    </row>
    <row r="235" spans="1:8" s="566" customFormat="1" ht="15.75" customHeight="1">
      <c r="A235" s="423" t="s">
        <v>937</v>
      </c>
      <c r="B235" s="573" t="s">
        <v>548</v>
      </c>
      <c r="C235" s="404"/>
      <c r="D235" s="404"/>
      <c r="E235" s="404"/>
      <c r="F235" s="404"/>
      <c r="G235" s="404"/>
      <c r="H235" s="425">
        <f>SUM(H236:H237)</f>
        <v>100000000</v>
      </c>
    </row>
    <row r="236" spans="1:8" s="566" customFormat="1" ht="15.75" customHeight="1">
      <c r="A236" s="426" t="s">
        <v>877</v>
      </c>
      <c r="B236" s="574"/>
      <c r="C236" s="426">
        <v>799</v>
      </c>
      <c r="D236" s="426">
        <v>280</v>
      </c>
      <c r="E236" s="426">
        <v>292</v>
      </c>
      <c r="F236" s="426">
        <v>6900</v>
      </c>
      <c r="G236" s="426">
        <v>6922</v>
      </c>
      <c r="H236" s="427">
        <v>85000000</v>
      </c>
    </row>
    <row r="237" spans="1:8" s="566" customFormat="1" ht="15.75" customHeight="1">
      <c r="A237" s="426" t="s">
        <v>877</v>
      </c>
      <c r="B237" s="574"/>
      <c r="C237" s="426">
        <v>799</v>
      </c>
      <c r="D237" s="426">
        <v>280</v>
      </c>
      <c r="E237" s="426">
        <v>292</v>
      </c>
      <c r="F237" s="426">
        <v>6900</v>
      </c>
      <c r="G237" s="426">
        <v>6923</v>
      </c>
      <c r="H237" s="427">
        <v>15000000</v>
      </c>
    </row>
    <row r="238" spans="1:8" s="566" customFormat="1" ht="15.75" customHeight="1">
      <c r="A238" s="423" t="s">
        <v>938</v>
      </c>
      <c r="B238" s="573" t="s">
        <v>549</v>
      </c>
      <c r="C238" s="404"/>
      <c r="D238" s="404"/>
      <c r="E238" s="404"/>
      <c r="F238" s="404"/>
      <c r="G238" s="404"/>
      <c r="H238" s="425">
        <f>SUM(H239:H240)</f>
        <v>100000000</v>
      </c>
    </row>
    <row r="239" spans="1:8" s="566" customFormat="1" ht="15.75" customHeight="1">
      <c r="A239" s="426" t="s">
        <v>877</v>
      </c>
      <c r="B239" s="574"/>
      <c r="C239" s="426">
        <v>799</v>
      </c>
      <c r="D239" s="426">
        <v>280</v>
      </c>
      <c r="E239" s="426">
        <v>292</v>
      </c>
      <c r="F239" s="426">
        <v>6900</v>
      </c>
      <c r="G239" s="426">
        <v>6922</v>
      </c>
      <c r="H239" s="427">
        <v>41739000</v>
      </c>
    </row>
    <row r="240" spans="1:8" s="566" customFormat="1" ht="15.75" customHeight="1">
      <c r="A240" s="426" t="s">
        <v>877</v>
      </c>
      <c r="B240" s="574"/>
      <c r="C240" s="426">
        <v>799</v>
      </c>
      <c r="D240" s="426">
        <v>280</v>
      </c>
      <c r="E240" s="426">
        <v>283</v>
      </c>
      <c r="F240" s="426">
        <v>6900</v>
      </c>
      <c r="G240" s="426">
        <v>6923</v>
      </c>
      <c r="H240" s="427">
        <v>58261000</v>
      </c>
    </row>
    <row r="241" spans="1:8" s="566" customFormat="1" ht="15.75" customHeight="1">
      <c r="A241" s="423" t="s">
        <v>939</v>
      </c>
      <c r="B241" s="573" t="s">
        <v>550</v>
      </c>
      <c r="C241" s="404"/>
      <c r="D241" s="404"/>
      <c r="E241" s="404"/>
      <c r="F241" s="404"/>
      <c r="G241" s="404"/>
      <c r="H241" s="425">
        <f>SUM(H242:H242)</f>
        <v>100000000</v>
      </c>
    </row>
    <row r="242" spans="1:8" s="566" customFormat="1" ht="15.75" customHeight="1">
      <c r="A242" s="426" t="s">
        <v>877</v>
      </c>
      <c r="B242" s="574"/>
      <c r="C242" s="426">
        <v>799</v>
      </c>
      <c r="D242" s="426">
        <v>280</v>
      </c>
      <c r="E242" s="426">
        <v>292</v>
      </c>
      <c r="F242" s="426">
        <v>6900</v>
      </c>
      <c r="G242" s="426">
        <v>6922</v>
      </c>
      <c r="H242" s="427">
        <v>100000000</v>
      </c>
    </row>
    <row r="243" spans="1:8" s="566" customFormat="1" ht="15.75" customHeight="1">
      <c r="A243" s="423" t="s">
        <v>940</v>
      </c>
      <c r="B243" s="573" t="s">
        <v>551</v>
      </c>
      <c r="C243" s="404"/>
      <c r="D243" s="404"/>
      <c r="E243" s="404"/>
      <c r="F243" s="404"/>
      <c r="G243" s="404"/>
      <c r="H243" s="425">
        <f>SUM(H244:H244)</f>
        <v>100000000</v>
      </c>
    </row>
    <row r="244" spans="1:8" s="566" customFormat="1" ht="15.75" customHeight="1">
      <c r="A244" s="426" t="s">
        <v>877</v>
      </c>
      <c r="B244" s="574"/>
      <c r="C244" s="426">
        <v>799</v>
      </c>
      <c r="D244" s="426">
        <v>280</v>
      </c>
      <c r="E244" s="426">
        <v>292</v>
      </c>
      <c r="F244" s="426">
        <v>6900</v>
      </c>
      <c r="G244" s="426">
        <v>6922</v>
      </c>
      <c r="H244" s="427">
        <v>100000000</v>
      </c>
    </row>
    <row r="245" spans="1:8" s="566" customFormat="1" ht="15.75" customHeight="1">
      <c r="A245" s="423" t="s">
        <v>941</v>
      </c>
      <c r="B245" s="573" t="s">
        <v>552</v>
      </c>
      <c r="C245" s="404"/>
      <c r="D245" s="404"/>
      <c r="E245" s="404"/>
      <c r="F245" s="404"/>
      <c r="G245" s="404"/>
      <c r="H245" s="425">
        <v>100000000</v>
      </c>
    </row>
    <row r="246" spans="1:8" s="566" customFormat="1" ht="15.75" customHeight="1">
      <c r="A246" s="426" t="s">
        <v>877</v>
      </c>
      <c r="B246" s="574"/>
      <c r="C246" s="426">
        <v>799</v>
      </c>
      <c r="D246" s="426">
        <v>280</v>
      </c>
      <c r="E246" s="426">
        <v>292</v>
      </c>
      <c r="F246" s="426">
        <v>6900</v>
      </c>
      <c r="G246" s="426">
        <v>6922</v>
      </c>
      <c r="H246" s="427">
        <v>100000000</v>
      </c>
    </row>
    <row r="247" spans="1:8" s="566" customFormat="1" ht="15.75" customHeight="1">
      <c r="A247" s="423" t="s">
        <v>942</v>
      </c>
      <c r="B247" s="573" t="s">
        <v>553</v>
      </c>
      <c r="C247" s="404"/>
      <c r="D247" s="404"/>
      <c r="E247" s="404"/>
      <c r="F247" s="404"/>
      <c r="G247" s="404"/>
      <c r="H247" s="425">
        <f>H248</f>
        <v>100000000</v>
      </c>
    </row>
    <row r="248" spans="1:8" s="566" customFormat="1" ht="15.75" customHeight="1">
      <c r="A248" s="426" t="s">
        <v>877</v>
      </c>
      <c r="B248" s="574"/>
      <c r="C248" s="426">
        <v>799</v>
      </c>
      <c r="D248" s="426">
        <v>280</v>
      </c>
      <c r="E248" s="426">
        <v>292</v>
      </c>
      <c r="F248" s="426">
        <v>6900</v>
      </c>
      <c r="G248" s="426">
        <v>6922</v>
      </c>
      <c r="H248" s="427">
        <v>100000000</v>
      </c>
    </row>
    <row r="249" spans="1:8" s="572" customFormat="1" ht="25.5">
      <c r="A249" s="404" t="s">
        <v>541</v>
      </c>
      <c r="B249" s="588" t="s">
        <v>1058</v>
      </c>
      <c r="C249" s="426"/>
      <c r="D249" s="426"/>
      <c r="E249" s="426"/>
      <c r="F249" s="426"/>
      <c r="G249" s="426"/>
      <c r="H249" s="589">
        <f>H250+H253+H255+H257+H260+H262+H264+H268</f>
        <v>91100000</v>
      </c>
    </row>
    <row r="250" spans="1:8" s="549" customFormat="1" ht="12.75">
      <c r="A250" s="590" t="s">
        <v>943</v>
      </c>
      <c r="B250" s="591" t="s">
        <v>945</v>
      </c>
      <c r="C250" s="590"/>
      <c r="D250" s="590"/>
      <c r="E250" s="590"/>
      <c r="F250" s="590"/>
      <c r="G250" s="590"/>
      <c r="H250" s="592">
        <f>SUM(H251:H252)</f>
        <v>12310000</v>
      </c>
    </row>
    <row r="251" spans="1:8" s="549" customFormat="1" ht="12.75">
      <c r="A251" s="593" t="s">
        <v>893</v>
      </c>
      <c r="B251" s="591"/>
      <c r="C251" s="585">
        <v>799</v>
      </c>
      <c r="D251" s="585">
        <v>280</v>
      </c>
      <c r="E251" s="585">
        <v>338</v>
      </c>
      <c r="F251" s="585">
        <v>6650</v>
      </c>
      <c r="G251" s="585">
        <v>6658</v>
      </c>
      <c r="H251" s="594">
        <v>1900000</v>
      </c>
    </row>
    <row r="252" spans="1:8" s="549" customFormat="1" ht="12.75">
      <c r="A252" s="593" t="s">
        <v>893</v>
      </c>
      <c r="B252" s="591"/>
      <c r="C252" s="585">
        <v>799</v>
      </c>
      <c r="D252" s="585">
        <v>280</v>
      </c>
      <c r="E252" s="585">
        <v>338</v>
      </c>
      <c r="F252" s="585">
        <v>6650</v>
      </c>
      <c r="G252" s="585">
        <v>6699</v>
      </c>
      <c r="H252" s="594">
        <v>10410000</v>
      </c>
    </row>
    <row r="253" spans="1:8" s="549" customFormat="1" ht="12.75">
      <c r="A253" s="590" t="s">
        <v>944</v>
      </c>
      <c r="B253" s="591" t="s">
        <v>946</v>
      </c>
      <c r="C253" s="590"/>
      <c r="D253" s="590"/>
      <c r="E253" s="590"/>
      <c r="F253" s="590"/>
      <c r="G253" s="590"/>
      <c r="H253" s="592">
        <f>H254</f>
        <v>9850000</v>
      </c>
    </row>
    <row r="254" spans="1:8" s="549" customFormat="1" ht="12.75">
      <c r="A254" s="593" t="s">
        <v>893</v>
      </c>
      <c r="B254" s="591"/>
      <c r="C254" s="585">
        <v>799</v>
      </c>
      <c r="D254" s="585">
        <v>280</v>
      </c>
      <c r="E254" s="585">
        <v>338</v>
      </c>
      <c r="F254" s="585">
        <v>7100</v>
      </c>
      <c r="G254" s="585">
        <v>7149</v>
      </c>
      <c r="H254" s="594">
        <v>9850000</v>
      </c>
    </row>
    <row r="255" spans="1:8" s="549" customFormat="1" ht="12.75">
      <c r="A255" s="585" t="s">
        <v>1059</v>
      </c>
      <c r="B255" s="591" t="s">
        <v>947</v>
      </c>
      <c r="C255" s="585"/>
      <c r="D255" s="585"/>
      <c r="E255" s="585"/>
      <c r="F255" s="585"/>
      <c r="G255" s="585"/>
      <c r="H255" s="592">
        <f>H256</f>
        <v>13540000</v>
      </c>
    </row>
    <row r="256" spans="1:8" s="549" customFormat="1" ht="12.75">
      <c r="A256" s="593" t="s">
        <v>893</v>
      </c>
      <c r="B256" s="591"/>
      <c r="C256" s="585">
        <v>799</v>
      </c>
      <c r="D256" s="585">
        <v>280</v>
      </c>
      <c r="E256" s="585">
        <v>338</v>
      </c>
      <c r="F256" s="585">
        <v>6650</v>
      </c>
      <c r="G256" s="585">
        <v>6699</v>
      </c>
      <c r="H256" s="594">
        <v>13540000</v>
      </c>
    </row>
    <row r="257" spans="1:8" s="549" customFormat="1" ht="12.75">
      <c r="A257" s="585" t="s">
        <v>1060</v>
      </c>
      <c r="B257" s="591" t="s">
        <v>528</v>
      </c>
      <c r="C257" s="585"/>
      <c r="D257" s="585"/>
      <c r="E257" s="585"/>
      <c r="F257" s="585"/>
      <c r="G257" s="585"/>
      <c r="H257" s="592">
        <f>SUM(H258:H259)</f>
        <v>12310000</v>
      </c>
    </row>
    <row r="258" spans="1:8" s="549" customFormat="1" ht="12.75">
      <c r="A258" s="593" t="s">
        <v>893</v>
      </c>
      <c r="B258" s="591"/>
      <c r="C258" s="585">
        <v>799</v>
      </c>
      <c r="D258" s="585">
        <v>280</v>
      </c>
      <c r="E258" s="585">
        <v>338</v>
      </c>
      <c r="F258" s="585">
        <v>6550</v>
      </c>
      <c r="G258" s="585">
        <v>6551</v>
      </c>
      <c r="H258" s="594">
        <f>5460000+3700000</f>
        <v>9160000</v>
      </c>
    </row>
    <row r="259" spans="1:8" s="549" customFormat="1" ht="12.75">
      <c r="A259" s="593" t="s">
        <v>893</v>
      </c>
      <c r="B259" s="591"/>
      <c r="C259" s="585">
        <v>799</v>
      </c>
      <c r="D259" s="585">
        <v>280</v>
      </c>
      <c r="E259" s="585">
        <v>338</v>
      </c>
      <c r="F259" s="585">
        <v>6650</v>
      </c>
      <c r="G259" s="585">
        <v>6699</v>
      </c>
      <c r="H259" s="594">
        <v>3150000</v>
      </c>
    </row>
    <row r="260" spans="1:8" s="549" customFormat="1" ht="12.75">
      <c r="A260" s="585" t="s">
        <v>1061</v>
      </c>
      <c r="B260" s="591" t="s">
        <v>530</v>
      </c>
      <c r="C260" s="585"/>
      <c r="D260" s="585"/>
      <c r="E260" s="585"/>
      <c r="F260" s="585"/>
      <c r="G260" s="585"/>
      <c r="H260" s="592">
        <f>H261</f>
        <v>11080000</v>
      </c>
    </row>
    <row r="261" spans="1:8" s="549" customFormat="1" ht="12.75">
      <c r="A261" s="593" t="s">
        <v>893</v>
      </c>
      <c r="B261" s="591"/>
      <c r="C261" s="426">
        <v>799</v>
      </c>
      <c r="D261" s="426">
        <v>280</v>
      </c>
      <c r="E261" s="426">
        <v>338</v>
      </c>
      <c r="F261" s="585">
        <v>7750</v>
      </c>
      <c r="G261" s="585">
        <v>7799</v>
      </c>
      <c r="H261" s="594">
        <v>11080000</v>
      </c>
    </row>
    <row r="262" spans="1:8" s="549" customFormat="1" ht="12.75">
      <c r="A262" s="590" t="s">
        <v>1062</v>
      </c>
      <c r="B262" s="591" t="s">
        <v>533</v>
      </c>
      <c r="C262" s="590"/>
      <c r="D262" s="590"/>
      <c r="E262" s="590"/>
      <c r="F262" s="590"/>
      <c r="G262" s="590"/>
      <c r="H262" s="592">
        <f>SUM(H263:H263)</f>
        <v>9850000</v>
      </c>
    </row>
    <row r="263" spans="1:8" s="549" customFormat="1" ht="12.75">
      <c r="A263" s="593" t="s">
        <v>893</v>
      </c>
      <c r="B263" s="591"/>
      <c r="C263" s="426">
        <v>799</v>
      </c>
      <c r="D263" s="426">
        <v>280</v>
      </c>
      <c r="E263" s="426">
        <v>338</v>
      </c>
      <c r="F263" s="585">
        <v>6550</v>
      </c>
      <c r="G263" s="585">
        <v>6551</v>
      </c>
      <c r="H263" s="594">
        <v>9850000</v>
      </c>
    </row>
    <row r="264" spans="1:8" s="549" customFormat="1" ht="12.75">
      <c r="A264" s="590" t="s">
        <v>1063</v>
      </c>
      <c r="B264" s="591" t="s">
        <v>536</v>
      </c>
      <c r="C264" s="590"/>
      <c r="D264" s="590"/>
      <c r="E264" s="590"/>
      <c r="F264" s="590"/>
      <c r="G264" s="590"/>
      <c r="H264" s="592">
        <f>SUM(H265:H267)</f>
        <v>9850000</v>
      </c>
    </row>
    <row r="265" spans="1:8" s="549" customFormat="1" ht="12.75">
      <c r="A265" s="593" t="s">
        <v>893</v>
      </c>
      <c r="B265" s="591"/>
      <c r="C265" s="426">
        <v>799</v>
      </c>
      <c r="D265" s="426">
        <v>280</v>
      </c>
      <c r="E265" s="426">
        <v>338</v>
      </c>
      <c r="F265" s="585">
        <v>6650</v>
      </c>
      <c r="G265" s="585">
        <v>6658</v>
      </c>
      <c r="H265" s="594">
        <v>1600000</v>
      </c>
    </row>
    <row r="266" spans="1:8" s="549" customFormat="1" ht="12.75">
      <c r="A266" s="593" t="s">
        <v>893</v>
      </c>
      <c r="B266" s="591"/>
      <c r="C266" s="426">
        <v>799</v>
      </c>
      <c r="D266" s="426">
        <v>280</v>
      </c>
      <c r="E266" s="426">
        <v>338</v>
      </c>
      <c r="F266" s="585">
        <v>6650</v>
      </c>
      <c r="G266" s="585">
        <v>6699</v>
      </c>
      <c r="H266" s="594">
        <v>2100000</v>
      </c>
    </row>
    <row r="267" spans="1:8" s="549" customFormat="1" ht="12.75">
      <c r="A267" s="593" t="s">
        <v>893</v>
      </c>
      <c r="B267" s="591"/>
      <c r="C267" s="426">
        <v>799</v>
      </c>
      <c r="D267" s="426">
        <v>280</v>
      </c>
      <c r="E267" s="426">
        <v>338</v>
      </c>
      <c r="F267" s="585">
        <v>7000</v>
      </c>
      <c r="G267" s="585">
        <v>7049</v>
      </c>
      <c r="H267" s="594">
        <v>6150000</v>
      </c>
    </row>
    <row r="268" spans="1:8" s="549" customFormat="1" ht="12.75">
      <c r="A268" s="585" t="s">
        <v>1064</v>
      </c>
      <c r="B268" s="591" t="s">
        <v>539</v>
      </c>
      <c r="C268" s="585"/>
      <c r="D268" s="585"/>
      <c r="E268" s="585"/>
      <c r="F268" s="585"/>
      <c r="G268" s="585"/>
      <c r="H268" s="592">
        <f>H269</f>
        <v>12310000</v>
      </c>
    </row>
    <row r="269" spans="1:8" s="549" customFormat="1" ht="12.75">
      <c r="A269" s="593" t="s">
        <v>893</v>
      </c>
      <c r="B269" s="591"/>
      <c r="C269" s="426">
        <v>799</v>
      </c>
      <c r="D269" s="426">
        <v>280</v>
      </c>
      <c r="E269" s="426">
        <v>338</v>
      </c>
      <c r="F269" s="585">
        <v>6650</v>
      </c>
      <c r="G269" s="585">
        <v>6699</v>
      </c>
      <c r="H269" s="594">
        <v>12310000</v>
      </c>
    </row>
    <row r="270" spans="1:8" s="271" customFormat="1" ht="25.5">
      <c r="A270" s="428" t="s">
        <v>569</v>
      </c>
      <c r="B270" s="595" t="s">
        <v>1065</v>
      </c>
      <c r="C270" s="428"/>
      <c r="D270" s="428"/>
      <c r="E270" s="428"/>
      <c r="F270" s="428"/>
      <c r="G270" s="428"/>
      <c r="H270" s="429">
        <f>H271+H273+H276+H278+H281+H284+H289+H292</f>
        <v>659990000</v>
      </c>
    </row>
    <row r="271" spans="1:8" s="549" customFormat="1" ht="12.75">
      <c r="A271" s="590" t="s">
        <v>948</v>
      </c>
      <c r="B271" s="596" t="s">
        <v>546</v>
      </c>
      <c r="C271" s="590"/>
      <c r="D271" s="590"/>
      <c r="E271" s="590"/>
      <c r="F271" s="590"/>
      <c r="G271" s="590"/>
      <c r="H271" s="592">
        <f>H272</f>
        <v>80000000</v>
      </c>
    </row>
    <row r="272" spans="1:8" s="549" customFormat="1" ht="16.5" customHeight="1">
      <c r="A272" s="593" t="s">
        <v>1066</v>
      </c>
      <c r="B272" s="596"/>
      <c r="C272" s="585">
        <v>799</v>
      </c>
      <c r="D272" s="585">
        <v>160</v>
      </c>
      <c r="E272" s="585">
        <v>161</v>
      </c>
      <c r="F272" s="585">
        <v>7100</v>
      </c>
      <c r="G272" s="585">
        <v>7149</v>
      </c>
      <c r="H272" s="594">
        <v>80000000</v>
      </c>
    </row>
    <row r="273" spans="1:8" s="549" customFormat="1" ht="16.5" customHeight="1">
      <c r="A273" s="585" t="s">
        <v>1067</v>
      </c>
      <c r="B273" s="596" t="s">
        <v>547</v>
      </c>
      <c r="C273" s="585"/>
      <c r="D273" s="585"/>
      <c r="E273" s="585"/>
      <c r="F273" s="585"/>
      <c r="G273" s="585"/>
      <c r="H273" s="592">
        <f>SUM(H274:H275)</f>
        <v>70000000</v>
      </c>
    </row>
    <row r="274" spans="1:8" s="549" customFormat="1" ht="16.5" customHeight="1">
      <c r="A274" s="593" t="s">
        <v>1066</v>
      </c>
      <c r="B274" s="596"/>
      <c r="C274" s="585">
        <v>799</v>
      </c>
      <c r="D274" s="585">
        <v>160</v>
      </c>
      <c r="E274" s="585">
        <v>161</v>
      </c>
      <c r="F274" s="585">
        <v>6950</v>
      </c>
      <c r="G274" s="585">
        <v>6954</v>
      </c>
      <c r="H274" s="594">
        <v>20000000</v>
      </c>
    </row>
    <row r="275" spans="1:8" s="549" customFormat="1" ht="16.5" customHeight="1">
      <c r="A275" s="593" t="s">
        <v>1066</v>
      </c>
      <c r="B275" s="596"/>
      <c r="C275" s="585">
        <v>799</v>
      </c>
      <c r="D275" s="585">
        <v>160</v>
      </c>
      <c r="E275" s="585">
        <v>161</v>
      </c>
      <c r="F275" s="426">
        <v>7750</v>
      </c>
      <c r="G275" s="585">
        <v>7799</v>
      </c>
      <c r="H275" s="594">
        <v>50000000</v>
      </c>
    </row>
    <row r="276" spans="1:8" s="549" customFormat="1" ht="16.5" customHeight="1">
      <c r="A276" s="585" t="s">
        <v>1068</v>
      </c>
      <c r="B276" s="596" t="s">
        <v>548</v>
      </c>
      <c r="C276" s="585"/>
      <c r="D276" s="585"/>
      <c r="E276" s="585"/>
      <c r="F276" s="585"/>
      <c r="G276" s="585"/>
      <c r="H276" s="592">
        <f>H277</f>
        <v>90000000</v>
      </c>
    </row>
    <row r="277" spans="1:8" s="549" customFormat="1" ht="16.5" customHeight="1">
      <c r="A277" s="593" t="s">
        <v>1066</v>
      </c>
      <c r="B277" s="596"/>
      <c r="C277" s="585">
        <v>799</v>
      </c>
      <c r="D277" s="585">
        <v>160</v>
      </c>
      <c r="E277" s="585">
        <v>161</v>
      </c>
      <c r="F277" s="585">
        <v>6550</v>
      </c>
      <c r="G277" s="585">
        <v>6552</v>
      </c>
      <c r="H277" s="594">
        <v>90000000</v>
      </c>
    </row>
    <row r="278" spans="1:8" s="549" customFormat="1" ht="16.5" customHeight="1">
      <c r="A278" s="585" t="s">
        <v>1069</v>
      </c>
      <c r="B278" s="596" t="s">
        <v>549</v>
      </c>
      <c r="C278" s="585"/>
      <c r="D278" s="585"/>
      <c r="E278" s="585"/>
      <c r="F278" s="585"/>
      <c r="G278" s="585"/>
      <c r="H278" s="592">
        <f>SUM(H279:H280)</f>
        <v>70000000</v>
      </c>
    </row>
    <row r="279" spans="1:8" s="549" customFormat="1" ht="16.5" customHeight="1">
      <c r="A279" s="593" t="s">
        <v>1066</v>
      </c>
      <c r="B279" s="596"/>
      <c r="C279" s="585">
        <v>799</v>
      </c>
      <c r="D279" s="585">
        <v>160</v>
      </c>
      <c r="E279" s="585">
        <v>161</v>
      </c>
      <c r="F279" s="585">
        <v>6550</v>
      </c>
      <c r="G279" s="585">
        <v>6552</v>
      </c>
      <c r="H279" s="594">
        <v>59000000</v>
      </c>
    </row>
    <row r="280" spans="1:8" s="549" customFormat="1" ht="16.5" customHeight="1">
      <c r="A280" s="593" t="s">
        <v>1066</v>
      </c>
      <c r="B280" s="596"/>
      <c r="C280" s="585">
        <v>799</v>
      </c>
      <c r="D280" s="585">
        <v>160</v>
      </c>
      <c r="E280" s="585">
        <v>161</v>
      </c>
      <c r="F280" s="585">
        <v>6550</v>
      </c>
      <c r="G280" s="585">
        <v>6599</v>
      </c>
      <c r="H280" s="594">
        <v>11000000</v>
      </c>
    </row>
    <row r="281" spans="1:8" s="549" customFormat="1" ht="16.5" customHeight="1">
      <c r="A281" s="585" t="s">
        <v>1070</v>
      </c>
      <c r="B281" s="596" t="s">
        <v>550</v>
      </c>
      <c r="C281" s="585"/>
      <c r="D281" s="585"/>
      <c r="E281" s="585"/>
      <c r="F281" s="585"/>
      <c r="G281" s="585"/>
      <c r="H281" s="592">
        <f>SUM(H282:H283)</f>
        <v>89990000</v>
      </c>
    </row>
    <row r="282" spans="1:8" s="549" customFormat="1" ht="16.5" customHeight="1">
      <c r="A282" s="593" t="s">
        <v>1066</v>
      </c>
      <c r="B282" s="596"/>
      <c r="C282" s="585">
        <v>799</v>
      </c>
      <c r="D282" s="585">
        <v>160</v>
      </c>
      <c r="E282" s="585">
        <v>161</v>
      </c>
      <c r="F282" s="585">
        <v>6550</v>
      </c>
      <c r="G282" s="585">
        <v>6552</v>
      </c>
      <c r="H282" s="594">
        <v>88140000</v>
      </c>
    </row>
    <row r="283" spans="1:8" s="549" customFormat="1" ht="16.5" customHeight="1">
      <c r="A283" s="593" t="s">
        <v>1066</v>
      </c>
      <c r="B283" s="596"/>
      <c r="C283" s="585">
        <v>799</v>
      </c>
      <c r="D283" s="585">
        <v>160</v>
      </c>
      <c r="E283" s="585">
        <v>161</v>
      </c>
      <c r="F283" s="585">
        <v>7000</v>
      </c>
      <c r="G283" s="585">
        <v>7001</v>
      </c>
      <c r="H283" s="594">
        <v>1850000</v>
      </c>
    </row>
    <row r="284" spans="1:8" s="549" customFormat="1" ht="16.5" customHeight="1">
      <c r="A284" s="585" t="s">
        <v>1071</v>
      </c>
      <c r="B284" s="596" t="s">
        <v>551</v>
      </c>
      <c r="C284" s="585"/>
      <c r="D284" s="585"/>
      <c r="E284" s="585"/>
      <c r="F284" s="585"/>
      <c r="G284" s="585"/>
      <c r="H284" s="592">
        <f>SUM(H285:H288)</f>
        <v>100000000</v>
      </c>
    </row>
    <row r="285" spans="1:8" s="549" customFormat="1" ht="16.5" customHeight="1">
      <c r="A285" s="593" t="s">
        <v>1066</v>
      </c>
      <c r="B285" s="596"/>
      <c r="C285" s="585">
        <v>799</v>
      </c>
      <c r="D285" s="585">
        <v>160</v>
      </c>
      <c r="E285" s="585">
        <v>161</v>
      </c>
      <c r="F285" s="585">
        <v>6550</v>
      </c>
      <c r="G285" s="585">
        <v>6552</v>
      </c>
      <c r="H285" s="594">
        <v>64200000</v>
      </c>
    </row>
    <row r="286" spans="1:8" s="549" customFormat="1" ht="16.5" customHeight="1">
      <c r="A286" s="593" t="s">
        <v>1066</v>
      </c>
      <c r="B286" s="596"/>
      <c r="C286" s="585">
        <v>799</v>
      </c>
      <c r="D286" s="585">
        <v>160</v>
      </c>
      <c r="E286" s="585">
        <v>161</v>
      </c>
      <c r="F286" s="585">
        <v>6550</v>
      </c>
      <c r="G286" s="585">
        <v>6559</v>
      </c>
      <c r="H286" s="594">
        <v>32050000</v>
      </c>
    </row>
    <row r="287" spans="1:8" s="549" customFormat="1" ht="16.5" customHeight="1">
      <c r="A287" s="593" t="s">
        <v>1066</v>
      </c>
      <c r="B287" s="596"/>
      <c r="C287" s="585">
        <v>799</v>
      </c>
      <c r="D287" s="585">
        <v>160</v>
      </c>
      <c r="E287" s="585">
        <v>161</v>
      </c>
      <c r="F287" s="585">
        <v>7000</v>
      </c>
      <c r="G287" s="585">
        <v>7001</v>
      </c>
      <c r="H287" s="594">
        <v>3000000</v>
      </c>
    </row>
    <row r="288" spans="1:8" s="549" customFormat="1" ht="16.5" customHeight="1">
      <c r="A288" s="593" t="s">
        <v>1066</v>
      </c>
      <c r="B288" s="596"/>
      <c r="C288" s="585">
        <v>799</v>
      </c>
      <c r="D288" s="585">
        <v>160</v>
      </c>
      <c r="E288" s="585">
        <v>161</v>
      </c>
      <c r="F288" s="585">
        <v>6900</v>
      </c>
      <c r="G288" s="585">
        <v>6921</v>
      </c>
      <c r="H288" s="594">
        <v>750000</v>
      </c>
    </row>
    <row r="289" spans="1:8" s="549" customFormat="1" ht="16.5" customHeight="1">
      <c r="A289" s="590" t="s">
        <v>1072</v>
      </c>
      <c r="B289" s="596" t="s">
        <v>552</v>
      </c>
      <c r="C289" s="590"/>
      <c r="D289" s="590"/>
      <c r="E289" s="590"/>
      <c r="F289" s="590"/>
      <c r="G289" s="590"/>
      <c r="H289" s="592">
        <f>SUM(H290:H291)</f>
        <v>90000000</v>
      </c>
    </row>
    <row r="290" spans="1:8" s="549" customFormat="1" ht="16.5" customHeight="1">
      <c r="A290" s="593" t="s">
        <v>1066</v>
      </c>
      <c r="B290" s="596"/>
      <c r="C290" s="585">
        <v>799</v>
      </c>
      <c r="D290" s="585">
        <v>160</v>
      </c>
      <c r="E290" s="585">
        <v>161</v>
      </c>
      <c r="F290" s="585">
        <v>6950</v>
      </c>
      <c r="G290" s="585">
        <v>6954</v>
      </c>
      <c r="H290" s="594">
        <v>20000000</v>
      </c>
    </row>
    <row r="291" spans="1:8" s="549" customFormat="1" ht="16.5" customHeight="1">
      <c r="A291" s="593" t="s">
        <v>1066</v>
      </c>
      <c r="B291" s="596"/>
      <c r="C291" s="585">
        <v>799</v>
      </c>
      <c r="D291" s="585">
        <v>160</v>
      </c>
      <c r="E291" s="585">
        <v>161</v>
      </c>
      <c r="F291" s="585">
        <v>6950</v>
      </c>
      <c r="G291" s="585">
        <v>6999</v>
      </c>
      <c r="H291" s="594">
        <v>70000000</v>
      </c>
    </row>
    <row r="292" spans="1:8" s="549" customFormat="1" ht="16.5" customHeight="1">
      <c r="A292" s="585" t="s">
        <v>1073</v>
      </c>
      <c r="B292" s="596" t="s">
        <v>553</v>
      </c>
      <c r="C292" s="585"/>
      <c r="D292" s="585"/>
      <c r="E292" s="585"/>
      <c r="F292" s="585"/>
      <c r="G292" s="585"/>
      <c r="H292" s="592">
        <f>H293</f>
        <v>70000000</v>
      </c>
    </row>
    <row r="293" spans="1:8" s="549" customFormat="1" ht="16.5" customHeight="1">
      <c r="A293" s="593" t="s">
        <v>1066</v>
      </c>
      <c r="B293" s="596"/>
      <c r="C293" s="585">
        <v>799</v>
      </c>
      <c r="D293" s="585">
        <v>160</v>
      </c>
      <c r="E293" s="585">
        <v>161</v>
      </c>
      <c r="F293" s="585">
        <v>7100</v>
      </c>
      <c r="G293" s="585">
        <v>7149</v>
      </c>
      <c r="H293" s="594">
        <v>70000000</v>
      </c>
    </row>
    <row r="294" spans="1:8" s="271" customFormat="1" ht="16.5" customHeight="1">
      <c r="A294" s="597" t="s">
        <v>570</v>
      </c>
      <c r="B294" s="598" t="s">
        <v>1074</v>
      </c>
      <c r="C294" s="422"/>
      <c r="D294" s="422"/>
      <c r="E294" s="422"/>
      <c r="F294" s="422"/>
      <c r="G294" s="422"/>
      <c r="H294" s="429">
        <f>H295+H297+H299+H301+H303+H305+H307+H309</f>
        <v>120000000</v>
      </c>
    </row>
    <row r="295" spans="1:8" s="549" customFormat="1" ht="16.5" customHeight="1">
      <c r="A295" s="593" t="s">
        <v>1075</v>
      </c>
      <c r="B295" s="596" t="s">
        <v>546</v>
      </c>
      <c r="C295" s="585"/>
      <c r="D295" s="585"/>
      <c r="E295" s="585"/>
      <c r="F295" s="585"/>
      <c r="G295" s="585"/>
      <c r="H295" s="592">
        <f>H296</f>
        <v>15000000</v>
      </c>
    </row>
    <row r="296" spans="1:8" s="549" customFormat="1" ht="16.5" customHeight="1">
      <c r="A296" s="593" t="s">
        <v>1076</v>
      </c>
      <c r="B296" s="596"/>
      <c r="C296" s="585">
        <v>799</v>
      </c>
      <c r="D296" s="585">
        <v>250</v>
      </c>
      <c r="E296" s="585">
        <v>278</v>
      </c>
      <c r="F296" s="585">
        <v>7100</v>
      </c>
      <c r="G296" s="426">
        <v>7149</v>
      </c>
      <c r="H296" s="594">
        <v>15000000</v>
      </c>
    </row>
    <row r="297" spans="1:8" s="549" customFormat="1" ht="16.5" customHeight="1">
      <c r="A297" s="593" t="s">
        <v>1077</v>
      </c>
      <c r="B297" s="596" t="s">
        <v>547</v>
      </c>
      <c r="C297" s="585"/>
      <c r="D297" s="585"/>
      <c r="E297" s="585"/>
      <c r="F297" s="585"/>
      <c r="G297" s="585"/>
      <c r="H297" s="592">
        <f>H298</f>
        <v>15000000</v>
      </c>
    </row>
    <row r="298" spans="1:8" s="549" customFormat="1" ht="16.5" customHeight="1">
      <c r="A298" s="593" t="s">
        <v>1076</v>
      </c>
      <c r="B298" s="596"/>
      <c r="C298" s="585">
        <v>799</v>
      </c>
      <c r="D298" s="585">
        <v>250</v>
      </c>
      <c r="E298" s="585">
        <v>278</v>
      </c>
      <c r="F298" s="426">
        <v>7750</v>
      </c>
      <c r="G298" s="426">
        <v>7799</v>
      </c>
      <c r="H298" s="594">
        <v>15000000</v>
      </c>
    </row>
    <row r="299" spans="1:8" s="549" customFormat="1" ht="16.5" customHeight="1">
      <c r="A299" s="593" t="s">
        <v>1078</v>
      </c>
      <c r="B299" s="596" t="s">
        <v>548</v>
      </c>
      <c r="C299" s="585"/>
      <c r="D299" s="585"/>
      <c r="E299" s="585"/>
      <c r="F299" s="585"/>
      <c r="G299" s="585"/>
      <c r="H299" s="592">
        <f>H300</f>
        <v>15000000</v>
      </c>
    </row>
    <row r="300" spans="1:8" s="549" customFormat="1" ht="16.5" customHeight="1">
      <c r="A300" s="593" t="s">
        <v>1076</v>
      </c>
      <c r="B300" s="596"/>
      <c r="C300" s="585">
        <v>799</v>
      </c>
      <c r="D300" s="585">
        <v>250</v>
      </c>
      <c r="E300" s="585">
        <v>278</v>
      </c>
      <c r="F300" s="585">
        <v>7100</v>
      </c>
      <c r="G300" s="426">
        <v>7149</v>
      </c>
      <c r="H300" s="594">
        <v>15000000</v>
      </c>
    </row>
    <row r="301" spans="1:8" s="549" customFormat="1" ht="16.5" customHeight="1">
      <c r="A301" s="593" t="s">
        <v>1079</v>
      </c>
      <c r="B301" s="596" t="s">
        <v>549</v>
      </c>
      <c r="C301" s="585"/>
      <c r="D301" s="585"/>
      <c r="E301" s="585"/>
      <c r="F301" s="585"/>
      <c r="G301" s="585"/>
      <c r="H301" s="592">
        <f>H302</f>
        <v>15000000</v>
      </c>
    </row>
    <row r="302" spans="1:8" s="549" customFormat="1" ht="16.5" customHeight="1">
      <c r="A302" s="593" t="s">
        <v>1076</v>
      </c>
      <c r="B302" s="596"/>
      <c r="C302" s="585">
        <v>799</v>
      </c>
      <c r="D302" s="585">
        <v>250</v>
      </c>
      <c r="E302" s="585">
        <v>278</v>
      </c>
      <c r="F302" s="585">
        <v>7100</v>
      </c>
      <c r="G302" s="426">
        <v>7149</v>
      </c>
      <c r="H302" s="594">
        <v>15000000</v>
      </c>
    </row>
    <row r="303" spans="1:8" s="549" customFormat="1" ht="16.5" customHeight="1">
      <c r="A303" s="593" t="s">
        <v>1080</v>
      </c>
      <c r="B303" s="596" t="s">
        <v>550</v>
      </c>
      <c r="C303" s="585"/>
      <c r="D303" s="585"/>
      <c r="E303" s="585"/>
      <c r="F303" s="585"/>
      <c r="G303" s="585"/>
      <c r="H303" s="592">
        <f>H304</f>
        <v>15000000</v>
      </c>
    </row>
    <row r="304" spans="1:8" s="549" customFormat="1" ht="16.5" customHeight="1">
      <c r="A304" s="593" t="s">
        <v>1076</v>
      </c>
      <c r="B304" s="596"/>
      <c r="C304" s="585">
        <v>799</v>
      </c>
      <c r="D304" s="585">
        <v>250</v>
      </c>
      <c r="E304" s="585">
        <v>278</v>
      </c>
      <c r="F304" s="585">
        <v>7100</v>
      </c>
      <c r="G304" s="426">
        <v>7149</v>
      </c>
      <c r="H304" s="594">
        <v>15000000</v>
      </c>
    </row>
    <row r="305" spans="1:8" s="549" customFormat="1" ht="16.5" customHeight="1">
      <c r="A305" s="593" t="s">
        <v>1081</v>
      </c>
      <c r="B305" s="596" t="s">
        <v>551</v>
      </c>
      <c r="C305" s="585"/>
      <c r="D305" s="585"/>
      <c r="E305" s="585"/>
      <c r="F305" s="585"/>
      <c r="G305" s="426"/>
      <c r="H305" s="592">
        <f>H306</f>
        <v>15000000</v>
      </c>
    </row>
    <row r="306" spans="1:8" s="549" customFormat="1" ht="16.5" customHeight="1">
      <c r="A306" s="593" t="s">
        <v>1076</v>
      </c>
      <c r="B306" s="596"/>
      <c r="C306" s="585">
        <v>799</v>
      </c>
      <c r="D306" s="585">
        <v>250</v>
      </c>
      <c r="E306" s="585">
        <v>278</v>
      </c>
      <c r="F306" s="585">
        <v>7100</v>
      </c>
      <c r="G306" s="426">
        <v>7149</v>
      </c>
      <c r="H306" s="594">
        <v>15000000</v>
      </c>
    </row>
    <row r="307" spans="1:8" s="549" customFormat="1" ht="16.5" customHeight="1">
      <c r="A307" s="593" t="s">
        <v>1082</v>
      </c>
      <c r="B307" s="596" t="s">
        <v>552</v>
      </c>
      <c r="C307" s="585"/>
      <c r="D307" s="585"/>
      <c r="E307" s="585"/>
      <c r="F307" s="585"/>
      <c r="G307" s="585"/>
      <c r="H307" s="592">
        <f>H308</f>
        <v>15000000</v>
      </c>
    </row>
    <row r="308" spans="1:8" s="549" customFormat="1" ht="16.5" customHeight="1">
      <c r="A308" s="593" t="s">
        <v>1076</v>
      </c>
      <c r="B308" s="596"/>
      <c r="C308" s="585">
        <v>799</v>
      </c>
      <c r="D308" s="585">
        <v>250</v>
      </c>
      <c r="E308" s="585">
        <v>278</v>
      </c>
      <c r="F308" s="585">
        <v>7100</v>
      </c>
      <c r="G308" s="426">
        <v>7149</v>
      </c>
      <c r="H308" s="594">
        <v>15000000</v>
      </c>
    </row>
    <row r="309" spans="1:8" s="549" customFormat="1" ht="16.5" customHeight="1">
      <c r="A309" s="593" t="s">
        <v>1083</v>
      </c>
      <c r="B309" s="596" t="s">
        <v>553</v>
      </c>
      <c r="C309" s="585"/>
      <c r="D309" s="585"/>
      <c r="E309" s="585"/>
      <c r="F309" s="585"/>
      <c r="G309" s="585"/>
      <c r="H309" s="592">
        <f>H310</f>
        <v>15000000</v>
      </c>
    </row>
    <row r="310" spans="1:8" s="549" customFormat="1" ht="16.5" customHeight="1">
      <c r="A310" s="593" t="s">
        <v>1076</v>
      </c>
      <c r="B310" s="596"/>
      <c r="C310" s="585">
        <v>799</v>
      </c>
      <c r="D310" s="585">
        <v>250</v>
      </c>
      <c r="E310" s="585">
        <v>278</v>
      </c>
      <c r="F310" s="585">
        <v>7100</v>
      </c>
      <c r="G310" s="426">
        <v>7149</v>
      </c>
      <c r="H310" s="594">
        <v>15000000</v>
      </c>
    </row>
    <row r="311" spans="1:8" s="549" customFormat="1" ht="24" customHeight="1">
      <c r="A311" s="404" t="s">
        <v>888</v>
      </c>
      <c r="B311" s="599" t="s">
        <v>1084</v>
      </c>
      <c r="C311" s="404"/>
      <c r="D311" s="404"/>
      <c r="E311" s="404"/>
      <c r="F311" s="404"/>
      <c r="G311" s="404"/>
      <c r="H311" s="420">
        <f>H312+H314</f>
        <v>300000000</v>
      </c>
    </row>
    <row r="312" spans="1:8" s="566" customFormat="1" ht="15.75" customHeight="1">
      <c r="A312" s="423" t="s">
        <v>1085</v>
      </c>
      <c r="B312" s="424" t="s">
        <v>554</v>
      </c>
      <c r="C312" s="423"/>
      <c r="D312" s="426"/>
      <c r="E312" s="426"/>
      <c r="F312" s="423"/>
      <c r="G312" s="426"/>
      <c r="H312" s="425">
        <f>SUM(H313:H313)</f>
        <v>290000000</v>
      </c>
    </row>
    <row r="313" spans="1:8" s="572" customFormat="1" ht="15.75" customHeight="1">
      <c r="A313" s="426" t="s">
        <v>893</v>
      </c>
      <c r="B313" s="564"/>
      <c r="C313" s="426">
        <v>612</v>
      </c>
      <c r="D313" s="426">
        <v>160</v>
      </c>
      <c r="E313" s="426">
        <v>171</v>
      </c>
      <c r="F313" s="426">
        <v>6600</v>
      </c>
      <c r="G313" s="426">
        <v>6606</v>
      </c>
      <c r="H313" s="427">
        <v>290000000</v>
      </c>
    </row>
    <row r="314" spans="1:8" ht="15.75" customHeight="1">
      <c r="A314" s="423" t="s">
        <v>1086</v>
      </c>
      <c r="B314" s="424" t="s">
        <v>583</v>
      </c>
      <c r="C314" s="423"/>
      <c r="D314" s="423"/>
      <c r="E314" s="423"/>
      <c r="F314" s="423"/>
      <c r="G314" s="423"/>
      <c r="H314" s="425">
        <f>SUM(H315:H317)</f>
        <v>10000000</v>
      </c>
    </row>
    <row r="315" spans="1:8" s="566" customFormat="1" ht="15.75" customHeight="1">
      <c r="A315" s="563" t="s">
        <v>566</v>
      </c>
      <c r="B315" s="424"/>
      <c r="C315" s="423">
        <v>624</v>
      </c>
      <c r="D315" s="563" t="s">
        <v>878</v>
      </c>
      <c r="E315" s="563" t="s">
        <v>895</v>
      </c>
      <c r="F315" s="423">
        <v>6500</v>
      </c>
      <c r="G315" s="426">
        <v>6505</v>
      </c>
      <c r="H315" s="427">
        <v>1560000</v>
      </c>
    </row>
    <row r="316" spans="1:8" s="566" customFormat="1" ht="15.75" customHeight="1">
      <c r="A316" s="563" t="s">
        <v>566</v>
      </c>
      <c r="B316" s="424"/>
      <c r="C316" s="423">
        <v>624</v>
      </c>
      <c r="D316" s="563" t="s">
        <v>878</v>
      </c>
      <c r="E316" s="563" t="s">
        <v>895</v>
      </c>
      <c r="F316" s="423">
        <v>6650</v>
      </c>
      <c r="G316" s="426">
        <v>6652</v>
      </c>
      <c r="H316" s="427">
        <v>1200000</v>
      </c>
    </row>
    <row r="317" spans="1:8" s="566" customFormat="1" ht="15.75" customHeight="1">
      <c r="A317" s="563" t="s">
        <v>566</v>
      </c>
      <c r="B317" s="424"/>
      <c r="C317" s="423">
        <v>624</v>
      </c>
      <c r="D317" s="563" t="s">
        <v>878</v>
      </c>
      <c r="E317" s="563" t="s">
        <v>895</v>
      </c>
      <c r="F317" s="423">
        <v>6650</v>
      </c>
      <c r="G317" s="426">
        <v>6699</v>
      </c>
      <c r="H317" s="427">
        <v>7240000</v>
      </c>
    </row>
    <row r="318" spans="1:8" s="549" customFormat="1" ht="36.75" customHeight="1">
      <c r="A318" s="586" t="s">
        <v>952</v>
      </c>
      <c r="B318" s="600" t="s">
        <v>1087</v>
      </c>
      <c r="C318" s="404"/>
      <c r="D318" s="586"/>
      <c r="E318" s="586"/>
      <c r="F318" s="404"/>
      <c r="G318" s="404"/>
      <c r="H318" s="420">
        <f>SUM(H319:H320)</f>
        <v>400000000</v>
      </c>
    </row>
    <row r="319" spans="1:8" s="566" customFormat="1" ht="15.75" customHeight="1">
      <c r="A319" s="563" t="s">
        <v>896</v>
      </c>
      <c r="B319" s="564"/>
      <c r="C319" s="426">
        <v>612</v>
      </c>
      <c r="D319" s="563">
        <v>280</v>
      </c>
      <c r="E319" s="563">
        <v>338</v>
      </c>
      <c r="F319" s="426">
        <v>7100</v>
      </c>
      <c r="G319" s="426">
        <v>7149</v>
      </c>
      <c r="H319" s="427">
        <v>356152000</v>
      </c>
    </row>
    <row r="320" spans="1:8" s="566" customFormat="1" ht="15.75" customHeight="1">
      <c r="A320" s="563" t="s">
        <v>1076</v>
      </c>
      <c r="B320" s="564"/>
      <c r="C320" s="426">
        <v>612</v>
      </c>
      <c r="D320" s="563">
        <v>250</v>
      </c>
      <c r="E320" s="563">
        <v>278</v>
      </c>
      <c r="F320" s="426">
        <v>7000</v>
      </c>
      <c r="G320" s="426">
        <v>7049</v>
      </c>
      <c r="H320" s="427">
        <v>43848000</v>
      </c>
    </row>
    <row r="321" spans="1:8" s="549" customFormat="1" ht="15.75" customHeight="1">
      <c r="A321" s="586" t="s">
        <v>1088</v>
      </c>
      <c r="B321" s="601" t="s">
        <v>1089</v>
      </c>
      <c r="C321" s="404"/>
      <c r="D321" s="586"/>
      <c r="E321" s="586"/>
      <c r="F321" s="404"/>
      <c r="G321" s="404"/>
      <c r="H321" s="420">
        <f>H322</f>
        <v>294900000</v>
      </c>
    </row>
    <row r="322" spans="1:8" s="566" customFormat="1" ht="15.75" customHeight="1">
      <c r="A322" s="563" t="s">
        <v>1090</v>
      </c>
      <c r="B322" s="424" t="s">
        <v>553</v>
      </c>
      <c r="C322" s="423"/>
      <c r="D322" s="563"/>
      <c r="E322" s="563"/>
      <c r="F322" s="423"/>
      <c r="G322" s="426"/>
      <c r="H322" s="427">
        <f>H323</f>
        <v>294900000</v>
      </c>
    </row>
    <row r="323" spans="1:8" s="566" customFormat="1" ht="15.75" customHeight="1">
      <c r="A323" s="563" t="s">
        <v>1091</v>
      </c>
      <c r="B323" s="424"/>
      <c r="C323" s="423"/>
      <c r="D323" s="563"/>
      <c r="E323" s="563"/>
      <c r="F323" s="423"/>
      <c r="G323" s="426"/>
      <c r="H323" s="427">
        <v>294900000</v>
      </c>
    </row>
    <row r="324" spans="1:8" s="572" customFormat="1" ht="18.75" customHeight="1">
      <c r="A324" s="404" t="s">
        <v>298</v>
      </c>
      <c r="B324" s="403" t="s">
        <v>567</v>
      </c>
      <c r="C324" s="404"/>
      <c r="D324" s="404"/>
      <c r="E324" s="404"/>
      <c r="F324" s="404"/>
      <c r="G324" s="404"/>
      <c r="H324" s="405">
        <f>H325+H391</f>
        <v>7044500264</v>
      </c>
    </row>
    <row r="325" spans="1:11" s="271" customFormat="1" ht="18.75" customHeight="1">
      <c r="A325" s="406" t="s">
        <v>308</v>
      </c>
      <c r="B325" s="390" t="s">
        <v>527</v>
      </c>
      <c r="C325" s="406"/>
      <c r="D325" s="406"/>
      <c r="E325" s="406"/>
      <c r="F325" s="406"/>
      <c r="G325" s="406"/>
      <c r="H325" s="430">
        <f>H326+H342+H354+H367+H372+H377+H384</f>
        <v>4971197000</v>
      </c>
      <c r="J325" s="271">
        <f>4971.197*1000000</f>
        <v>4971197000</v>
      </c>
      <c r="K325" s="552">
        <f>H325-J325</f>
        <v>0</v>
      </c>
    </row>
    <row r="326" spans="1:8" s="602" customFormat="1" ht="18.75" customHeight="1">
      <c r="A326" s="406">
        <v>1</v>
      </c>
      <c r="B326" s="431" t="s">
        <v>530</v>
      </c>
      <c r="C326" s="406"/>
      <c r="D326" s="406"/>
      <c r="E326" s="406"/>
      <c r="F326" s="406"/>
      <c r="G326" s="406"/>
      <c r="H326" s="432">
        <f>H327+H329+H331+H335+H339</f>
        <v>979356000</v>
      </c>
    </row>
    <row r="327" spans="1:8" s="271" customFormat="1" ht="25.5">
      <c r="A327" s="409" t="s">
        <v>367</v>
      </c>
      <c r="B327" s="603" t="s">
        <v>949</v>
      </c>
      <c r="C327" s="406"/>
      <c r="D327" s="406"/>
      <c r="E327" s="406"/>
      <c r="F327" s="406"/>
      <c r="G327" s="406"/>
      <c r="H327" s="388">
        <f>SUM(H328:H328)</f>
        <v>2403000</v>
      </c>
    </row>
    <row r="328" spans="1:8" s="271" customFormat="1" ht="12.75">
      <c r="A328" s="410" t="s">
        <v>897</v>
      </c>
      <c r="B328" s="433"/>
      <c r="C328" s="410">
        <v>799</v>
      </c>
      <c r="D328" s="410">
        <v>280</v>
      </c>
      <c r="E328" s="410">
        <v>292</v>
      </c>
      <c r="F328" s="410">
        <v>9400</v>
      </c>
      <c r="G328" s="410">
        <v>9449</v>
      </c>
      <c r="H328" s="434">
        <v>2403000</v>
      </c>
    </row>
    <row r="329" spans="1:8" s="602" customFormat="1" ht="18" customHeight="1">
      <c r="A329" s="409" t="s">
        <v>369</v>
      </c>
      <c r="B329" s="554" t="s">
        <v>1092</v>
      </c>
      <c r="C329" s="406"/>
      <c r="D329" s="406"/>
      <c r="E329" s="406"/>
      <c r="F329" s="406"/>
      <c r="G329" s="406"/>
      <c r="H329" s="388">
        <f>SUM(H330:H330)</f>
        <v>91000000</v>
      </c>
    </row>
    <row r="330" spans="1:8" s="271" customFormat="1" ht="12.75">
      <c r="A330" s="410" t="s">
        <v>897</v>
      </c>
      <c r="B330" s="433"/>
      <c r="C330" s="410">
        <v>799</v>
      </c>
      <c r="D330" s="410">
        <v>160</v>
      </c>
      <c r="E330" s="410">
        <v>161</v>
      </c>
      <c r="F330" s="410">
        <v>9300</v>
      </c>
      <c r="G330" s="410">
        <v>9301</v>
      </c>
      <c r="H330" s="434">
        <v>91000000</v>
      </c>
    </row>
    <row r="331" spans="1:8" s="602" customFormat="1" ht="13.5">
      <c r="A331" s="409" t="s">
        <v>371</v>
      </c>
      <c r="B331" s="554" t="s">
        <v>1093</v>
      </c>
      <c r="C331" s="406"/>
      <c r="D331" s="406"/>
      <c r="E331" s="406"/>
      <c r="F331" s="406"/>
      <c r="G331" s="406"/>
      <c r="H331" s="435">
        <f>SUM(H332:H334)</f>
        <v>296462000</v>
      </c>
    </row>
    <row r="332" spans="1:8" s="271" customFormat="1" ht="12.75">
      <c r="A332" s="410" t="s">
        <v>897</v>
      </c>
      <c r="B332" s="433"/>
      <c r="C332" s="410">
        <v>799</v>
      </c>
      <c r="D332" s="410">
        <v>280</v>
      </c>
      <c r="E332" s="410">
        <v>283</v>
      </c>
      <c r="F332" s="410">
        <v>9300</v>
      </c>
      <c r="G332" s="410">
        <v>9301</v>
      </c>
      <c r="H332" s="434">
        <v>293262000</v>
      </c>
    </row>
    <row r="333" spans="1:8" s="271" customFormat="1" ht="12.75">
      <c r="A333" s="410" t="s">
        <v>897</v>
      </c>
      <c r="B333" s="604"/>
      <c r="C333" s="410">
        <v>799</v>
      </c>
      <c r="D333" s="410">
        <v>280</v>
      </c>
      <c r="E333" s="410">
        <v>283</v>
      </c>
      <c r="F333" s="410">
        <v>9400</v>
      </c>
      <c r="G333" s="410">
        <v>9401</v>
      </c>
      <c r="H333" s="434">
        <v>960000</v>
      </c>
    </row>
    <row r="334" spans="1:8" s="271" customFormat="1" ht="12.75">
      <c r="A334" s="410" t="s">
        <v>897</v>
      </c>
      <c r="B334" s="604"/>
      <c r="C334" s="410">
        <v>799</v>
      </c>
      <c r="D334" s="410">
        <v>280</v>
      </c>
      <c r="E334" s="410">
        <v>283</v>
      </c>
      <c r="F334" s="410">
        <v>9400</v>
      </c>
      <c r="G334" s="410">
        <v>9449</v>
      </c>
      <c r="H334" s="434">
        <v>2240000</v>
      </c>
    </row>
    <row r="335" spans="1:8" s="602" customFormat="1" ht="25.5">
      <c r="A335" s="409" t="s">
        <v>373</v>
      </c>
      <c r="B335" s="554" t="s">
        <v>1094</v>
      </c>
      <c r="C335" s="410"/>
      <c r="D335" s="410"/>
      <c r="E335" s="410"/>
      <c r="F335" s="410"/>
      <c r="G335" s="410"/>
      <c r="H335" s="388">
        <f>SUM(H336:H338)</f>
        <v>385000000</v>
      </c>
    </row>
    <row r="336" spans="1:8" s="271" customFormat="1" ht="12.75">
      <c r="A336" s="410" t="s">
        <v>897</v>
      </c>
      <c r="B336" s="433"/>
      <c r="C336" s="410">
        <v>799</v>
      </c>
      <c r="D336" s="410">
        <v>280</v>
      </c>
      <c r="E336" s="410">
        <v>292</v>
      </c>
      <c r="F336" s="410">
        <v>9300</v>
      </c>
      <c r="G336" s="410">
        <v>9301</v>
      </c>
      <c r="H336" s="434">
        <v>381070000</v>
      </c>
    </row>
    <row r="337" spans="1:8" s="271" customFormat="1" ht="12.75">
      <c r="A337" s="410" t="s">
        <v>897</v>
      </c>
      <c r="B337" s="433"/>
      <c r="C337" s="410">
        <v>799</v>
      </c>
      <c r="D337" s="410">
        <v>280</v>
      </c>
      <c r="E337" s="410">
        <v>292</v>
      </c>
      <c r="F337" s="410">
        <v>9400</v>
      </c>
      <c r="G337" s="410">
        <v>9401</v>
      </c>
      <c r="H337" s="434">
        <v>1137000</v>
      </c>
    </row>
    <row r="338" spans="1:8" s="271" customFormat="1" ht="12.75">
      <c r="A338" s="410" t="s">
        <v>897</v>
      </c>
      <c r="B338" s="433"/>
      <c r="C338" s="410">
        <v>799</v>
      </c>
      <c r="D338" s="410">
        <v>280</v>
      </c>
      <c r="E338" s="410">
        <v>292</v>
      </c>
      <c r="F338" s="410">
        <v>9400</v>
      </c>
      <c r="G338" s="410">
        <v>9449</v>
      </c>
      <c r="H338" s="434">
        <v>2793000</v>
      </c>
    </row>
    <row r="339" spans="1:8" s="602" customFormat="1" ht="25.5">
      <c r="A339" s="409" t="s">
        <v>375</v>
      </c>
      <c r="B339" s="554" t="s">
        <v>1095</v>
      </c>
      <c r="C339" s="410"/>
      <c r="D339" s="410"/>
      <c r="E339" s="410"/>
      <c r="F339" s="410"/>
      <c r="G339" s="410"/>
      <c r="H339" s="388">
        <f>SUM(H340:H341)</f>
        <v>204491000</v>
      </c>
    </row>
    <row r="340" spans="1:8" s="271" customFormat="1" ht="12.75">
      <c r="A340" s="410" t="s">
        <v>897</v>
      </c>
      <c r="B340" s="433"/>
      <c r="C340" s="410">
        <v>799</v>
      </c>
      <c r="D340" s="410">
        <v>280</v>
      </c>
      <c r="E340" s="410">
        <v>292</v>
      </c>
      <c r="F340" s="410">
        <v>9300</v>
      </c>
      <c r="G340" s="410">
        <v>9301</v>
      </c>
      <c r="H340" s="434">
        <v>203301000</v>
      </c>
    </row>
    <row r="341" spans="1:8" s="271" customFormat="1" ht="12.75">
      <c r="A341" s="410" t="s">
        <v>897</v>
      </c>
      <c r="B341" s="433"/>
      <c r="C341" s="410">
        <v>799</v>
      </c>
      <c r="D341" s="410">
        <v>280</v>
      </c>
      <c r="E341" s="410">
        <v>292</v>
      </c>
      <c r="F341" s="410">
        <v>9400</v>
      </c>
      <c r="G341" s="410">
        <v>9401</v>
      </c>
      <c r="H341" s="434">
        <v>1190000</v>
      </c>
    </row>
    <row r="342" spans="1:8" s="271" customFormat="1" ht="12.75">
      <c r="A342" s="406">
        <v>2</v>
      </c>
      <c r="B342" s="431" t="s">
        <v>536</v>
      </c>
      <c r="C342" s="406"/>
      <c r="D342" s="406"/>
      <c r="E342" s="406"/>
      <c r="F342" s="406"/>
      <c r="G342" s="406"/>
      <c r="H342" s="432">
        <f>H343+H345+H348+H351</f>
        <v>980354000</v>
      </c>
    </row>
    <row r="343" spans="1:8" s="271" customFormat="1" ht="12.75">
      <c r="A343" s="409" t="s">
        <v>402</v>
      </c>
      <c r="B343" s="559" t="s">
        <v>950</v>
      </c>
      <c r="C343" s="406"/>
      <c r="D343" s="406"/>
      <c r="E343" s="406"/>
      <c r="F343" s="406"/>
      <c r="G343" s="406"/>
      <c r="H343" s="388">
        <f>SUM(H344:H344)</f>
        <v>1354000</v>
      </c>
    </row>
    <row r="344" spans="1:8" s="271" customFormat="1" ht="12.75">
      <c r="A344" s="410" t="s">
        <v>897</v>
      </c>
      <c r="B344" s="436"/>
      <c r="C344" s="410">
        <v>799</v>
      </c>
      <c r="D344" s="410">
        <v>280</v>
      </c>
      <c r="E344" s="410">
        <v>283</v>
      </c>
      <c r="F344" s="410">
        <v>9400</v>
      </c>
      <c r="G344" s="410">
        <v>9449</v>
      </c>
      <c r="H344" s="389">
        <v>1354000</v>
      </c>
    </row>
    <row r="345" spans="1:10" s="271" customFormat="1" ht="25.5">
      <c r="A345" s="409" t="s">
        <v>404</v>
      </c>
      <c r="B345" s="559" t="s">
        <v>1096</v>
      </c>
      <c r="C345" s="410"/>
      <c r="D345" s="410"/>
      <c r="E345" s="410"/>
      <c r="F345" s="410"/>
      <c r="G345" s="410"/>
      <c r="H345" s="388">
        <f>SUM(H346:H347)</f>
        <v>179000000</v>
      </c>
      <c r="J345" s="605"/>
    </row>
    <row r="346" spans="1:8" s="271" customFormat="1" ht="12.75">
      <c r="A346" s="410" t="s">
        <v>897</v>
      </c>
      <c r="B346" s="433"/>
      <c r="C346" s="410">
        <v>799</v>
      </c>
      <c r="D346" s="410" t="s">
        <v>878</v>
      </c>
      <c r="E346" s="410" t="s">
        <v>884</v>
      </c>
      <c r="F346" s="410">
        <v>9300</v>
      </c>
      <c r="G346" s="410">
        <v>9301</v>
      </c>
      <c r="H346" s="389">
        <v>169059000</v>
      </c>
    </row>
    <row r="347" spans="1:8" s="271" customFormat="1" ht="12.75">
      <c r="A347" s="410" t="s">
        <v>897</v>
      </c>
      <c r="B347" s="433"/>
      <c r="C347" s="410">
        <v>799</v>
      </c>
      <c r="D347" s="410" t="s">
        <v>878</v>
      </c>
      <c r="E347" s="410" t="s">
        <v>884</v>
      </c>
      <c r="F347" s="410">
        <v>9400</v>
      </c>
      <c r="G347" s="410">
        <v>9402</v>
      </c>
      <c r="H347" s="389">
        <v>9941000</v>
      </c>
    </row>
    <row r="348" spans="1:8" s="271" customFormat="1" ht="25.5">
      <c r="A348" s="409" t="s">
        <v>469</v>
      </c>
      <c r="B348" s="559" t="s">
        <v>1097</v>
      </c>
      <c r="C348" s="406"/>
      <c r="D348" s="406"/>
      <c r="E348" s="406"/>
      <c r="F348" s="406"/>
      <c r="G348" s="406"/>
      <c r="H348" s="388">
        <f>SUM(H349:H350)</f>
        <v>400000000</v>
      </c>
    </row>
    <row r="349" spans="1:8" s="271" customFormat="1" ht="12.75">
      <c r="A349" s="410" t="s">
        <v>897</v>
      </c>
      <c r="B349" s="436"/>
      <c r="C349" s="410">
        <v>799</v>
      </c>
      <c r="D349" s="410" t="s">
        <v>878</v>
      </c>
      <c r="E349" s="414" t="s">
        <v>879</v>
      </c>
      <c r="F349" s="410">
        <v>9300</v>
      </c>
      <c r="G349" s="410">
        <v>9301</v>
      </c>
      <c r="H349" s="389">
        <v>381019000</v>
      </c>
    </row>
    <row r="350" spans="1:8" s="271" customFormat="1" ht="12.75">
      <c r="A350" s="410" t="s">
        <v>897</v>
      </c>
      <c r="B350" s="436"/>
      <c r="C350" s="410">
        <v>799</v>
      </c>
      <c r="D350" s="410" t="s">
        <v>878</v>
      </c>
      <c r="E350" s="414" t="s">
        <v>879</v>
      </c>
      <c r="F350" s="410">
        <v>9400</v>
      </c>
      <c r="G350" s="410">
        <v>9402</v>
      </c>
      <c r="H350" s="389">
        <v>18981000</v>
      </c>
    </row>
    <row r="351" spans="1:8" s="271" customFormat="1" ht="25.5">
      <c r="A351" s="409" t="s">
        <v>470</v>
      </c>
      <c r="B351" s="559" t="s">
        <v>1098</v>
      </c>
      <c r="C351" s="410"/>
      <c r="D351" s="410"/>
      <c r="E351" s="410"/>
      <c r="F351" s="410"/>
      <c r="G351" s="410"/>
      <c r="H351" s="388">
        <f>SUM(H352:H353)</f>
        <v>400000000</v>
      </c>
    </row>
    <row r="352" spans="1:8" s="271" customFormat="1" ht="12.75">
      <c r="A352" s="410" t="s">
        <v>897</v>
      </c>
      <c r="B352" s="436"/>
      <c r="C352" s="410">
        <v>799</v>
      </c>
      <c r="D352" s="410" t="s">
        <v>878</v>
      </c>
      <c r="E352" s="414" t="s">
        <v>880</v>
      </c>
      <c r="F352" s="410">
        <v>9300</v>
      </c>
      <c r="G352" s="410">
        <v>9301</v>
      </c>
      <c r="H352" s="389">
        <v>376017000</v>
      </c>
    </row>
    <row r="353" spans="1:8" s="271" customFormat="1" ht="12.75">
      <c r="A353" s="410" t="s">
        <v>897</v>
      </c>
      <c r="B353" s="436"/>
      <c r="C353" s="410">
        <v>799</v>
      </c>
      <c r="D353" s="410" t="s">
        <v>878</v>
      </c>
      <c r="E353" s="414" t="s">
        <v>880</v>
      </c>
      <c r="F353" s="410">
        <v>9400</v>
      </c>
      <c r="G353" s="410">
        <v>9402</v>
      </c>
      <c r="H353" s="389">
        <v>23983000</v>
      </c>
    </row>
    <row r="354" spans="1:8" s="606" customFormat="1" ht="12.75">
      <c r="A354" s="406">
        <v>3</v>
      </c>
      <c r="B354" s="431" t="s">
        <v>539</v>
      </c>
      <c r="C354" s="406"/>
      <c r="D354" s="406"/>
      <c r="E354" s="406"/>
      <c r="F354" s="406"/>
      <c r="G354" s="406"/>
      <c r="H354" s="432">
        <f>H355+H357+H360+H362+H364</f>
        <v>983974000</v>
      </c>
    </row>
    <row r="355" spans="1:8" s="606" customFormat="1" ht="12.75">
      <c r="A355" s="409" t="s">
        <v>531</v>
      </c>
      <c r="B355" s="559" t="s">
        <v>951</v>
      </c>
      <c r="C355" s="406"/>
      <c r="D355" s="406"/>
      <c r="E355" s="406"/>
      <c r="F355" s="406"/>
      <c r="G355" s="406"/>
      <c r="H355" s="388">
        <f>SUM(H356:H356)</f>
        <v>4974000</v>
      </c>
    </row>
    <row r="356" spans="1:8" s="606" customFormat="1" ht="12.75">
      <c r="A356" s="410" t="s">
        <v>897</v>
      </c>
      <c r="B356" s="391"/>
      <c r="C356" s="410">
        <v>799</v>
      </c>
      <c r="D356" s="410">
        <v>160</v>
      </c>
      <c r="E356" s="410">
        <v>161</v>
      </c>
      <c r="F356" s="410">
        <v>9400</v>
      </c>
      <c r="G356" s="410">
        <v>9449</v>
      </c>
      <c r="H356" s="389">
        <v>4974000</v>
      </c>
    </row>
    <row r="357" spans="1:8" s="606" customFormat="1" ht="12.75">
      <c r="A357" s="409" t="s">
        <v>532</v>
      </c>
      <c r="B357" s="559" t="s">
        <v>1099</v>
      </c>
      <c r="C357" s="410"/>
      <c r="D357" s="410"/>
      <c r="E357" s="410"/>
      <c r="F357" s="410"/>
      <c r="G357" s="410"/>
      <c r="H357" s="388">
        <f>SUM(H358:H359)</f>
        <v>309000000</v>
      </c>
    </row>
    <row r="358" spans="1:8" s="606" customFormat="1" ht="12.75">
      <c r="A358" s="410" t="s">
        <v>897</v>
      </c>
      <c r="B358" s="391"/>
      <c r="C358" s="410">
        <v>799</v>
      </c>
      <c r="D358" s="410" t="s">
        <v>878</v>
      </c>
      <c r="E358" s="414" t="s">
        <v>879</v>
      </c>
      <c r="F358" s="410">
        <v>9300</v>
      </c>
      <c r="G358" s="410">
        <v>9301</v>
      </c>
      <c r="H358" s="389">
        <v>290527000</v>
      </c>
    </row>
    <row r="359" spans="1:8" s="606" customFormat="1" ht="12.75">
      <c r="A359" s="410" t="s">
        <v>897</v>
      </c>
      <c r="B359" s="436"/>
      <c r="C359" s="410">
        <v>799</v>
      </c>
      <c r="D359" s="410" t="s">
        <v>878</v>
      </c>
      <c r="E359" s="414" t="s">
        <v>879</v>
      </c>
      <c r="F359" s="410">
        <v>9400</v>
      </c>
      <c r="G359" s="410">
        <v>9402</v>
      </c>
      <c r="H359" s="389">
        <v>18473000</v>
      </c>
    </row>
    <row r="360" spans="1:8" s="271" customFormat="1" ht="12.75">
      <c r="A360" s="409" t="s">
        <v>555</v>
      </c>
      <c r="B360" s="559" t="s">
        <v>1100</v>
      </c>
      <c r="C360" s="406"/>
      <c r="D360" s="406"/>
      <c r="E360" s="406"/>
      <c r="F360" s="406"/>
      <c r="G360" s="406"/>
      <c r="H360" s="388">
        <f>SUM(H361:H361)</f>
        <v>250000000</v>
      </c>
    </row>
    <row r="361" spans="1:8" s="271" customFormat="1" ht="12.75">
      <c r="A361" s="410" t="s">
        <v>897</v>
      </c>
      <c r="B361" s="436"/>
      <c r="C361" s="410">
        <v>799</v>
      </c>
      <c r="D361" s="410">
        <v>280</v>
      </c>
      <c r="E361" s="410">
        <v>292</v>
      </c>
      <c r="F361" s="410">
        <v>9300</v>
      </c>
      <c r="G361" s="410">
        <v>9301</v>
      </c>
      <c r="H361" s="389">
        <v>250000000</v>
      </c>
    </row>
    <row r="362" spans="1:8" s="606" customFormat="1" ht="12.75">
      <c r="A362" s="409" t="s">
        <v>556</v>
      </c>
      <c r="B362" s="559" t="s">
        <v>1101</v>
      </c>
      <c r="C362" s="410"/>
      <c r="D362" s="410"/>
      <c r="E362" s="410"/>
      <c r="F362" s="410"/>
      <c r="G362" s="410"/>
      <c r="H362" s="388">
        <f>H363</f>
        <v>320000000</v>
      </c>
    </row>
    <row r="363" spans="1:8" s="606" customFormat="1" ht="12.75">
      <c r="A363" s="410" t="s">
        <v>897</v>
      </c>
      <c r="B363" s="436"/>
      <c r="C363" s="410">
        <v>799</v>
      </c>
      <c r="D363" s="410">
        <v>280</v>
      </c>
      <c r="E363" s="410">
        <v>292</v>
      </c>
      <c r="F363" s="410">
        <v>9300</v>
      </c>
      <c r="G363" s="410">
        <v>9301</v>
      </c>
      <c r="H363" s="389">
        <v>320000000</v>
      </c>
    </row>
    <row r="364" spans="1:8" s="606" customFormat="1" ht="12.75">
      <c r="A364" s="409" t="s">
        <v>557</v>
      </c>
      <c r="B364" s="559" t="s">
        <v>1102</v>
      </c>
      <c r="C364" s="406"/>
      <c r="D364" s="406"/>
      <c r="E364" s="406"/>
      <c r="F364" s="406"/>
      <c r="G364" s="406"/>
      <c r="H364" s="388">
        <f>SUM(H365:H366)</f>
        <v>100000000</v>
      </c>
    </row>
    <row r="365" spans="1:8" s="606" customFormat="1" ht="12.75">
      <c r="A365" s="410" t="s">
        <v>897</v>
      </c>
      <c r="B365" s="436"/>
      <c r="C365" s="410">
        <v>799</v>
      </c>
      <c r="D365" s="410">
        <v>280</v>
      </c>
      <c r="E365" s="410">
        <v>292</v>
      </c>
      <c r="F365" s="410">
        <v>9300</v>
      </c>
      <c r="G365" s="410">
        <v>9301</v>
      </c>
      <c r="H365" s="389">
        <v>94500000</v>
      </c>
    </row>
    <row r="366" spans="1:8" s="606" customFormat="1" ht="12.75">
      <c r="A366" s="410" t="s">
        <v>897</v>
      </c>
      <c r="B366" s="436"/>
      <c r="C366" s="410">
        <v>799</v>
      </c>
      <c r="D366" s="410">
        <v>280</v>
      </c>
      <c r="E366" s="410">
        <v>292</v>
      </c>
      <c r="F366" s="410">
        <v>9400</v>
      </c>
      <c r="G366" s="410">
        <v>9402</v>
      </c>
      <c r="H366" s="389">
        <v>5500000</v>
      </c>
    </row>
    <row r="367" spans="1:8" s="271" customFormat="1" ht="12.75">
      <c r="A367" s="406">
        <v>4</v>
      </c>
      <c r="B367" s="431" t="s">
        <v>533</v>
      </c>
      <c r="C367" s="406"/>
      <c r="D367" s="406"/>
      <c r="E367" s="406"/>
      <c r="F367" s="406"/>
      <c r="G367" s="406"/>
      <c r="H367" s="432">
        <f>H368+H370</f>
        <v>979000000</v>
      </c>
    </row>
    <row r="368" spans="1:8" s="271" customFormat="1" ht="12.75">
      <c r="A368" s="409" t="s">
        <v>534</v>
      </c>
      <c r="B368" s="559" t="s">
        <v>1103</v>
      </c>
      <c r="C368" s="406"/>
      <c r="D368" s="406"/>
      <c r="E368" s="406"/>
      <c r="F368" s="406"/>
      <c r="G368" s="406"/>
      <c r="H368" s="388">
        <f>SUM(H369:H369)</f>
        <v>400000000</v>
      </c>
    </row>
    <row r="369" spans="1:8" s="606" customFormat="1" ht="12.75">
      <c r="A369" s="410" t="s">
        <v>897</v>
      </c>
      <c r="B369" s="391"/>
      <c r="C369" s="410">
        <v>799</v>
      </c>
      <c r="D369" s="410">
        <v>280</v>
      </c>
      <c r="E369" s="410">
        <v>292</v>
      </c>
      <c r="F369" s="410">
        <v>9300</v>
      </c>
      <c r="G369" s="410">
        <v>9301</v>
      </c>
      <c r="H369" s="389">
        <v>400000000</v>
      </c>
    </row>
    <row r="370" spans="1:8" s="606" customFormat="1" ht="12.75">
      <c r="A370" s="409" t="s">
        <v>535</v>
      </c>
      <c r="B370" s="559" t="s">
        <v>1104</v>
      </c>
      <c r="C370" s="410"/>
      <c r="D370" s="410"/>
      <c r="E370" s="410"/>
      <c r="F370" s="410"/>
      <c r="G370" s="410"/>
      <c r="H370" s="388">
        <f>SUM(H371:H371)</f>
        <v>579000000</v>
      </c>
    </row>
    <row r="371" spans="1:8" s="606" customFormat="1" ht="12.75">
      <c r="A371" s="410" t="s">
        <v>897</v>
      </c>
      <c r="B371" s="391"/>
      <c r="C371" s="410">
        <v>799</v>
      </c>
      <c r="D371" s="410">
        <v>280</v>
      </c>
      <c r="E371" s="410">
        <v>292</v>
      </c>
      <c r="F371" s="410">
        <v>9300</v>
      </c>
      <c r="G371" s="410">
        <v>9301</v>
      </c>
      <c r="H371" s="389">
        <v>579000000</v>
      </c>
    </row>
    <row r="372" spans="1:8" s="606" customFormat="1" ht="12.75">
      <c r="A372" s="406">
        <v>5</v>
      </c>
      <c r="B372" s="431" t="s">
        <v>568</v>
      </c>
      <c r="C372" s="406"/>
      <c r="D372" s="406"/>
      <c r="E372" s="406"/>
      <c r="F372" s="406"/>
      <c r="G372" s="406"/>
      <c r="H372" s="437">
        <f>H373+H375</f>
        <v>175216000</v>
      </c>
    </row>
    <row r="373" spans="1:8" s="271" customFormat="1" ht="12.75">
      <c r="A373" s="409" t="s">
        <v>537</v>
      </c>
      <c r="B373" s="554" t="s">
        <v>1105</v>
      </c>
      <c r="C373" s="409"/>
      <c r="D373" s="409"/>
      <c r="E373" s="409"/>
      <c r="F373" s="409"/>
      <c r="G373" s="409"/>
      <c r="H373" s="388">
        <f>H374</f>
        <v>94216000</v>
      </c>
    </row>
    <row r="374" spans="1:8" s="606" customFormat="1" ht="12.75">
      <c r="A374" s="410" t="s">
        <v>897</v>
      </c>
      <c r="B374" s="438"/>
      <c r="C374" s="410">
        <v>799</v>
      </c>
      <c r="D374" s="410">
        <v>280</v>
      </c>
      <c r="E374" s="410">
        <v>292</v>
      </c>
      <c r="F374" s="410">
        <v>9300</v>
      </c>
      <c r="G374" s="410">
        <v>9301</v>
      </c>
      <c r="H374" s="439">
        <v>94216000</v>
      </c>
    </row>
    <row r="375" spans="1:8" s="271" customFormat="1" ht="25.5">
      <c r="A375" s="409" t="s">
        <v>538</v>
      </c>
      <c r="B375" s="554" t="s">
        <v>1106</v>
      </c>
      <c r="C375" s="409"/>
      <c r="D375" s="409"/>
      <c r="E375" s="409"/>
      <c r="F375" s="409"/>
      <c r="G375" s="409"/>
      <c r="H375" s="388">
        <f>H376</f>
        <v>81000000</v>
      </c>
    </row>
    <row r="376" spans="1:8" s="606" customFormat="1" ht="12.75">
      <c r="A376" s="410" t="s">
        <v>897</v>
      </c>
      <c r="B376" s="438"/>
      <c r="C376" s="410">
        <v>799</v>
      </c>
      <c r="D376" s="410">
        <v>280</v>
      </c>
      <c r="E376" s="410">
        <v>292</v>
      </c>
      <c r="F376" s="410">
        <v>9300</v>
      </c>
      <c r="G376" s="410">
        <v>9301</v>
      </c>
      <c r="H376" s="439">
        <v>81000000</v>
      </c>
    </row>
    <row r="377" spans="1:8" s="271" customFormat="1" ht="12.75">
      <c r="A377" s="406">
        <v>6</v>
      </c>
      <c r="B377" s="431" t="s">
        <v>529</v>
      </c>
      <c r="C377" s="406"/>
      <c r="D377" s="406"/>
      <c r="E377" s="406"/>
      <c r="F377" s="406"/>
      <c r="G377" s="406"/>
      <c r="H377" s="437">
        <f>H378+H381</f>
        <v>349349000</v>
      </c>
    </row>
    <row r="378" spans="1:8" s="271" customFormat="1" ht="25.5">
      <c r="A378" s="409" t="s">
        <v>540</v>
      </c>
      <c r="B378" s="554" t="s">
        <v>1107</v>
      </c>
      <c r="C378" s="409"/>
      <c r="D378" s="409"/>
      <c r="E378" s="409"/>
      <c r="F378" s="409"/>
      <c r="G378" s="409"/>
      <c r="H378" s="388">
        <f>SUM(H379:H380)</f>
        <v>174717000</v>
      </c>
    </row>
    <row r="379" spans="1:8" s="606" customFormat="1" ht="12.75">
      <c r="A379" s="410" t="s">
        <v>897</v>
      </c>
      <c r="B379" s="391"/>
      <c r="C379" s="410">
        <v>799</v>
      </c>
      <c r="D379" s="410">
        <v>280</v>
      </c>
      <c r="E379" s="410">
        <v>292</v>
      </c>
      <c r="F379" s="410">
        <v>9300</v>
      </c>
      <c r="G379" s="410">
        <v>9301</v>
      </c>
      <c r="H379" s="389">
        <v>173827000</v>
      </c>
    </row>
    <row r="380" spans="1:8" s="606" customFormat="1" ht="12.75">
      <c r="A380" s="410" t="s">
        <v>897</v>
      </c>
      <c r="B380" s="391"/>
      <c r="C380" s="410">
        <v>799</v>
      </c>
      <c r="D380" s="410">
        <v>280</v>
      </c>
      <c r="E380" s="410">
        <v>292</v>
      </c>
      <c r="F380" s="410">
        <v>9400</v>
      </c>
      <c r="G380" s="410">
        <v>9401</v>
      </c>
      <c r="H380" s="389">
        <v>890000</v>
      </c>
    </row>
    <row r="381" spans="1:8" s="271" customFormat="1" ht="12.75">
      <c r="A381" s="409" t="s">
        <v>541</v>
      </c>
      <c r="B381" s="554" t="s">
        <v>1108</v>
      </c>
      <c r="C381" s="409"/>
      <c r="D381" s="409"/>
      <c r="E381" s="409"/>
      <c r="F381" s="409"/>
      <c r="G381" s="409"/>
      <c r="H381" s="388">
        <f>SUM(H382:H383)</f>
        <v>174632000</v>
      </c>
    </row>
    <row r="382" spans="1:8" s="606" customFormat="1" ht="12.75">
      <c r="A382" s="410" t="s">
        <v>897</v>
      </c>
      <c r="B382" s="438"/>
      <c r="C382" s="410">
        <v>799</v>
      </c>
      <c r="D382" s="410">
        <v>280</v>
      </c>
      <c r="E382" s="410">
        <v>292</v>
      </c>
      <c r="F382" s="410">
        <v>9300</v>
      </c>
      <c r="G382" s="410">
        <v>9301</v>
      </c>
      <c r="H382" s="439">
        <v>173507000</v>
      </c>
    </row>
    <row r="383" spans="1:8" s="606" customFormat="1" ht="12.75">
      <c r="A383" s="410" t="s">
        <v>897</v>
      </c>
      <c r="B383" s="438"/>
      <c r="C383" s="410">
        <v>799</v>
      </c>
      <c r="D383" s="410">
        <v>280</v>
      </c>
      <c r="E383" s="410">
        <v>292</v>
      </c>
      <c r="F383" s="410">
        <v>9400</v>
      </c>
      <c r="G383" s="410">
        <v>9401</v>
      </c>
      <c r="H383" s="439">
        <v>1125000</v>
      </c>
    </row>
    <row r="384" spans="1:8" s="271" customFormat="1" ht="12.75">
      <c r="A384" s="406">
        <v>7</v>
      </c>
      <c r="B384" s="431" t="s">
        <v>528</v>
      </c>
      <c r="C384" s="410"/>
      <c r="D384" s="410"/>
      <c r="E384" s="410"/>
      <c r="F384" s="410"/>
      <c r="G384" s="410"/>
      <c r="H384" s="437">
        <f>H385+H388</f>
        <v>523948000</v>
      </c>
    </row>
    <row r="385" spans="1:8" s="606" customFormat="1" ht="25.5">
      <c r="A385" s="409" t="s">
        <v>571</v>
      </c>
      <c r="B385" s="554" t="s">
        <v>1109</v>
      </c>
      <c r="C385" s="410"/>
      <c r="D385" s="410"/>
      <c r="E385" s="410"/>
      <c r="F385" s="410"/>
      <c r="G385" s="410"/>
      <c r="H385" s="388">
        <f>SUM(H386:H387)</f>
        <v>349238000</v>
      </c>
    </row>
    <row r="386" spans="1:8" s="606" customFormat="1" ht="12.75">
      <c r="A386" s="410" t="s">
        <v>897</v>
      </c>
      <c r="B386" s="391"/>
      <c r="C386" s="410">
        <v>799</v>
      </c>
      <c r="D386" s="410">
        <v>280</v>
      </c>
      <c r="E386" s="410">
        <v>292</v>
      </c>
      <c r="F386" s="410">
        <v>9300</v>
      </c>
      <c r="G386" s="410">
        <v>9301</v>
      </c>
      <c r="H386" s="389">
        <v>347193000</v>
      </c>
    </row>
    <row r="387" spans="1:8" s="606" customFormat="1" ht="12.75">
      <c r="A387" s="410" t="s">
        <v>897</v>
      </c>
      <c r="B387" s="391"/>
      <c r="C387" s="410">
        <v>799</v>
      </c>
      <c r="D387" s="410">
        <v>280</v>
      </c>
      <c r="E387" s="410">
        <v>292</v>
      </c>
      <c r="F387" s="410">
        <v>9400</v>
      </c>
      <c r="G387" s="410">
        <v>9401</v>
      </c>
      <c r="H387" s="389">
        <v>2045000</v>
      </c>
    </row>
    <row r="388" spans="1:8" s="606" customFormat="1" ht="12.75">
      <c r="A388" s="409" t="s">
        <v>890</v>
      </c>
      <c r="B388" s="391" t="s">
        <v>898</v>
      </c>
      <c r="C388" s="410"/>
      <c r="D388" s="410"/>
      <c r="E388" s="410"/>
      <c r="F388" s="410"/>
      <c r="G388" s="410"/>
      <c r="H388" s="388">
        <f>SUM(H389:H390)</f>
        <v>174710000</v>
      </c>
    </row>
    <row r="389" spans="1:8" s="606" customFormat="1" ht="12.75">
      <c r="A389" s="410" t="s">
        <v>897</v>
      </c>
      <c r="B389" s="391"/>
      <c r="C389" s="410">
        <v>799</v>
      </c>
      <c r="D389" s="410">
        <v>280</v>
      </c>
      <c r="E389" s="410">
        <v>292</v>
      </c>
      <c r="F389" s="410">
        <v>9300</v>
      </c>
      <c r="G389" s="410">
        <v>9301</v>
      </c>
      <c r="H389" s="389">
        <v>173670000</v>
      </c>
    </row>
    <row r="390" spans="1:8" s="606" customFormat="1" ht="12.75">
      <c r="A390" s="410" t="s">
        <v>897</v>
      </c>
      <c r="B390" s="391"/>
      <c r="C390" s="410">
        <v>799</v>
      </c>
      <c r="D390" s="410">
        <v>280</v>
      </c>
      <c r="E390" s="410">
        <v>292</v>
      </c>
      <c r="F390" s="410">
        <v>9400</v>
      </c>
      <c r="G390" s="410">
        <v>9401</v>
      </c>
      <c r="H390" s="389">
        <v>1040000</v>
      </c>
    </row>
    <row r="391" spans="1:10" s="566" customFormat="1" ht="13.5">
      <c r="A391" s="404" t="s">
        <v>364</v>
      </c>
      <c r="B391" s="403" t="s">
        <v>542</v>
      </c>
      <c r="C391" s="440"/>
      <c r="D391" s="440"/>
      <c r="E391" s="440"/>
      <c r="F391" s="440"/>
      <c r="G391" s="440"/>
      <c r="H391" s="420">
        <f>H392+H419+H442+H453+H463</f>
        <v>2073303264</v>
      </c>
      <c r="J391" s="568"/>
    </row>
    <row r="392" spans="1:10" s="549" customFormat="1" ht="12.75">
      <c r="A392" s="404">
        <v>1</v>
      </c>
      <c r="B392" s="441" t="s">
        <v>572</v>
      </c>
      <c r="C392" s="426"/>
      <c r="D392" s="426"/>
      <c r="E392" s="426"/>
      <c r="F392" s="426"/>
      <c r="G392" s="426"/>
      <c r="H392" s="420">
        <f>H393+H395+H397+H399+H406+H409+H414</f>
        <v>1382010264</v>
      </c>
      <c r="J392" s="550"/>
    </row>
    <row r="393" spans="1:8" s="566" customFormat="1" ht="13.5">
      <c r="A393" s="404" t="s">
        <v>367</v>
      </c>
      <c r="B393" s="441" t="s">
        <v>573</v>
      </c>
      <c r="C393" s="440"/>
      <c r="D393" s="440"/>
      <c r="E393" s="440"/>
      <c r="F393" s="440"/>
      <c r="G393" s="440"/>
      <c r="H393" s="420">
        <f>H394</f>
        <v>274596000</v>
      </c>
    </row>
    <row r="394" spans="1:8" s="566" customFormat="1" ht="12.75">
      <c r="A394" s="426" t="s">
        <v>897</v>
      </c>
      <c r="B394" s="607"/>
      <c r="C394" s="426">
        <v>799</v>
      </c>
      <c r="D394" s="426">
        <v>280</v>
      </c>
      <c r="E394" s="426">
        <v>281</v>
      </c>
      <c r="F394" s="585">
        <v>7100</v>
      </c>
      <c r="G394" s="426">
        <v>7149</v>
      </c>
      <c r="H394" s="427">
        <v>274596000</v>
      </c>
    </row>
    <row r="395" spans="1:8" s="549" customFormat="1" ht="13.5">
      <c r="A395" s="404" t="s">
        <v>369</v>
      </c>
      <c r="B395" s="441" t="s">
        <v>574</v>
      </c>
      <c r="C395" s="440"/>
      <c r="D395" s="440"/>
      <c r="E395" s="440"/>
      <c r="F395" s="440"/>
      <c r="G395" s="440"/>
      <c r="H395" s="420">
        <f>H396</f>
        <v>274640000</v>
      </c>
    </row>
    <row r="396" spans="1:8" s="566" customFormat="1" ht="12.75">
      <c r="A396" s="426" t="s">
        <v>897</v>
      </c>
      <c r="B396" s="607"/>
      <c r="C396" s="426">
        <v>799</v>
      </c>
      <c r="D396" s="426">
        <v>280</v>
      </c>
      <c r="E396" s="426">
        <v>281</v>
      </c>
      <c r="F396" s="585">
        <v>7100</v>
      </c>
      <c r="G396" s="426">
        <v>7149</v>
      </c>
      <c r="H396" s="608">
        <v>274640000</v>
      </c>
    </row>
    <row r="397" spans="1:8" s="566" customFormat="1" ht="13.5">
      <c r="A397" s="404" t="s">
        <v>371</v>
      </c>
      <c r="B397" s="441" t="s">
        <v>575</v>
      </c>
      <c r="C397" s="440"/>
      <c r="D397" s="440"/>
      <c r="E397" s="440"/>
      <c r="F397" s="440"/>
      <c r="G397" s="440"/>
      <c r="H397" s="420">
        <f>SUM(H398:H398)</f>
        <v>259180000</v>
      </c>
    </row>
    <row r="398" spans="1:8" s="549" customFormat="1" ht="12.75">
      <c r="A398" s="426" t="s">
        <v>897</v>
      </c>
      <c r="B398" s="607"/>
      <c r="C398" s="426">
        <v>799</v>
      </c>
      <c r="D398" s="426">
        <v>280</v>
      </c>
      <c r="E398" s="426">
        <v>281</v>
      </c>
      <c r="F398" s="585">
        <v>7750</v>
      </c>
      <c r="G398" s="426">
        <v>7799</v>
      </c>
      <c r="H398" s="427">
        <f>10400000+248780000</f>
        <v>259180000</v>
      </c>
    </row>
    <row r="399" spans="1:8" s="549" customFormat="1" ht="13.5">
      <c r="A399" s="404" t="s">
        <v>373</v>
      </c>
      <c r="B399" s="441" t="s">
        <v>576</v>
      </c>
      <c r="C399" s="440"/>
      <c r="D399" s="440"/>
      <c r="E399" s="440"/>
      <c r="F399" s="440"/>
      <c r="G399" s="440"/>
      <c r="H399" s="420">
        <f>SUM(H400:H405)</f>
        <v>274594264</v>
      </c>
    </row>
    <row r="400" spans="1:8" ht="12.75">
      <c r="A400" s="426" t="s">
        <v>897</v>
      </c>
      <c r="B400" s="607"/>
      <c r="C400" s="426">
        <v>799</v>
      </c>
      <c r="D400" s="426">
        <v>280</v>
      </c>
      <c r="E400" s="426">
        <v>281</v>
      </c>
      <c r="F400" s="585">
        <v>6550</v>
      </c>
      <c r="G400" s="426">
        <v>6551</v>
      </c>
      <c r="H400" s="427">
        <v>8107500</v>
      </c>
    </row>
    <row r="401" spans="1:8" s="549" customFormat="1" ht="12.75">
      <c r="A401" s="426" t="s">
        <v>897</v>
      </c>
      <c r="B401" s="607"/>
      <c r="C401" s="426">
        <v>799</v>
      </c>
      <c r="D401" s="426">
        <v>280</v>
      </c>
      <c r="E401" s="426">
        <v>281</v>
      </c>
      <c r="F401" s="585">
        <v>7100</v>
      </c>
      <c r="G401" s="426">
        <v>7149</v>
      </c>
      <c r="H401" s="427">
        <v>260319500</v>
      </c>
    </row>
    <row r="402" spans="1:8" s="566" customFormat="1" ht="12.75">
      <c r="A402" s="426" t="s">
        <v>897</v>
      </c>
      <c r="B402" s="607"/>
      <c r="C402" s="426">
        <v>799</v>
      </c>
      <c r="D402" s="426">
        <v>280</v>
      </c>
      <c r="E402" s="426">
        <v>281</v>
      </c>
      <c r="F402" s="426">
        <v>6650</v>
      </c>
      <c r="G402" s="426">
        <v>6699</v>
      </c>
      <c r="H402" s="427">
        <v>1400000</v>
      </c>
    </row>
    <row r="403" spans="1:8" s="549" customFormat="1" ht="12.75">
      <c r="A403" s="426" t="s">
        <v>897</v>
      </c>
      <c r="B403" s="607"/>
      <c r="C403" s="426">
        <v>799</v>
      </c>
      <c r="D403" s="426">
        <v>280</v>
      </c>
      <c r="E403" s="426">
        <v>281</v>
      </c>
      <c r="F403" s="426">
        <v>6650</v>
      </c>
      <c r="G403" s="426">
        <v>6658</v>
      </c>
      <c r="H403" s="427">
        <v>1100000</v>
      </c>
    </row>
    <row r="404" spans="1:8" s="549" customFormat="1" ht="12.75">
      <c r="A404" s="426" t="s">
        <v>897</v>
      </c>
      <c r="B404" s="607"/>
      <c r="C404" s="426">
        <v>799</v>
      </c>
      <c r="D404" s="426">
        <v>280</v>
      </c>
      <c r="E404" s="426">
        <v>281</v>
      </c>
      <c r="F404" s="426">
        <v>6750</v>
      </c>
      <c r="G404" s="426">
        <v>6751</v>
      </c>
      <c r="H404" s="427">
        <v>1500000</v>
      </c>
    </row>
    <row r="405" spans="1:8" ht="12.75">
      <c r="A405" s="426" t="s">
        <v>897</v>
      </c>
      <c r="B405" s="607"/>
      <c r="C405" s="426">
        <v>799</v>
      </c>
      <c r="D405" s="426">
        <v>280</v>
      </c>
      <c r="E405" s="426">
        <v>281</v>
      </c>
      <c r="F405" s="426">
        <v>7750</v>
      </c>
      <c r="G405" s="426">
        <v>7799</v>
      </c>
      <c r="H405" s="427">
        <v>2167264</v>
      </c>
    </row>
    <row r="406" spans="1:8" s="566" customFormat="1" ht="13.5">
      <c r="A406" s="404" t="s">
        <v>375</v>
      </c>
      <c r="B406" s="441" t="s">
        <v>568</v>
      </c>
      <c r="C406" s="440"/>
      <c r="D406" s="440"/>
      <c r="E406" s="440"/>
      <c r="F406" s="440"/>
      <c r="G406" s="440"/>
      <c r="H406" s="420">
        <f>H407</f>
        <v>50000000</v>
      </c>
    </row>
    <row r="407" spans="1:8" s="566" customFormat="1" ht="12.75">
      <c r="A407" s="423"/>
      <c r="B407" s="609" t="s">
        <v>899</v>
      </c>
      <c r="C407" s="426"/>
      <c r="D407" s="426"/>
      <c r="E407" s="426"/>
      <c r="F407" s="426"/>
      <c r="G407" s="426"/>
      <c r="H407" s="425">
        <f>SUM(H408:H408)</f>
        <v>50000000</v>
      </c>
    </row>
    <row r="408" spans="1:8" s="566" customFormat="1" ht="12.75">
      <c r="A408" s="426" t="s">
        <v>897</v>
      </c>
      <c r="B408" s="607"/>
      <c r="C408" s="426">
        <v>799</v>
      </c>
      <c r="D408" s="426">
        <v>280</v>
      </c>
      <c r="E408" s="426">
        <v>281</v>
      </c>
      <c r="F408" s="585">
        <v>7100</v>
      </c>
      <c r="G408" s="426">
        <v>7149</v>
      </c>
      <c r="H408" s="427">
        <v>50000000</v>
      </c>
    </row>
    <row r="409" spans="1:8" s="566" customFormat="1" ht="13.5">
      <c r="A409" s="404" t="s">
        <v>377</v>
      </c>
      <c r="B409" s="441" t="s">
        <v>529</v>
      </c>
      <c r="C409" s="440"/>
      <c r="D409" s="440"/>
      <c r="E409" s="440"/>
      <c r="F409" s="440"/>
      <c r="G409" s="440"/>
      <c r="H409" s="420">
        <f>H410+H412</f>
        <v>100000000</v>
      </c>
    </row>
    <row r="410" spans="1:8" s="566" customFormat="1" ht="12.75">
      <c r="A410" s="426"/>
      <c r="B410" s="610" t="s">
        <v>1110</v>
      </c>
      <c r="C410" s="426"/>
      <c r="D410" s="426"/>
      <c r="E410" s="426"/>
      <c r="F410" s="426"/>
      <c r="G410" s="426"/>
      <c r="H410" s="427">
        <f>SUM(H411:H411)</f>
        <v>50000000</v>
      </c>
    </row>
    <row r="411" spans="1:8" s="566" customFormat="1" ht="12.75">
      <c r="A411" s="426" t="s">
        <v>897</v>
      </c>
      <c r="B411" s="607"/>
      <c r="C411" s="426">
        <v>799</v>
      </c>
      <c r="D411" s="426">
        <v>280</v>
      </c>
      <c r="E411" s="426">
        <v>281</v>
      </c>
      <c r="F411" s="426">
        <v>7100</v>
      </c>
      <c r="G411" s="426">
        <v>7149</v>
      </c>
      <c r="H411" s="427">
        <v>50000000</v>
      </c>
    </row>
    <row r="412" spans="1:8" s="566" customFormat="1" ht="12.75">
      <c r="A412" s="426"/>
      <c r="B412" s="610" t="s">
        <v>1111</v>
      </c>
      <c r="C412" s="426"/>
      <c r="D412" s="426"/>
      <c r="E412" s="426"/>
      <c r="F412" s="426"/>
      <c r="G412" s="426"/>
      <c r="H412" s="425">
        <f>H413</f>
        <v>50000000</v>
      </c>
    </row>
    <row r="413" spans="1:8" s="566" customFormat="1" ht="12.75">
      <c r="A413" s="426"/>
      <c r="B413" s="607"/>
      <c r="C413" s="426">
        <v>799</v>
      </c>
      <c r="D413" s="426">
        <v>280</v>
      </c>
      <c r="E413" s="426">
        <v>281</v>
      </c>
      <c r="F413" s="426">
        <v>7100</v>
      </c>
      <c r="G413" s="426">
        <v>7149</v>
      </c>
      <c r="H413" s="427">
        <v>50000000</v>
      </c>
    </row>
    <row r="414" spans="1:8" s="566" customFormat="1" ht="16.5" customHeight="1">
      <c r="A414" s="404" t="s">
        <v>451</v>
      </c>
      <c r="B414" s="441" t="s">
        <v>528</v>
      </c>
      <c r="C414" s="440"/>
      <c r="D414" s="440"/>
      <c r="E414" s="440"/>
      <c r="F414" s="440"/>
      <c r="G414" s="440"/>
      <c r="H414" s="420">
        <f>H415+H417</f>
        <v>149000000</v>
      </c>
    </row>
    <row r="415" spans="1:8" s="566" customFormat="1" ht="16.5" customHeight="1">
      <c r="A415" s="426"/>
      <c r="B415" s="610" t="s">
        <v>1112</v>
      </c>
      <c r="C415" s="426"/>
      <c r="D415" s="426"/>
      <c r="E415" s="426"/>
      <c r="F415" s="585"/>
      <c r="G415" s="426"/>
      <c r="H415" s="427">
        <f>H416</f>
        <v>99000000</v>
      </c>
    </row>
    <row r="416" spans="1:8" s="566" customFormat="1" ht="16.5" customHeight="1">
      <c r="A416" s="426" t="s">
        <v>897</v>
      </c>
      <c r="B416" s="607"/>
      <c r="C416" s="426">
        <v>799</v>
      </c>
      <c r="D416" s="426">
        <v>280</v>
      </c>
      <c r="E416" s="426">
        <v>281</v>
      </c>
      <c r="F416" s="585">
        <v>7100</v>
      </c>
      <c r="G416" s="426">
        <v>7149</v>
      </c>
      <c r="H416" s="427">
        <v>99000000</v>
      </c>
    </row>
    <row r="417" spans="1:8" s="566" customFormat="1" ht="16.5" customHeight="1">
      <c r="A417" s="426"/>
      <c r="B417" s="607" t="s">
        <v>577</v>
      </c>
      <c r="C417" s="426"/>
      <c r="D417" s="426"/>
      <c r="E417" s="426"/>
      <c r="F417" s="585"/>
      <c r="G417" s="426"/>
      <c r="H417" s="427">
        <f>H418</f>
        <v>50000000</v>
      </c>
    </row>
    <row r="418" spans="1:8" s="566" customFormat="1" ht="16.5" customHeight="1">
      <c r="A418" s="426" t="s">
        <v>897</v>
      </c>
      <c r="B418" s="607"/>
      <c r="C418" s="426">
        <v>799</v>
      </c>
      <c r="D418" s="426">
        <v>280</v>
      </c>
      <c r="E418" s="426">
        <v>281</v>
      </c>
      <c r="F418" s="585">
        <v>7100</v>
      </c>
      <c r="G418" s="426">
        <v>7149</v>
      </c>
      <c r="H418" s="427">
        <v>50000000</v>
      </c>
    </row>
    <row r="419" spans="1:8" s="566" customFormat="1" ht="16.5" customHeight="1">
      <c r="A419" s="442">
        <v>2</v>
      </c>
      <c r="B419" s="441" t="s">
        <v>578</v>
      </c>
      <c r="C419" s="440"/>
      <c r="D419" s="440"/>
      <c r="E419" s="440"/>
      <c r="F419" s="440"/>
      <c r="G419" s="440"/>
      <c r="H419" s="420">
        <f>H420+H422+H424+H426+H429+H432+H437</f>
        <v>366991000</v>
      </c>
    </row>
    <row r="420" spans="1:8" s="566" customFormat="1" ht="16.5" customHeight="1">
      <c r="A420" s="404" t="s">
        <v>402</v>
      </c>
      <c r="B420" s="441" t="s">
        <v>530</v>
      </c>
      <c r="C420" s="426"/>
      <c r="D420" s="426"/>
      <c r="E420" s="426"/>
      <c r="F420" s="426"/>
      <c r="G420" s="426"/>
      <c r="H420" s="420">
        <f>H421</f>
        <v>71991000</v>
      </c>
    </row>
    <row r="421" spans="1:10" s="566" customFormat="1" ht="16.5" customHeight="1">
      <c r="A421" s="426" t="s">
        <v>897</v>
      </c>
      <c r="B421" s="609"/>
      <c r="C421" s="426">
        <v>799</v>
      </c>
      <c r="D421" s="426">
        <v>280</v>
      </c>
      <c r="E421" s="426">
        <v>292</v>
      </c>
      <c r="F421" s="426">
        <v>6900</v>
      </c>
      <c r="G421" s="426">
        <v>6922</v>
      </c>
      <c r="H421" s="427">
        <v>71991000</v>
      </c>
      <c r="J421" s="568" t="e">
        <f>H421+H425+H431+H434+H436+H439+#REF!+H441</f>
        <v>#REF!</v>
      </c>
    </row>
    <row r="422" spans="1:8" s="566" customFormat="1" ht="16.5" customHeight="1">
      <c r="A422" s="404" t="s">
        <v>404</v>
      </c>
      <c r="B422" s="441" t="s">
        <v>575</v>
      </c>
      <c r="C422" s="426"/>
      <c r="D422" s="426"/>
      <c r="E422" s="426"/>
      <c r="F422" s="426"/>
      <c r="G422" s="426"/>
      <c r="H422" s="420">
        <f>H423</f>
        <v>72000000</v>
      </c>
    </row>
    <row r="423" spans="1:10" s="566" customFormat="1" ht="16.5" customHeight="1">
      <c r="A423" s="426" t="s">
        <v>897</v>
      </c>
      <c r="B423" s="609"/>
      <c r="C423" s="426">
        <v>799</v>
      </c>
      <c r="D423" s="426">
        <v>280</v>
      </c>
      <c r="E423" s="426">
        <v>292</v>
      </c>
      <c r="F423" s="426">
        <v>6900</v>
      </c>
      <c r="G423" s="426">
        <v>6922</v>
      </c>
      <c r="H423" s="427">
        <v>72000000</v>
      </c>
      <c r="J423" s="568">
        <f>H423+H397</f>
        <v>331180000</v>
      </c>
    </row>
    <row r="424" spans="1:8" s="566" customFormat="1" ht="16.5" customHeight="1">
      <c r="A424" s="404" t="s">
        <v>469</v>
      </c>
      <c r="B424" s="441" t="s">
        <v>539</v>
      </c>
      <c r="C424" s="426"/>
      <c r="D424" s="426"/>
      <c r="E424" s="426"/>
      <c r="F424" s="426"/>
      <c r="G424" s="426"/>
      <c r="H424" s="420">
        <f>SUM(H425:H425)</f>
        <v>72000000</v>
      </c>
    </row>
    <row r="425" spans="1:8" s="566" customFormat="1" ht="16.5" customHeight="1">
      <c r="A425" s="426" t="s">
        <v>897</v>
      </c>
      <c r="B425" s="609"/>
      <c r="C425" s="426">
        <v>799</v>
      </c>
      <c r="D425" s="426">
        <v>280</v>
      </c>
      <c r="E425" s="426">
        <v>292</v>
      </c>
      <c r="F425" s="426">
        <v>6900</v>
      </c>
      <c r="G425" s="426">
        <v>6922</v>
      </c>
      <c r="H425" s="427">
        <v>72000000</v>
      </c>
    </row>
    <row r="426" spans="1:8" s="566" customFormat="1" ht="16.5" customHeight="1">
      <c r="A426" s="404" t="s">
        <v>470</v>
      </c>
      <c r="B426" s="441" t="s">
        <v>536</v>
      </c>
      <c r="C426" s="426"/>
      <c r="D426" s="426"/>
      <c r="E426" s="426"/>
      <c r="F426" s="426"/>
      <c r="G426" s="426"/>
      <c r="H426" s="420">
        <f>SUM(H427:H428)</f>
        <v>72000000</v>
      </c>
    </row>
    <row r="427" spans="1:8" s="566" customFormat="1" ht="16.5" customHeight="1">
      <c r="A427" s="426" t="s">
        <v>897</v>
      </c>
      <c r="B427" s="609"/>
      <c r="C427" s="426">
        <v>799</v>
      </c>
      <c r="D427" s="426">
        <v>280</v>
      </c>
      <c r="E427" s="426">
        <v>292</v>
      </c>
      <c r="F427" s="426">
        <v>6900</v>
      </c>
      <c r="G427" s="426">
        <v>6922</v>
      </c>
      <c r="H427" s="427">
        <v>50550000</v>
      </c>
    </row>
    <row r="428" spans="1:8" s="566" customFormat="1" ht="16.5" customHeight="1">
      <c r="A428" s="426" t="s">
        <v>897</v>
      </c>
      <c r="B428" s="609"/>
      <c r="C428" s="426">
        <v>799</v>
      </c>
      <c r="D428" s="426">
        <v>280</v>
      </c>
      <c r="E428" s="426">
        <v>283</v>
      </c>
      <c r="F428" s="426">
        <v>6900</v>
      </c>
      <c r="G428" s="426">
        <v>6923</v>
      </c>
      <c r="H428" s="427">
        <v>21450000</v>
      </c>
    </row>
    <row r="429" spans="1:8" s="566" customFormat="1" ht="16.5" customHeight="1">
      <c r="A429" s="404" t="s">
        <v>471</v>
      </c>
      <c r="B429" s="441" t="s">
        <v>568</v>
      </c>
      <c r="C429" s="426"/>
      <c r="D429" s="426"/>
      <c r="E429" s="426"/>
      <c r="F429" s="426"/>
      <c r="G429" s="426"/>
      <c r="H429" s="420">
        <f>H430</f>
        <v>14000000</v>
      </c>
    </row>
    <row r="430" spans="1:8" s="572" customFormat="1" ht="16.5" customHeight="1">
      <c r="A430" s="426"/>
      <c r="B430" s="609" t="s">
        <v>899</v>
      </c>
      <c r="C430" s="426"/>
      <c r="D430" s="426"/>
      <c r="E430" s="426"/>
      <c r="F430" s="426"/>
      <c r="G430" s="426"/>
      <c r="H430" s="425">
        <f>H431</f>
        <v>14000000</v>
      </c>
    </row>
    <row r="431" spans="1:8" s="566" customFormat="1" ht="16.5" customHeight="1">
      <c r="A431" s="426" t="s">
        <v>897</v>
      </c>
      <c r="B431" s="609"/>
      <c r="C431" s="426">
        <v>799</v>
      </c>
      <c r="D431" s="426">
        <v>280</v>
      </c>
      <c r="E431" s="426">
        <v>292</v>
      </c>
      <c r="F431" s="426">
        <v>6900</v>
      </c>
      <c r="G431" s="426">
        <v>6922</v>
      </c>
      <c r="H431" s="427">
        <v>14000000</v>
      </c>
    </row>
    <row r="432" spans="1:8" s="566" customFormat="1" ht="16.5" customHeight="1">
      <c r="A432" s="404" t="s">
        <v>472</v>
      </c>
      <c r="B432" s="441" t="s">
        <v>529</v>
      </c>
      <c r="C432" s="426"/>
      <c r="D432" s="426"/>
      <c r="E432" s="426"/>
      <c r="F432" s="426"/>
      <c r="G432" s="426"/>
      <c r="H432" s="420">
        <f>H433+H435</f>
        <v>26000000</v>
      </c>
    </row>
    <row r="433" spans="1:8" s="566" customFormat="1" ht="16.5" customHeight="1">
      <c r="A433" s="426"/>
      <c r="B433" s="609" t="s">
        <v>900</v>
      </c>
      <c r="C433" s="426"/>
      <c r="D433" s="426"/>
      <c r="E433" s="426"/>
      <c r="F433" s="426"/>
      <c r="G433" s="426"/>
      <c r="H433" s="425">
        <f>H434</f>
        <v>13000000</v>
      </c>
    </row>
    <row r="434" spans="1:8" s="566" customFormat="1" ht="16.5" customHeight="1">
      <c r="A434" s="426" t="s">
        <v>897</v>
      </c>
      <c r="B434" s="609"/>
      <c r="C434" s="426">
        <v>799</v>
      </c>
      <c r="D434" s="426">
        <v>280</v>
      </c>
      <c r="E434" s="426">
        <v>292</v>
      </c>
      <c r="F434" s="426">
        <v>6900</v>
      </c>
      <c r="G434" s="426">
        <v>6922</v>
      </c>
      <c r="H434" s="427">
        <v>13000000</v>
      </c>
    </row>
    <row r="435" spans="1:8" s="566" customFormat="1" ht="16.5" customHeight="1">
      <c r="A435" s="426"/>
      <c r="B435" s="609" t="s">
        <v>901</v>
      </c>
      <c r="C435" s="426"/>
      <c r="D435" s="426"/>
      <c r="E435" s="426"/>
      <c r="F435" s="426"/>
      <c r="G435" s="426"/>
      <c r="H435" s="425">
        <f>H436</f>
        <v>13000000</v>
      </c>
    </row>
    <row r="436" spans="1:8" s="566" customFormat="1" ht="16.5" customHeight="1">
      <c r="A436" s="426" t="s">
        <v>897</v>
      </c>
      <c r="B436" s="609"/>
      <c r="C436" s="426">
        <v>799</v>
      </c>
      <c r="D436" s="426">
        <v>280</v>
      </c>
      <c r="E436" s="426">
        <v>292</v>
      </c>
      <c r="F436" s="426">
        <v>6900</v>
      </c>
      <c r="G436" s="426">
        <v>6922</v>
      </c>
      <c r="H436" s="427">
        <v>13000000</v>
      </c>
    </row>
    <row r="437" spans="1:8" s="566" customFormat="1" ht="16.5" customHeight="1">
      <c r="A437" s="404" t="s">
        <v>473</v>
      </c>
      <c r="B437" s="441" t="s">
        <v>528</v>
      </c>
      <c r="C437" s="426"/>
      <c r="D437" s="426"/>
      <c r="E437" s="426"/>
      <c r="F437" s="426"/>
      <c r="G437" s="426"/>
      <c r="H437" s="420">
        <f>H438+H440</f>
        <v>39000000</v>
      </c>
    </row>
    <row r="438" spans="1:8" s="566" customFormat="1" ht="16.5" customHeight="1">
      <c r="A438" s="426"/>
      <c r="B438" s="609" t="s">
        <v>1113</v>
      </c>
      <c r="C438" s="426"/>
      <c r="D438" s="426"/>
      <c r="E438" s="426"/>
      <c r="F438" s="426"/>
      <c r="G438" s="426"/>
      <c r="H438" s="425">
        <f>H439</f>
        <v>26000000</v>
      </c>
    </row>
    <row r="439" spans="1:8" s="566" customFormat="1" ht="16.5" customHeight="1">
      <c r="A439" s="426" t="s">
        <v>897</v>
      </c>
      <c r="B439" s="609"/>
      <c r="C439" s="426">
        <v>799</v>
      </c>
      <c r="D439" s="426">
        <v>280</v>
      </c>
      <c r="E439" s="426">
        <v>292</v>
      </c>
      <c r="F439" s="426">
        <v>6900</v>
      </c>
      <c r="G439" s="426">
        <v>6922</v>
      </c>
      <c r="H439" s="427">
        <v>26000000</v>
      </c>
    </row>
    <row r="440" spans="1:8" s="566" customFormat="1" ht="16.5" customHeight="1">
      <c r="A440" s="426"/>
      <c r="B440" s="609" t="s">
        <v>902</v>
      </c>
      <c r="C440" s="426"/>
      <c r="D440" s="426"/>
      <c r="E440" s="426"/>
      <c r="F440" s="426"/>
      <c r="G440" s="426"/>
      <c r="H440" s="425">
        <f>H441</f>
        <v>13000000</v>
      </c>
    </row>
    <row r="441" spans="1:8" s="566" customFormat="1" ht="16.5" customHeight="1">
      <c r="A441" s="426" t="s">
        <v>897</v>
      </c>
      <c r="B441" s="609"/>
      <c r="C441" s="426">
        <v>799</v>
      </c>
      <c r="D441" s="426">
        <v>280</v>
      </c>
      <c r="E441" s="426">
        <v>292</v>
      </c>
      <c r="F441" s="426">
        <v>6900</v>
      </c>
      <c r="G441" s="426">
        <v>6922</v>
      </c>
      <c r="H441" s="427">
        <v>13000000</v>
      </c>
    </row>
    <row r="442" spans="1:8" s="566" customFormat="1" ht="28.5" customHeight="1">
      <c r="A442" s="404">
        <v>3</v>
      </c>
      <c r="B442" s="441" t="s">
        <v>579</v>
      </c>
      <c r="C442" s="426"/>
      <c r="D442" s="426"/>
      <c r="E442" s="426"/>
      <c r="F442" s="426"/>
      <c r="G442" s="426"/>
      <c r="H442" s="420">
        <f>H443+H445+H447+H449+H451</f>
        <v>128600000</v>
      </c>
    </row>
    <row r="443" spans="1:8" s="566" customFormat="1" ht="16.5" customHeight="1">
      <c r="A443" s="404" t="s">
        <v>531</v>
      </c>
      <c r="B443" s="441" t="s">
        <v>580</v>
      </c>
      <c r="C443" s="440"/>
      <c r="D443" s="440"/>
      <c r="E443" s="440"/>
      <c r="F443" s="440"/>
      <c r="G443" s="440"/>
      <c r="H443" s="420">
        <f>H444</f>
        <v>24000000</v>
      </c>
    </row>
    <row r="444" spans="1:8" s="566" customFormat="1" ht="16.5" customHeight="1">
      <c r="A444" s="426" t="s">
        <v>903</v>
      </c>
      <c r="B444" s="607"/>
      <c r="C444" s="426">
        <v>799</v>
      </c>
      <c r="D444" s="426">
        <v>280</v>
      </c>
      <c r="E444" s="426">
        <v>281</v>
      </c>
      <c r="F444" s="585">
        <v>7100</v>
      </c>
      <c r="G444" s="426">
        <v>7149</v>
      </c>
      <c r="H444" s="427">
        <v>24000000</v>
      </c>
    </row>
    <row r="445" spans="1:8" s="566" customFormat="1" ht="16.5" customHeight="1">
      <c r="A445" s="404" t="s">
        <v>532</v>
      </c>
      <c r="B445" s="441" t="s">
        <v>568</v>
      </c>
      <c r="C445" s="440"/>
      <c r="D445" s="440"/>
      <c r="E445" s="440"/>
      <c r="F445" s="440"/>
      <c r="G445" s="440"/>
      <c r="H445" s="420">
        <f>SUM(H446:H446)</f>
        <v>24000000</v>
      </c>
    </row>
    <row r="446" spans="1:8" s="566" customFormat="1" ht="16.5" customHeight="1">
      <c r="A446" s="426" t="s">
        <v>903</v>
      </c>
      <c r="B446" s="607"/>
      <c r="C446" s="426">
        <v>799</v>
      </c>
      <c r="D446" s="426">
        <v>280</v>
      </c>
      <c r="E446" s="426">
        <v>281</v>
      </c>
      <c r="F446" s="585">
        <v>7100</v>
      </c>
      <c r="G446" s="426">
        <v>7149</v>
      </c>
      <c r="H446" s="427">
        <v>24000000</v>
      </c>
    </row>
    <row r="447" spans="1:8" s="566" customFormat="1" ht="16.5" customHeight="1">
      <c r="A447" s="404" t="s">
        <v>555</v>
      </c>
      <c r="B447" s="441" t="s">
        <v>581</v>
      </c>
      <c r="C447" s="440"/>
      <c r="D447" s="440"/>
      <c r="E447" s="440"/>
      <c r="F447" s="440"/>
      <c r="G447" s="440"/>
      <c r="H447" s="420">
        <f>H448</f>
        <v>24000000</v>
      </c>
    </row>
    <row r="448" spans="1:8" s="566" customFormat="1" ht="16.5" customHeight="1">
      <c r="A448" s="426" t="s">
        <v>903</v>
      </c>
      <c r="B448" s="607"/>
      <c r="C448" s="426">
        <v>799</v>
      </c>
      <c r="D448" s="426">
        <v>280</v>
      </c>
      <c r="E448" s="426">
        <v>281</v>
      </c>
      <c r="F448" s="585">
        <v>7100</v>
      </c>
      <c r="G448" s="426">
        <v>7149</v>
      </c>
      <c r="H448" s="427">
        <v>24000000</v>
      </c>
    </row>
    <row r="449" spans="1:8" s="566" customFormat="1" ht="26.25" customHeight="1">
      <c r="A449" s="404" t="s">
        <v>556</v>
      </c>
      <c r="B449" s="441" t="s">
        <v>528</v>
      </c>
      <c r="C449" s="440"/>
      <c r="D449" s="440"/>
      <c r="E449" s="440"/>
      <c r="F449" s="440"/>
      <c r="G449" s="440"/>
      <c r="H449" s="420">
        <f>SUM(H450:H450)</f>
        <v>27600000</v>
      </c>
    </row>
    <row r="450" spans="1:8" s="566" customFormat="1" ht="16.5" customHeight="1">
      <c r="A450" s="426" t="s">
        <v>903</v>
      </c>
      <c r="B450" s="607"/>
      <c r="C450" s="426">
        <v>799</v>
      </c>
      <c r="D450" s="426">
        <v>280</v>
      </c>
      <c r="E450" s="426">
        <v>281</v>
      </c>
      <c r="F450" s="585">
        <v>7100</v>
      </c>
      <c r="G450" s="426">
        <v>7149</v>
      </c>
      <c r="H450" s="427">
        <v>27600000</v>
      </c>
    </row>
    <row r="451" spans="1:8" s="566" customFormat="1" ht="16.5" customHeight="1">
      <c r="A451" s="404" t="s">
        <v>557</v>
      </c>
      <c r="B451" s="441" t="s">
        <v>529</v>
      </c>
      <c r="C451" s="440"/>
      <c r="D451" s="440"/>
      <c r="E451" s="440"/>
      <c r="F451" s="440"/>
      <c r="G451" s="440"/>
      <c r="H451" s="420">
        <f>SUM(H452:H452)</f>
        <v>29000000</v>
      </c>
    </row>
    <row r="452" spans="1:8" s="566" customFormat="1" ht="16.5" customHeight="1">
      <c r="A452" s="426" t="s">
        <v>903</v>
      </c>
      <c r="B452" s="607"/>
      <c r="C452" s="426">
        <v>799</v>
      </c>
      <c r="D452" s="426">
        <v>280</v>
      </c>
      <c r="E452" s="426">
        <v>281</v>
      </c>
      <c r="F452" s="426">
        <v>7100</v>
      </c>
      <c r="G452" s="426">
        <v>7149</v>
      </c>
      <c r="H452" s="427">
        <v>29000000</v>
      </c>
    </row>
    <row r="453" spans="1:8" s="566" customFormat="1" ht="16.5" customHeight="1">
      <c r="A453" s="404">
        <v>4</v>
      </c>
      <c r="B453" s="441" t="s">
        <v>582</v>
      </c>
      <c r="C453" s="426"/>
      <c r="D453" s="426"/>
      <c r="E453" s="426"/>
      <c r="F453" s="426"/>
      <c r="G453" s="426"/>
      <c r="H453" s="420">
        <f>H454+H457+H459+H461</f>
        <v>138000000</v>
      </c>
    </row>
    <row r="454" spans="1:8" s="566" customFormat="1" ht="16.5" customHeight="1">
      <c r="A454" s="423" t="s">
        <v>534</v>
      </c>
      <c r="B454" s="609" t="s">
        <v>530</v>
      </c>
      <c r="C454" s="426"/>
      <c r="D454" s="426"/>
      <c r="E454" s="426"/>
      <c r="F454" s="426"/>
      <c r="G454" s="426"/>
      <c r="H454" s="425">
        <f>SUM(H455:H456)</f>
        <v>34500000</v>
      </c>
    </row>
    <row r="455" spans="1:8" s="566" customFormat="1" ht="16.5" customHeight="1">
      <c r="A455" s="426" t="s">
        <v>904</v>
      </c>
      <c r="B455" s="607"/>
      <c r="C455" s="426">
        <v>799</v>
      </c>
      <c r="D455" s="426">
        <v>160</v>
      </c>
      <c r="E455" s="426">
        <v>171</v>
      </c>
      <c r="F455" s="426">
        <v>6550</v>
      </c>
      <c r="G455" s="426">
        <v>6552</v>
      </c>
      <c r="H455" s="427">
        <v>9000000</v>
      </c>
    </row>
    <row r="456" spans="1:8" s="566" customFormat="1" ht="16.5" customHeight="1">
      <c r="A456" s="426" t="s">
        <v>904</v>
      </c>
      <c r="B456" s="607"/>
      <c r="C456" s="426">
        <v>799</v>
      </c>
      <c r="D456" s="426">
        <v>160</v>
      </c>
      <c r="E456" s="426">
        <v>171</v>
      </c>
      <c r="F456" s="585">
        <v>6950</v>
      </c>
      <c r="G456" s="585">
        <v>6999</v>
      </c>
      <c r="H456" s="427">
        <v>25500000</v>
      </c>
    </row>
    <row r="457" spans="1:8" s="566" customFormat="1" ht="16.5" customHeight="1">
      <c r="A457" s="423" t="s">
        <v>535</v>
      </c>
      <c r="B457" s="609" t="s">
        <v>533</v>
      </c>
      <c r="C457" s="426"/>
      <c r="D457" s="426"/>
      <c r="E457" s="426"/>
      <c r="F457" s="426"/>
      <c r="G457" s="426"/>
      <c r="H457" s="425">
        <f>H458</f>
        <v>34500000</v>
      </c>
    </row>
    <row r="458" spans="1:8" s="566" customFormat="1" ht="16.5" customHeight="1">
      <c r="A458" s="426" t="s">
        <v>904</v>
      </c>
      <c r="B458" s="607"/>
      <c r="C458" s="426">
        <v>799</v>
      </c>
      <c r="D458" s="426">
        <v>160</v>
      </c>
      <c r="E458" s="426">
        <v>161</v>
      </c>
      <c r="F458" s="426">
        <v>6950</v>
      </c>
      <c r="G458" s="426">
        <v>6954</v>
      </c>
      <c r="H458" s="427">
        <v>34500000</v>
      </c>
    </row>
    <row r="459" spans="1:8" s="566" customFormat="1" ht="16.5" customHeight="1">
      <c r="A459" s="423" t="s">
        <v>559</v>
      </c>
      <c r="B459" s="609" t="s">
        <v>536</v>
      </c>
      <c r="C459" s="426"/>
      <c r="D459" s="426"/>
      <c r="E459" s="426"/>
      <c r="F459" s="426"/>
      <c r="G459" s="426"/>
      <c r="H459" s="425">
        <f>SUM(H460:H460)</f>
        <v>34500000</v>
      </c>
    </row>
    <row r="460" spans="1:8" s="566" customFormat="1" ht="16.5" customHeight="1">
      <c r="A460" s="426" t="s">
        <v>904</v>
      </c>
      <c r="B460" s="607"/>
      <c r="C460" s="426">
        <v>799</v>
      </c>
      <c r="D460" s="426">
        <v>160</v>
      </c>
      <c r="E460" s="426">
        <v>171</v>
      </c>
      <c r="F460" s="426">
        <v>6550</v>
      </c>
      <c r="G460" s="426">
        <v>6552</v>
      </c>
      <c r="H460" s="427">
        <v>34500000</v>
      </c>
    </row>
    <row r="461" spans="1:8" s="566" customFormat="1" ht="16.5" customHeight="1">
      <c r="A461" s="423" t="s">
        <v>560</v>
      </c>
      <c r="B461" s="609" t="s">
        <v>539</v>
      </c>
      <c r="C461" s="426"/>
      <c r="D461" s="426"/>
      <c r="E461" s="426"/>
      <c r="F461" s="426"/>
      <c r="G461" s="426"/>
      <c r="H461" s="425">
        <f>H462</f>
        <v>34500000</v>
      </c>
    </row>
    <row r="462" spans="1:8" s="566" customFormat="1" ht="16.5" customHeight="1">
      <c r="A462" s="426" t="s">
        <v>904</v>
      </c>
      <c r="B462" s="607"/>
      <c r="C462" s="426">
        <v>799</v>
      </c>
      <c r="D462" s="426">
        <v>160</v>
      </c>
      <c r="E462" s="426">
        <v>171</v>
      </c>
      <c r="F462" s="426">
        <v>6550</v>
      </c>
      <c r="G462" s="426">
        <v>6552</v>
      </c>
      <c r="H462" s="427">
        <v>34500000</v>
      </c>
    </row>
    <row r="463" spans="1:8" s="566" customFormat="1" ht="16.5" customHeight="1">
      <c r="A463" s="404">
        <v>5</v>
      </c>
      <c r="B463" s="441" t="s">
        <v>584</v>
      </c>
      <c r="C463" s="426"/>
      <c r="D463" s="426"/>
      <c r="E463" s="426"/>
      <c r="F463" s="426"/>
      <c r="G463" s="426"/>
      <c r="H463" s="420">
        <f>H464+H470</f>
        <v>57702000</v>
      </c>
    </row>
    <row r="464" spans="1:10" s="566" customFormat="1" ht="16.5" customHeight="1">
      <c r="A464" s="404" t="s">
        <v>537</v>
      </c>
      <c r="B464" s="441" t="s">
        <v>585</v>
      </c>
      <c r="C464" s="426"/>
      <c r="D464" s="426"/>
      <c r="E464" s="426"/>
      <c r="F464" s="426"/>
      <c r="G464" s="426"/>
      <c r="H464" s="420">
        <f>H465</f>
        <v>23106000</v>
      </c>
      <c r="J464" s="568">
        <f>H464+H471</f>
        <v>30702000</v>
      </c>
    </row>
    <row r="465" spans="1:11" s="566" customFormat="1" ht="16.5" customHeight="1">
      <c r="A465" s="426"/>
      <c r="B465" s="609" t="s">
        <v>583</v>
      </c>
      <c r="C465" s="426"/>
      <c r="D465" s="426"/>
      <c r="E465" s="426"/>
      <c r="F465" s="426"/>
      <c r="G465" s="426"/>
      <c r="H465" s="425">
        <f>SUM(H466:H469)</f>
        <v>23106000</v>
      </c>
      <c r="J465" s="566">
        <v>23106000</v>
      </c>
      <c r="K465" s="568">
        <f>H465+1894000</f>
        <v>25000000</v>
      </c>
    </row>
    <row r="466" spans="1:11" s="566" customFormat="1" ht="16.5" customHeight="1">
      <c r="A466" s="426" t="s">
        <v>905</v>
      </c>
      <c r="B466" s="609"/>
      <c r="C466" s="426">
        <v>624</v>
      </c>
      <c r="D466" s="426">
        <v>370</v>
      </c>
      <c r="E466" s="426">
        <v>398</v>
      </c>
      <c r="F466" s="426">
        <v>6650</v>
      </c>
      <c r="G466" s="426">
        <v>6658</v>
      </c>
      <c r="H466" s="427">
        <v>13500000</v>
      </c>
      <c r="K466" s="568">
        <f>H471+12404000</f>
        <v>20000000</v>
      </c>
    </row>
    <row r="467" spans="1:8" s="566" customFormat="1" ht="16.5" customHeight="1">
      <c r="A467" s="426" t="s">
        <v>905</v>
      </c>
      <c r="B467" s="609"/>
      <c r="C467" s="426">
        <v>624</v>
      </c>
      <c r="D467" s="426">
        <v>370</v>
      </c>
      <c r="E467" s="426">
        <v>398</v>
      </c>
      <c r="F467" s="426">
        <v>6650</v>
      </c>
      <c r="G467" s="426">
        <v>6652</v>
      </c>
      <c r="H467" s="427">
        <v>1200000</v>
      </c>
    </row>
    <row r="468" spans="1:8" s="566" customFormat="1" ht="12.75">
      <c r="A468" s="426" t="s">
        <v>905</v>
      </c>
      <c r="B468" s="609"/>
      <c r="C468" s="426">
        <v>624</v>
      </c>
      <c r="D468" s="426">
        <v>370</v>
      </c>
      <c r="E468" s="426">
        <v>398</v>
      </c>
      <c r="F468" s="426">
        <v>6650</v>
      </c>
      <c r="G468" s="426">
        <v>6651</v>
      </c>
      <c r="H468" s="427">
        <v>1350000</v>
      </c>
    </row>
    <row r="469" spans="1:8" s="566" customFormat="1" ht="12.75">
      <c r="A469" s="426" t="s">
        <v>905</v>
      </c>
      <c r="B469" s="609"/>
      <c r="C469" s="426">
        <v>624</v>
      </c>
      <c r="D469" s="426">
        <v>370</v>
      </c>
      <c r="E469" s="426">
        <v>398</v>
      </c>
      <c r="F469" s="426">
        <v>6650</v>
      </c>
      <c r="G469" s="426">
        <v>6699</v>
      </c>
      <c r="H469" s="427">
        <v>7056000</v>
      </c>
    </row>
    <row r="470" spans="1:8" s="566" customFormat="1" ht="12.75">
      <c r="A470" s="404" t="s">
        <v>538</v>
      </c>
      <c r="B470" s="441" t="s">
        <v>586</v>
      </c>
      <c r="C470" s="426"/>
      <c r="D470" s="426"/>
      <c r="E470" s="426"/>
      <c r="F470" s="426"/>
      <c r="G470" s="426"/>
      <c r="H470" s="420">
        <f>H471+H474+H477+H480+H483+H486+H489+H491+H494+H497</f>
        <v>34596000</v>
      </c>
    </row>
    <row r="471" spans="1:10" s="566" customFormat="1" ht="12.75">
      <c r="A471" s="423" t="s">
        <v>587</v>
      </c>
      <c r="B471" s="609" t="s">
        <v>583</v>
      </c>
      <c r="C471" s="426"/>
      <c r="D471" s="426"/>
      <c r="E471" s="426"/>
      <c r="F471" s="426"/>
      <c r="G471" s="426"/>
      <c r="H471" s="425">
        <f>SUM(H472:H473)</f>
        <v>7596000</v>
      </c>
      <c r="J471" s="566">
        <v>7596000</v>
      </c>
    </row>
    <row r="472" spans="1:8" s="566" customFormat="1" ht="12.75">
      <c r="A472" s="426" t="s">
        <v>905</v>
      </c>
      <c r="B472" s="609"/>
      <c r="C472" s="426">
        <v>624</v>
      </c>
      <c r="D472" s="426">
        <v>370</v>
      </c>
      <c r="E472" s="426">
        <v>398</v>
      </c>
      <c r="F472" s="426">
        <v>6500</v>
      </c>
      <c r="G472" s="426">
        <v>6505</v>
      </c>
      <c r="H472" s="427">
        <v>3696000</v>
      </c>
    </row>
    <row r="473" spans="1:8" s="566" customFormat="1" ht="12.75">
      <c r="A473" s="426" t="s">
        <v>905</v>
      </c>
      <c r="B473" s="609"/>
      <c r="C473" s="426">
        <v>624</v>
      </c>
      <c r="D473" s="426">
        <v>370</v>
      </c>
      <c r="E473" s="426">
        <v>398</v>
      </c>
      <c r="F473" s="426">
        <v>6700</v>
      </c>
      <c r="G473" s="426">
        <v>6702</v>
      </c>
      <c r="H473" s="427">
        <v>3900000</v>
      </c>
    </row>
    <row r="474" spans="1:8" s="566" customFormat="1" ht="12.75">
      <c r="A474" s="423" t="s">
        <v>588</v>
      </c>
      <c r="B474" s="609" t="s">
        <v>580</v>
      </c>
      <c r="C474" s="423"/>
      <c r="D474" s="423"/>
      <c r="E474" s="423"/>
      <c r="F474" s="423"/>
      <c r="G474" s="423"/>
      <c r="H474" s="425">
        <f>SUM(H475:H476)</f>
        <v>3000000</v>
      </c>
    </row>
    <row r="475" spans="1:8" s="566" customFormat="1" ht="12.75">
      <c r="A475" s="426" t="s">
        <v>905</v>
      </c>
      <c r="B475" s="607"/>
      <c r="C475" s="426">
        <v>799</v>
      </c>
      <c r="D475" s="426">
        <v>280</v>
      </c>
      <c r="E475" s="426">
        <v>338</v>
      </c>
      <c r="F475" s="426">
        <v>6650</v>
      </c>
      <c r="G475" s="426">
        <v>6658</v>
      </c>
      <c r="H475" s="427">
        <v>1600000</v>
      </c>
    </row>
    <row r="476" spans="1:8" s="566" customFormat="1" ht="12.75">
      <c r="A476" s="426" t="s">
        <v>905</v>
      </c>
      <c r="B476" s="607"/>
      <c r="C476" s="426">
        <v>799</v>
      </c>
      <c r="D476" s="426">
        <v>280</v>
      </c>
      <c r="E476" s="426">
        <v>338</v>
      </c>
      <c r="F476" s="426">
        <v>6650</v>
      </c>
      <c r="G476" s="426">
        <v>6699</v>
      </c>
      <c r="H476" s="427">
        <v>1400000</v>
      </c>
    </row>
    <row r="477" spans="1:8" ht="12.75">
      <c r="A477" s="423" t="s">
        <v>589</v>
      </c>
      <c r="B477" s="609" t="s">
        <v>568</v>
      </c>
      <c r="C477" s="426"/>
      <c r="D477" s="426"/>
      <c r="E477" s="426"/>
      <c r="F477" s="426"/>
      <c r="G477" s="426"/>
      <c r="H477" s="425">
        <f>SUM(H478:H479)</f>
        <v>3000000</v>
      </c>
    </row>
    <row r="478" spans="1:8" s="566" customFormat="1" ht="12.75">
      <c r="A478" s="426" t="s">
        <v>905</v>
      </c>
      <c r="B478" s="607"/>
      <c r="C478" s="426">
        <v>799</v>
      </c>
      <c r="D478" s="426">
        <v>280</v>
      </c>
      <c r="E478" s="426">
        <v>338</v>
      </c>
      <c r="F478" s="426">
        <v>6650</v>
      </c>
      <c r="G478" s="426">
        <v>6658</v>
      </c>
      <c r="H478" s="427">
        <v>1400000</v>
      </c>
    </row>
    <row r="479" spans="1:8" s="566" customFormat="1" ht="12.75">
      <c r="A479" s="426" t="s">
        <v>905</v>
      </c>
      <c r="B479" s="607"/>
      <c r="C479" s="426">
        <v>799</v>
      </c>
      <c r="D479" s="426">
        <v>280</v>
      </c>
      <c r="E479" s="426">
        <v>338</v>
      </c>
      <c r="F479" s="426">
        <v>6650</v>
      </c>
      <c r="G479" s="426">
        <v>6699</v>
      </c>
      <c r="H479" s="427">
        <v>1600000</v>
      </c>
    </row>
    <row r="480" spans="1:8" s="566" customFormat="1" ht="12.75">
      <c r="A480" s="423" t="s">
        <v>590</v>
      </c>
      <c r="B480" s="609" t="s">
        <v>529</v>
      </c>
      <c r="C480" s="423"/>
      <c r="D480" s="423"/>
      <c r="E480" s="423"/>
      <c r="F480" s="423"/>
      <c r="G480" s="423"/>
      <c r="H480" s="425">
        <f>SUM(H481:H482)</f>
        <v>3000000</v>
      </c>
    </row>
    <row r="481" spans="1:8" ht="12.75">
      <c r="A481" s="426" t="s">
        <v>905</v>
      </c>
      <c r="B481" s="607"/>
      <c r="C481" s="426">
        <v>799</v>
      </c>
      <c r="D481" s="426">
        <v>280</v>
      </c>
      <c r="E481" s="426">
        <v>338</v>
      </c>
      <c r="F481" s="426">
        <v>6650</v>
      </c>
      <c r="G481" s="426">
        <v>6658</v>
      </c>
      <c r="H481" s="427">
        <v>2400000</v>
      </c>
    </row>
    <row r="482" spans="1:8" s="566" customFormat="1" ht="12.75">
      <c r="A482" s="426" t="s">
        <v>905</v>
      </c>
      <c r="B482" s="607"/>
      <c r="C482" s="426">
        <v>799</v>
      </c>
      <c r="D482" s="426">
        <v>280</v>
      </c>
      <c r="E482" s="426">
        <v>338</v>
      </c>
      <c r="F482" s="426">
        <v>6650</v>
      </c>
      <c r="G482" s="426">
        <v>6699</v>
      </c>
      <c r="H482" s="427">
        <v>600000</v>
      </c>
    </row>
    <row r="483" spans="1:8" s="566" customFormat="1" ht="12.75">
      <c r="A483" s="423" t="s">
        <v>591</v>
      </c>
      <c r="B483" s="609" t="s">
        <v>581</v>
      </c>
      <c r="C483" s="423"/>
      <c r="D483" s="423"/>
      <c r="E483" s="423"/>
      <c r="F483" s="423"/>
      <c r="G483" s="423"/>
      <c r="H483" s="425">
        <f>SUM(H484:H485)</f>
        <v>3000000</v>
      </c>
    </row>
    <row r="484" spans="1:8" s="566" customFormat="1" ht="12.75">
      <c r="A484" s="426" t="s">
        <v>905</v>
      </c>
      <c r="B484" s="607"/>
      <c r="C484" s="426">
        <v>799</v>
      </c>
      <c r="D484" s="426">
        <v>280</v>
      </c>
      <c r="E484" s="426">
        <v>338</v>
      </c>
      <c r="F484" s="426">
        <v>6650</v>
      </c>
      <c r="G484" s="426">
        <v>6658</v>
      </c>
      <c r="H484" s="427">
        <v>1200000</v>
      </c>
    </row>
    <row r="485" spans="1:8" s="566" customFormat="1" ht="12.75">
      <c r="A485" s="426" t="s">
        <v>905</v>
      </c>
      <c r="B485" s="607"/>
      <c r="C485" s="426">
        <v>799</v>
      </c>
      <c r="D485" s="426">
        <v>280</v>
      </c>
      <c r="E485" s="426">
        <v>338</v>
      </c>
      <c r="F485" s="426">
        <v>6650</v>
      </c>
      <c r="G485" s="426">
        <v>6699</v>
      </c>
      <c r="H485" s="427">
        <v>1800000</v>
      </c>
    </row>
    <row r="486" spans="1:8" s="566" customFormat="1" ht="12.75">
      <c r="A486" s="423" t="s">
        <v>592</v>
      </c>
      <c r="B486" s="609" t="s">
        <v>528</v>
      </c>
      <c r="C486" s="423"/>
      <c r="D486" s="423"/>
      <c r="E486" s="423"/>
      <c r="F486" s="423"/>
      <c r="G486" s="423"/>
      <c r="H486" s="425">
        <f>SUM(H487:H488)</f>
        <v>3000000</v>
      </c>
    </row>
    <row r="487" spans="1:8" s="566" customFormat="1" ht="12.75">
      <c r="A487" s="426" t="s">
        <v>905</v>
      </c>
      <c r="B487" s="607"/>
      <c r="C487" s="426">
        <v>799</v>
      </c>
      <c r="D487" s="426">
        <v>280</v>
      </c>
      <c r="E487" s="426">
        <v>338</v>
      </c>
      <c r="F487" s="426">
        <v>6650</v>
      </c>
      <c r="G487" s="426">
        <v>6699</v>
      </c>
      <c r="H487" s="427">
        <v>1800000</v>
      </c>
    </row>
    <row r="488" spans="1:8" s="566" customFormat="1" ht="12.75">
      <c r="A488" s="426" t="s">
        <v>905</v>
      </c>
      <c r="B488" s="607"/>
      <c r="C488" s="426">
        <v>799</v>
      </c>
      <c r="D488" s="426">
        <v>280</v>
      </c>
      <c r="E488" s="426">
        <v>338</v>
      </c>
      <c r="F488" s="426">
        <v>6650</v>
      </c>
      <c r="G488" s="426">
        <v>6658</v>
      </c>
      <c r="H488" s="427">
        <v>1200000</v>
      </c>
    </row>
    <row r="489" spans="1:8" s="566" customFormat="1" ht="12.75">
      <c r="A489" s="423" t="s">
        <v>593</v>
      </c>
      <c r="B489" s="609" t="s">
        <v>530</v>
      </c>
      <c r="C489" s="423"/>
      <c r="D489" s="423"/>
      <c r="E489" s="423"/>
      <c r="F489" s="423"/>
      <c r="G489" s="423"/>
      <c r="H489" s="425">
        <f>SUM(H490:H490)</f>
        <v>3000000</v>
      </c>
    </row>
    <row r="490" spans="1:8" s="566" customFormat="1" ht="12.75">
      <c r="A490" s="426" t="s">
        <v>905</v>
      </c>
      <c r="B490" s="607"/>
      <c r="C490" s="426">
        <v>799</v>
      </c>
      <c r="D490" s="426">
        <v>280</v>
      </c>
      <c r="E490" s="426">
        <v>338</v>
      </c>
      <c r="F490" s="426">
        <v>6650</v>
      </c>
      <c r="G490" s="426">
        <v>6699</v>
      </c>
      <c r="H490" s="427">
        <v>3000000</v>
      </c>
    </row>
    <row r="491" spans="1:8" s="566" customFormat="1" ht="12.75">
      <c r="A491" s="423" t="s">
        <v>594</v>
      </c>
      <c r="B491" s="609" t="s">
        <v>533</v>
      </c>
      <c r="C491" s="611"/>
      <c r="D491" s="611"/>
      <c r="E491" s="611"/>
      <c r="F491" s="611"/>
      <c r="G491" s="611"/>
      <c r="H491" s="425">
        <f>SUM(H492:H493)</f>
        <v>3000000</v>
      </c>
    </row>
    <row r="492" spans="1:8" s="566" customFormat="1" ht="12.75">
      <c r="A492" s="426" t="s">
        <v>905</v>
      </c>
      <c r="B492" s="607"/>
      <c r="C492" s="426">
        <v>799</v>
      </c>
      <c r="D492" s="426">
        <v>280</v>
      </c>
      <c r="E492" s="426">
        <v>338</v>
      </c>
      <c r="F492" s="426">
        <v>6650</v>
      </c>
      <c r="G492" s="426">
        <v>6699</v>
      </c>
      <c r="H492" s="427">
        <v>1600000</v>
      </c>
    </row>
    <row r="493" spans="1:8" s="566" customFormat="1" ht="12.75">
      <c r="A493" s="426" t="s">
        <v>905</v>
      </c>
      <c r="B493" s="607"/>
      <c r="C493" s="426">
        <v>799</v>
      </c>
      <c r="D493" s="426">
        <v>280</v>
      </c>
      <c r="E493" s="426">
        <v>338</v>
      </c>
      <c r="F493" s="426">
        <v>6650</v>
      </c>
      <c r="G493" s="426">
        <v>6651</v>
      </c>
      <c r="H493" s="427">
        <v>1400000</v>
      </c>
    </row>
    <row r="494" spans="1:8" s="566" customFormat="1" ht="12.75">
      <c r="A494" s="423" t="s">
        <v>595</v>
      </c>
      <c r="B494" s="609" t="s">
        <v>536</v>
      </c>
      <c r="C494" s="611"/>
      <c r="D494" s="611"/>
      <c r="E494" s="611"/>
      <c r="F494" s="612"/>
      <c r="G494" s="612"/>
      <c r="H494" s="425">
        <f>SUM(H495:H496)</f>
        <v>3000000</v>
      </c>
    </row>
    <row r="495" spans="1:8" s="566" customFormat="1" ht="12.75">
      <c r="A495" s="426" t="s">
        <v>905</v>
      </c>
      <c r="B495" s="607"/>
      <c r="C495" s="426">
        <v>799</v>
      </c>
      <c r="D495" s="426">
        <v>280</v>
      </c>
      <c r="E495" s="426">
        <v>338</v>
      </c>
      <c r="F495" s="426">
        <v>6650</v>
      </c>
      <c r="G495" s="426">
        <v>6658</v>
      </c>
      <c r="H495" s="427">
        <v>1400000</v>
      </c>
    </row>
    <row r="496" spans="1:8" ht="12.75">
      <c r="A496" s="426" t="s">
        <v>905</v>
      </c>
      <c r="B496" s="607"/>
      <c r="C496" s="426">
        <v>799</v>
      </c>
      <c r="D496" s="426">
        <v>280</v>
      </c>
      <c r="E496" s="426">
        <v>338</v>
      </c>
      <c r="F496" s="426">
        <v>6650</v>
      </c>
      <c r="G496" s="426">
        <v>6699</v>
      </c>
      <c r="H496" s="427">
        <v>1600000</v>
      </c>
    </row>
    <row r="497" spans="1:8" s="566" customFormat="1" ht="16.5" customHeight="1">
      <c r="A497" s="423" t="s">
        <v>596</v>
      </c>
      <c r="B497" s="609" t="s">
        <v>539</v>
      </c>
      <c r="C497" s="611"/>
      <c r="D497" s="611"/>
      <c r="E497" s="611"/>
      <c r="F497" s="613"/>
      <c r="G497" s="613"/>
      <c r="H497" s="425">
        <f>SUM(H498:H499)</f>
        <v>3000000</v>
      </c>
    </row>
    <row r="498" spans="1:8" ht="12.75">
      <c r="A498" s="426" t="s">
        <v>905</v>
      </c>
      <c r="B498" s="607"/>
      <c r="C498" s="426">
        <v>799</v>
      </c>
      <c r="D498" s="426">
        <v>280</v>
      </c>
      <c r="E498" s="426">
        <v>332</v>
      </c>
      <c r="F498" s="426">
        <v>6650</v>
      </c>
      <c r="G498" s="426">
        <v>6658</v>
      </c>
      <c r="H498" s="427">
        <v>1000000</v>
      </c>
    </row>
    <row r="499" spans="1:8" s="566" customFormat="1" ht="16.5" customHeight="1">
      <c r="A499" s="426" t="s">
        <v>905</v>
      </c>
      <c r="B499" s="614"/>
      <c r="C499" s="426">
        <v>799</v>
      </c>
      <c r="D499" s="426">
        <v>280</v>
      </c>
      <c r="E499" s="426">
        <v>332</v>
      </c>
      <c r="F499" s="426">
        <v>6650</v>
      </c>
      <c r="G499" s="615">
        <v>6699</v>
      </c>
      <c r="H499" s="616">
        <v>2000000</v>
      </c>
    </row>
    <row r="500" spans="1:8" ht="12.75">
      <c r="A500" s="617"/>
      <c r="B500" s="265"/>
      <c r="C500" s="618"/>
      <c r="D500" s="618"/>
      <c r="E500" s="618"/>
      <c r="F500" s="619"/>
      <c r="G500" s="619"/>
      <c r="H500" s="266"/>
    </row>
    <row r="501" spans="2:8" ht="12.75">
      <c r="B501" s="620"/>
      <c r="F501" s="566"/>
      <c r="G501" s="566"/>
      <c r="H501" s="566"/>
    </row>
    <row r="504" spans="4:8" ht="15">
      <c r="D504" s="443" t="s">
        <v>955</v>
      </c>
      <c r="E504" s="443"/>
      <c r="F504" s="443"/>
      <c r="G504" s="443"/>
      <c r="H504" s="443"/>
    </row>
    <row r="505" spans="3:8" ht="15.75">
      <c r="C505" s="759" t="s">
        <v>282</v>
      </c>
      <c r="D505" s="759"/>
      <c r="E505" s="759"/>
      <c r="F505" s="759"/>
      <c r="G505" s="759"/>
      <c r="H505" s="759"/>
    </row>
    <row r="506" spans="3:8" ht="15.75">
      <c r="C506" s="759" t="s">
        <v>285</v>
      </c>
      <c r="D506" s="759"/>
      <c r="E506" s="759"/>
      <c r="F506" s="759"/>
      <c r="G506" s="759"/>
      <c r="H506" s="759"/>
    </row>
  </sheetData>
  <sheetProtection/>
  <mergeCells count="5">
    <mergeCell ref="A3:H3"/>
    <mergeCell ref="A4:H4"/>
    <mergeCell ref="A7:B7"/>
    <mergeCell ref="C505:H505"/>
    <mergeCell ref="C506:H506"/>
  </mergeCells>
  <printOptions/>
  <pageMargins left="0.59" right="0.24" top="0.6" bottom="0.47" header="0.28" footer="0.31"/>
  <pageSetup blackAndWhite="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R39"/>
  <sheetViews>
    <sheetView zoomScalePageLayoutView="0" workbookViewId="0" topLeftCell="A17">
      <selection activeCell="E17" sqref="E17"/>
    </sheetView>
  </sheetViews>
  <sheetFormatPr defaultColWidth="9.33203125" defaultRowHeight="12.75"/>
  <cols>
    <col min="1" max="1" width="7.16015625" style="0" customWidth="1"/>
    <col min="2" max="2" width="45.16015625" style="0" customWidth="1"/>
    <col min="3" max="3" width="17.66015625" style="148" customWidth="1"/>
    <col min="4" max="4" width="16.16015625" style="148" customWidth="1"/>
    <col min="5" max="5" width="17.16015625" style="148" customWidth="1"/>
    <col min="6" max="6" width="17.5" style="148" customWidth="1"/>
    <col min="7" max="7" width="33" style="0" customWidth="1"/>
    <col min="8" max="8" width="15.5" style="249" customWidth="1"/>
    <col min="9" max="9" width="15.33203125" style="249" customWidth="1"/>
    <col min="10" max="10" width="16.16015625" style="249" customWidth="1"/>
    <col min="11" max="11" width="16.33203125" style="249" customWidth="1"/>
    <col min="12" max="13" width="17" style="250" customWidth="1"/>
    <col min="14" max="18" width="9.33203125" style="250" customWidth="1"/>
  </cols>
  <sheetData>
    <row r="1" ht="12.75">
      <c r="G1" s="21" t="s">
        <v>597</v>
      </c>
    </row>
    <row r="2" ht="12.75"/>
    <row r="3" spans="1:7" ht="12.75">
      <c r="A3" s="761" t="s">
        <v>997</v>
      </c>
      <c r="B3" s="761"/>
      <c r="C3" s="761"/>
      <c r="D3" s="761"/>
      <c r="E3" s="761"/>
      <c r="F3" s="761"/>
      <c r="G3" s="761"/>
    </row>
    <row r="4" spans="1:7" ht="12.75" hidden="1">
      <c r="A4" s="727" t="s">
        <v>501</v>
      </c>
      <c r="B4" s="727"/>
      <c r="C4" s="727"/>
      <c r="D4" s="727"/>
      <c r="E4" s="727"/>
      <c r="F4" s="727"/>
      <c r="G4" s="727"/>
    </row>
    <row r="5" ht="12.75"/>
    <row r="6" ht="12.75">
      <c r="G6" s="251" t="s">
        <v>247</v>
      </c>
    </row>
    <row r="7" spans="1:7" ht="18" customHeight="1">
      <c r="A7" s="744" t="s">
        <v>3</v>
      </c>
      <c r="B7" s="732" t="s">
        <v>289</v>
      </c>
      <c r="C7" s="733" t="s">
        <v>249</v>
      </c>
      <c r="D7" s="733" t="s">
        <v>598</v>
      </c>
      <c r="E7" s="733"/>
      <c r="F7" s="733"/>
      <c r="G7" s="732" t="s">
        <v>599</v>
      </c>
    </row>
    <row r="8" spans="1:12" ht="25.5" customHeight="1">
      <c r="A8" s="744"/>
      <c r="B8" s="732"/>
      <c r="C8" s="733"/>
      <c r="D8" s="172" t="s">
        <v>508</v>
      </c>
      <c r="E8" s="172" t="s">
        <v>509</v>
      </c>
      <c r="F8" s="172" t="s">
        <v>510</v>
      </c>
      <c r="G8" s="732"/>
      <c r="H8" s="762" t="s">
        <v>600</v>
      </c>
      <c r="I8" s="763"/>
      <c r="J8" s="763"/>
      <c r="K8" s="763"/>
      <c r="L8" s="763"/>
    </row>
    <row r="9" spans="1:13" ht="12.75">
      <c r="A9" s="23" t="s">
        <v>297</v>
      </c>
      <c r="B9" s="23" t="s">
        <v>298</v>
      </c>
      <c r="C9" s="152" t="s">
        <v>601</v>
      </c>
      <c r="D9" s="152">
        <v>2</v>
      </c>
      <c r="E9" s="152">
        <v>3</v>
      </c>
      <c r="F9" s="152">
        <v>4</v>
      </c>
      <c r="G9" s="23">
        <v>5</v>
      </c>
      <c r="H9" s="764" t="s">
        <v>602</v>
      </c>
      <c r="I9" s="765"/>
      <c r="J9" s="765" t="s">
        <v>603</v>
      </c>
      <c r="K9" s="765"/>
      <c r="L9" s="765" t="s">
        <v>604</v>
      </c>
      <c r="M9" s="765"/>
    </row>
    <row r="10" spans="1:13" ht="25.5">
      <c r="A10" s="26"/>
      <c r="B10" s="25" t="s">
        <v>605</v>
      </c>
      <c r="C10" s="203">
        <f>+C11+C15+C23+C27+C30</f>
        <v>3091493235</v>
      </c>
      <c r="D10" s="203">
        <f>+D11+D15+D23+D27+D30</f>
        <v>0</v>
      </c>
      <c r="E10" s="203">
        <f>+E11+E15+E23+E27+E30</f>
        <v>920472885</v>
      </c>
      <c r="F10" s="203">
        <f>+F11+F15+F23+F27+F30</f>
        <v>2171020350</v>
      </c>
      <c r="G10" s="26"/>
      <c r="H10" s="252" t="s">
        <v>606</v>
      </c>
      <c r="I10" s="252" t="s">
        <v>607</v>
      </c>
      <c r="J10" s="252" t="s">
        <v>606</v>
      </c>
      <c r="K10" s="252" t="s">
        <v>607</v>
      </c>
      <c r="L10" s="252" t="s">
        <v>606</v>
      </c>
      <c r="M10" s="252" t="s">
        <v>607</v>
      </c>
    </row>
    <row r="11" spans="1:18" s="247" customFormat="1" ht="12.75">
      <c r="A11" s="29">
        <v>1</v>
      </c>
      <c r="B11" s="30" t="s">
        <v>608</v>
      </c>
      <c r="C11" s="203">
        <f>+C12</f>
        <v>551068350</v>
      </c>
      <c r="D11" s="203">
        <f>+D12</f>
        <v>0</v>
      </c>
      <c r="E11" s="203">
        <f>E12</f>
        <v>0</v>
      </c>
      <c r="F11" s="203">
        <f>F12</f>
        <v>551068350</v>
      </c>
      <c r="G11" s="29"/>
      <c r="H11" s="253">
        <f>'62-H-N'!C43-I11</f>
        <v>28550110000</v>
      </c>
      <c r="I11" s="253">
        <f>31688890000+166000000+247000000+72000000</f>
        <v>32173890000</v>
      </c>
      <c r="J11" s="253">
        <f>'62-H-N'!O43</f>
        <v>29470582885</v>
      </c>
      <c r="K11" s="253">
        <f>'62-H-N'!P43</f>
        <v>34344910350</v>
      </c>
      <c r="L11" s="260">
        <f>J11-H11</f>
        <v>920472885</v>
      </c>
      <c r="M11" s="260">
        <f>K11-I11</f>
        <v>2171020350</v>
      </c>
      <c r="N11" s="260"/>
      <c r="O11" s="260"/>
      <c r="P11" s="260"/>
      <c r="Q11" s="260"/>
      <c r="R11" s="260"/>
    </row>
    <row r="12" spans="1:18" s="248" customFormat="1" ht="12.75">
      <c r="A12" s="27"/>
      <c r="B12" s="383" t="s">
        <v>609</v>
      </c>
      <c r="C12" s="216">
        <f>SUM(D12:F12)</f>
        <v>551068350</v>
      </c>
      <c r="D12" s="157"/>
      <c r="E12" s="216"/>
      <c r="F12" s="216">
        <f>707730000-156661650</f>
        <v>551068350</v>
      </c>
      <c r="G12" s="27"/>
      <c r="H12" s="252"/>
      <c r="I12" s="252"/>
      <c r="J12" s="249"/>
      <c r="K12" s="249"/>
      <c r="L12" s="261"/>
      <c r="M12" s="261"/>
      <c r="N12" s="261"/>
      <c r="O12" s="261"/>
      <c r="P12" s="261"/>
      <c r="Q12" s="261"/>
      <c r="R12" s="261"/>
    </row>
    <row r="13" spans="1:7" ht="12.75">
      <c r="A13" s="27"/>
      <c r="B13" s="28"/>
      <c r="C13" s="216">
        <f>SUM(D13:F13)</f>
        <v>0</v>
      </c>
      <c r="D13" s="157"/>
      <c r="E13" s="157"/>
      <c r="F13" s="157"/>
      <c r="G13" s="27"/>
    </row>
    <row r="14" spans="1:7" ht="12.75">
      <c r="A14" s="27"/>
      <c r="B14" s="28"/>
      <c r="C14" s="216">
        <f>SUM(D14:F14)</f>
        <v>0</v>
      </c>
      <c r="D14" s="157"/>
      <c r="E14" s="157"/>
      <c r="F14" s="157"/>
      <c r="G14" s="27"/>
    </row>
    <row r="15" spans="1:18" s="247" customFormat="1" ht="25.5">
      <c r="A15" s="29">
        <v>2</v>
      </c>
      <c r="B15" s="30" t="s">
        <v>610</v>
      </c>
      <c r="C15" s="203">
        <f>SUM(C16:C22)</f>
        <v>2540424885</v>
      </c>
      <c r="D15" s="203">
        <f>SUM(D16:D22)</f>
        <v>0</v>
      </c>
      <c r="E15" s="203">
        <f>SUM(E16:E22)</f>
        <v>920472885</v>
      </c>
      <c r="F15" s="203">
        <f>SUM(F16:F22)</f>
        <v>1619952000</v>
      </c>
      <c r="G15" s="29"/>
      <c r="H15" s="253"/>
      <c r="I15" s="253"/>
      <c r="J15" s="253"/>
      <c r="K15" s="253"/>
      <c r="L15" s="260">
        <f>E10-L11</f>
        <v>0</v>
      </c>
      <c r="M15" s="260">
        <f>F10-M11</f>
        <v>0</v>
      </c>
      <c r="N15" s="260"/>
      <c r="O15" s="260"/>
      <c r="P15" s="260"/>
      <c r="Q15" s="260"/>
      <c r="R15" s="260"/>
    </row>
    <row r="16" spans="1:7" ht="12.75">
      <c r="A16" s="27"/>
      <c r="B16" s="28" t="s">
        <v>611</v>
      </c>
      <c r="C16" s="157">
        <f aca="true" t="shared" si="0" ref="C16:C22">SUM(D16:F16)</f>
        <v>18000000</v>
      </c>
      <c r="D16" s="157"/>
      <c r="E16" s="157"/>
      <c r="F16" s="157">
        <v>18000000</v>
      </c>
      <c r="G16" s="27"/>
    </row>
    <row r="17" spans="1:7" ht="12.75">
      <c r="A17" s="27"/>
      <c r="B17" s="28" t="s">
        <v>612</v>
      </c>
      <c r="C17" s="157">
        <f t="shared" si="0"/>
        <v>250090000</v>
      </c>
      <c r="D17" s="157"/>
      <c r="E17" s="157">
        <v>69940000</v>
      </c>
      <c r="F17" s="157">
        <v>180150000</v>
      </c>
      <c r="G17" s="27"/>
    </row>
    <row r="18" spans="1:7" ht="12.75">
      <c r="A18" s="447"/>
      <c r="B18" s="28" t="s">
        <v>998</v>
      </c>
      <c r="C18" s="540">
        <f t="shared" si="0"/>
        <v>2636000000</v>
      </c>
      <c r="D18" s="446"/>
      <c r="E18" s="446">
        <f>1250000000</f>
        <v>1250000000</v>
      </c>
      <c r="F18" s="446">
        <v>1386000000</v>
      </c>
      <c r="G18" s="447"/>
    </row>
    <row r="19" spans="1:7" ht="25.5">
      <c r="A19" s="447"/>
      <c r="B19" s="28" t="s">
        <v>999</v>
      </c>
      <c r="C19" s="540">
        <f t="shared" si="0"/>
        <v>65092000</v>
      </c>
      <c r="D19" s="446"/>
      <c r="E19" s="446">
        <v>29290000</v>
      </c>
      <c r="F19" s="446">
        <v>35802000</v>
      </c>
      <c r="G19" s="447"/>
    </row>
    <row r="20" spans="1:7" ht="12.75">
      <c r="A20" s="447"/>
      <c r="B20" s="28" t="s">
        <v>1000</v>
      </c>
      <c r="C20" s="540">
        <f t="shared" si="0"/>
        <v>-428757115</v>
      </c>
      <c r="D20" s="446"/>
      <c r="E20" s="216">
        <v>-428757115</v>
      </c>
      <c r="F20" s="446"/>
      <c r="G20" s="447"/>
    </row>
    <row r="21" spans="1:7" ht="12.75">
      <c r="A21" s="447"/>
      <c r="B21" s="28"/>
      <c r="C21" s="540">
        <f t="shared" si="0"/>
        <v>0</v>
      </c>
      <c r="D21" s="446"/>
      <c r="E21" s="446"/>
      <c r="F21" s="446"/>
      <c r="G21" s="447"/>
    </row>
    <row r="22" spans="1:7" ht="12.75">
      <c r="A22" s="27"/>
      <c r="B22" s="28"/>
      <c r="C22" s="157">
        <f t="shared" si="0"/>
        <v>0</v>
      </c>
      <c r="D22" s="157"/>
      <c r="E22" s="157"/>
      <c r="F22" s="157"/>
      <c r="G22" s="27"/>
    </row>
    <row r="23" spans="1:18" s="247" customFormat="1" ht="12.75">
      <c r="A23" s="29">
        <v>3</v>
      </c>
      <c r="B23" s="30" t="s">
        <v>613</v>
      </c>
      <c r="C23" s="176">
        <f aca="true" t="shared" si="1" ref="C23:C32">SUM(D23:F23)</f>
        <v>0</v>
      </c>
      <c r="D23" s="176"/>
      <c r="E23" s="176"/>
      <c r="F23" s="176"/>
      <c r="G23" s="29"/>
      <c r="H23" s="253"/>
      <c r="I23" s="253"/>
      <c r="J23" s="253"/>
      <c r="K23" s="253"/>
      <c r="L23" s="260"/>
      <c r="M23" s="260"/>
      <c r="N23" s="260"/>
      <c r="O23" s="260"/>
      <c r="P23" s="260"/>
      <c r="Q23" s="260"/>
      <c r="R23" s="260"/>
    </row>
    <row r="24" spans="1:18" s="248" customFormat="1" ht="15.75" customHeight="1" hidden="1">
      <c r="A24" s="27"/>
      <c r="B24" s="182" t="s">
        <v>614</v>
      </c>
      <c r="C24" s="157"/>
      <c r="D24" s="157"/>
      <c r="E24" s="157"/>
      <c r="F24" s="157"/>
      <c r="G24" s="27"/>
      <c r="H24" s="249"/>
      <c r="I24" s="249"/>
      <c r="J24" s="249"/>
      <c r="K24" s="249"/>
      <c r="L24" s="261"/>
      <c r="M24" s="261"/>
      <c r="N24" s="261"/>
      <c r="O24" s="261"/>
      <c r="P24" s="261"/>
      <c r="Q24" s="261"/>
      <c r="R24" s="261"/>
    </row>
    <row r="25" spans="1:7" ht="12.75">
      <c r="A25" s="27"/>
      <c r="B25" s="182" t="s">
        <v>615</v>
      </c>
      <c r="C25" s="157">
        <f t="shared" si="1"/>
        <v>0</v>
      </c>
      <c r="D25" s="157"/>
      <c r="E25" s="157"/>
      <c r="F25" s="157"/>
      <c r="G25" s="27"/>
    </row>
    <row r="26" spans="1:7" ht="12.75">
      <c r="A26" s="27"/>
      <c r="B26" s="182" t="s">
        <v>616</v>
      </c>
      <c r="C26" s="157">
        <f t="shared" si="1"/>
        <v>0</v>
      </c>
      <c r="D26" s="157"/>
      <c r="E26" s="157"/>
      <c r="F26" s="157"/>
      <c r="G26" s="27"/>
    </row>
    <row r="27" spans="1:18" s="247" customFormat="1" ht="25.5">
      <c r="A27" s="29" t="s">
        <v>300</v>
      </c>
      <c r="B27" s="444" t="s">
        <v>956</v>
      </c>
      <c r="C27" s="176">
        <f t="shared" si="1"/>
        <v>0</v>
      </c>
      <c r="D27" s="176"/>
      <c r="E27" s="176"/>
      <c r="F27" s="176"/>
      <c r="G27" s="29"/>
      <c r="H27" s="253"/>
      <c r="I27" s="253"/>
      <c r="J27" s="253"/>
      <c r="K27" s="253"/>
      <c r="L27" s="260"/>
      <c r="M27" s="260"/>
      <c r="N27" s="260"/>
      <c r="O27" s="260"/>
      <c r="P27" s="260"/>
      <c r="Q27" s="260"/>
      <c r="R27" s="260"/>
    </row>
    <row r="28" spans="1:7" ht="12.75">
      <c r="A28" s="760"/>
      <c r="B28" s="182" t="s">
        <v>617</v>
      </c>
      <c r="C28" s="157">
        <f t="shared" si="1"/>
        <v>0</v>
      </c>
      <c r="D28" s="157"/>
      <c r="E28" s="157"/>
      <c r="F28" s="157"/>
      <c r="G28" s="27"/>
    </row>
    <row r="29" spans="1:7" ht="12.75">
      <c r="A29" s="760"/>
      <c r="B29" s="182" t="s">
        <v>618</v>
      </c>
      <c r="C29" s="157">
        <f t="shared" si="1"/>
        <v>0</v>
      </c>
      <c r="D29" s="157"/>
      <c r="E29" s="157"/>
      <c r="F29" s="176"/>
      <c r="G29" s="27"/>
    </row>
    <row r="30" spans="1:18" s="247" customFormat="1" ht="12.75">
      <c r="A30" s="29">
        <v>5</v>
      </c>
      <c r="B30" s="30" t="s">
        <v>619</v>
      </c>
      <c r="C30" s="176">
        <f>SUM(C31:C32)</f>
        <v>0</v>
      </c>
      <c r="D30" s="176">
        <f>SUM(D31:D32)</f>
        <v>0</v>
      </c>
      <c r="E30" s="176">
        <f>SUM(E31:E32)</f>
        <v>0</v>
      </c>
      <c r="F30" s="176">
        <f>SUM(F31:F32)</f>
        <v>0</v>
      </c>
      <c r="G30" s="29"/>
      <c r="H30" s="253"/>
      <c r="I30" s="253"/>
      <c r="J30" s="253"/>
      <c r="K30" s="253"/>
      <c r="L30" s="260"/>
      <c r="M30" s="260"/>
      <c r="N30" s="260"/>
      <c r="O30" s="260"/>
      <c r="P30" s="260"/>
      <c r="Q30" s="260"/>
      <c r="R30" s="260"/>
    </row>
    <row r="31" spans="1:18" s="248" customFormat="1" ht="12.75">
      <c r="A31" s="27"/>
      <c r="B31" s="28" t="s">
        <v>957</v>
      </c>
      <c r="C31" s="157">
        <f>SUM(D31:F31)</f>
        <v>0</v>
      </c>
      <c r="D31" s="157"/>
      <c r="E31" s="157"/>
      <c r="F31" s="157"/>
      <c r="G31" s="27"/>
      <c r="H31" s="249"/>
      <c r="I31" s="249"/>
      <c r="J31" s="249"/>
      <c r="K31" s="249"/>
      <c r="L31" s="261"/>
      <c r="M31" s="261"/>
      <c r="N31" s="261"/>
      <c r="O31" s="261"/>
      <c r="P31" s="261"/>
      <c r="Q31" s="261"/>
      <c r="R31" s="261"/>
    </row>
    <row r="32" spans="1:18" s="248" customFormat="1" ht="25.5">
      <c r="A32" s="27"/>
      <c r="B32" s="28" t="s">
        <v>958</v>
      </c>
      <c r="C32" s="157">
        <f t="shared" si="1"/>
        <v>0</v>
      </c>
      <c r="D32" s="157"/>
      <c r="E32" s="157"/>
      <c r="F32" s="157"/>
      <c r="G32" s="27"/>
      <c r="H32" s="249"/>
      <c r="I32" s="249"/>
      <c r="J32" s="249"/>
      <c r="K32" s="249"/>
      <c r="L32" s="261"/>
      <c r="M32" s="261"/>
      <c r="N32" s="261"/>
      <c r="O32" s="261"/>
      <c r="P32" s="261"/>
      <c r="Q32" s="261"/>
      <c r="R32" s="261"/>
    </row>
    <row r="33" spans="1:7" ht="12.75">
      <c r="A33" s="254"/>
      <c r="B33" s="254"/>
      <c r="C33" s="255"/>
      <c r="D33" s="255"/>
      <c r="E33" s="255"/>
      <c r="F33" s="255"/>
      <c r="G33" s="254"/>
    </row>
    <row r="34" ht="12.75"/>
    <row r="35" spans="1:7" ht="12.75" hidden="1">
      <c r="A35" s="33" t="s">
        <v>620</v>
      </c>
      <c r="F35" s="726"/>
      <c r="G35" s="726"/>
    </row>
    <row r="36" spans="6:7" ht="12.75">
      <c r="F36" s="719"/>
      <c r="G36" s="719"/>
    </row>
    <row r="37" spans="3:9" ht="15">
      <c r="C37" s="740" t="s">
        <v>1001</v>
      </c>
      <c r="D37" s="740"/>
      <c r="E37" s="740"/>
      <c r="F37" s="740"/>
      <c r="G37" s="740"/>
      <c r="H37" s="256"/>
      <c r="I37" s="256"/>
    </row>
    <row r="38" spans="3:9" ht="15.75">
      <c r="C38" s="717" t="s">
        <v>282</v>
      </c>
      <c r="D38" s="717"/>
      <c r="E38" s="717"/>
      <c r="F38" s="717"/>
      <c r="G38" s="717"/>
      <c r="H38" s="258"/>
      <c r="I38" s="258"/>
    </row>
    <row r="39" spans="3:9" ht="15.75">
      <c r="C39" s="717" t="s">
        <v>285</v>
      </c>
      <c r="D39" s="717"/>
      <c r="E39" s="717"/>
      <c r="F39" s="717"/>
      <c r="G39" s="717"/>
      <c r="H39" s="259"/>
      <c r="I39" s="259"/>
    </row>
  </sheetData>
  <sheetProtection/>
  <mergeCells count="17">
    <mergeCell ref="A3:G3"/>
    <mergeCell ref="A4:G4"/>
    <mergeCell ref="D7:F7"/>
    <mergeCell ref="H8:L8"/>
    <mergeCell ref="H9:I9"/>
    <mergeCell ref="J9:K9"/>
    <mergeCell ref="L9:M9"/>
    <mergeCell ref="F35:G35"/>
    <mergeCell ref="F36:G36"/>
    <mergeCell ref="C37:G37"/>
    <mergeCell ref="C38:G38"/>
    <mergeCell ref="C39:G39"/>
    <mergeCell ref="A7:A8"/>
    <mergeCell ref="A28:A29"/>
    <mergeCell ref="B7:B8"/>
    <mergeCell ref="C7:C8"/>
    <mergeCell ref="G7:G8"/>
  </mergeCells>
  <printOptions/>
  <pageMargins left="0.36" right="0.2" top="0.41" bottom="0.34" header="0.3" footer="0.3"/>
  <pageSetup blackAndWhite="1" horizontalDpi="600" verticalDpi="600" orientation="landscape" scale="95" r:id="rId4"/>
  <drawing r:id="rId3"/>
  <legacyDrawing r:id="rId2"/>
</worksheet>
</file>

<file path=xl/worksheets/sheet12.xml><?xml version="1.0" encoding="utf-8"?>
<worksheet xmlns="http://schemas.openxmlformats.org/spreadsheetml/2006/main" xmlns:r="http://schemas.openxmlformats.org/officeDocument/2006/relationships">
  <sheetPr>
    <tabColor rgb="FFFF0000"/>
  </sheetPr>
  <dimension ref="A1:K36"/>
  <sheetViews>
    <sheetView zoomScalePageLayoutView="0" workbookViewId="0" topLeftCell="A10">
      <selection activeCell="E17" sqref="E17"/>
    </sheetView>
  </sheetViews>
  <sheetFormatPr defaultColWidth="9.33203125" defaultRowHeight="12.75"/>
  <cols>
    <col min="1" max="1" width="7.83203125" style="0" customWidth="1"/>
    <col min="2" max="2" width="44.83203125" style="0" customWidth="1"/>
    <col min="3" max="3" width="16.5" style="148" customWidth="1"/>
    <col min="4" max="4" width="14.83203125" style="0" customWidth="1"/>
    <col min="5" max="5" width="17" style="148" customWidth="1"/>
    <col min="6" max="6" width="16.66015625" style="0" customWidth="1"/>
    <col min="7" max="7" width="14.33203125" style="0" bestFit="1" customWidth="1"/>
    <col min="8" max="8" width="16.5" style="0" customWidth="1"/>
    <col min="10" max="10" width="12.33203125" style="0" customWidth="1"/>
  </cols>
  <sheetData>
    <row r="1" ht="12.75">
      <c r="F1" s="20" t="s">
        <v>621</v>
      </c>
    </row>
    <row r="2" ht="12.75"/>
    <row r="3" spans="1:6" ht="12.75">
      <c r="A3" s="766" t="s">
        <v>622</v>
      </c>
      <c r="B3" s="766"/>
      <c r="C3" s="766"/>
      <c r="D3" s="766"/>
      <c r="E3" s="766"/>
      <c r="F3" s="766"/>
    </row>
    <row r="4" spans="1:6" ht="12.75">
      <c r="A4" s="766" t="s">
        <v>1002</v>
      </c>
      <c r="B4" s="766"/>
      <c r="C4" s="766"/>
      <c r="D4" s="766"/>
      <c r="E4" s="766"/>
      <c r="F4" s="766"/>
    </row>
    <row r="5" spans="1:6" ht="12.75" hidden="1">
      <c r="A5" s="767" t="s">
        <v>501</v>
      </c>
      <c r="B5" s="767"/>
      <c r="C5" s="767"/>
      <c r="D5" s="767"/>
      <c r="E5" s="767"/>
      <c r="F5" s="767"/>
    </row>
    <row r="6" spans="1:6" ht="12.75">
      <c r="A6" s="1"/>
      <c r="B6" s="1"/>
      <c r="C6" s="232"/>
      <c r="D6" s="1"/>
      <c r="E6" s="232"/>
      <c r="F6" s="233" t="s">
        <v>247</v>
      </c>
    </row>
    <row r="7" spans="1:6" ht="36" customHeight="1">
      <c r="A7" s="4" t="s">
        <v>3</v>
      </c>
      <c r="B7" s="4" t="s">
        <v>289</v>
      </c>
      <c r="C7" s="234" t="s">
        <v>249</v>
      </c>
      <c r="D7" s="4" t="s">
        <v>508</v>
      </c>
      <c r="E7" s="234" t="s">
        <v>509</v>
      </c>
      <c r="F7" s="4" t="s">
        <v>510</v>
      </c>
    </row>
    <row r="8" spans="1:6" ht="12.75">
      <c r="A8" s="5" t="s">
        <v>297</v>
      </c>
      <c r="B8" s="5" t="s">
        <v>298</v>
      </c>
      <c r="C8" s="235">
        <v>1</v>
      </c>
      <c r="D8" s="5">
        <v>2</v>
      </c>
      <c r="E8" s="235">
        <v>3</v>
      </c>
      <c r="F8" s="5">
        <v>4</v>
      </c>
    </row>
    <row r="9" spans="1:6" ht="12.75">
      <c r="A9" s="6" t="s">
        <v>297</v>
      </c>
      <c r="B9" s="7" t="s">
        <v>623</v>
      </c>
      <c r="C9" s="236"/>
      <c r="D9" s="8"/>
      <c r="E9" s="236"/>
      <c r="F9" s="8"/>
    </row>
    <row r="10" spans="1:6" ht="12.75">
      <c r="A10" s="11" t="s">
        <v>308</v>
      </c>
      <c r="B10" s="12" t="s">
        <v>624</v>
      </c>
      <c r="C10" s="237">
        <f>SUM(C11:C14)</f>
        <v>1733125000</v>
      </c>
      <c r="D10" s="237">
        <f>SUM(D11:D14)</f>
        <v>0</v>
      </c>
      <c r="E10" s="237">
        <f>SUM(E11:E14)</f>
        <v>1360245000</v>
      </c>
      <c r="F10" s="237">
        <f>SUM(F11:F14)</f>
        <v>372880000</v>
      </c>
    </row>
    <row r="11" spans="1:11" ht="38.25">
      <c r="A11" s="9">
        <v>1</v>
      </c>
      <c r="B11" s="10" t="s">
        <v>1004</v>
      </c>
      <c r="C11" s="238">
        <f>SUM(D11:F11)</f>
        <v>1000000000</v>
      </c>
      <c r="D11" s="239"/>
      <c r="E11" s="238">
        <v>1000000000</v>
      </c>
      <c r="F11" s="238"/>
      <c r="H11" s="240"/>
      <c r="I11" s="147"/>
      <c r="J11" s="147"/>
      <c r="K11" s="147"/>
    </row>
    <row r="12" spans="1:7" ht="12.75">
      <c r="A12" s="9">
        <v>2</v>
      </c>
      <c r="B12" s="10" t="s">
        <v>625</v>
      </c>
      <c r="C12" s="238">
        <f aca="true" t="shared" si="0" ref="C12:C19">SUM(D12:F12)</f>
        <v>0</v>
      </c>
      <c r="D12" s="238"/>
      <c r="E12" s="238"/>
      <c r="F12" s="9"/>
      <c r="G12" s="168"/>
    </row>
    <row r="13" spans="1:7" ht="25.5">
      <c r="A13" s="9">
        <v>3</v>
      </c>
      <c r="B13" s="10" t="s">
        <v>626</v>
      </c>
      <c r="C13" s="238">
        <f t="shared" si="0"/>
        <v>0</v>
      </c>
      <c r="D13" s="239"/>
      <c r="E13" s="238"/>
      <c r="F13" s="9"/>
      <c r="G13" s="168"/>
    </row>
    <row r="14" spans="1:6" ht="12.75">
      <c r="A14" s="9">
        <v>4</v>
      </c>
      <c r="B14" s="10" t="s">
        <v>627</v>
      </c>
      <c r="C14" s="238">
        <f t="shared" si="0"/>
        <v>733125000</v>
      </c>
      <c r="D14" s="238">
        <f>SUM(D15:D20)</f>
        <v>0</v>
      </c>
      <c r="E14" s="238">
        <f>SUM(E15:E20)</f>
        <v>360245000</v>
      </c>
      <c r="F14" s="238">
        <f>SUM(F15:F20)</f>
        <v>372880000</v>
      </c>
    </row>
    <row r="15" spans="1:11" ht="12.75">
      <c r="A15" s="9"/>
      <c r="B15" s="10" t="s">
        <v>628</v>
      </c>
      <c r="C15" s="238">
        <f t="shared" si="0"/>
        <v>733125000</v>
      </c>
      <c r="D15" s="9"/>
      <c r="E15" s="238">
        <f>233690000+126555000</f>
        <v>360245000</v>
      </c>
      <c r="F15" s="238">
        <v>372880000</v>
      </c>
      <c r="H15" t="s">
        <v>1003</v>
      </c>
      <c r="K15">
        <v>309.5</v>
      </c>
    </row>
    <row r="16" spans="1:6" ht="12.75">
      <c r="A16" s="9"/>
      <c r="B16" s="10" t="s">
        <v>629</v>
      </c>
      <c r="C16" s="238">
        <f t="shared" si="0"/>
        <v>0</v>
      </c>
      <c r="D16" s="9"/>
      <c r="E16" s="241"/>
      <c r="F16" s="9"/>
    </row>
    <row r="17" spans="1:6" ht="12.75">
      <c r="A17" s="9"/>
      <c r="B17" s="10" t="s">
        <v>630</v>
      </c>
      <c r="C17" s="238">
        <f t="shared" si="0"/>
        <v>0</v>
      </c>
      <c r="D17" s="9"/>
      <c r="E17" s="241"/>
      <c r="F17" s="9"/>
    </row>
    <row r="18" spans="1:6" ht="12.75">
      <c r="A18" s="9"/>
      <c r="B18" s="10" t="s">
        <v>631</v>
      </c>
      <c r="C18" s="238">
        <f t="shared" si="0"/>
        <v>0</v>
      </c>
      <c r="D18" s="9"/>
      <c r="E18" s="241"/>
      <c r="F18" s="9"/>
    </row>
    <row r="19" spans="1:6" ht="25.5">
      <c r="A19" s="9"/>
      <c r="B19" s="384" t="s">
        <v>632</v>
      </c>
      <c r="C19" s="238">
        <f t="shared" si="0"/>
        <v>0</v>
      </c>
      <c r="D19" s="9"/>
      <c r="E19" s="241"/>
      <c r="F19" s="9"/>
    </row>
    <row r="20" spans="1:6" ht="12.75">
      <c r="A20" s="9">
        <v>4</v>
      </c>
      <c r="B20" s="10" t="s">
        <v>633</v>
      </c>
      <c r="C20" s="241">
        <f>E20</f>
        <v>0</v>
      </c>
      <c r="D20" s="9"/>
      <c r="E20" s="241"/>
      <c r="F20" s="9"/>
    </row>
    <row r="21" spans="1:6" ht="12.75">
      <c r="A21" s="11" t="s">
        <v>364</v>
      </c>
      <c r="B21" s="12" t="s">
        <v>634</v>
      </c>
      <c r="C21" s="242"/>
      <c r="D21" s="11"/>
      <c r="E21" s="242"/>
      <c r="F21" s="11"/>
    </row>
    <row r="22" spans="1:6" s="17" customFormat="1" ht="25.5">
      <c r="A22" s="11" t="s">
        <v>298</v>
      </c>
      <c r="B22" s="12" t="s">
        <v>635</v>
      </c>
      <c r="C22" s="237">
        <f>+C23+C24+C29</f>
        <v>733125000</v>
      </c>
      <c r="D22" s="237">
        <f>+D23+D24+D29</f>
        <v>0</v>
      </c>
      <c r="E22" s="237">
        <f>+E23+E24+E29</f>
        <v>360245000</v>
      </c>
      <c r="F22" s="237">
        <f>+F23+F24+F29</f>
        <v>372880000</v>
      </c>
    </row>
    <row r="23" spans="1:6" s="17" customFormat="1" ht="12.75">
      <c r="A23" s="11" t="s">
        <v>308</v>
      </c>
      <c r="B23" s="12" t="s">
        <v>636</v>
      </c>
      <c r="C23" s="237">
        <f>SUM(D23:E23)</f>
        <v>0</v>
      </c>
      <c r="D23" s="243"/>
      <c r="E23" s="237"/>
      <c r="F23" s="11"/>
    </row>
    <row r="24" spans="1:6" s="17" customFormat="1" ht="12.75">
      <c r="A24" s="11" t="s">
        <v>364</v>
      </c>
      <c r="B24" s="12" t="s">
        <v>468</v>
      </c>
      <c r="C24" s="237">
        <f>SUM(C25:C28)</f>
        <v>733125000</v>
      </c>
      <c r="D24" s="243">
        <f>SUM(D25:D28)</f>
        <v>0</v>
      </c>
      <c r="E24" s="237">
        <f>SUM(E25:E28)</f>
        <v>360245000</v>
      </c>
      <c r="F24" s="237">
        <f>SUM(F25:F28)</f>
        <v>372880000</v>
      </c>
    </row>
    <row r="25" spans="1:6" ht="12.75">
      <c r="A25" s="9">
        <v>1</v>
      </c>
      <c r="B25" s="10" t="s">
        <v>637</v>
      </c>
      <c r="C25" s="238">
        <f>SUM(D25:F25)</f>
        <v>241235000</v>
      </c>
      <c r="D25" s="238"/>
      <c r="E25" s="238">
        <v>233690000</v>
      </c>
      <c r="F25" s="241">
        <v>7545000</v>
      </c>
    </row>
    <row r="26" spans="1:6" ht="12.75">
      <c r="A26" s="9">
        <v>2</v>
      </c>
      <c r="B26" s="10" t="s">
        <v>638</v>
      </c>
      <c r="C26" s="238">
        <f>SUM(D26:F26)</f>
        <v>0</v>
      </c>
      <c r="D26" s="9"/>
      <c r="E26" s="241"/>
      <c r="F26" s="241">
        <v>0</v>
      </c>
    </row>
    <row r="27" spans="1:6" ht="12.75">
      <c r="A27" s="9">
        <v>3</v>
      </c>
      <c r="B27" s="10" t="s">
        <v>639</v>
      </c>
      <c r="C27" s="238">
        <f>SUM(D27:F27)</f>
        <v>476890000</v>
      </c>
      <c r="D27" s="9"/>
      <c r="E27" s="241">
        <v>126555000</v>
      </c>
      <c r="F27" s="241">
        <v>350335000</v>
      </c>
    </row>
    <row r="28" spans="1:6" ht="12.75">
      <c r="A28" s="9">
        <v>4</v>
      </c>
      <c r="B28" s="10" t="s">
        <v>640</v>
      </c>
      <c r="C28" s="238">
        <f>SUM(D28:F28)</f>
        <v>15000000</v>
      </c>
      <c r="D28" s="9"/>
      <c r="E28" s="241"/>
      <c r="F28" s="241">
        <v>15000000</v>
      </c>
    </row>
    <row r="29" spans="1:6" s="17" customFormat="1" ht="12.75">
      <c r="A29" s="244" t="s">
        <v>382</v>
      </c>
      <c r="B29" s="245" t="s">
        <v>641</v>
      </c>
      <c r="C29" s="246">
        <f>SUM(D29:F29)</f>
        <v>0</v>
      </c>
      <c r="D29" s="244"/>
      <c r="E29" s="244"/>
      <c r="F29" s="511"/>
    </row>
    <row r="30" spans="3:5" s="1" customFormat="1" ht="12.75">
      <c r="C30" s="232"/>
      <c r="E30" s="232"/>
    </row>
    <row r="31" spans="3:6" s="1" customFormat="1" ht="18.75">
      <c r="C31" s="768" t="s">
        <v>1001</v>
      </c>
      <c r="D31" s="768"/>
      <c r="E31" s="768"/>
      <c r="F31" s="768"/>
    </row>
    <row r="32" spans="3:6" s="1" customFormat="1" ht="15.75">
      <c r="C32" s="769" t="s">
        <v>282</v>
      </c>
      <c r="D32" s="769"/>
      <c r="E32" s="769"/>
      <c r="F32" s="769"/>
    </row>
    <row r="33" spans="3:6" s="1" customFormat="1" ht="15.75">
      <c r="C33" s="769" t="s">
        <v>285</v>
      </c>
      <c r="D33" s="769"/>
      <c r="E33" s="769"/>
      <c r="F33" s="769"/>
    </row>
    <row r="34" spans="3:5" s="1" customFormat="1" ht="12.75">
      <c r="C34" s="232"/>
      <c r="E34" s="232"/>
    </row>
    <row r="35" spans="3:5" s="1" customFormat="1" ht="12.75">
      <c r="C35" s="232"/>
      <c r="E35" s="232"/>
    </row>
    <row r="36" spans="3:5" s="1" customFormat="1" ht="12.75">
      <c r="C36" s="232"/>
      <c r="E36" s="232"/>
    </row>
  </sheetData>
  <sheetProtection/>
  <mergeCells count="6">
    <mergeCell ref="A3:F3"/>
    <mergeCell ref="A4:F4"/>
    <mergeCell ref="A5:F5"/>
    <mergeCell ref="C31:F31"/>
    <mergeCell ref="C32:F32"/>
    <mergeCell ref="C33:F33"/>
  </mergeCells>
  <printOptions/>
  <pageMargins left="0.32" right="0.27" top="0.46" bottom="0.37" header="0.3" footer="0.21"/>
  <pageSetup blackAndWhite="1" horizontalDpi="600" verticalDpi="600" orientation="portrait" scale="95" r:id="rId4"/>
  <drawing r:id="rId3"/>
  <legacyDrawing r:id="rId2"/>
</worksheet>
</file>

<file path=xl/worksheets/sheet13.xml><?xml version="1.0" encoding="utf-8"?>
<worksheet xmlns="http://schemas.openxmlformats.org/spreadsheetml/2006/main" xmlns:r="http://schemas.openxmlformats.org/officeDocument/2006/relationships">
  <sheetPr>
    <tabColor rgb="FFFF0000"/>
  </sheetPr>
  <dimension ref="A1:AN76"/>
  <sheetViews>
    <sheetView zoomScalePageLayoutView="0" workbookViewId="0" topLeftCell="A3">
      <pane xSplit="2" ySplit="7" topLeftCell="C13" activePane="bottomRight" state="frozen"/>
      <selection pane="topLeft" activeCell="E17" sqref="E17"/>
      <selection pane="topRight" activeCell="E17" sqref="E17"/>
      <selection pane="bottomLeft" activeCell="E17" sqref="E17"/>
      <selection pane="bottomRight" activeCell="E17" sqref="E17"/>
    </sheetView>
  </sheetViews>
  <sheetFormatPr defaultColWidth="9.33203125" defaultRowHeight="12.75"/>
  <cols>
    <col min="1" max="1" width="7" style="193" customWidth="1"/>
    <col min="2" max="2" width="43.33203125" style="193" customWidth="1"/>
    <col min="3" max="3" width="19.33203125" style="194" customWidth="1"/>
    <col min="4" max="4" width="22.83203125" style="194" bestFit="1" customWidth="1"/>
    <col min="5" max="6" width="17.83203125" style="195" customWidth="1"/>
    <col min="7" max="15" width="17.83203125" style="196" hidden="1" customWidth="1"/>
    <col min="16" max="16" width="18.33203125" style="195" customWidth="1"/>
    <col min="17" max="18" width="17.83203125" style="195" customWidth="1"/>
    <col min="19" max="27" width="17.83203125" style="195" hidden="1" customWidth="1"/>
    <col min="28" max="28" width="15.33203125" style="195" customWidth="1"/>
    <col min="29" max="29" width="15.66015625" style="193" customWidth="1"/>
    <col min="30" max="30" width="9.33203125" style="197" customWidth="1"/>
    <col min="31" max="31" width="14.66015625" style="197" customWidth="1"/>
    <col min="32" max="32" width="12.66015625" style="197" bestFit="1" customWidth="1"/>
    <col min="33" max="33" width="11.5" style="197" customWidth="1"/>
    <col min="34" max="34" width="12.5" style="197" customWidth="1"/>
    <col min="35" max="35" width="13.16015625" style="197" customWidth="1"/>
    <col min="36" max="36" width="13.33203125" style="197" customWidth="1"/>
    <col min="37" max="37" width="12.33203125" style="197" customWidth="1"/>
    <col min="38" max="38" width="13.16015625" style="197" customWidth="1"/>
    <col min="39" max="40" width="12.66015625" style="197" bestFit="1" customWidth="1"/>
    <col min="41" max="16384" width="9.33203125" style="193" customWidth="1"/>
  </cols>
  <sheetData>
    <row r="1" ht="12.75">
      <c r="AC1" s="171" t="s">
        <v>642</v>
      </c>
    </row>
    <row r="2" ht="12.75"/>
    <row r="3" spans="1:29" ht="18">
      <c r="A3" s="737" t="s">
        <v>643</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row>
    <row r="4" spans="1:29" ht="18">
      <c r="A4" s="737" t="s">
        <v>1138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row>
    <row r="5" spans="1:29" ht="12.75" hidden="1">
      <c r="A5" s="727" t="s">
        <v>501</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ht="12.75">
      <c r="AC6" s="163" t="s">
        <v>288</v>
      </c>
    </row>
    <row r="7" spans="1:29" ht="18" customHeight="1">
      <c r="A7" s="732" t="s">
        <v>3</v>
      </c>
      <c r="B7" s="732" t="s">
        <v>289</v>
      </c>
      <c r="C7" s="733" t="s">
        <v>249</v>
      </c>
      <c r="D7" s="733" t="s">
        <v>598</v>
      </c>
      <c r="E7" s="733"/>
      <c r="F7" s="733"/>
      <c r="G7" s="733"/>
      <c r="H7" s="733"/>
      <c r="I7" s="733"/>
      <c r="J7" s="733"/>
      <c r="K7" s="733"/>
      <c r="L7" s="733"/>
      <c r="M7" s="733"/>
      <c r="N7" s="733"/>
      <c r="O7" s="733"/>
      <c r="P7" s="733"/>
      <c r="Q7" s="733"/>
      <c r="R7" s="733"/>
      <c r="S7" s="733"/>
      <c r="T7" s="733"/>
      <c r="U7" s="733"/>
      <c r="V7" s="733"/>
      <c r="W7" s="733"/>
      <c r="X7" s="733"/>
      <c r="Y7" s="733"/>
      <c r="Z7" s="733"/>
      <c r="AA7" s="733"/>
      <c r="AB7" s="733"/>
      <c r="AC7" s="732" t="s">
        <v>599</v>
      </c>
    </row>
    <row r="8" spans="1:40" ht="45.75" customHeight="1">
      <c r="A8" s="732"/>
      <c r="B8" s="732"/>
      <c r="C8" s="733"/>
      <c r="D8" s="198" t="s">
        <v>482</v>
      </c>
      <c r="E8" s="198" t="s">
        <v>606</v>
      </c>
      <c r="F8" s="198" t="s">
        <v>607</v>
      </c>
      <c r="G8" s="198" t="s">
        <v>644</v>
      </c>
      <c r="H8" s="198" t="s">
        <v>645</v>
      </c>
      <c r="I8" s="198" t="s">
        <v>646</v>
      </c>
      <c r="J8" s="198" t="s">
        <v>647</v>
      </c>
      <c r="K8" s="198" t="s">
        <v>648</v>
      </c>
      <c r="L8" s="198" t="s">
        <v>649</v>
      </c>
      <c r="M8" s="198" t="s">
        <v>650</v>
      </c>
      <c r="N8" s="198" t="s">
        <v>651</v>
      </c>
      <c r="O8" s="198" t="s">
        <v>652</v>
      </c>
      <c r="P8" s="221" t="s">
        <v>653</v>
      </c>
      <c r="Q8" s="221" t="s">
        <v>606</v>
      </c>
      <c r="R8" s="223" t="s">
        <v>607</v>
      </c>
      <c r="S8" s="221" t="s">
        <v>644</v>
      </c>
      <c r="T8" s="221" t="s">
        <v>645</v>
      </c>
      <c r="U8" s="221" t="s">
        <v>646</v>
      </c>
      <c r="V8" s="221" t="s">
        <v>647</v>
      </c>
      <c r="W8" s="221" t="s">
        <v>648</v>
      </c>
      <c r="X8" s="221" t="s">
        <v>649</v>
      </c>
      <c r="Y8" s="221" t="s">
        <v>650</v>
      </c>
      <c r="Z8" s="221" t="s">
        <v>651</v>
      </c>
      <c r="AA8" s="221" t="s">
        <v>652</v>
      </c>
      <c r="AB8" s="198" t="s">
        <v>654</v>
      </c>
      <c r="AC8" s="732"/>
      <c r="AE8" s="771" t="s">
        <v>655</v>
      </c>
      <c r="AF8" s="771" t="s">
        <v>656</v>
      </c>
      <c r="AG8" s="771"/>
      <c r="AH8" s="771"/>
      <c r="AI8" s="771"/>
      <c r="AJ8" s="771"/>
      <c r="AK8" s="771"/>
      <c r="AL8" s="771"/>
      <c r="AM8" s="771"/>
      <c r="AN8" s="771"/>
    </row>
    <row r="9" spans="1:40" ht="12.75">
      <c r="A9" s="23" t="s">
        <v>297</v>
      </c>
      <c r="B9" s="23" t="s">
        <v>298</v>
      </c>
      <c r="C9" s="152" t="s">
        <v>601</v>
      </c>
      <c r="D9" s="498" t="s">
        <v>960</v>
      </c>
      <c r="E9" s="200"/>
      <c r="F9" s="200"/>
      <c r="G9" s="201"/>
      <c r="H9" s="201"/>
      <c r="I9" s="201"/>
      <c r="J9" s="201"/>
      <c r="K9" s="201"/>
      <c r="L9" s="201"/>
      <c r="M9" s="201"/>
      <c r="N9" s="201"/>
      <c r="O9" s="201"/>
      <c r="P9" s="501" t="s">
        <v>963</v>
      </c>
      <c r="Q9" s="200"/>
      <c r="R9" s="200"/>
      <c r="S9" s="200"/>
      <c r="T9" s="200"/>
      <c r="U9" s="200"/>
      <c r="V9" s="200"/>
      <c r="W9" s="200"/>
      <c r="X9" s="200"/>
      <c r="Y9" s="200"/>
      <c r="Z9" s="200"/>
      <c r="AA9" s="200"/>
      <c r="AB9" s="200">
        <v>4</v>
      </c>
      <c r="AC9" s="227">
        <v>5</v>
      </c>
      <c r="AE9" s="771"/>
      <c r="AF9" s="228" t="s">
        <v>657</v>
      </c>
      <c r="AG9" s="228" t="s">
        <v>658</v>
      </c>
      <c r="AH9" s="228" t="s">
        <v>659</v>
      </c>
      <c r="AI9" s="228" t="s">
        <v>660</v>
      </c>
      <c r="AJ9" s="228" t="s">
        <v>661</v>
      </c>
      <c r="AK9" s="228" t="s">
        <v>662</v>
      </c>
      <c r="AL9" s="228" t="s">
        <v>663</v>
      </c>
      <c r="AM9" s="228" t="s">
        <v>664</v>
      </c>
      <c r="AN9" s="228" t="s">
        <v>665</v>
      </c>
    </row>
    <row r="10" spans="1:40" s="190" customFormat="1" ht="12.75">
      <c r="A10" s="24" t="s">
        <v>297</v>
      </c>
      <c r="B10" s="25" t="s">
        <v>666</v>
      </c>
      <c r="C10" s="202">
        <f>+D10+P10+AB10</f>
        <v>6945466004</v>
      </c>
      <c r="D10" s="202">
        <f>D11+D13</f>
        <v>5427935707</v>
      </c>
      <c r="E10" s="202">
        <f>SUM(E11:E14)</f>
        <v>4930000000</v>
      </c>
      <c r="F10" s="202">
        <f>SUM(F11:F14)</f>
        <v>1560891707</v>
      </c>
      <c r="G10" s="202">
        <f aca="true" t="shared" si="0" ref="G10:O10">SUM(G11:G14)</f>
        <v>407686000</v>
      </c>
      <c r="H10" s="202">
        <f t="shared" si="0"/>
        <v>168905000</v>
      </c>
      <c r="I10" s="202">
        <f t="shared" si="0"/>
        <v>77810000</v>
      </c>
      <c r="J10" s="202">
        <f t="shared" si="0"/>
        <v>142388207</v>
      </c>
      <c r="K10" s="202">
        <f t="shared" si="0"/>
        <v>245187000</v>
      </c>
      <c r="L10" s="202">
        <f t="shared" si="0"/>
        <v>83760000</v>
      </c>
      <c r="M10" s="202">
        <f t="shared" si="0"/>
        <v>80800000</v>
      </c>
      <c r="N10" s="202">
        <f t="shared" si="0"/>
        <v>274025500</v>
      </c>
      <c r="O10" s="202">
        <f t="shared" si="0"/>
        <v>80330000</v>
      </c>
      <c r="P10" s="202">
        <f>P11+P13</f>
        <v>1517530297</v>
      </c>
      <c r="Q10" s="202">
        <f>Q11+Q14</f>
        <v>1097700000</v>
      </c>
      <c r="R10" s="202">
        <f aca="true" t="shared" si="1" ref="R10:AA10">R11+R14</f>
        <v>881674923</v>
      </c>
      <c r="S10" s="202">
        <f t="shared" si="1"/>
        <v>369080465</v>
      </c>
      <c r="T10" s="202">
        <f t="shared" si="1"/>
        <v>162401071</v>
      </c>
      <c r="U10" s="202">
        <f t="shared" si="1"/>
        <v>129897207</v>
      </c>
      <c r="V10" s="202">
        <f t="shared" si="1"/>
        <v>0</v>
      </c>
      <c r="W10" s="202">
        <f t="shared" si="1"/>
        <v>40198045</v>
      </c>
      <c r="X10" s="202">
        <f t="shared" si="1"/>
        <v>19096148</v>
      </c>
      <c r="Y10" s="202">
        <f t="shared" si="1"/>
        <v>95423236</v>
      </c>
      <c r="Z10" s="202">
        <f t="shared" si="1"/>
        <v>43434249</v>
      </c>
      <c r="AA10" s="202">
        <f t="shared" si="1"/>
        <v>22144502</v>
      </c>
      <c r="AB10" s="202">
        <f>AB11+AB13</f>
        <v>0</v>
      </c>
      <c r="AC10" s="24"/>
      <c r="AD10" s="229"/>
      <c r="AE10" s="229">
        <f>SUM(AF10:AN10)</f>
        <v>1300296949</v>
      </c>
      <c r="AF10" s="229">
        <v>213080000</v>
      </c>
      <c r="AG10" s="229">
        <v>74410000</v>
      </c>
      <c r="AH10" s="229">
        <v>166064458</v>
      </c>
      <c r="AI10" s="229">
        <f>42157491+74930000</f>
        <v>117087491</v>
      </c>
      <c r="AJ10" s="229">
        <v>136930000</v>
      </c>
      <c r="AK10" s="229">
        <v>144040000</v>
      </c>
      <c r="AL10" s="229">
        <f>AL11+AL13</f>
        <v>144100000</v>
      </c>
      <c r="AM10" s="229">
        <v>154205000</v>
      </c>
      <c r="AN10" s="229">
        <v>150380000</v>
      </c>
    </row>
    <row r="11" spans="1:40" s="394" customFormat="1" ht="12.75">
      <c r="A11" s="26">
        <v>1</v>
      </c>
      <c r="B11" s="155" t="s">
        <v>910</v>
      </c>
      <c r="C11" s="222">
        <f>+D11+P11+AB11</f>
        <v>1785516004</v>
      </c>
      <c r="D11" s="222">
        <f>E11+F11</f>
        <v>267985707</v>
      </c>
      <c r="E11" s="222"/>
      <c r="F11" s="226">
        <f>SUM(G11:O11)</f>
        <v>267985707</v>
      </c>
      <c r="G11" s="226"/>
      <c r="H11" s="226">
        <v>6262000</v>
      </c>
      <c r="I11" s="660"/>
      <c r="J11" s="660">
        <v>59108207</v>
      </c>
      <c r="K11" s="226">
        <v>161507000</v>
      </c>
      <c r="L11" s="226"/>
      <c r="M11" s="660"/>
      <c r="N11" s="660">
        <v>41108500</v>
      </c>
      <c r="O11" s="226"/>
      <c r="P11" s="222">
        <f>Q11+R11</f>
        <v>1517530297</v>
      </c>
      <c r="Q11" s="222">
        <v>1097700000</v>
      </c>
      <c r="R11" s="226">
        <f>SUM(S11:AA11)</f>
        <v>419830297</v>
      </c>
      <c r="S11" s="226">
        <v>202552212</v>
      </c>
      <c r="T11" s="226">
        <v>67806185</v>
      </c>
      <c r="U11" s="226">
        <v>55993701</v>
      </c>
      <c r="V11" s="226"/>
      <c r="W11" s="226">
        <v>9992281</v>
      </c>
      <c r="X11" s="226">
        <v>5311927</v>
      </c>
      <c r="Y11" s="226">
        <v>56976461</v>
      </c>
      <c r="Z11" s="226">
        <v>12569533</v>
      </c>
      <c r="AA11" s="226">
        <v>8627997</v>
      </c>
      <c r="AB11" s="222"/>
      <c r="AC11" s="26"/>
      <c r="AD11" s="393"/>
      <c r="AE11" s="393">
        <f>SUM(AF11:AN11)</f>
        <v>588866949</v>
      </c>
      <c r="AF11" s="393">
        <f>AF10-AF13</f>
        <v>111600000</v>
      </c>
      <c r="AG11" s="393">
        <f aca="true" t="shared" si="2" ref="AG11:AM11">AG10-AG13</f>
        <v>0</v>
      </c>
      <c r="AH11" s="393">
        <f t="shared" si="2"/>
        <v>92694458</v>
      </c>
      <c r="AI11" s="393">
        <f t="shared" si="2"/>
        <v>42157491</v>
      </c>
      <c r="AJ11" s="393">
        <f t="shared" si="2"/>
        <v>65380000</v>
      </c>
      <c r="AK11" s="393">
        <f t="shared" si="2"/>
        <v>67300000</v>
      </c>
      <c r="AL11" s="393">
        <v>67330000</v>
      </c>
      <c r="AM11" s="393">
        <f t="shared" si="2"/>
        <v>68515000</v>
      </c>
      <c r="AN11" s="393">
        <f>AN10-AN13</f>
        <v>73890000</v>
      </c>
    </row>
    <row r="12" spans="1:40" s="394" customFormat="1" ht="25.5">
      <c r="A12" s="26">
        <v>2</v>
      </c>
      <c r="B12" s="155" t="s">
        <v>1007</v>
      </c>
      <c r="C12" s="222">
        <f>+D12+P12+AB12</f>
        <v>1062956000</v>
      </c>
      <c r="D12" s="222">
        <f>E12+F12</f>
        <v>1062956000</v>
      </c>
      <c r="E12" s="222">
        <v>552200000</v>
      </c>
      <c r="F12" s="226">
        <f>SUM(G12:O12)</f>
        <v>510756000</v>
      </c>
      <c r="G12" s="226">
        <v>295716000</v>
      </c>
      <c r="H12" s="226">
        <v>77923000</v>
      </c>
      <c r="I12" s="660"/>
      <c r="J12" s="660"/>
      <c r="K12" s="226"/>
      <c r="L12" s="226"/>
      <c r="M12" s="660"/>
      <c r="N12" s="660">
        <v>137117000</v>
      </c>
      <c r="O12" s="226"/>
      <c r="P12" s="222"/>
      <c r="Q12" s="222"/>
      <c r="R12" s="226">
        <f>SUM(S12:AA12)</f>
        <v>0</v>
      </c>
      <c r="S12" s="226"/>
      <c r="T12" s="226"/>
      <c r="U12" s="226"/>
      <c r="V12" s="226"/>
      <c r="W12" s="226"/>
      <c r="X12" s="226"/>
      <c r="Y12" s="226"/>
      <c r="Z12" s="226"/>
      <c r="AA12" s="226"/>
      <c r="AB12" s="222"/>
      <c r="AC12" s="26"/>
      <c r="AD12" s="393"/>
      <c r="AE12" s="393"/>
      <c r="AF12" s="393"/>
      <c r="AG12" s="393"/>
      <c r="AH12" s="393"/>
      <c r="AI12" s="393"/>
      <c r="AJ12" s="393"/>
      <c r="AK12" s="393"/>
      <c r="AL12" s="393"/>
      <c r="AM12" s="393"/>
      <c r="AN12" s="393"/>
    </row>
    <row r="13" spans="1:40" s="394" customFormat="1" ht="12.75">
      <c r="A13" s="26">
        <v>3</v>
      </c>
      <c r="B13" s="155" t="s">
        <v>1005</v>
      </c>
      <c r="C13" s="222">
        <f>+D13+P13+AB13</f>
        <v>5159950000</v>
      </c>
      <c r="D13" s="222">
        <f>E13+F13</f>
        <v>5159950000</v>
      </c>
      <c r="E13" s="222">
        <v>4377800000</v>
      </c>
      <c r="F13" s="226">
        <f>SUM(G13:O13)</f>
        <v>782150000</v>
      </c>
      <c r="G13" s="226">
        <v>111970000</v>
      </c>
      <c r="H13" s="226">
        <v>84720000</v>
      </c>
      <c r="I13" s="660">
        <v>77810000</v>
      </c>
      <c r="J13" s="660">
        <v>83280000</v>
      </c>
      <c r="K13" s="226">
        <v>83680000</v>
      </c>
      <c r="L13" s="226">
        <v>83760000</v>
      </c>
      <c r="M13" s="660">
        <v>80800000</v>
      </c>
      <c r="N13" s="660">
        <v>95800000</v>
      </c>
      <c r="O13" s="226">
        <v>80330000</v>
      </c>
      <c r="P13" s="222">
        <f>Q13+R13</f>
        <v>0</v>
      </c>
      <c r="Q13" s="222"/>
      <c r="R13" s="226">
        <f>SUM(S13:AA13)</f>
        <v>0</v>
      </c>
      <c r="S13" s="226"/>
      <c r="T13" s="226"/>
      <c r="U13" s="226"/>
      <c r="V13" s="226"/>
      <c r="W13" s="226"/>
      <c r="X13" s="226"/>
      <c r="Y13" s="226"/>
      <c r="Z13" s="226"/>
      <c r="AA13" s="226"/>
      <c r="AB13" s="222"/>
      <c r="AC13" s="26"/>
      <c r="AD13" s="393"/>
      <c r="AE13" s="393">
        <f>SUM(AF13:AN13)</f>
        <v>711430000</v>
      </c>
      <c r="AF13" s="393">
        <v>101480000</v>
      </c>
      <c r="AG13" s="393">
        <v>74410000</v>
      </c>
      <c r="AH13" s="393">
        <v>73370000</v>
      </c>
      <c r="AI13" s="393">
        <v>74930000</v>
      </c>
      <c r="AJ13" s="393">
        <v>71550000</v>
      </c>
      <c r="AK13" s="393">
        <v>76740000</v>
      </c>
      <c r="AL13" s="393">
        <v>76770000</v>
      </c>
      <c r="AM13" s="393">
        <v>85690000</v>
      </c>
      <c r="AN13" s="393">
        <v>76490000</v>
      </c>
    </row>
    <row r="14" spans="1:40" s="394" customFormat="1" ht="12.75">
      <c r="A14" s="26">
        <v>4</v>
      </c>
      <c r="B14" s="155" t="s">
        <v>1006</v>
      </c>
      <c r="C14" s="222">
        <f>+D14+P14+AB14</f>
        <v>461844626</v>
      </c>
      <c r="D14" s="202">
        <f>E14+F14</f>
        <v>0</v>
      </c>
      <c r="E14" s="202"/>
      <c r="F14" s="202"/>
      <c r="G14" s="222"/>
      <c r="H14" s="222"/>
      <c r="I14" s="392"/>
      <c r="J14" s="392"/>
      <c r="K14" s="222"/>
      <c r="L14" s="222"/>
      <c r="M14" s="392"/>
      <c r="N14" s="392"/>
      <c r="O14" s="222"/>
      <c r="P14" s="222">
        <f>Q14+R14</f>
        <v>461844626</v>
      </c>
      <c r="Q14" s="222"/>
      <c r="R14" s="226">
        <f>SUM(S14:AA14)</f>
        <v>461844626</v>
      </c>
      <c r="S14" s="226">
        <v>166528253</v>
      </c>
      <c r="T14" s="226">
        <v>94594886</v>
      </c>
      <c r="U14" s="226">
        <v>73903506</v>
      </c>
      <c r="V14" s="226"/>
      <c r="W14" s="226">
        <v>30205764</v>
      </c>
      <c r="X14" s="226">
        <v>13784221</v>
      </c>
      <c r="Y14" s="226">
        <v>38446775</v>
      </c>
      <c r="Z14" s="226">
        <v>30864716</v>
      </c>
      <c r="AA14" s="226">
        <v>13516505</v>
      </c>
      <c r="AB14" s="222"/>
      <c r="AC14" s="26"/>
      <c r="AD14" s="393"/>
      <c r="AE14" s="393"/>
      <c r="AF14" s="393"/>
      <c r="AG14" s="393"/>
      <c r="AH14" s="393"/>
      <c r="AI14" s="393"/>
      <c r="AJ14" s="393"/>
      <c r="AK14" s="393"/>
      <c r="AL14" s="393"/>
      <c r="AM14" s="393"/>
      <c r="AN14" s="393"/>
    </row>
    <row r="15" spans="1:40" s="190" customFormat="1" ht="25.5">
      <c r="A15" s="29" t="s">
        <v>298</v>
      </c>
      <c r="B15" s="30" t="s">
        <v>635</v>
      </c>
      <c r="C15" s="203">
        <f aca="true" t="shared" si="3" ref="C15:AC15">C16+C28+C29</f>
        <v>5805711000</v>
      </c>
      <c r="D15" s="203">
        <f t="shared" si="3"/>
        <v>4759203000</v>
      </c>
      <c r="E15" s="203">
        <f t="shared" si="3"/>
        <v>4662500000</v>
      </c>
      <c r="F15" s="203">
        <f t="shared" si="3"/>
        <v>543809924</v>
      </c>
      <c r="G15" s="203">
        <f t="shared" si="3"/>
        <v>60150000</v>
      </c>
      <c r="H15" s="203">
        <f t="shared" si="3"/>
        <v>81665000</v>
      </c>
      <c r="I15" s="203">
        <f t="shared" si="3"/>
        <v>77810000</v>
      </c>
      <c r="J15" s="203">
        <f t="shared" si="3"/>
        <v>129303124</v>
      </c>
      <c r="K15" s="203">
        <f t="shared" si="3"/>
        <v>45850000</v>
      </c>
      <c r="L15" s="203">
        <f t="shared" si="3"/>
        <v>49306800</v>
      </c>
      <c r="M15" s="203">
        <f t="shared" si="3"/>
        <v>35670000</v>
      </c>
      <c r="N15" s="203">
        <f t="shared" si="3"/>
        <v>36990000</v>
      </c>
      <c r="O15" s="203">
        <f t="shared" si="3"/>
        <v>27065000</v>
      </c>
      <c r="P15" s="203">
        <f t="shared" si="3"/>
        <v>1396012139</v>
      </c>
      <c r="Q15" s="203">
        <f t="shared" si="3"/>
        <v>1046508000</v>
      </c>
      <c r="R15" s="203">
        <f t="shared" si="3"/>
        <v>349504139</v>
      </c>
      <c r="S15" s="203">
        <f t="shared" si="3"/>
        <v>0</v>
      </c>
      <c r="T15" s="203">
        <f t="shared" si="3"/>
        <v>0</v>
      </c>
      <c r="U15" s="203">
        <f t="shared" si="3"/>
        <v>0</v>
      </c>
      <c r="V15" s="203">
        <f t="shared" si="3"/>
        <v>0</v>
      </c>
      <c r="W15" s="203">
        <f t="shared" si="3"/>
        <v>0</v>
      </c>
      <c r="X15" s="203">
        <f t="shared" si="3"/>
        <v>0</v>
      </c>
      <c r="Y15" s="203">
        <f t="shared" si="3"/>
        <v>0</v>
      </c>
      <c r="Z15" s="203">
        <f t="shared" si="3"/>
        <v>0</v>
      </c>
      <c r="AA15" s="203">
        <f t="shared" si="3"/>
        <v>0</v>
      </c>
      <c r="AB15" s="203">
        <f t="shared" si="3"/>
        <v>0</v>
      </c>
      <c r="AC15" s="203">
        <f t="shared" si="3"/>
        <v>0</v>
      </c>
      <c r="AD15" s="229"/>
      <c r="AE15" s="229">
        <f>SUM(AF15:AN15)</f>
        <v>0</v>
      </c>
      <c r="AF15" s="229">
        <f aca="true" t="shared" si="4" ref="AF15:AN15">SUM(AF28:AF71)</f>
        <v>0</v>
      </c>
      <c r="AG15" s="229">
        <f t="shared" si="4"/>
        <v>0</v>
      </c>
      <c r="AH15" s="229">
        <f t="shared" si="4"/>
        <v>0</v>
      </c>
      <c r="AI15" s="229">
        <f t="shared" si="4"/>
        <v>0</v>
      </c>
      <c r="AJ15" s="229">
        <f t="shared" si="4"/>
        <v>0</v>
      </c>
      <c r="AK15" s="229">
        <f t="shared" si="4"/>
        <v>0</v>
      </c>
      <c r="AL15" s="229">
        <f t="shared" si="4"/>
        <v>0</v>
      </c>
      <c r="AM15" s="229">
        <f t="shared" si="4"/>
        <v>0</v>
      </c>
      <c r="AN15" s="229">
        <f t="shared" si="4"/>
        <v>0</v>
      </c>
    </row>
    <row r="16" spans="1:40" s="190" customFormat="1" ht="12.75">
      <c r="A16" s="29" t="s">
        <v>308</v>
      </c>
      <c r="B16" s="478" t="s">
        <v>636</v>
      </c>
      <c r="C16" s="204">
        <f>SUM(C18:C21)</f>
        <v>1046508000</v>
      </c>
      <c r="D16" s="204">
        <f aca="true" t="shared" si="5" ref="D16:AB16">SUM(D18:D21)</f>
        <v>0</v>
      </c>
      <c r="E16" s="204">
        <f t="shared" si="5"/>
        <v>0</v>
      </c>
      <c r="F16" s="204">
        <f t="shared" si="5"/>
        <v>0</v>
      </c>
      <c r="G16" s="204">
        <f t="shared" si="5"/>
        <v>0</v>
      </c>
      <c r="H16" s="204">
        <f t="shared" si="5"/>
        <v>0</v>
      </c>
      <c r="I16" s="204">
        <f t="shared" si="5"/>
        <v>0</v>
      </c>
      <c r="J16" s="204">
        <f t="shared" si="5"/>
        <v>0</v>
      </c>
      <c r="K16" s="204">
        <f t="shared" si="5"/>
        <v>0</v>
      </c>
      <c r="L16" s="204">
        <f t="shared" si="5"/>
        <v>0</v>
      </c>
      <c r="M16" s="204">
        <f t="shared" si="5"/>
        <v>0</v>
      </c>
      <c r="N16" s="204">
        <f t="shared" si="5"/>
        <v>0</v>
      </c>
      <c r="O16" s="204">
        <f t="shared" si="5"/>
        <v>0</v>
      </c>
      <c r="P16" s="204">
        <f t="shared" si="5"/>
        <v>1046508000</v>
      </c>
      <c r="Q16" s="204">
        <f t="shared" si="5"/>
        <v>1046508000</v>
      </c>
      <c r="R16" s="204">
        <f t="shared" si="5"/>
        <v>0</v>
      </c>
      <c r="S16" s="204">
        <f t="shared" si="5"/>
        <v>0</v>
      </c>
      <c r="T16" s="204">
        <f t="shared" si="5"/>
        <v>0</v>
      </c>
      <c r="U16" s="204">
        <f t="shared" si="5"/>
        <v>0</v>
      </c>
      <c r="V16" s="204">
        <f t="shared" si="5"/>
        <v>0</v>
      </c>
      <c r="W16" s="204">
        <f t="shared" si="5"/>
        <v>0</v>
      </c>
      <c r="X16" s="204">
        <f t="shared" si="5"/>
        <v>0</v>
      </c>
      <c r="Y16" s="204">
        <f t="shared" si="5"/>
        <v>0</v>
      </c>
      <c r="Z16" s="204">
        <f t="shared" si="5"/>
        <v>0</v>
      </c>
      <c r="AA16" s="204">
        <f t="shared" si="5"/>
        <v>0</v>
      </c>
      <c r="AB16" s="204">
        <f t="shared" si="5"/>
        <v>0</v>
      </c>
      <c r="AC16" s="29"/>
      <c r="AD16" s="229"/>
      <c r="AE16" s="229">
        <f>SUM(AF16:AN16)</f>
        <v>0</v>
      </c>
      <c r="AF16" s="229"/>
      <c r="AG16" s="229"/>
      <c r="AH16" s="229"/>
      <c r="AI16" s="229"/>
      <c r="AJ16" s="229"/>
      <c r="AK16" s="229"/>
      <c r="AL16" s="229"/>
      <c r="AM16" s="229"/>
      <c r="AN16" s="229"/>
    </row>
    <row r="17" spans="1:40" s="484" customFormat="1" ht="12.75">
      <c r="A17" s="276" t="s">
        <v>1012</v>
      </c>
      <c r="B17" s="277" t="s">
        <v>1009</v>
      </c>
      <c r="C17" s="204">
        <f>SUM(C18:C21)</f>
        <v>1046508000</v>
      </c>
      <c r="D17" s="204">
        <f aca="true" t="shared" si="6" ref="D17:AC17">SUM(D18:D21)</f>
        <v>0</v>
      </c>
      <c r="E17" s="204">
        <f t="shared" si="6"/>
        <v>0</v>
      </c>
      <c r="F17" s="204">
        <f t="shared" si="6"/>
        <v>0</v>
      </c>
      <c r="G17" s="204">
        <f t="shared" si="6"/>
        <v>0</v>
      </c>
      <c r="H17" s="204">
        <f t="shared" si="6"/>
        <v>0</v>
      </c>
      <c r="I17" s="204">
        <f t="shared" si="6"/>
        <v>0</v>
      </c>
      <c r="J17" s="204">
        <f t="shared" si="6"/>
        <v>0</v>
      </c>
      <c r="K17" s="204">
        <f t="shared" si="6"/>
        <v>0</v>
      </c>
      <c r="L17" s="204">
        <f t="shared" si="6"/>
        <v>0</v>
      </c>
      <c r="M17" s="204">
        <f t="shared" si="6"/>
        <v>0</v>
      </c>
      <c r="N17" s="204">
        <f t="shared" si="6"/>
        <v>0</v>
      </c>
      <c r="O17" s="204">
        <f t="shared" si="6"/>
        <v>0</v>
      </c>
      <c r="P17" s="204">
        <f t="shared" si="6"/>
        <v>1046508000</v>
      </c>
      <c r="Q17" s="204">
        <f t="shared" si="6"/>
        <v>1046508000</v>
      </c>
      <c r="R17" s="204">
        <f t="shared" si="6"/>
        <v>0</v>
      </c>
      <c r="S17" s="204">
        <f t="shared" si="6"/>
        <v>0</v>
      </c>
      <c r="T17" s="204">
        <f t="shared" si="6"/>
        <v>0</v>
      </c>
      <c r="U17" s="204">
        <f t="shared" si="6"/>
        <v>0</v>
      </c>
      <c r="V17" s="204">
        <f t="shared" si="6"/>
        <v>0</v>
      </c>
      <c r="W17" s="204">
        <f t="shared" si="6"/>
        <v>0</v>
      </c>
      <c r="X17" s="204">
        <f t="shared" si="6"/>
        <v>0</v>
      </c>
      <c r="Y17" s="204">
        <f t="shared" si="6"/>
        <v>0</v>
      </c>
      <c r="Z17" s="204">
        <f t="shared" si="6"/>
        <v>0</v>
      </c>
      <c r="AA17" s="204">
        <f t="shared" si="6"/>
        <v>0</v>
      </c>
      <c r="AB17" s="204">
        <f t="shared" si="6"/>
        <v>0</v>
      </c>
      <c r="AC17" s="204">
        <f t="shared" si="6"/>
        <v>0</v>
      </c>
      <c r="AD17" s="545"/>
      <c r="AE17" s="545"/>
      <c r="AF17" s="545"/>
      <c r="AG17" s="545"/>
      <c r="AH17" s="545"/>
      <c r="AI17" s="545"/>
      <c r="AJ17" s="545"/>
      <c r="AK17" s="545"/>
      <c r="AL17" s="545"/>
      <c r="AM17" s="545"/>
      <c r="AN17" s="545"/>
    </row>
    <row r="18" spans="1:40" s="190" customFormat="1" ht="38.25">
      <c r="A18" s="29"/>
      <c r="B18" s="621" t="s">
        <v>1114</v>
      </c>
      <c r="C18" s="226">
        <f>+D18+P18+AB18</f>
        <v>74000000</v>
      </c>
      <c r="D18" s="204"/>
      <c r="E18" s="204"/>
      <c r="F18" s="204"/>
      <c r="G18" s="205"/>
      <c r="H18" s="205"/>
      <c r="I18" s="205"/>
      <c r="J18" s="205"/>
      <c r="K18" s="205"/>
      <c r="L18" s="205"/>
      <c r="M18" s="205"/>
      <c r="N18" s="205"/>
      <c r="O18" s="205"/>
      <c r="P18" s="222">
        <f>Q18+R18</f>
        <v>74000000</v>
      </c>
      <c r="Q18" s="622">
        <v>74000000</v>
      </c>
      <c r="R18" s="202"/>
      <c r="S18" s="204"/>
      <c r="T18" s="204"/>
      <c r="U18" s="204"/>
      <c r="V18" s="204"/>
      <c r="W18" s="204"/>
      <c r="X18" s="204"/>
      <c r="Y18" s="204"/>
      <c r="Z18" s="204"/>
      <c r="AA18" s="204"/>
      <c r="AB18" s="218"/>
      <c r="AC18" s="29"/>
      <c r="AD18" s="229"/>
      <c r="AE18" s="229">
        <f>SUM(AF18:AN18)</f>
        <v>0</v>
      </c>
      <c r="AF18" s="229"/>
      <c r="AG18" s="229"/>
      <c r="AH18" s="229"/>
      <c r="AI18" s="229"/>
      <c r="AJ18" s="229"/>
      <c r="AK18" s="229"/>
      <c r="AL18" s="229"/>
      <c r="AM18" s="229"/>
      <c r="AN18" s="229"/>
    </row>
    <row r="19" spans="1:40" s="190" customFormat="1" ht="89.25">
      <c r="A19" s="29"/>
      <c r="B19" s="621" t="s">
        <v>1115</v>
      </c>
      <c r="C19" s="226">
        <f>+D19+P19+AB19</f>
        <v>687822000</v>
      </c>
      <c r="D19" s="661"/>
      <c r="E19" s="661"/>
      <c r="F19" s="661"/>
      <c r="G19" s="662"/>
      <c r="H19" s="662"/>
      <c r="I19" s="662"/>
      <c r="J19" s="662"/>
      <c r="K19" s="662"/>
      <c r="L19" s="662"/>
      <c r="M19" s="662"/>
      <c r="N19" s="662"/>
      <c r="O19" s="662"/>
      <c r="P19" s="226">
        <f>Q19+R19</f>
        <v>687822000</v>
      </c>
      <c r="Q19" s="226">
        <v>687822000</v>
      </c>
      <c r="R19" s="225"/>
      <c r="S19" s="661"/>
      <c r="T19" s="661"/>
      <c r="U19" s="661"/>
      <c r="V19" s="661"/>
      <c r="W19" s="661"/>
      <c r="X19" s="661"/>
      <c r="Y19" s="661"/>
      <c r="Z19" s="661"/>
      <c r="AA19" s="661"/>
      <c r="AB19" s="225"/>
      <c r="AC19" s="29"/>
      <c r="AD19" s="229"/>
      <c r="AE19" s="229">
        <f>SUM(AF19:AN19)</f>
        <v>0</v>
      </c>
      <c r="AF19" s="229"/>
      <c r="AG19" s="229"/>
      <c r="AH19" s="229"/>
      <c r="AI19" s="229"/>
      <c r="AJ19" s="229"/>
      <c r="AK19" s="229"/>
      <c r="AL19" s="229"/>
      <c r="AM19" s="229"/>
      <c r="AN19" s="229"/>
    </row>
    <row r="20" spans="1:40" s="190" customFormat="1" ht="38.25">
      <c r="A20" s="29"/>
      <c r="B20" s="621" t="s">
        <v>1116</v>
      </c>
      <c r="C20" s="226">
        <f>+D20+P20+AB20</f>
        <v>273562000</v>
      </c>
      <c r="D20" s="661"/>
      <c r="E20" s="661"/>
      <c r="F20" s="661"/>
      <c r="G20" s="662"/>
      <c r="H20" s="662"/>
      <c r="I20" s="662"/>
      <c r="J20" s="662"/>
      <c r="K20" s="662"/>
      <c r="L20" s="662"/>
      <c r="M20" s="662"/>
      <c r="N20" s="662"/>
      <c r="O20" s="662"/>
      <c r="P20" s="226">
        <f>Q20+R20</f>
        <v>273562000</v>
      </c>
      <c r="Q20" s="226">
        <v>273562000</v>
      </c>
      <c r="R20" s="225"/>
      <c r="S20" s="661"/>
      <c r="T20" s="661"/>
      <c r="U20" s="661"/>
      <c r="V20" s="661"/>
      <c r="W20" s="661"/>
      <c r="X20" s="661"/>
      <c r="Y20" s="661"/>
      <c r="Z20" s="661"/>
      <c r="AA20" s="661"/>
      <c r="AB20" s="225"/>
      <c r="AC20" s="29"/>
      <c r="AD20" s="229"/>
      <c r="AE20" s="229">
        <f>SUM(AF20:AN20)</f>
        <v>0</v>
      </c>
      <c r="AF20" s="229"/>
      <c r="AG20" s="229"/>
      <c r="AH20" s="229"/>
      <c r="AI20" s="229"/>
      <c r="AJ20" s="229"/>
      <c r="AK20" s="229"/>
      <c r="AL20" s="229"/>
      <c r="AM20" s="229"/>
      <c r="AN20" s="229"/>
    </row>
    <row r="21" spans="1:40" s="190" customFormat="1" ht="38.25">
      <c r="A21" s="29"/>
      <c r="B21" s="621" t="s">
        <v>1117</v>
      </c>
      <c r="C21" s="226">
        <f>+D21+P21+AB21</f>
        <v>11124000</v>
      </c>
      <c r="D21" s="661"/>
      <c r="E21" s="661"/>
      <c r="F21" s="661"/>
      <c r="G21" s="662"/>
      <c r="H21" s="662"/>
      <c r="I21" s="662"/>
      <c r="J21" s="662"/>
      <c r="K21" s="662"/>
      <c r="L21" s="662"/>
      <c r="M21" s="662"/>
      <c r="N21" s="662"/>
      <c r="O21" s="662"/>
      <c r="P21" s="226">
        <f>Q21+R21</f>
        <v>11124000</v>
      </c>
      <c r="Q21" s="226">
        <v>11124000</v>
      </c>
      <c r="R21" s="225"/>
      <c r="S21" s="661"/>
      <c r="T21" s="661"/>
      <c r="U21" s="661"/>
      <c r="V21" s="661"/>
      <c r="W21" s="661"/>
      <c r="X21" s="661"/>
      <c r="Y21" s="661"/>
      <c r="Z21" s="661"/>
      <c r="AA21" s="661"/>
      <c r="AB21" s="225"/>
      <c r="AC21" s="29"/>
      <c r="AD21" s="229"/>
      <c r="AE21" s="229"/>
      <c r="AF21" s="229"/>
      <c r="AG21" s="229"/>
      <c r="AH21" s="229"/>
      <c r="AI21" s="229"/>
      <c r="AJ21" s="229"/>
      <c r="AK21" s="229"/>
      <c r="AL21" s="229"/>
      <c r="AM21" s="229"/>
      <c r="AN21" s="229"/>
    </row>
    <row r="22" spans="1:40" s="484" customFormat="1" ht="12.75">
      <c r="A22" s="276" t="s">
        <v>1011</v>
      </c>
      <c r="B22" s="277" t="s">
        <v>1008</v>
      </c>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276"/>
      <c r="AD22" s="545"/>
      <c r="AE22" s="545"/>
      <c r="AF22" s="545"/>
      <c r="AG22" s="545"/>
      <c r="AH22" s="545"/>
      <c r="AI22" s="545"/>
      <c r="AJ22" s="545"/>
      <c r="AK22" s="545"/>
      <c r="AL22" s="545"/>
      <c r="AM22" s="545"/>
      <c r="AN22" s="545"/>
    </row>
    <row r="23" spans="1:40" s="190" customFormat="1" ht="12.75">
      <c r="A23" s="29" t="s">
        <v>694</v>
      </c>
      <c r="B23" s="478" t="s">
        <v>961</v>
      </c>
      <c r="C23" s="225">
        <f aca="true" t="shared" si="7" ref="C23:Q23">SUM(C24:C24)</f>
        <v>0</v>
      </c>
      <c r="D23" s="225">
        <f t="shared" si="7"/>
        <v>0</v>
      </c>
      <c r="E23" s="225">
        <f t="shared" si="7"/>
        <v>0</v>
      </c>
      <c r="F23" s="225">
        <f t="shared" si="7"/>
        <v>0</v>
      </c>
      <c r="G23" s="225">
        <f t="shared" si="7"/>
        <v>0</v>
      </c>
      <c r="H23" s="225">
        <f t="shared" si="7"/>
        <v>0</v>
      </c>
      <c r="I23" s="225">
        <f t="shared" si="7"/>
        <v>0</v>
      </c>
      <c r="J23" s="225">
        <f t="shared" si="7"/>
        <v>0</v>
      </c>
      <c r="K23" s="225">
        <f t="shared" si="7"/>
        <v>0</v>
      </c>
      <c r="L23" s="225">
        <f t="shared" si="7"/>
        <v>0</v>
      </c>
      <c r="M23" s="225">
        <f t="shared" si="7"/>
        <v>0</v>
      </c>
      <c r="N23" s="225">
        <f t="shared" si="7"/>
        <v>0</v>
      </c>
      <c r="O23" s="225">
        <f t="shared" si="7"/>
        <v>0</v>
      </c>
      <c r="P23" s="225">
        <f t="shared" si="7"/>
        <v>0</v>
      </c>
      <c r="Q23" s="225">
        <f t="shared" si="7"/>
        <v>0</v>
      </c>
      <c r="R23" s="225">
        <f>SUM(R24:R25)</f>
        <v>0</v>
      </c>
      <c r="S23" s="225">
        <f aca="true" t="shared" si="8" ref="S23:AB23">SUM(S24:S24)</f>
        <v>0</v>
      </c>
      <c r="T23" s="225">
        <f t="shared" si="8"/>
        <v>0</v>
      </c>
      <c r="U23" s="225">
        <f t="shared" si="8"/>
        <v>0</v>
      </c>
      <c r="V23" s="225">
        <f t="shared" si="8"/>
        <v>0</v>
      </c>
      <c r="W23" s="225">
        <f t="shared" si="8"/>
        <v>0</v>
      </c>
      <c r="X23" s="225">
        <f t="shared" si="8"/>
        <v>0</v>
      </c>
      <c r="Y23" s="225">
        <f t="shared" si="8"/>
        <v>0</v>
      </c>
      <c r="Z23" s="225">
        <f t="shared" si="8"/>
        <v>0</v>
      </c>
      <c r="AA23" s="225">
        <f t="shared" si="8"/>
        <v>0</v>
      </c>
      <c r="AB23" s="225">
        <f t="shared" si="8"/>
        <v>0</v>
      </c>
      <c r="AC23" s="29"/>
      <c r="AD23" s="229"/>
      <c r="AE23" s="229"/>
      <c r="AF23" s="229"/>
      <c r="AG23" s="229"/>
      <c r="AH23" s="229"/>
      <c r="AI23" s="229"/>
      <c r="AJ23" s="229"/>
      <c r="AK23" s="229"/>
      <c r="AL23" s="229"/>
      <c r="AM23" s="229"/>
      <c r="AN23" s="229"/>
    </row>
    <row r="24" spans="1:40" s="190" customFormat="1" ht="12.75" hidden="1">
      <c r="A24" s="29"/>
      <c r="B24" s="182"/>
      <c r="C24" s="224"/>
      <c r="D24" s="661"/>
      <c r="E24" s="661"/>
      <c r="F24" s="661"/>
      <c r="G24" s="662"/>
      <c r="H24" s="662"/>
      <c r="I24" s="662"/>
      <c r="J24" s="662"/>
      <c r="K24" s="662"/>
      <c r="L24" s="662"/>
      <c r="M24" s="662"/>
      <c r="N24" s="662"/>
      <c r="O24" s="662"/>
      <c r="P24" s="210"/>
      <c r="Q24" s="210"/>
      <c r="R24" s="225"/>
      <c r="S24" s="661"/>
      <c r="T24" s="661"/>
      <c r="U24" s="661"/>
      <c r="V24" s="661"/>
      <c r="W24" s="661"/>
      <c r="X24" s="661"/>
      <c r="Y24" s="661"/>
      <c r="Z24" s="661"/>
      <c r="AA24" s="661"/>
      <c r="AB24" s="225"/>
      <c r="AC24" s="29"/>
      <c r="AD24" s="229"/>
      <c r="AE24" s="229"/>
      <c r="AF24" s="229"/>
      <c r="AG24" s="229"/>
      <c r="AH24" s="229"/>
      <c r="AI24" s="229"/>
      <c r="AJ24" s="229"/>
      <c r="AK24" s="229"/>
      <c r="AL24" s="229"/>
      <c r="AM24" s="229"/>
      <c r="AN24" s="229"/>
    </row>
    <row r="25" spans="1:40" s="190" customFormat="1" ht="12.75" hidden="1">
      <c r="A25" s="29"/>
      <c r="B25" s="182"/>
      <c r="C25" s="224"/>
      <c r="D25" s="661"/>
      <c r="E25" s="661"/>
      <c r="F25" s="661"/>
      <c r="G25" s="662"/>
      <c r="H25" s="662"/>
      <c r="I25" s="662"/>
      <c r="J25" s="662"/>
      <c r="K25" s="662"/>
      <c r="L25" s="662"/>
      <c r="M25" s="662"/>
      <c r="N25" s="662"/>
      <c r="O25" s="662"/>
      <c r="P25" s="210"/>
      <c r="Q25" s="210"/>
      <c r="R25" s="663"/>
      <c r="S25" s="661"/>
      <c r="T25" s="661"/>
      <c r="U25" s="661"/>
      <c r="V25" s="661"/>
      <c r="W25" s="661"/>
      <c r="X25" s="661"/>
      <c r="Y25" s="661"/>
      <c r="Z25" s="661"/>
      <c r="AA25" s="661"/>
      <c r="AB25" s="225"/>
      <c r="AC25" s="29"/>
      <c r="AD25" s="229"/>
      <c r="AE25" s="229"/>
      <c r="AF25" s="229"/>
      <c r="AG25" s="229"/>
      <c r="AH25" s="229"/>
      <c r="AI25" s="229"/>
      <c r="AJ25" s="229"/>
      <c r="AK25" s="229"/>
      <c r="AL25" s="229"/>
      <c r="AM25" s="229"/>
      <c r="AN25" s="229"/>
    </row>
    <row r="26" spans="1:40" s="190" customFormat="1" ht="12.75">
      <c r="A26" s="29" t="s">
        <v>698</v>
      </c>
      <c r="B26" s="478" t="s">
        <v>962</v>
      </c>
      <c r="C26" s="225">
        <f aca="true" t="shared" si="9" ref="C26:P26">C27</f>
        <v>0</v>
      </c>
      <c r="D26" s="225">
        <f t="shared" si="9"/>
        <v>0</v>
      </c>
      <c r="E26" s="225">
        <f t="shared" si="9"/>
        <v>0</v>
      </c>
      <c r="F26" s="225">
        <f t="shared" si="9"/>
        <v>0</v>
      </c>
      <c r="G26" s="225">
        <f t="shared" si="9"/>
        <v>0</v>
      </c>
      <c r="H26" s="225">
        <f t="shared" si="9"/>
        <v>0</v>
      </c>
      <c r="I26" s="225">
        <f t="shared" si="9"/>
        <v>0</v>
      </c>
      <c r="J26" s="225">
        <f t="shared" si="9"/>
        <v>0</v>
      </c>
      <c r="K26" s="225">
        <f t="shared" si="9"/>
        <v>0</v>
      </c>
      <c r="L26" s="225">
        <f t="shared" si="9"/>
        <v>0</v>
      </c>
      <c r="M26" s="225">
        <f t="shared" si="9"/>
        <v>0</v>
      </c>
      <c r="N26" s="225">
        <f t="shared" si="9"/>
        <v>0</v>
      </c>
      <c r="O26" s="225">
        <f t="shared" si="9"/>
        <v>0</v>
      </c>
      <c r="P26" s="225">
        <f t="shared" si="9"/>
        <v>0</v>
      </c>
      <c r="Q26" s="225">
        <f>Q27</f>
        <v>0</v>
      </c>
      <c r="R26" s="225">
        <f aca="true" t="shared" si="10" ref="R26:AB26">R27</f>
        <v>0</v>
      </c>
      <c r="S26" s="225">
        <f t="shared" si="10"/>
        <v>0</v>
      </c>
      <c r="T26" s="225">
        <f t="shared" si="10"/>
        <v>0</v>
      </c>
      <c r="U26" s="225">
        <f t="shared" si="10"/>
        <v>0</v>
      </c>
      <c r="V26" s="225">
        <f t="shared" si="10"/>
        <v>0</v>
      </c>
      <c r="W26" s="225">
        <f t="shared" si="10"/>
        <v>0</v>
      </c>
      <c r="X26" s="225">
        <f t="shared" si="10"/>
        <v>0</v>
      </c>
      <c r="Y26" s="225">
        <f t="shared" si="10"/>
        <v>0</v>
      </c>
      <c r="Z26" s="225">
        <f t="shared" si="10"/>
        <v>0</v>
      </c>
      <c r="AA26" s="225">
        <f t="shared" si="10"/>
        <v>0</v>
      </c>
      <c r="AB26" s="225">
        <f t="shared" si="10"/>
        <v>0</v>
      </c>
      <c r="AC26" s="29"/>
      <c r="AD26" s="229"/>
      <c r="AE26" s="229"/>
      <c r="AF26" s="229"/>
      <c r="AG26" s="229"/>
      <c r="AH26" s="229"/>
      <c r="AI26" s="229"/>
      <c r="AJ26" s="229"/>
      <c r="AK26" s="229"/>
      <c r="AL26" s="229"/>
      <c r="AM26" s="229"/>
      <c r="AN26" s="229"/>
    </row>
    <row r="27" spans="1:40" s="190" customFormat="1" ht="12.75" hidden="1">
      <c r="A27" s="29"/>
      <c r="B27" s="182"/>
      <c r="C27" s="224"/>
      <c r="D27" s="661"/>
      <c r="E27" s="661"/>
      <c r="F27" s="661"/>
      <c r="G27" s="662"/>
      <c r="H27" s="662"/>
      <c r="I27" s="662"/>
      <c r="J27" s="662"/>
      <c r="K27" s="662"/>
      <c r="L27" s="662"/>
      <c r="M27" s="662"/>
      <c r="N27" s="662"/>
      <c r="O27" s="662"/>
      <c r="P27" s="210"/>
      <c r="Q27" s="210"/>
      <c r="R27" s="225"/>
      <c r="S27" s="661"/>
      <c r="T27" s="661"/>
      <c r="U27" s="661"/>
      <c r="V27" s="661"/>
      <c r="W27" s="661"/>
      <c r="X27" s="661"/>
      <c r="Y27" s="661"/>
      <c r="Z27" s="661"/>
      <c r="AA27" s="661"/>
      <c r="AB27" s="225"/>
      <c r="AC27" s="29"/>
      <c r="AD27" s="229"/>
      <c r="AE27" s="229"/>
      <c r="AF27" s="229"/>
      <c r="AG27" s="229"/>
      <c r="AH27" s="229"/>
      <c r="AI27" s="229"/>
      <c r="AJ27" s="229"/>
      <c r="AK27" s="229"/>
      <c r="AL27" s="229"/>
      <c r="AM27" s="229"/>
      <c r="AN27" s="229"/>
    </row>
    <row r="28" spans="1:40" s="190" customFormat="1" ht="25.5">
      <c r="A28" s="29" t="s">
        <v>364</v>
      </c>
      <c r="B28" s="30" t="s">
        <v>667</v>
      </c>
      <c r="C28" s="661">
        <f>D28+P28+AB28</f>
        <v>0</v>
      </c>
      <c r="D28" s="661">
        <f>E28+F28</f>
        <v>0</v>
      </c>
      <c r="E28" s="661">
        <f>F28+G28</f>
        <v>0</v>
      </c>
      <c r="F28" s="661">
        <f>SUM(G28:O28)</f>
        <v>0</v>
      </c>
      <c r="G28" s="662"/>
      <c r="H28" s="662"/>
      <c r="I28" s="662"/>
      <c r="J28" s="662"/>
      <c r="K28" s="662"/>
      <c r="L28" s="662"/>
      <c r="M28" s="662"/>
      <c r="N28" s="662"/>
      <c r="O28" s="662"/>
      <c r="P28" s="225">
        <f>Q28+R28</f>
        <v>0</v>
      </c>
      <c r="Q28" s="661"/>
      <c r="R28" s="225">
        <f>SUM(S28:AB28)</f>
        <v>0</v>
      </c>
      <c r="S28" s="661"/>
      <c r="T28" s="661"/>
      <c r="U28" s="661"/>
      <c r="V28" s="661"/>
      <c r="W28" s="661"/>
      <c r="X28" s="661"/>
      <c r="Y28" s="661"/>
      <c r="Z28" s="661"/>
      <c r="AA28" s="661"/>
      <c r="AB28" s="661"/>
      <c r="AC28" s="29"/>
      <c r="AD28" s="229"/>
      <c r="AE28" s="229">
        <f>SUM(AF28:AN28)</f>
        <v>0</v>
      </c>
      <c r="AF28" s="229"/>
      <c r="AG28" s="229"/>
      <c r="AH28" s="229"/>
      <c r="AI28" s="229"/>
      <c r="AJ28" s="229"/>
      <c r="AK28" s="229"/>
      <c r="AL28" s="229"/>
      <c r="AM28" s="229"/>
      <c r="AN28" s="229"/>
    </row>
    <row r="29" spans="1:40" s="190" customFormat="1" ht="12.75">
      <c r="A29" s="29" t="s">
        <v>382</v>
      </c>
      <c r="B29" s="30" t="s">
        <v>468</v>
      </c>
      <c r="C29" s="176">
        <f>C30</f>
        <v>4759203000</v>
      </c>
      <c r="D29" s="176">
        <f aca="true" t="shared" si="11" ref="D29:AC29">D30</f>
        <v>4759203000</v>
      </c>
      <c r="E29" s="176">
        <f t="shared" si="11"/>
        <v>4662500000</v>
      </c>
      <c r="F29" s="176">
        <f t="shared" si="11"/>
        <v>543809924</v>
      </c>
      <c r="G29" s="176">
        <f t="shared" si="11"/>
        <v>60150000</v>
      </c>
      <c r="H29" s="176">
        <f t="shared" si="11"/>
        <v>81665000</v>
      </c>
      <c r="I29" s="176">
        <f t="shared" si="11"/>
        <v>77810000</v>
      </c>
      <c r="J29" s="176">
        <f t="shared" si="11"/>
        <v>129303124</v>
      </c>
      <c r="K29" s="176">
        <f t="shared" si="11"/>
        <v>45850000</v>
      </c>
      <c r="L29" s="176">
        <f t="shared" si="11"/>
        <v>49306800</v>
      </c>
      <c r="M29" s="176">
        <f t="shared" si="11"/>
        <v>35670000</v>
      </c>
      <c r="N29" s="176">
        <f t="shared" si="11"/>
        <v>36990000</v>
      </c>
      <c r="O29" s="176">
        <f t="shared" si="11"/>
        <v>27065000</v>
      </c>
      <c r="P29" s="176">
        <f>P30+P66</f>
        <v>349504139</v>
      </c>
      <c r="Q29" s="176">
        <f>Q30+Q66</f>
        <v>0</v>
      </c>
      <c r="R29" s="176">
        <f>R30+R66</f>
        <v>349504139</v>
      </c>
      <c r="S29" s="176">
        <f t="shared" si="11"/>
        <v>0</v>
      </c>
      <c r="T29" s="176">
        <f t="shared" si="11"/>
        <v>0</v>
      </c>
      <c r="U29" s="176">
        <f t="shared" si="11"/>
        <v>0</v>
      </c>
      <c r="V29" s="176">
        <f t="shared" si="11"/>
        <v>0</v>
      </c>
      <c r="W29" s="176">
        <f t="shared" si="11"/>
        <v>0</v>
      </c>
      <c r="X29" s="176">
        <f t="shared" si="11"/>
        <v>0</v>
      </c>
      <c r="Y29" s="176">
        <f t="shared" si="11"/>
        <v>0</v>
      </c>
      <c r="Z29" s="176">
        <f t="shared" si="11"/>
        <v>0</v>
      </c>
      <c r="AA29" s="176">
        <f t="shared" si="11"/>
        <v>0</v>
      </c>
      <c r="AB29" s="176">
        <f t="shared" si="11"/>
        <v>0</v>
      </c>
      <c r="AC29" s="176">
        <f t="shared" si="11"/>
        <v>0</v>
      </c>
      <c r="AD29" s="229"/>
      <c r="AE29" s="229">
        <f>SUM(AF29:AN29)</f>
        <v>0</v>
      </c>
      <c r="AF29" s="229"/>
      <c r="AG29" s="229"/>
      <c r="AH29" s="229"/>
      <c r="AI29" s="229"/>
      <c r="AJ29" s="229"/>
      <c r="AK29" s="229"/>
      <c r="AL29" s="229"/>
      <c r="AM29" s="229"/>
      <c r="AN29" s="229"/>
    </row>
    <row r="30" spans="1:40" s="484" customFormat="1" ht="12.75">
      <c r="A30" s="276" t="s">
        <v>1010</v>
      </c>
      <c r="B30" s="277" t="s">
        <v>1008</v>
      </c>
      <c r="C30" s="661">
        <f>C31+C34+C39+C43+C48+C49+C55+C58+C64</f>
        <v>4759203000</v>
      </c>
      <c r="D30" s="661">
        <f>D31+D34+D39+D43+D48+D49+D55+D58+D64</f>
        <v>4759203000</v>
      </c>
      <c r="E30" s="661">
        <f>E31+E34+E39+E43+E48+E49+E55+E58+E64</f>
        <v>4662500000</v>
      </c>
      <c r="F30" s="661">
        <f>F31+F34+F39+F43+F48+F49+F55+F58+F64+F62</f>
        <v>543809924</v>
      </c>
      <c r="G30" s="661">
        <f aca="true" t="shared" si="12" ref="G30:O30">G31+G34+G39+G43+G48+G49+G55+G58+G64+G62</f>
        <v>60150000</v>
      </c>
      <c r="H30" s="661">
        <f t="shared" si="12"/>
        <v>81665000</v>
      </c>
      <c r="I30" s="661">
        <f t="shared" si="12"/>
        <v>77810000</v>
      </c>
      <c r="J30" s="661">
        <f t="shared" si="12"/>
        <v>129303124</v>
      </c>
      <c r="K30" s="661">
        <f t="shared" si="12"/>
        <v>45850000</v>
      </c>
      <c r="L30" s="661">
        <f t="shared" si="12"/>
        <v>49306800</v>
      </c>
      <c r="M30" s="661">
        <f t="shared" si="12"/>
        <v>35670000</v>
      </c>
      <c r="N30" s="661">
        <f t="shared" si="12"/>
        <v>36990000</v>
      </c>
      <c r="O30" s="661">
        <f t="shared" si="12"/>
        <v>27065000</v>
      </c>
      <c r="P30" s="661">
        <f aca="true" t="shared" si="13" ref="P30:AB30">P31+P34+P39+P43+P48+P49+P55+P58+P64</f>
        <v>0</v>
      </c>
      <c r="Q30" s="661">
        <f t="shared" si="13"/>
        <v>0</v>
      </c>
      <c r="R30" s="661">
        <f t="shared" si="13"/>
        <v>0</v>
      </c>
      <c r="S30" s="661">
        <f t="shared" si="13"/>
        <v>0</v>
      </c>
      <c r="T30" s="661">
        <f t="shared" si="13"/>
        <v>0</v>
      </c>
      <c r="U30" s="661">
        <f t="shared" si="13"/>
        <v>0</v>
      </c>
      <c r="V30" s="661">
        <f t="shared" si="13"/>
        <v>0</v>
      </c>
      <c r="W30" s="661">
        <f t="shared" si="13"/>
        <v>0</v>
      </c>
      <c r="X30" s="661">
        <f t="shared" si="13"/>
        <v>0</v>
      </c>
      <c r="Y30" s="661">
        <f t="shared" si="13"/>
        <v>0</v>
      </c>
      <c r="Z30" s="661">
        <f t="shared" si="13"/>
        <v>0</v>
      </c>
      <c r="AA30" s="661">
        <f t="shared" si="13"/>
        <v>0</v>
      </c>
      <c r="AB30" s="661">
        <f t="shared" si="13"/>
        <v>0</v>
      </c>
      <c r="AC30" s="276"/>
      <c r="AD30" s="545"/>
      <c r="AE30" s="545"/>
      <c r="AF30" s="545"/>
      <c r="AG30" s="545"/>
      <c r="AH30" s="545"/>
      <c r="AI30" s="545"/>
      <c r="AJ30" s="545"/>
      <c r="AK30" s="545"/>
      <c r="AL30" s="545"/>
      <c r="AM30" s="545"/>
      <c r="AN30" s="545"/>
    </row>
    <row r="31" spans="1:40" s="190" customFormat="1" ht="12.75">
      <c r="A31" s="29">
        <v>1</v>
      </c>
      <c r="B31" s="30" t="s">
        <v>668</v>
      </c>
      <c r="C31" s="176">
        <f>D31+P31+AB31</f>
        <v>213040000</v>
      </c>
      <c r="D31" s="176">
        <f>E31+F31</f>
        <v>213040000</v>
      </c>
      <c r="E31" s="176">
        <f>SUM(E32:E32)</f>
        <v>126600000</v>
      </c>
      <c r="F31" s="176">
        <f>SUM(F32:F33)</f>
        <v>86440000</v>
      </c>
      <c r="G31" s="176">
        <f aca="true" t="shared" si="14" ref="G31:O31">SUM(G32:G33)</f>
        <v>0</v>
      </c>
      <c r="H31" s="176">
        <f t="shared" si="14"/>
        <v>45605000</v>
      </c>
      <c r="I31" s="176">
        <f t="shared" si="14"/>
        <v>40835000</v>
      </c>
      <c r="J31" s="176">
        <f t="shared" si="14"/>
        <v>0</v>
      </c>
      <c r="K31" s="176">
        <f t="shared" si="14"/>
        <v>0</v>
      </c>
      <c r="L31" s="176">
        <f t="shared" si="14"/>
        <v>0</v>
      </c>
      <c r="M31" s="176">
        <f t="shared" si="14"/>
        <v>0</v>
      </c>
      <c r="N31" s="176">
        <f t="shared" si="14"/>
        <v>0</v>
      </c>
      <c r="O31" s="176">
        <f t="shared" si="14"/>
        <v>0</v>
      </c>
      <c r="P31" s="176">
        <f>Q31+R31</f>
        <v>0</v>
      </c>
      <c r="Q31" s="176">
        <f aca="true" t="shared" si="15" ref="Q31:AC31">SUM(Q32:Q32)</f>
        <v>0</v>
      </c>
      <c r="R31" s="176">
        <f t="shared" si="15"/>
        <v>0</v>
      </c>
      <c r="S31" s="176">
        <f t="shared" si="15"/>
        <v>0</v>
      </c>
      <c r="T31" s="176">
        <f t="shared" si="15"/>
        <v>0</v>
      </c>
      <c r="U31" s="176">
        <f t="shared" si="15"/>
        <v>0</v>
      </c>
      <c r="V31" s="176">
        <f t="shared" si="15"/>
        <v>0</v>
      </c>
      <c r="W31" s="176">
        <f t="shared" si="15"/>
        <v>0</v>
      </c>
      <c r="X31" s="176">
        <f t="shared" si="15"/>
        <v>0</v>
      </c>
      <c r="Y31" s="176">
        <f t="shared" si="15"/>
        <v>0</v>
      </c>
      <c r="Z31" s="176">
        <f t="shared" si="15"/>
        <v>0</v>
      </c>
      <c r="AA31" s="176">
        <f t="shared" si="15"/>
        <v>0</v>
      </c>
      <c r="AB31" s="176">
        <f t="shared" si="15"/>
        <v>0</v>
      </c>
      <c r="AC31" s="176">
        <f t="shared" si="15"/>
        <v>0</v>
      </c>
      <c r="AD31" s="229"/>
      <c r="AE31" s="229">
        <f>SUM(AF31:AN31)</f>
        <v>0</v>
      </c>
      <c r="AF31" s="229"/>
      <c r="AG31" s="229"/>
      <c r="AH31" s="229"/>
      <c r="AI31" s="229"/>
      <c r="AJ31" s="229"/>
      <c r="AK31" s="229"/>
      <c r="AL31" s="229"/>
      <c r="AM31" s="229"/>
      <c r="AN31" s="229"/>
    </row>
    <row r="32" spans="1:40" s="191" customFormat="1" ht="12.75">
      <c r="A32" s="542"/>
      <c r="B32" s="182" t="s">
        <v>1013</v>
      </c>
      <c r="C32" s="625">
        <f>D32+P32+AB32</f>
        <v>167435000</v>
      </c>
      <c r="D32" s="625">
        <f>E32+F32</f>
        <v>167435000</v>
      </c>
      <c r="E32" s="625">
        <v>126600000</v>
      </c>
      <c r="F32" s="226">
        <f aca="true" t="shared" si="16" ref="F32:F42">SUM(G32:O32)</f>
        <v>40835000</v>
      </c>
      <c r="G32" s="210"/>
      <c r="H32" s="210"/>
      <c r="I32" s="210">
        <v>40835000</v>
      </c>
      <c r="J32" s="210"/>
      <c r="K32" s="210"/>
      <c r="L32" s="210"/>
      <c r="M32" s="210"/>
      <c r="N32" s="210"/>
      <c r="O32" s="210"/>
      <c r="P32" s="625"/>
      <c r="Q32" s="224"/>
      <c r="R32" s="224"/>
      <c r="S32" s="224"/>
      <c r="T32" s="224"/>
      <c r="U32" s="224"/>
      <c r="V32" s="224"/>
      <c r="W32" s="224"/>
      <c r="X32" s="224"/>
      <c r="Y32" s="224"/>
      <c r="Z32" s="224"/>
      <c r="AA32" s="224"/>
      <c r="AB32" s="224"/>
      <c r="AC32" s="624"/>
      <c r="AD32" s="230"/>
      <c r="AE32" s="393"/>
      <c r="AF32" s="230"/>
      <c r="AG32" s="230"/>
      <c r="AH32" s="230"/>
      <c r="AI32" s="230"/>
      <c r="AJ32" s="230"/>
      <c r="AK32" s="230"/>
      <c r="AL32" s="230"/>
      <c r="AM32" s="230"/>
      <c r="AN32" s="230"/>
    </row>
    <row r="33" spans="1:40" s="191" customFormat="1" ht="25.5">
      <c r="A33" s="624"/>
      <c r="B33" s="182" t="s">
        <v>1123</v>
      </c>
      <c r="C33" s="625">
        <f>D33+P33+AB33</f>
        <v>45605000</v>
      </c>
      <c r="D33" s="625">
        <f>E33+F33</f>
        <v>45605000</v>
      </c>
      <c r="E33" s="625"/>
      <c r="F33" s="226">
        <f t="shared" si="16"/>
        <v>45605000</v>
      </c>
      <c r="G33" s="210"/>
      <c r="H33" s="210">
        <v>45605000</v>
      </c>
      <c r="I33" s="210"/>
      <c r="J33" s="210"/>
      <c r="K33" s="210"/>
      <c r="L33" s="210"/>
      <c r="M33" s="210"/>
      <c r="N33" s="210"/>
      <c r="O33" s="210"/>
      <c r="P33" s="625"/>
      <c r="Q33" s="224"/>
      <c r="R33" s="224"/>
      <c r="S33" s="224"/>
      <c r="T33" s="224"/>
      <c r="U33" s="224"/>
      <c r="V33" s="224"/>
      <c r="W33" s="224"/>
      <c r="X33" s="224"/>
      <c r="Y33" s="224"/>
      <c r="Z33" s="224"/>
      <c r="AA33" s="224"/>
      <c r="AB33" s="224"/>
      <c r="AC33" s="624"/>
      <c r="AD33" s="230"/>
      <c r="AE33" s="393"/>
      <c r="AF33" s="230"/>
      <c r="AG33" s="230"/>
      <c r="AH33" s="230"/>
      <c r="AI33" s="230"/>
      <c r="AJ33" s="230"/>
      <c r="AK33" s="230"/>
      <c r="AL33" s="230"/>
      <c r="AM33" s="230"/>
      <c r="AN33" s="230"/>
    </row>
    <row r="34" spans="1:40" s="192" customFormat="1" ht="13.5">
      <c r="A34" s="207">
        <v>2</v>
      </c>
      <c r="B34" s="208" t="s">
        <v>669</v>
      </c>
      <c r="C34" s="209">
        <f>C35</f>
        <v>241245000</v>
      </c>
      <c r="D34" s="209">
        <f aca="true" t="shared" si="17" ref="D34:AC34">D35</f>
        <v>241245000</v>
      </c>
      <c r="E34" s="209">
        <f t="shared" si="17"/>
        <v>233700000</v>
      </c>
      <c r="F34" s="209">
        <f>SUM(F35:F38)</f>
        <v>139317320</v>
      </c>
      <c r="G34" s="209">
        <f aca="true" t="shared" si="18" ref="G34:O34">SUM(G35:G38)</f>
        <v>29920000</v>
      </c>
      <c r="H34" s="209">
        <f t="shared" si="18"/>
        <v>17685000</v>
      </c>
      <c r="I34" s="209">
        <f t="shared" si="18"/>
        <v>0</v>
      </c>
      <c r="J34" s="209">
        <f t="shared" si="18"/>
        <v>51847320</v>
      </c>
      <c r="K34" s="209">
        <f t="shared" si="18"/>
        <v>21670000</v>
      </c>
      <c r="L34" s="209">
        <f t="shared" si="18"/>
        <v>10650000</v>
      </c>
      <c r="M34" s="209">
        <f t="shared" si="18"/>
        <v>7545000</v>
      </c>
      <c r="N34" s="209">
        <f t="shared" si="18"/>
        <v>0</v>
      </c>
      <c r="O34" s="209">
        <f t="shared" si="18"/>
        <v>0</v>
      </c>
      <c r="P34" s="209">
        <f t="shared" si="17"/>
        <v>0</v>
      </c>
      <c r="Q34" s="209">
        <f t="shared" si="17"/>
        <v>0</v>
      </c>
      <c r="R34" s="209">
        <f t="shared" si="17"/>
        <v>0</v>
      </c>
      <c r="S34" s="209">
        <f t="shared" si="17"/>
        <v>0</v>
      </c>
      <c r="T34" s="209">
        <f t="shared" si="17"/>
        <v>0</v>
      </c>
      <c r="U34" s="209">
        <f t="shared" si="17"/>
        <v>0</v>
      </c>
      <c r="V34" s="209">
        <f t="shared" si="17"/>
        <v>0</v>
      </c>
      <c r="W34" s="209">
        <f t="shared" si="17"/>
        <v>0</v>
      </c>
      <c r="X34" s="209">
        <f t="shared" si="17"/>
        <v>0</v>
      </c>
      <c r="Y34" s="209">
        <f t="shared" si="17"/>
        <v>0</v>
      </c>
      <c r="Z34" s="209">
        <f t="shared" si="17"/>
        <v>0</v>
      </c>
      <c r="AA34" s="209">
        <f t="shared" si="17"/>
        <v>0</v>
      </c>
      <c r="AB34" s="209">
        <f t="shared" si="17"/>
        <v>0</v>
      </c>
      <c r="AC34" s="209">
        <f t="shared" si="17"/>
        <v>0</v>
      </c>
      <c r="AD34" s="231"/>
      <c r="AE34" s="229">
        <f>SUM(AF34:AN34)</f>
        <v>0</v>
      </c>
      <c r="AF34" s="231"/>
      <c r="AG34" s="231"/>
      <c r="AH34" s="231"/>
      <c r="AI34" s="231"/>
      <c r="AJ34" s="231"/>
      <c r="AK34" s="231"/>
      <c r="AL34" s="231"/>
      <c r="AM34" s="231"/>
      <c r="AN34" s="231"/>
    </row>
    <row r="35" spans="1:40" s="191" customFormat="1" ht="12.75">
      <c r="A35" s="542"/>
      <c r="B35" s="182" t="s">
        <v>1013</v>
      </c>
      <c r="C35" s="625">
        <f aca="true" t="shared" si="19" ref="C35:C43">D35+P35+AB35</f>
        <v>241245000</v>
      </c>
      <c r="D35" s="625">
        <f aca="true" t="shared" si="20" ref="D35:D43">E35+F35</f>
        <v>241245000</v>
      </c>
      <c r="E35" s="625">
        <v>233700000</v>
      </c>
      <c r="F35" s="226">
        <f t="shared" si="16"/>
        <v>7545000</v>
      </c>
      <c r="G35" s="210"/>
      <c r="H35" s="210"/>
      <c r="I35" s="210"/>
      <c r="J35" s="210"/>
      <c r="K35" s="210"/>
      <c r="L35" s="210"/>
      <c r="M35" s="210">
        <v>7545000</v>
      </c>
      <c r="N35" s="210"/>
      <c r="O35" s="210"/>
      <c r="P35" s="625"/>
      <c r="Q35" s="224"/>
      <c r="R35" s="224"/>
      <c r="S35" s="224"/>
      <c r="T35" s="224"/>
      <c r="U35" s="224"/>
      <c r="V35" s="224"/>
      <c r="W35" s="224"/>
      <c r="X35" s="224"/>
      <c r="Y35" s="224"/>
      <c r="Z35" s="224"/>
      <c r="AA35" s="224"/>
      <c r="AB35" s="224"/>
      <c r="AC35" s="624"/>
      <c r="AD35" s="230"/>
      <c r="AE35" s="393"/>
      <c r="AF35" s="230"/>
      <c r="AG35" s="230"/>
      <c r="AH35" s="230"/>
      <c r="AI35" s="230"/>
      <c r="AJ35" s="230"/>
      <c r="AK35" s="230"/>
      <c r="AL35" s="230"/>
      <c r="AM35" s="230"/>
      <c r="AN35" s="230"/>
    </row>
    <row r="36" spans="1:40" s="191" customFormat="1" ht="20.25" customHeight="1">
      <c r="A36" s="624"/>
      <c r="B36" s="182" t="s">
        <v>1014</v>
      </c>
      <c r="C36" s="625">
        <f t="shared" si="19"/>
        <v>30771000</v>
      </c>
      <c r="D36" s="625">
        <f t="shared" si="20"/>
        <v>30771000</v>
      </c>
      <c r="E36" s="625"/>
      <c r="F36" s="226">
        <f t="shared" si="16"/>
        <v>30771000</v>
      </c>
      <c r="G36" s="210"/>
      <c r="H36" s="210"/>
      <c r="I36" s="210"/>
      <c r="J36" s="210">
        <v>9101000</v>
      </c>
      <c r="K36" s="210">
        <v>21670000</v>
      </c>
      <c r="L36" s="210"/>
      <c r="M36" s="210"/>
      <c r="N36" s="210"/>
      <c r="O36" s="210"/>
      <c r="P36" s="625"/>
      <c r="Q36" s="224"/>
      <c r="R36" s="224"/>
      <c r="S36" s="224"/>
      <c r="T36" s="224"/>
      <c r="U36" s="224"/>
      <c r="V36" s="224"/>
      <c r="W36" s="224"/>
      <c r="X36" s="224"/>
      <c r="Y36" s="224"/>
      <c r="Z36" s="224"/>
      <c r="AA36" s="224"/>
      <c r="AB36" s="224"/>
      <c r="AC36" s="624"/>
      <c r="AD36" s="230"/>
      <c r="AE36" s="393"/>
      <c r="AF36" s="230"/>
      <c r="AG36" s="230"/>
      <c r="AH36" s="230"/>
      <c r="AI36" s="230"/>
      <c r="AJ36" s="230"/>
      <c r="AK36" s="230"/>
      <c r="AL36" s="230"/>
      <c r="AM36" s="230"/>
      <c r="AN36" s="230"/>
    </row>
    <row r="37" spans="1:40" s="191" customFormat="1" ht="25.5">
      <c r="A37" s="624"/>
      <c r="B37" s="182" t="s">
        <v>1125</v>
      </c>
      <c r="C37" s="625">
        <f t="shared" si="19"/>
        <v>95695000</v>
      </c>
      <c r="D37" s="625">
        <f t="shared" si="20"/>
        <v>95695000</v>
      </c>
      <c r="E37" s="625"/>
      <c r="F37" s="226">
        <f t="shared" si="16"/>
        <v>95695000</v>
      </c>
      <c r="G37" s="210">
        <v>29920000</v>
      </c>
      <c r="H37" s="210">
        <v>17685000</v>
      </c>
      <c r="I37" s="210"/>
      <c r="J37" s="210">
        <v>37440000</v>
      </c>
      <c r="K37" s="210"/>
      <c r="L37" s="210">
        <v>10650000</v>
      </c>
      <c r="M37" s="210"/>
      <c r="N37" s="210"/>
      <c r="O37" s="210"/>
      <c r="P37" s="625"/>
      <c r="Q37" s="224"/>
      <c r="R37" s="224"/>
      <c r="S37" s="224"/>
      <c r="T37" s="224"/>
      <c r="U37" s="224"/>
      <c r="V37" s="224"/>
      <c r="W37" s="224"/>
      <c r="X37" s="224"/>
      <c r="Y37" s="224"/>
      <c r="Z37" s="224"/>
      <c r="AA37" s="224"/>
      <c r="AB37" s="224"/>
      <c r="AC37" s="624"/>
      <c r="AD37" s="230"/>
      <c r="AE37" s="393"/>
      <c r="AF37" s="230"/>
      <c r="AG37" s="230"/>
      <c r="AH37" s="230"/>
      <c r="AI37" s="230"/>
      <c r="AJ37" s="230"/>
      <c r="AK37" s="230"/>
      <c r="AL37" s="230"/>
      <c r="AM37" s="230"/>
      <c r="AN37" s="230"/>
    </row>
    <row r="38" spans="1:40" s="191" customFormat="1" ht="25.5">
      <c r="A38" s="624"/>
      <c r="B38" s="182" t="s">
        <v>1124</v>
      </c>
      <c r="C38" s="625">
        <f t="shared" si="19"/>
        <v>5306320</v>
      </c>
      <c r="D38" s="625">
        <f t="shared" si="20"/>
        <v>5306320</v>
      </c>
      <c r="E38" s="625"/>
      <c r="F38" s="226">
        <f t="shared" si="16"/>
        <v>5306320</v>
      </c>
      <c r="G38" s="210"/>
      <c r="H38" s="210"/>
      <c r="I38" s="210"/>
      <c r="J38" s="210">
        <v>5306320</v>
      </c>
      <c r="K38" s="210"/>
      <c r="L38" s="210"/>
      <c r="M38" s="210"/>
      <c r="N38" s="210"/>
      <c r="O38" s="210"/>
      <c r="P38" s="625"/>
      <c r="Q38" s="224"/>
      <c r="R38" s="224"/>
      <c r="S38" s="224"/>
      <c r="T38" s="224"/>
      <c r="U38" s="224"/>
      <c r="V38" s="224"/>
      <c r="W38" s="224"/>
      <c r="X38" s="224"/>
      <c r="Y38" s="224"/>
      <c r="Z38" s="224"/>
      <c r="AA38" s="224"/>
      <c r="AB38" s="224"/>
      <c r="AC38" s="624"/>
      <c r="AD38" s="230"/>
      <c r="AE38" s="393"/>
      <c r="AF38" s="230"/>
      <c r="AG38" s="230"/>
      <c r="AH38" s="230"/>
      <c r="AI38" s="230"/>
      <c r="AJ38" s="230"/>
      <c r="AK38" s="230"/>
      <c r="AL38" s="230"/>
      <c r="AM38" s="230"/>
      <c r="AN38" s="230"/>
    </row>
    <row r="39" spans="1:40" s="192" customFormat="1" ht="13.5">
      <c r="A39" s="207">
        <v>3</v>
      </c>
      <c r="B39" s="208" t="s">
        <v>670</v>
      </c>
      <c r="C39" s="209">
        <f t="shared" si="19"/>
        <v>697218000</v>
      </c>
      <c r="D39" s="209">
        <f t="shared" si="20"/>
        <v>697218000</v>
      </c>
      <c r="E39" s="209">
        <f aca="true" t="shared" si="21" ref="E39:AC39">SUM(E40:E42)</f>
        <v>694500000</v>
      </c>
      <c r="F39" s="209">
        <f t="shared" si="21"/>
        <v>2718000</v>
      </c>
      <c r="G39" s="209">
        <f t="shared" si="21"/>
        <v>0</v>
      </c>
      <c r="H39" s="209">
        <f t="shared" si="21"/>
        <v>0</v>
      </c>
      <c r="I39" s="209">
        <f t="shared" si="21"/>
        <v>0</v>
      </c>
      <c r="J39" s="209">
        <f t="shared" si="21"/>
        <v>2718000</v>
      </c>
      <c r="K39" s="209">
        <f t="shared" si="21"/>
        <v>0</v>
      </c>
      <c r="L39" s="209">
        <f t="shared" si="21"/>
        <v>0</v>
      </c>
      <c r="M39" s="209">
        <f t="shared" si="21"/>
        <v>0</v>
      </c>
      <c r="N39" s="209">
        <f t="shared" si="21"/>
        <v>0</v>
      </c>
      <c r="O39" s="209">
        <f t="shared" si="21"/>
        <v>0</v>
      </c>
      <c r="P39" s="209">
        <f t="shared" si="21"/>
        <v>0</v>
      </c>
      <c r="Q39" s="209">
        <f t="shared" si="21"/>
        <v>0</v>
      </c>
      <c r="R39" s="209">
        <f t="shared" si="21"/>
        <v>0</v>
      </c>
      <c r="S39" s="209">
        <f t="shared" si="21"/>
        <v>0</v>
      </c>
      <c r="T39" s="209">
        <f t="shared" si="21"/>
        <v>0</v>
      </c>
      <c r="U39" s="209">
        <f t="shared" si="21"/>
        <v>0</v>
      </c>
      <c r="V39" s="209">
        <f t="shared" si="21"/>
        <v>0</v>
      </c>
      <c r="W39" s="209">
        <f t="shared" si="21"/>
        <v>0</v>
      </c>
      <c r="X39" s="209">
        <f t="shared" si="21"/>
        <v>0</v>
      </c>
      <c r="Y39" s="209">
        <f t="shared" si="21"/>
        <v>0</v>
      </c>
      <c r="Z39" s="209">
        <f t="shared" si="21"/>
        <v>0</v>
      </c>
      <c r="AA39" s="209">
        <f t="shared" si="21"/>
        <v>0</v>
      </c>
      <c r="AB39" s="209">
        <f t="shared" si="21"/>
        <v>0</v>
      </c>
      <c r="AC39" s="209">
        <f t="shared" si="21"/>
        <v>0</v>
      </c>
      <c r="AD39" s="231"/>
      <c r="AE39" s="229">
        <f>SUM(AF39:AN39)</f>
        <v>0</v>
      </c>
      <c r="AF39" s="231"/>
      <c r="AG39" s="231"/>
      <c r="AH39" s="231"/>
      <c r="AI39" s="231"/>
      <c r="AJ39" s="231"/>
      <c r="AK39" s="231"/>
      <c r="AL39" s="231"/>
      <c r="AM39" s="231"/>
      <c r="AN39" s="231"/>
    </row>
    <row r="40" spans="1:40" s="191" customFormat="1" ht="25.5">
      <c r="A40" s="206"/>
      <c r="B40" s="182" t="s">
        <v>1014</v>
      </c>
      <c r="C40" s="625">
        <f t="shared" si="19"/>
        <v>192500000</v>
      </c>
      <c r="D40" s="625">
        <f t="shared" si="20"/>
        <v>192500000</v>
      </c>
      <c r="E40" s="625">
        <f>92500000+100000000</f>
        <v>192500000</v>
      </c>
      <c r="F40" s="226">
        <f t="shared" si="16"/>
        <v>0</v>
      </c>
      <c r="G40" s="211"/>
      <c r="H40" s="211"/>
      <c r="I40" s="211"/>
      <c r="J40" s="211"/>
      <c r="K40" s="211"/>
      <c r="L40" s="211"/>
      <c r="M40" s="211"/>
      <c r="N40" s="211"/>
      <c r="O40" s="211"/>
      <c r="P40" s="224"/>
      <c r="Q40" s="224"/>
      <c r="R40" s="224"/>
      <c r="S40" s="224"/>
      <c r="T40" s="224"/>
      <c r="U40" s="224"/>
      <c r="V40" s="224"/>
      <c r="W40" s="224"/>
      <c r="X40" s="224"/>
      <c r="Y40" s="224"/>
      <c r="Z40" s="224"/>
      <c r="AA40" s="224"/>
      <c r="AB40" s="224"/>
      <c r="AC40" s="624"/>
      <c r="AD40" s="230"/>
      <c r="AE40" s="229"/>
      <c r="AF40" s="230"/>
      <c r="AG40" s="230"/>
      <c r="AH40" s="230"/>
      <c r="AI40" s="230"/>
      <c r="AJ40" s="230"/>
      <c r="AK40" s="230"/>
      <c r="AL40" s="230"/>
      <c r="AM40" s="230"/>
      <c r="AN40" s="230"/>
    </row>
    <row r="41" spans="1:40" s="191" customFormat="1" ht="25.5">
      <c r="A41" s="624"/>
      <c r="B41" s="182" t="s">
        <v>1126</v>
      </c>
      <c r="C41" s="625">
        <f t="shared" si="19"/>
        <v>2718000</v>
      </c>
      <c r="D41" s="625">
        <f t="shared" si="20"/>
        <v>2718000</v>
      </c>
      <c r="E41" s="625"/>
      <c r="F41" s="226">
        <f t="shared" si="16"/>
        <v>2718000</v>
      </c>
      <c r="G41" s="211"/>
      <c r="H41" s="211"/>
      <c r="I41" s="211"/>
      <c r="J41" s="211">
        <v>2718000</v>
      </c>
      <c r="K41" s="211"/>
      <c r="L41" s="211"/>
      <c r="M41" s="211"/>
      <c r="N41" s="211"/>
      <c r="O41" s="211"/>
      <c r="P41" s="224"/>
      <c r="Q41" s="224"/>
      <c r="R41" s="224"/>
      <c r="S41" s="224"/>
      <c r="T41" s="224"/>
      <c r="U41" s="224"/>
      <c r="V41" s="224"/>
      <c r="W41" s="224"/>
      <c r="X41" s="224"/>
      <c r="Y41" s="224"/>
      <c r="Z41" s="224"/>
      <c r="AA41" s="224"/>
      <c r="AB41" s="224"/>
      <c r="AC41" s="624"/>
      <c r="AD41" s="230"/>
      <c r="AE41" s="229"/>
      <c r="AF41" s="230"/>
      <c r="AG41" s="230"/>
      <c r="AH41" s="230"/>
      <c r="AI41" s="230"/>
      <c r="AJ41" s="230"/>
      <c r="AK41" s="230"/>
      <c r="AL41" s="230"/>
      <c r="AM41" s="230"/>
      <c r="AN41" s="230"/>
    </row>
    <row r="42" spans="1:40" s="191" customFormat="1" ht="36.75" customHeight="1">
      <c r="A42" s="206"/>
      <c r="B42" s="182" t="s">
        <v>1015</v>
      </c>
      <c r="C42" s="625">
        <f t="shared" si="19"/>
        <v>502000000</v>
      </c>
      <c r="D42" s="625">
        <f t="shared" si="20"/>
        <v>502000000</v>
      </c>
      <c r="E42" s="625">
        <v>502000000</v>
      </c>
      <c r="F42" s="226">
        <f t="shared" si="16"/>
        <v>0</v>
      </c>
      <c r="G42" s="211"/>
      <c r="H42" s="211"/>
      <c r="I42" s="211"/>
      <c r="J42" s="211"/>
      <c r="K42" s="211"/>
      <c r="L42" s="211"/>
      <c r="M42" s="211"/>
      <c r="N42" s="211"/>
      <c r="O42" s="211"/>
      <c r="P42" s="224"/>
      <c r="Q42" s="224"/>
      <c r="R42" s="224"/>
      <c r="S42" s="224"/>
      <c r="T42" s="224"/>
      <c r="U42" s="224"/>
      <c r="V42" s="224"/>
      <c r="W42" s="224"/>
      <c r="X42" s="224"/>
      <c r="Y42" s="224"/>
      <c r="Z42" s="224"/>
      <c r="AA42" s="224"/>
      <c r="AB42" s="224"/>
      <c r="AC42" s="624"/>
      <c r="AD42" s="230"/>
      <c r="AE42" s="229"/>
      <c r="AF42" s="230"/>
      <c r="AG42" s="230"/>
      <c r="AH42" s="230"/>
      <c r="AI42" s="230"/>
      <c r="AJ42" s="230"/>
      <c r="AK42" s="230"/>
      <c r="AL42" s="230"/>
      <c r="AM42" s="230"/>
      <c r="AN42" s="230"/>
    </row>
    <row r="43" spans="1:40" s="192" customFormat="1" ht="13.5">
      <c r="A43" s="207">
        <v>4</v>
      </c>
      <c r="B43" s="208" t="s">
        <v>911</v>
      </c>
      <c r="C43" s="209">
        <f t="shared" si="19"/>
        <v>0</v>
      </c>
      <c r="D43" s="209">
        <f t="shared" si="20"/>
        <v>0</v>
      </c>
      <c r="E43" s="209">
        <f>SUM(E44:E47)</f>
        <v>0</v>
      </c>
      <c r="F43" s="209">
        <f>SUM(F44:F47)</f>
        <v>0</v>
      </c>
      <c r="G43" s="209">
        <f aca="true" t="shared" si="22" ref="G43:AB43">SUM(G46)</f>
        <v>0</v>
      </c>
      <c r="H43" s="209">
        <f t="shared" si="22"/>
        <v>0</v>
      </c>
      <c r="I43" s="209">
        <f t="shared" si="22"/>
        <v>0</v>
      </c>
      <c r="J43" s="209">
        <f t="shared" si="22"/>
        <v>0</v>
      </c>
      <c r="K43" s="209">
        <f t="shared" si="22"/>
        <v>0</v>
      </c>
      <c r="L43" s="209">
        <f t="shared" si="22"/>
        <v>0</v>
      </c>
      <c r="M43" s="209">
        <f t="shared" si="22"/>
        <v>0</v>
      </c>
      <c r="N43" s="209">
        <f t="shared" si="22"/>
        <v>0</v>
      </c>
      <c r="O43" s="209">
        <f t="shared" si="22"/>
        <v>0</v>
      </c>
      <c r="P43" s="209">
        <f t="shared" si="22"/>
        <v>0</v>
      </c>
      <c r="Q43" s="209">
        <f t="shared" si="22"/>
        <v>0</v>
      </c>
      <c r="R43" s="209">
        <f t="shared" si="22"/>
        <v>0</v>
      </c>
      <c r="S43" s="209">
        <f t="shared" si="22"/>
        <v>0</v>
      </c>
      <c r="T43" s="209">
        <f t="shared" si="22"/>
        <v>0</v>
      </c>
      <c r="U43" s="209">
        <f t="shared" si="22"/>
        <v>0</v>
      </c>
      <c r="V43" s="209">
        <f t="shared" si="22"/>
        <v>0</v>
      </c>
      <c r="W43" s="209">
        <f t="shared" si="22"/>
        <v>0</v>
      </c>
      <c r="X43" s="209">
        <f t="shared" si="22"/>
        <v>0</v>
      </c>
      <c r="Y43" s="209">
        <f t="shared" si="22"/>
        <v>0</v>
      </c>
      <c r="Z43" s="209">
        <f t="shared" si="22"/>
        <v>0</v>
      </c>
      <c r="AA43" s="209">
        <f t="shared" si="22"/>
        <v>0</v>
      </c>
      <c r="AB43" s="209">
        <f t="shared" si="22"/>
        <v>0</v>
      </c>
      <c r="AC43" s="207"/>
      <c r="AD43" s="231"/>
      <c r="AE43" s="229">
        <f>SUM(AF43:AN43)</f>
        <v>0</v>
      </c>
      <c r="AF43" s="231"/>
      <c r="AG43" s="231"/>
      <c r="AH43" s="231"/>
      <c r="AI43" s="231"/>
      <c r="AJ43" s="231"/>
      <c r="AK43" s="231"/>
      <c r="AL43" s="231"/>
      <c r="AM43" s="231"/>
      <c r="AN43" s="231"/>
    </row>
    <row r="44" spans="1:40" s="191" customFormat="1" ht="12.75" hidden="1">
      <c r="A44" s="445"/>
      <c r="B44" s="182"/>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624"/>
      <c r="AD44" s="230"/>
      <c r="AE44" s="393"/>
      <c r="AF44" s="230"/>
      <c r="AG44" s="230"/>
      <c r="AH44" s="230"/>
      <c r="AI44" s="230"/>
      <c r="AJ44" s="230"/>
      <c r="AK44" s="230"/>
      <c r="AL44" s="230"/>
      <c r="AM44" s="230"/>
      <c r="AN44" s="230"/>
    </row>
    <row r="45" spans="1:40" s="191" customFormat="1" ht="12.75" hidden="1">
      <c r="A45" s="445"/>
      <c r="B45" s="182"/>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624"/>
      <c r="AD45" s="230"/>
      <c r="AE45" s="393"/>
      <c r="AF45" s="230"/>
      <c r="AG45" s="230"/>
      <c r="AH45" s="230"/>
      <c r="AI45" s="230"/>
      <c r="AJ45" s="230"/>
      <c r="AK45" s="230"/>
      <c r="AL45" s="230"/>
      <c r="AM45" s="230"/>
      <c r="AN45" s="230"/>
    </row>
    <row r="46" spans="1:40" s="191" customFormat="1" ht="16.5" customHeight="1" hidden="1">
      <c r="A46" s="445"/>
      <c r="B46" s="182"/>
      <c r="C46" s="210"/>
      <c r="D46" s="210"/>
      <c r="E46" s="210"/>
      <c r="F46" s="210"/>
      <c r="G46" s="211"/>
      <c r="H46" s="211"/>
      <c r="I46" s="211"/>
      <c r="J46" s="211"/>
      <c r="K46" s="211"/>
      <c r="L46" s="211"/>
      <c r="M46" s="211"/>
      <c r="N46" s="211"/>
      <c r="O46" s="211"/>
      <c r="P46" s="224"/>
      <c r="Q46" s="224"/>
      <c r="R46" s="224"/>
      <c r="S46" s="224"/>
      <c r="T46" s="224"/>
      <c r="U46" s="224"/>
      <c r="V46" s="224"/>
      <c r="W46" s="224"/>
      <c r="X46" s="224"/>
      <c r="Y46" s="224"/>
      <c r="Z46" s="224"/>
      <c r="AA46" s="224"/>
      <c r="AB46" s="224"/>
      <c r="AC46" s="624"/>
      <c r="AD46" s="230"/>
      <c r="AE46" s="393"/>
      <c r="AF46" s="230"/>
      <c r="AG46" s="230"/>
      <c r="AH46" s="230"/>
      <c r="AI46" s="230"/>
      <c r="AJ46" s="230"/>
      <c r="AK46" s="230"/>
      <c r="AL46" s="230"/>
      <c r="AM46" s="230"/>
      <c r="AN46" s="230"/>
    </row>
    <row r="47" spans="1:40" s="191" customFormat="1" ht="16.5" customHeight="1" hidden="1">
      <c r="A47" s="510"/>
      <c r="B47" s="182"/>
      <c r="C47" s="210"/>
      <c r="D47" s="210"/>
      <c r="E47" s="210"/>
      <c r="F47" s="625"/>
      <c r="G47" s="211"/>
      <c r="H47" s="211"/>
      <c r="I47" s="211"/>
      <c r="J47" s="211"/>
      <c r="K47" s="211"/>
      <c r="L47" s="211"/>
      <c r="M47" s="211"/>
      <c r="N47" s="211"/>
      <c r="O47" s="211"/>
      <c r="P47" s="224"/>
      <c r="Q47" s="224"/>
      <c r="R47" s="224"/>
      <c r="S47" s="224"/>
      <c r="T47" s="224"/>
      <c r="U47" s="224"/>
      <c r="V47" s="224"/>
      <c r="W47" s="224"/>
      <c r="X47" s="224"/>
      <c r="Y47" s="224"/>
      <c r="Z47" s="224"/>
      <c r="AA47" s="224"/>
      <c r="AB47" s="224"/>
      <c r="AC47" s="624"/>
      <c r="AD47" s="230"/>
      <c r="AE47" s="393"/>
      <c r="AF47" s="230"/>
      <c r="AG47" s="230"/>
      <c r="AH47" s="230"/>
      <c r="AI47" s="230"/>
      <c r="AJ47" s="230"/>
      <c r="AK47" s="230"/>
      <c r="AL47" s="230"/>
      <c r="AM47" s="230"/>
      <c r="AN47" s="230"/>
    </row>
    <row r="48" spans="1:40" s="190" customFormat="1" ht="12.75">
      <c r="A48" s="29">
        <v>5</v>
      </c>
      <c r="B48" s="30" t="s">
        <v>671</v>
      </c>
      <c r="C48" s="176">
        <f>D48+P48+AB48</f>
        <v>0</v>
      </c>
      <c r="D48" s="176"/>
      <c r="E48" s="176"/>
      <c r="F48" s="176"/>
      <c r="G48" s="176"/>
      <c r="H48" s="176"/>
      <c r="I48" s="176"/>
      <c r="J48" s="176"/>
      <c r="K48" s="176"/>
      <c r="L48" s="176"/>
      <c r="M48" s="176"/>
      <c r="N48" s="176"/>
      <c r="O48" s="176"/>
      <c r="P48" s="176">
        <f aca="true" t="shared" si="23" ref="P48:AC48">SUM(P49:P57)</f>
        <v>0</v>
      </c>
      <c r="Q48" s="176">
        <f t="shared" si="23"/>
        <v>0</v>
      </c>
      <c r="R48" s="176">
        <f t="shared" si="23"/>
        <v>0</v>
      </c>
      <c r="S48" s="176">
        <f t="shared" si="23"/>
        <v>0</v>
      </c>
      <c r="T48" s="176">
        <f t="shared" si="23"/>
        <v>0</v>
      </c>
      <c r="U48" s="176">
        <f t="shared" si="23"/>
        <v>0</v>
      </c>
      <c r="V48" s="176">
        <f t="shared" si="23"/>
        <v>0</v>
      </c>
      <c r="W48" s="176">
        <f t="shared" si="23"/>
        <v>0</v>
      </c>
      <c r="X48" s="176">
        <f t="shared" si="23"/>
        <v>0</v>
      </c>
      <c r="Y48" s="176">
        <f t="shared" si="23"/>
        <v>0</v>
      </c>
      <c r="Z48" s="176">
        <f t="shared" si="23"/>
        <v>0</v>
      </c>
      <c r="AA48" s="176">
        <f t="shared" si="23"/>
        <v>0</v>
      </c>
      <c r="AB48" s="176">
        <f t="shared" si="23"/>
        <v>0</v>
      </c>
      <c r="AC48" s="176">
        <f t="shared" si="23"/>
        <v>0</v>
      </c>
      <c r="AD48" s="229"/>
      <c r="AE48" s="229">
        <f>SUM(AF48:AN48)</f>
        <v>0</v>
      </c>
      <c r="AF48" s="229"/>
      <c r="AG48" s="229"/>
      <c r="AH48" s="229"/>
      <c r="AI48" s="229"/>
      <c r="AJ48" s="229"/>
      <c r="AK48" s="229"/>
      <c r="AL48" s="229"/>
      <c r="AM48" s="229"/>
      <c r="AN48" s="229"/>
    </row>
    <row r="49" spans="1:40" s="191" customFormat="1" ht="12.75">
      <c r="A49" s="29">
        <v>6</v>
      </c>
      <c r="B49" s="509" t="s">
        <v>640</v>
      </c>
      <c r="C49" s="176">
        <f>SUM(C50:C54)</f>
        <v>309600000</v>
      </c>
      <c r="D49" s="176">
        <f>SUM(D50:D54)</f>
        <v>309600000</v>
      </c>
      <c r="E49" s="176">
        <f>SUM(E50:E54)</f>
        <v>309600000</v>
      </c>
      <c r="F49" s="176">
        <f>SUM(F50:F54)</f>
        <v>263837300</v>
      </c>
      <c r="G49" s="176">
        <f aca="true" t="shared" si="24" ref="G49:O49">SUM(G50:G54)</f>
        <v>25530000</v>
      </c>
      <c r="H49" s="176">
        <f t="shared" si="24"/>
        <v>18375000</v>
      </c>
      <c r="I49" s="176">
        <f t="shared" si="24"/>
        <v>36975000</v>
      </c>
      <c r="J49" s="176">
        <f t="shared" si="24"/>
        <v>32812500</v>
      </c>
      <c r="K49" s="176">
        <f t="shared" si="24"/>
        <v>24180000</v>
      </c>
      <c r="L49" s="176">
        <f t="shared" si="24"/>
        <v>38656800</v>
      </c>
      <c r="M49" s="176">
        <f t="shared" si="24"/>
        <v>28125000</v>
      </c>
      <c r="N49" s="176">
        <f t="shared" si="24"/>
        <v>36990000</v>
      </c>
      <c r="O49" s="176">
        <f t="shared" si="24"/>
        <v>22193000</v>
      </c>
      <c r="P49" s="224"/>
      <c r="Q49" s="224"/>
      <c r="R49" s="224"/>
      <c r="S49" s="224"/>
      <c r="T49" s="224"/>
      <c r="U49" s="224"/>
      <c r="V49" s="224"/>
      <c r="W49" s="224"/>
      <c r="X49" s="224"/>
      <c r="Y49" s="224"/>
      <c r="Z49" s="224"/>
      <c r="AA49" s="224"/>
      <c r="AB49" s="224"/>
      <c r="AC49" s="624"/>
      <c r="AD49" s="230"/>
      <c r="AE49" s="229"/>
      <c r="AF49" s="230"/>
      <c r="AG49" s="230"/>
      <c r="AH49" s="230"/>
      <c r="AI49" s="230"/>
      <c r="AJ49" s="230"/>
      <c r="AK49" s="230"/>
      <c r="AL49" s="230"/>
      <c r="AM49" s="230"/>
      <c r="AN49" s="230"/>
    </row>
    <row r="50" spans="1:40" s="191" customFormat="1" ht="25.5">
      <c r="A50" s="213"/>
      <c r="B50" s="212" t="s">
        <v>1016</v>
      </c>
      <c r="C50" s="625">
        <f>D50+P50+AB50</f>
        <v>307800000</v>
      </c>
      <c r="D50" s="625">
        <f>E50+F50</f>
        <v>307800000</v>
      </c>
      <c r="E50" s="625">
        <v>307800000</v>
      </c>
      <c r="F50" s="226">
        <f>SUM(G50:O50)</f>
        <v>0</v>
      </c>
      <c r="G50" s="210"/>
      <c r="H50" s="210"/>
      <c r="I50" s="210"/>
      <c r="J50" s="210"/>
      <c r="K50" s="210"/>
      <c r="L50" s="210"/>
      <c r="M50" s="210"/>
      <c r="N50" s="210"/>
      <c r="O50" s="210"/>
      <c r="P50" s="224"/>
      <c r="Q50" s="224"/>
      <c r="R50" s="224"/>
      <c r="S50" s="224"/>
      <c r="T50" s="224"/>
      <c r="U50" s="224"/>
      <c r="V50" s="224"/>
      <c r="W50" s="224"/>
      <c r="X50" s="224"/>
      <c r="Y50" s="224"/>
      <c r="Z50" s="224"/>
      <c r="AA50" s="224"/>
      <c r="AB50" s="224"/>
      <c r="AC50" s="624"/>
      <c r="AD50" s="230"/>
      <c r="AE50" s="229"/>
      <c r="AF50" s="230"/>
      <c r="AG50" s="230"/>
      <c r="AH50" s="230"/>
      <c r="AI50" s="230"/>
      <c r="AJ50" s="230"/>
      <c r="AK50" s="230"/>
      <c r="AL50" s="230"/>
      <c r="AM50" s="230"/>
      <c r="AN50" s="230"/>
    </row>
    <row r="51" spans="1:40" s="191" customFormat="1" ht="12.75">
      <c r="A51" s="213"/>
      <c r="B51" s="212" t="s">
        <v>1134</v>
      </c>
      <c r="C51" s="625">
        <f>D51+P51+AB51</f>
        <v>0</v>
      </c>
      <c r="D51" s="625"/>
      <c r="E51" s="625"/>
      <c r="F51" s="226">
        <f>SUM(G51:O51)</f>
        <v>139487300</v>
      </c>
      <c r="G51" s="210"/>
      <c r="H51" s="210">
        <v>18375000</v>
      </c>
      <c r="I51" s="210"/>
      <c r="J51" s="210">
        <v>20437500</v>
      </c>
      <c r="K51" s="210">
        <v>11700000</v>
      </c>
      <c r="L51" s="210">
        <v>38656800</v>
      </c>
      <c r="M51" s="210">
        <v>28125000</v>
      </c>
      <c r="N51" s="210"/>
      <c r="O51" s="210">
        <v>22193000</v>
      </c>
      <c r="P51" s="224"/>
      <c r="Q51" s="224"/>
      <c r="R51" s="224"/>
      <c r="S51" s="224"/>
      <c r="T51" s="224"/>
      <c r="U51" s="224"/>
      <c r="V51" s="224"/>
      <c r="W51" s="224"/>
      <c r="X51" s="224"/>
      <c r="Y51" s="224"/>
      <c r="Z51" s="224"/>
      <c r="AA51" s="224"/>
      <c r="AB51" s="224"/>
      <c r="AC51" s="624"/>
      <c r="AD51" s="230"/>
      <c r="AE51" s="229"/>
      <c r="AF51" s="230"/>
      <c r="AG51" s="230"/>
      <c r="AH51" s="230"/>
      <c r="AI51" s="230"/>
      <c r="AJ51" s="230"/>
      <c r="AK51" s="230"/>
      <c r="AL51" s="230"/>
      <c r="AM51" s="230"/>
      <c r="AN51" s="230"/>
    </row>
    <row r="52" spans="1:40" s="191" customFormat="1" ht="12.75">
      <c r="A52" s="213"/>
      <c r="B52" s="212" t="s">
        <v>1135</v>
      </c>
      <c r="C52" s="625">
        <f>D52+P52+AB52</f>
        <v>0</v>
      </c>
      <c r="D52" s="625"/>
      <c r="E52" s="625"/>
      <c r="F52" s="226">
        <f>SUM(G52:O52)</f>
        <v>109350000</v>
      </c>
      <c r="G52" s="210">
        <v>10530000</v>
      </c>
      <c r="H52" s="210"/>
      <c r="I52" s="210">
        <v>36975000</v>
      </c>
      <c r="J52" s="210">
        <v>12375000</v>
      </c>
      <c r="K52" s="210">
        <v>12480000</v>
      </c>
      <c r="L52" s="210"/>
      <c r="M52" s="210"/>
      <c r="N52" s="210">
        <v>36990000</v>
      </c>
      <c r="O52" s="210"/>
      <c r="P52" s="224"/>
      <c r="Q52" s="224"/>
      <c r="R52" s="224"/>
      <c r="S52" s="224"/>
      <c r="T52" s="224"/>
      <c r="U52" s="224"/>
      <c r="V52" s="224"/>
      <c r="W52" s="224"/>
      <c r="X52" s="224"/>
      <c r="Y52" s="224"/>
      <c r="Z52" s="224"/>
      <c r="AA52" s="224"/>
      <c r="AB52" s="224"/>
      <c r="AC52" s="624"/>
      <c r="AD52" s="230"/>
      <c r="AE52" s="229"/>
      <c r="AF52" s="230"/>
      <c r="AG52" s="230"/>
      <c r="AH52" s="230"/>
      <c r="AI52" s="230"/>
      <c r="AJ52" s="230"/>
      <c r="AK52" s="230"/>
      <c r="AL52" s="230"/>
      <c r="AM52" s="230"/>
      <c r="AN52" s="230"/>
    </row>
    <row r="53" spans="1:40" s="191" customFormat="1" ht="12.75">
      <c r="A53" s="213"/>
      <c r="B53" s="212" t="s">
        <v>1136</v>
      </c>
      <c r="C53" s="625">
        <f>D53+P53+AB53</f>
        <v>0</v>
      </c>
      <c r="D53" s="625"/>
      <c r="E53" s="625"/>
      <c r="F53" s="226">
        <f>SUM(G53:O53)</f>
        <v>15000000</v>
      </c>
      <c r="G53" s="210">
        <v>15000000</v>
      </c>
      <c r="H53" s="210"/>
      <c r="I53" s="210"/>
      <c r="J53" s="210"/>
      <c r="K53" s="210"/>
      <c r="L53" s="210"/>
      <c r="M53" s="210"/>
      <c r="N53" s="210"/>
      <c r="O53" s="210"/>
      <c r="P53" s="224"/>
      <c r="Q53" s="224"/>
      <c r="R53" s="224"/>
      <c r="S53" s="224"/>
      <c r="T53" s="224"/>
      <c r="U53" s="224"/>
      <c r="V53" s="224"/>
      <c r="W53" s="224"/>
      <c r="X53" s="224"/>
      <c r="Y53" s="224"/>
      <c r="Z53" s="224"/>
      <c r="AA53" s="224"/>
      <c r="AB53" s="224"/>
      <c r="AC53" s="624"/>
      <c r="AD53" s="230"/>
      <c r="AE53" s="229"/>
      <c r="AF53" s="230"/>
      <c r="AG53" s="230"/>
      <c r="AH53" s="230"/>
      <c r="AI53" s="230"/>
      <c r="AJ53" s="230"/>
      <c r="AK53" s="230"/>
      <c r="AL53" s="230"/>
      <c r="AM53" s="230"/>
      <c r="AN53" s="230"/>
    </row>
    <row r="54" spans="1:40" s="191" customFormat="1" ht="15.75" customHeight="1">
      <c r="A54" s="213"/>
      <c r="B54" s="182" t="s">
        <v>1014</v>
      </c>
      <c r="C54" s="625">
        <f>D54+P54+AB54</f>
        <v>1800000</v>
      </c>
      <c r="D54" s="625">
        <f>E54+F54</f>
        <v>1800000</v>
      </c>
      <c r="E54" s="625">
        <v>1800000</v>
      </c>
      <c r="F54" s="226">
        <f>SUM(G54:O54)</f>
        <v>0</v>
      </c>
      <c r="G54" s="210"/>
      <c r="H54" s="210"/>
      <c r="I54" s="210"/>
      <c r="J54" s="210"/>
      <c r="K54" s="210"/>
      <c r="L54" s="210"/>
      <c r="M54" s="210"/>
      <c r="N54" s="210"/>
      <c r="O54" s="210"/>
      <c r="P54" s="224"/>
      <c r="Q54" s="224"/>
      <c r="R54" s="224"/>
      <c r="S54" s="224"/>
      <c r="T54" s="224"/>
      <c r="U54" s="224"/>
      <c r="V54" s="224"/>
      <c r="W54" s="224"/>
      <c r="X54" s="224"/>
      <c r="Y54" s="224"/>
      <c r="Z54" s="224"/>
      <c r="AA54" s="224"/>
      <c r="AB54" s="224"/>
      <c r="AC54" s="624"/>
      <c r="AD54" s="230"/>
      <c r="AE54" s="229"/>
      <c r="AF54" s="230"/>
      <c r="AG54" s="230"/>
      <c r="AH54" s="230"/>
      <c r="AI54" s="230"/>
      <c r="AJ54" s="230"/>
      <c r="AK54" s="230"/>
      <c r="AL54" s="230"/>
      <c r="AM54" s="230"/>
      <c r="AN54" s="230"/>
    </row>
    <row r="55" spans="1:40" s="191" customFormat="1" ht="12.75">
      <c r="A55" s="29">
        <v>7</v>
      </c>
      <c r="B55" s="541" t="s">
        <v>1017</v>
      </c>
      <c r="C55" s="176">
        <f>SUM(C56:C57)</f>
        <v>104000000</v>
      </c>
      <c r="D55" s="176">
        <f>SUM(D56:D57)</f>
        <v>104000000</v>
      </c>
      <c r="E55" s="176">
        <f>SUM(E56:E57)</f>
        <v>104000000</v>
      </c>
      <c r="F55" s="176">
        <f>SUM(F56:F57)</f>
        <v>0</v>
      </c>
      <c r="G55" s="210"/>
      <c r="H55" s="210"/>
      <c r="I55" s="210"/>
      <c r="J55" s="210"/>
      <c r="K55" s="210"/>
      <c r="L55" s="210"/>
      <c r="M55" s="210"/>
      <c r="N55" s="210"/>
      <c r="O55" s="210"/>
      <c r="P55" s="224"/>
      <c r="Q55" s="224"/>
      <c r="R55" s="224"/>
      <c r="S55" s="224"/>
      <c r="T55" s="224"/>
      <c r="U55" s="224"/>
      <c r="V55" s="224"/>
      <c r="W55" s="224"/>
      <c r="X55" s="224"/>
      <c r="Y55" s="224"/>
      <c r="Z55" s="224"/>
      <c r="AA55" s="224"/>
      <c r="AB55" s="224"/>
      <c r="AC55" s="624"/>
      <c r="AD55" s="230"/>
      <c r="AE55" s="229"/>
      <c r="AF55" s="230"/>
      <c r="AG55" s="230"/>
      <c r="AH55" s="230"/>
      <c r="AI55" s="230"/>
      <c r="AJ55" s="230"/>
      <c r="AK55" s="230"/>
      <c r="AL55" s="230"/>
      <c r="AM55" s="230"/>
      <c r="AN55" s="230"/>
    </row>
    <row r="56" spans="1:40" s="191" customFormat="1" ht="25.5">
      <c r="A56" s="213"/>
      <c r="B56" s="182" t="s">
        <v>1014</v>
      </c>
      <c r="C56" s="625">
        <f>D56+P56+AB56</f>
        <v>96000000</v>
      </c>
      <c r="D56" s="625">
        <f>E56+F56</f>
        <v>96000000</v>
      </c>
      <c r="E56" s="625">
        <v>96000000</v>
      </c>
      <c r="F56" s="625"/>
      <c r="G56" s="210"/>
      <c r="H56" s="210"/>
      <c r="I56" s="210"/>
      <c r="J56" s="210"/>
      <c r="K56" s="210"/>
      <c r="L56" s="210"/>
      <c r="M56" s="210"/>
      <c r="N56" s="210"/>
      <c r="O56" s="210"/>
      <c r="P56" s="224"/>
      <c r="Q56" s="224"/>
      <c r="R56" s="224"/>
      <c r="S56" s="224"/>
      <c r="T56" s="224"/>
      <c r="U56" s="224"/>
      <c r="V56" s="224"/>
      <c r="W56" s="224"/>
      <c r="X56" s="224"/>
      <c r="Y56" s="224"/>
      <c r="Z56" s="224"/>
      <c r="AA56" s="224"/>
      <c r="AB56" s="224"/>
      <c r="AC56" s="624"/>
      <c r="AD56" s="230"/>
      <c r="AE56" s="229"/>
      <c r="AF56" s="230"/>
      <c r="AG56" s="230"/>
      <c r="AH56" s="230"/>
      <c r="AI56" s="230"/>
      <c r="AJ56" s="230"/>
      <c r="AK56" s="230"/>
      <c r="AL56" s="230"/>
      <c r="AM56" s="230"/>
      <c r="AN56" s="230"/>
    </row>
    <row r="57" spans="1:40" s="191" customFormat="1" ht="25.5">
      <c r="A57" s="213"/>
      <c r="B57" s="182" t="s">
        <v>1014</v>
      </c>
      <c r="C57" s="625">
        <f>D57+P57+AB57</f>
        <v>8000000</v>
      </c>
      <c r="D57" s="625">
        <f>E57+F57</f>
        <v>8000000</v>
      </c>
      <c r="E57" s="625">
        <v>8000000</v>
      </c>
      <c r="F57" s="625"/>
      <c r="G57" s="210"/>
      <c r="H57" s="210"/>
      <c r="I57" s="210"/>
      <c r="J57" s="210"/>
      <c r="K57" s="210"/>
      <c r="L57" s="210"/>
      <c r="M57" s="210"/>
      <c r="N57" s="210"/>
      <c r="O57" s="210"/>
      <c r="P57" s="224"/>
      <c r="Q57" s="224"/>
      <c r="R57" s="224"/>
      <c r="S57" s="224"/>
      <c r="T57" s="224"/>
      <c r="U57" s="224"/>
      <c r="V57" s="224"/>
      <c r="W57" s="224"/>
      <c r="X57" s="224"/>
      <c r="Y57" s="224"/>
      <c r="Z57" s="224"/>
      <c r="AA57" s="224"/>
      <c r="AB57" s="224"/>
      <c r="AC57" s="624"/>
      <c r="AD57" s="230"/>
      <c r="AE57" s="229"/>
      <c r="AF57" s="230"/>
      <c r="AG57" s="230"/>
      <c r="AH57" s="230"/>
      <c r="AI57" s="230"/>
      <c r="AJ57" s="230"/>
      <c r="AK57" s="230"/>
      <c r="AL57" s="230"/>
      <c r="AM57" s="230"/>
      <c r="AN57" s="230"/>
    </row>
    <row r="58" spans="1:40" s="190" customFormat="1" ht="12.75">
      <c r="A58" s="213">
        <v>8</v>
      </c>
      <c r="B58" s="214" t="s">
        <v>672</v>
      </c>
      <c r="C58" s="176">
        <f>SUM(C59:C61)</f>
        <v>300000000</v>
      </c>
      <c r="D58" s="176">
        <f>SUM(D59:D61)</f>
        <v>300000000</v>
      </c>
      <c r="E58" s="176">
        <f>SUM(E59:E61)</f>
        <v>300000000</v>
      </c>
      <c r="F58" s="176">
        <f>SUM(F59:F61)</f>
        <v>41925304</v>
      </c>
      <c r="G58" s="176">
        <f aca="true" t="shared" si="25" ref="G58:AC58">SUM(G59:G61)</f>
        <v>0</v>
      </c>
      <c r="H58" s="176">
        <f t="shared" si="25"/>
        <v>0</v>
      </c>
      <c r="I58" s="176">
        <f t="shared" si="25"/>
        <v>0</v>
      </c>
      <c r="J58" s="176">
        <f t="shared" si="25"/>
        <v>41925304</v>
      </c>
      <c r="K58" s="176">
        <f t="shared" si="25"/>
        <v>0</v>
      </c>
      <c r="L58" s="176">
        <f t="shared" si="25"/>
        <v>0</v>
      </c>
      <c r="M58" s="176">
        <f t="shared" si="25"/>
        <v>0</v>
      </c>
      <c r="N58" s="176">
        <f t="shared" si="25"/>
        <v>0</v>
      </c>
      <c r="O58" s="176">
        <f t="shared" si="25"/>
        <v>0</v>
      </c>
      <c r="P58" s="176">
        <f>Q58+R58</f>
        <v>0</v>
      </c>
      <c r="Q58" s="176">
        <f>SUM(Q59:Q70)</f>
        <v>0</v>
      </c>
      <c r="R58" s="176"/>
      <c r="S58" s="176">
        <f t="shared" si="25"/>
        <v>0</v>
      </c>
      <c r="T58" s="176">
        <f t="shared" si="25"/>
        <v>0</v>
      </c>
      <c r="U58" s="176">
        <f t="shared" si="25"/>
        <v>0</v>
      </c>
      <c r="V58" s="176">
        <f t="shared" si="25"/>
        <v>0</v>
      </c>
      <c r="W58" s="176">
        <f t="shared" si="25"/>
        <v>0</v>
      </c>
      <c r="X58" s="176">
        <f t="shared" si="25"/>
        <v>0</v>
      </c>
      <c r="Y58" s="176">
        <f t="shared" si="25"/>
        <v>0</v>
      </c>
      <c r="Z58" s="176">
        <f t="shared" si="25"/>
        <v>0</v>
      </c>
      <c r="AA58" s="176">
        <f t="shared" si="25"/>
        <v>0</v>
      </c>
      <c r="AB58" s="176">
        <f t="shared" si="25"/>
        <v>0</v>
      </c>
      <c r="AC58" s="176">
        <f t="shared" si="25"/>
        <v>0</v>
      </c>
      <c r="AD58" s="229"/>
      <c r="AE58" s="229">
        <f>SUM(AF58:AN58)</f>
        <v>0</v>
      </c>
      <c r="AF58" s="229"/>
      <c r="AG58" s="229"/>
      <c r="AH58" s="229"/>
      <c r="AI58" s="229"/>
      <c r="AJ58" s="229"/>
      <c r="AK58" s="229"/>
      <c r="AL58" s="229"/>
      <c r="AM58" s="229"/>
      <c r="AN58" s="229"/>
    </row>
    <row r="59" spans="1:40" s="191" customFormat="1" ht="25.5">
      <c r="A59" s="213"/>
      <c r="B59" s="182" t="s">
        <v>1014</v>
      </c>
      <c r="C59" s="625">
        <f>D59+P59+AB59</f>
        <v>160000000</v>
      </c>
      <c r="D59" s="625">
        <f>E59+F59</f>
        <v>160000000</v>
      </c>
      <c r="E59" s="625">
        <v>160000000</v>
      </c>
      <c r="F59" s="226">
        <f>SUM(G59:O59)</f>
        <v>0</v>
      </c>
      <c r="G59" s="210"/>
      <c r="H59" s="210"/>
      <c r="I59" s="210"/>
      <c r="J59" s="210"/>
      <c r="K59" s="210"/>
      <c r="L59" s="210"/>
      <c r="M59" s="210"/>
      <c r="N59" s="210"/>
      <c r="O59" s="210"/>
      <c r="P59" s="224"/>
      <c r="Q59" s="224"/>
      <c r="R59" s="224"/>
      <c r="S59" s="224"/>
      <c r="T59" s="224"/>
      <c r="U59" s="224"/>
      <c r="V59" s="224"/>
      <c r="W59" s="224"/>
      <c r="X59" s="224"/>
      <c r="Y59" s="224"/>
      <c r="Z59" s="224"/>
      <c r="AA59" s="224"/>
      <c r="AB59" s="224"/>
      <c r="AC59" s="624"/>
      <c r="AD59" s="230"/>
      <c r="AE59" s="229"/>
      <c r="AF59" s="230"/>
      <c r="AG59" s="230"/>
      <c r="AH59" s="230"/>
      <c r="AI59" s="230"/>
      <c r="AJ59" s="230"/>
      <c r="AK59" s="230"/>
      <c r="AL59" s="230"/>
      <c r="AM59" s="230"/>
      <c r="AN59" s="230"/>
    </row>
    <row r="60" spans="1:40" s="191" customFormat="1" ht="12.75">
      <c r="A60" s="213"/>
      <c r="B60" s="182" t="s">
        <v>1137</v>
      </c>
      <c r="C60" s="625">
        <f>D60+P60+AB60</f>
        <v>0</v>
      </c>
      <c r="D60" s="625"/>
      <c r="E60" s="625"/>
      <c r="F60" s="226">
        <f>SUM(G60:O60)</f>
        <v>41925304</v>
      </c>
      <c r="G60" s="210"/>
      <c r="H60" s="210"/>
      <c r="I60" s="210"/>
      <c r="J60" s="210">
        <v>41925304</v>
      </c>
      <c r="K60" s="210"/>
      <c r="L60" s="210"/>
      <c r="M60" s="210"/>
      <c r="N60" s="210"/>
      <c r="O60" s="210"/>
      <c r="P60" s="224"/>
      <c r="Q60" s="224"/>
      <c r="R60" s="224"/>
      <c r="S60" s="224"/>
      <c r="T60" s="224"/>
      <c r="U60" s="224"/>
      <c r="V60" s="224"/>
      <c r="W60" s="224"/>
      <c r="X60" s="224"/>
      <c r="Y60" s="224"/>
      <c r="Z60" s="224"/>
      <c r="AA60" s="224"/>
      <c r="AB60" s="224"/>
      <c r="AC60" s="624"/>
      <c r="AD60" s="230"/>
      <c r="AE60" s="229"/>
      <c r="AF60" s="230"/>
      <c r="AG60" s="230"/>
      <c r="AH60" s="230"/>
      <c r="AI60" s="230"/>
      <c r="AJ60" s="230"/>
      <c r="AK60" s="230"/>
      <c r="AL60" s="230"/>
      <c r="AM60" s="230"/>
      <c r="AN60" s="230"/>
    </row>
    <row r="61" spans="1:40" s="191" customFormat="1" ht="25.5">
      <c r="A61" s="213"/>
      <c r="B61" s="182" t="s">
        <v>1018</v>
      </c>
      <c r="C61" s="625">
        <f>D61+P61+AB61</f>
        <v>140000000</v>
      </c>
      <c r="D61" s="625">
        <f>E61+F61</f>
        <v>140000000</v>
      </c>
      <c r="E61" s="625">
        <v>140000000</v>
      </c>
      <c r="F61" s="226">
        <f>SUM(G61:O61)</f>
        <v>0</v>
      </c>
      <c r="G61" s="210"/>
      <c r="H61" s="210"/>
      <c r="I61" s="210"/>
      <c r="J61" s="210"/>
      <c r="K61" s="210"/>
      <c r="L61" s="210"/>
      <c r="M61" s="210"/>
      <c r="N61" s="210"/>
      <c r="O61" s="210"/>
      <c r="P61" s="224"/>
      <c r="Q61" s="224"/>
      <c r="R61" s="224"/>
      <c r="S61" s="224"/>
      <c r="T61" s="224"/>
      <c r="U61" s="224"/>
      <c r="V61" s="224"/>
      <c r="W61" s="224"/>
      <c r="X61" s="224"/>
      <c r="Y61" s="224"/>
      <c r="Z61" s="224"/>
      <c r="AA61" s="224"/>
      <c r="AB61" s="224"/>
      <c r="AC61" s="624"/>
      <c r="AD61" s="230"/>
      <c r="AE61" s="229"/>
      <c r="AF61" s="230"/>
      <c r="AG61" s="230"/>
      <c r="AH61" s="230"/>
      <c r="AI61" s="230"/>
      <c r="AJ61" s="230"/>
      <c r="AK61" s="230"/>
      <c r="AL61" s="230"/>
      <c r="AM61" s="230"/>
      <c r="AN61" s="230"/>
    </row>
    <row r="62" spans="1:40" s="192" customFormat="1" ht="13.5">
      <c r="A62" s="213">
        <v>9</v>
      </c>
      <c r="B62" s="214" t="s">
        <v>1133</v>
      </c>
      <c r="C62" s="176">
        <f>SUM(C63:C63)</f>
        <v>0</v>
      </c>
      <c r="D62" s="176"/>
      <c r="E62" s="176"/>
      <c r="F62" s="176">
        <f aca="true" t="shared" si="26" ref="F62:O62">F63</f>
        <v>9572000</v>
      </c>
      <c r="G62" s="176">
        <f t="shared" si="26"/>
        <v>4700000</v>
      </c>
      <c r="H62" s="176">
        <f t="shared" si="26"/>
        <v>0</v>
      </c>
      <c r="I62" s="176">
        <f t="shared" si="26"/>
        <v>0</v>
      </c>
      <c r="J62" s="176">
        <f t="shared" si="26"/>
        <v>0</v>
      </c>
      <c r="K62" s="176">
        <f t="shared" si="26"/>
        <v>0</v>
      </c>
      <c r="L62" s="176">
        <f t="shared" si="26"/>
        <v>0</v>
      </c>
      <c r="M62" s="176">
        <f t="shared" si="26"/>
        <v>0</v>
      </c>
      <c r="N62" s="176">
        <f t="shared" si="26"/>
        <v>0</v>
      </c>
      <c r="O62" s="176">
        <f t="shared" si="26"/>
        <v>4872000</v>
      </c>
      <c r="P62" s="661"/>
      <c r="Q62" s="661"/>
      <c r="R62" s="661"/>
      <c r="S62" s="661"/>
      <c r="T62" s="661"/>
      <c r="U62" s="661"/>
      <c r="V62" s="661"/>
      <c r="W62" s="661"/>
      <c r="X62" s="661"/>
      <c r="Y62" s="661"/>
      <c r="Z62" s="661"/>
      <c r="AA62" s="661"/>
      <c r="AB62" s="661"/>
      <c r="AC62" s="207"/>
      <c r="AD62" s="231"/>
      <c r="AE62" s="229"/>
      <c r="AF62" s="231"/>
      <c r="AG62" s="231"/>
      <c r="AH62" s="231"/>
      <c r="AI62" s="231"/>
      <c r="AJ62" s="231"/>
      <c r="AK62" s="231"/>
      <c r="AL62" s="231"/>
      <c r="AM62" s="231"/>
      <c r="AN62" s="231"/>
    </row>
    <row r="63" spans="1:40" s="191" customFormat="1" ht="25.5">
      <c r="A63" s="213"/>
      <c r="B63" s="182" t="s">
        <v>1014</v>
      </c>
      <c r="C63" s="625">
        <f>D63+P63+AB63</f>
        <v>0</v>
      </c>
      <c r="D63" s="625"/>
      <c r="E63" s="625"/>
      <c r="F63" s="226">
        <f>SUM(G63:O63)</f>
        <v>9572000</v>
      </c>
      <c r="G63" s="210">
        <v>4700000</v>
      </c>
      <c r="H63" s="210"/>
      <c r="I63" s="210"/>
      <c r="J63" s="210"/>
      <c r="K63" s="210"/>
      <c r="L63" s="210"/>
      <c r="M63" s="210"/>
      <c r="N63" s="210"/>
      <c r="O63" s="210">
        <v>4872000</v>
      </c>
      <c r="P63" s="224"/>
      <c r="Q63" s="224"/>
      <c r="R63" s="224"/>
      <c r="S63" s="224"/>
      <c r="T63" s="224"/>
      <c r="U63" s="224"/>
      <c r="V63" s="224"/>
      <c r="W63" s="224"/>
      <c r="X63" s="224"/>
      <c r="Y63" s="224"/>
      <c r="Z63" s="224"/>
      <c r="AA63" s="224"/>
      <c r="AB63" s="224"/>
      <c r="AC63" s="624"/>
      <c r="AD63" s="230"/>
      <c r="AE63" s="229"/>
      <c r="AF63" s="230"/>
      <c r="AG63" s="230"/>
      <c r="AH63" s="230"/>
      <c r="AI63" s="230"/>
      <c r="AJ63" s="230"/>
      <c r="AK63" s="230"/>
      <c r="AL63" s="230"/>
      <c r="AM63" s="230"/>
      <c r="AN63" s="230"/>
    </row>
    <row r="64" spans="1:40" s="190" customFormat="1" ht="12.75">
      <c r="A64" s="213">
        <v>10</v>
      </c>
      <c r="B64" s="214" t="s">
        <v>1019</v>
      </c>
      <c r="C64" s="176">
        <f>D64+P64+AB64</f>
        <v>2894100000</v>
      </c>
      <c r="D64" s="176">
        <f>E64+F64</f>
        <v>2894100000</v>
      </c>
      <c r="E64" s="176">
        <f>SUM(E65:E73)</f>
        <v>2894100000</v>
      </c>
      <c r="F64" s="176">
        <f>SUM(F65:F73)</f>
        <v>0</v>
      </c>
      <c r="G64" s="176">
        <f aca="true" t="shared" si="27" ref="G64:O64">SUM(G65:G65)</f>
        <v>0</v>
      </c>
      <c r="H64" s="176">
        <f t="shared" si="27"/>
        <v>0</v>
      </c>
      <c r="I64" s="176">
        <f t="shared" si="27"/>
        <v>0</v>
      </c>
      <c r="J64" s="176">
        <f t="shared" si="27"/>
        <v>0</v>
      </c>
      <c r="K64" s="176">
        <f t="shared" si="27"/>
        <v>0</v>
      </c>
      <c r="L64" s="176">
        <f t="shared" si="27"/>
        <v>0</v>
      </c>
      <c r="M64" s="176">
        <f t="shared" si="27"/>
        <v>0</v>
      </c>
      <c r="N64" s="176">
        <f t="shared" si="27"/>
        <v>0</v>
      </c>
      <c r="O64" s="176">
        <f t="shared" si="27"/>
        <v>0</v>
      </c>
      <c r="P64" s="176">
        <f>Q64+R64</f>
        <v>0</v>
      </c>
      <c r="Q64" s="176">
        <f>SUM(Q65:Q73)</f>
        <v>0</v>
      </c>
      <c r="R64" s="176"/>
      <c r="S64" s="176">
        <f aca="true" t="shared" si="28" ref="S64:AC64">SUM(S65:S65)</f>
        <v>0</v>
      </c>
      <c r="T64" s="176">
        <f t="shared" si="28"/>
        <v>0</v>
      </c>
      <c r="U64" s="176">
        <f t="shared" si="28"/>
        <v>0</v>
      </c>
      <c r="V64" s="176">
        <f t="shared" si="28"/>
        <v>0</v>
      </c>
      <c r="W64" s="176">
        <f t="shared" si="28"/>
        <v>0</v>
      </c>
      <c r="X64" s="176">
        <f t="shared" si="28"/>
        <v>0</v>
      </c>
      <c r="Y64" s="176">
        <f t="shared" si="28"/>
        <v>0</v>
      </c>
      <c r="Z64" s="176">
        <f t="shared" si="28"/>
        <v>0</v>
      </c>
      <c r="AA64" s="176">
        <f t="shared" si="28"/>
        <v>0</v>
      </c>
      <c r="AB64" s="176">
        <f t="shared" si="28"/>
        <v>0</v>
      </c>
      <c r="AC64" s="176">
        <f t="shared" si="28"/>
        <v>0</v>
      </c>
      <c r="AD64" s="229"/>
      <c r="AE64" s="229">
        <f>SUM(AF64:AN64)</f>
        <v>0</v>
      </c>
      <c r="AF64" s="229"/>
      <c r="AG64" s="229"/>
      <c r="AH64" s="229"/>
      <c r="AI64" s="229"/>
      <c r="AJ64" s="229"/>
      <c r="AK64" s="229"/>
      <c r="AL64" s="229"/>
      <c r="AM64" s="229"/>
      <c r="AN64" s="229"/>
    </row>
    <row r="65" spans="1:40" s="191" customFormat="1" ht="25.5">
      <c r="A65" s="213"/>
      <c r="B65" s="182" t="s">
        <v>1014</v>
      </c>
      <c r="C65" s="625">
        <f>D65+P65+AB65</f>
        <v>2894100000</v>
      </c>
      <c r="D65" s="625">
        <f>E65+F65</f>
        <v>2894100000</v>
      </c>
      <c r="E65" s="625">
        <v>2894100000</v>
      </c>
      <c r="F65" s="625"/>
      <c r="G65" s="210"/>
      <c r="H65" s="210"/>
      <c r="I65" s="210"/>
      <c r="J65" s="210"/>
      <c r="K65" s="210"/>
      <c r="L65" s="210"/>
      <c r="M65" s="210"/>
      <c r="N65" s="210"/>
      <c r="O65" s="210"/>
      <c r="P65" s="224"/>
      <c r="Q65" s="224"/>
      <c r="R65" s="224"/>
      <c r="S65" s="224"/>
      <c r="T65" s="224"/>
      <c r="U65" s="224"/>
      <c r="V65" s="224"/>
      <c r="W65" s="224"/>
      <c r="X65" s="224"/>
      <c r="Y65" s="224"/>
      <c r="Z65" s="224"/>
      <c r="AA65" s="224"/>
      <c r="AB65" s="224"/>
      <c r="AC65" s="624"/>
      <c r="AD65" s="230"/>
      <c r="AE65" s="229"/>
      <c r="AF65" s="230"/>
      <c r="AG65" s="230"/>
      <c r="AH65" s="230"/>
      <c r="AI65" s="230"/>
      <c r="AJ65" s="230"/>
      <c r="AK65" s="230"/>
      <c r="AL65" s="230"/>
      <c r="AM65" s="230"/>
      <c r="AN65" s="230"/>
    </row>
    <row r="66" spans="1:40" s="484" customFormat="1" ht="12.75">
      <c r="A66" s="276" t="s">
        <v>1140</v>
      </c>
      <c r="B66" s="277" t="s">
        <v>1009</v>
      </c>
      <c r="C66" s="661">
        <f>C67</f>
        <v>349504139</v>
      </c>
      <c r="D66" s="661">
        <f aca="true" t="shared" si="29" ref="D66:AB66">D67</f>
        <v>0</v>
      </c>
      <c r="E66" s="661">
        <f t="shared" si="29"/>
        <v>0</v>
      </c>
      <c r="F66" s="661">
        <f t="shared" si="29"/>
        <v>0</v>
      </c>
      <c r="G66" s="661">
        <f t="shared" si="29"/>
        <v>0</v>
      </c>
      <c r="H66" s="661">
        <f t="shared" si="29"/>
        <v>0</v>
      </c>
      <c r="I66" s="661">
        <f t="shared" si="29"/>
        <v>0</v>
      </c>
      <c r="J66" s="661">
        <f t="shared" si="29"/>
        <v>0</v>
      </c>
      <c r="K66" s="661">
        <f t="shared" si="29"/>
        <v>0</v>
      </c>
      <c r="L66" s="661">
        <f t="shared" si="29"/>
        <v>0</v>
      </c>
      <c r="M66" s="661">
        <f t="shared" si="29"/>
        <v>0</v>
      </c>
      <c r="N66" s="661">
        <f t="shared" si="29"/>
        <v>0</v>
      </c>
      <c r="O66" s="661">
        <f t="shared" si="29"/>
        <v>0</v>
      </c>
      <c r="P66" s="661">
        <f t="shared" si="29"/>
        <v>349504139</v>
      </c>
      <c r="Q66" s="661">
        <f t="shared" si="29"/>
        <v>0</v>
      </c>
      <c r="R66" s="661">
        <f t="shared" si="29"/>
        <v>349504139</v>
      </c>
      <c r="S66" s="661">
        <f t="shared" si="29"/>
        <v>202552212</v>
      </c>
      <c r="T66" s="661">
        <f t="shared" si="29"/>
        <v>47460000</v>
      </c>
      <c r="U66" s="661">
        <f t="shared" si="29"/>
        <v>39200000</v>
      </c>
      <c r="V66" s="661">
        <f t="shared" si="29"/>
        <v>0</v>
      </c>
      <c r="W66" s="661">
        <f t="shared" si="29"/>
        <v>6990000</v>
      </c>
      <c r="X66" s="661">
        <f t="shared" si="29"/>
        <v>5311927</v>
      </c>
      <c r="Y66" s="661">
        <f t="shared" si="29"/>
        <v>39880000</v>
      </c>
      <c r="Z66" s="661">
        <f t="shared" si="29"/>
        <v>8110000</v>
      </c>
      <c r="AA66" s="661">
        <f t="shared" si="29"/>
        <v>0</v>
      </c>
      <c r="AB66" s="661">
        <f t="shared" si="29"/>
        <v>0</v>
      </c>
      <c r="AC66" s="276"/>
      <c r="AD66" s="545"/>
      <c r="AE66" s="545"/>
      <c r="AF66" s="545"/>
      <c r="AG66" s="545"/>
      <c r="AH66" s="545"/>
      <c r="AI66" s="545"/>
      <c r="AJ66" s="545"/>
      <c r="AK66" s="545"/>
      <c r="AL66" s="545"/>
      <c r="AM66" s="545"/>
      <c r="AN66" s="545"/>
    </row>
    <row r="67" spans="1:40" s="190" customFormat="1" ht="12.75">
      <c r="A67" s="29">
        <v>1</v>
      </c>
      <c r="B67" s="623" t="s">
        <v>668</v>
      </c>
      <c r="C67" s="176">
        <f>D67+P67+AB67</f>
        <v>349504139</v>
      </c>
      <c r="D67" s="176">
        <f>E67+F67</f>
        <v>0</v>
      </c>
      <c r="E67" s="176">
        <f>SUM(E68:E68)</f>
        <v>0</v>
      </c>
      <c r="F67" s="176">
        <f aca="true" t="shared" si="30" ref="F67:O67">SUM(F68:F70)</f>
        <v>0</v>
      </c>
      <c r="G67" s="176">
        <f t="shared" si="30"/>
        <v>0</v>
      </c>
      <c r="H67" s="176">
        <f t="shared" si="30"/>
        <v>0</v>
      </c>
      <c r="I67" s="176">
        <f t="shared" si="30"/>
        <v>0</v>
      </c>
      <c r="J67" s="176">
        <f t="shared" si="30"/>
        <v>0</v>
      </c>
      <c r="K67" s="176">
        <f t="shared" si="30"/>
        <v>0</v>
      </c>
      <c r="L67" s="176">
        <f t="shared" si="30"/>
        <v>0</v>
      </c>
      <c r="M67" s="176">
        <f t="shared" si="30"/>
        <v>0</v>
      </c>
      <c r="N67" s="176">
        <f t="shared" si="30"/>
        <v>0</v>
      </c>
      <c r="O67" s="176">
        <f t="shared" si="30"/>
        <v>0</v>
      </c>
      <c r="P67" s="176">
        <f>Q67+R67</f>
        <v>349504139</v>
      </c>
      <c r="Q67" s="176">
        <f>SUM(Q68:Q68)</f>
        <v>0</v>
      </c>
      <c r="R67" s="176">
        <f>SUM(R68:R70)</f>
        <v>349504139</v>
      </c>
      <c r="S67" s="176">
        <f aca="true" t="shared" si="31" ref="S67:AA67">SUM(S68:S70)</f>
        <v>202552212</v>
      </c>
      <c r="T67" s="176">
        <f t="shared" si="31"/>
        <v>47460000</v>
      </c>
      <c r="U67" s="176">
        <f t="shared" si="31"/>
        <v>39200000</v>
      </c>
      <c r="V67" s="176">
        <f t="shared" si="31"/>
        <v>0</v>
      </c>
      <c r="W67" s="176">
        <f t="shared" si="31"/>
        <v>6990000</v>
      </c>
      <c r="X67" s="176">
        <f t="shared" si="31"/>
        <v>5311927</v>
      </c>
      <c r="Y67" s="176">
        <f t="shared" si="31"/>
        <v>39880000</v>
      </c>
      <c r="Z67" s="176">
        <f t="shared" si="31"/>
        <v>8110000</v>
      </c>
      <c r="AA67" s="176">
        <f t="shared" si="31"/>
        <v>0</v>
      </c>
      <c r="AB67" s="176">
        <f>SUM(AB68:AB68)</f>
        <v>0</v>
      </c>
      <c r="AC67" s="176">
        <f>SUM(AC68:AC68)</f>
        <v>0</v>
      </c>
      <c r="AD67" s="229"/>
      <c r="AE67" s="229">
        <f>SUM(AF67:AN67)</f>
        <v>0</v>
      </c>
      <c r="AF67" s="229"/>
      <c r="AG67" s="229"/>
      <c r="AH67" s="229"/>
      <c r="AI67" s="229"/>
      <c r="AJ67" s="229"/>
      <c r="AK67" s="229"/>
      <c r="AL67" s="229"/>
      <c r="AM67" s="229"/>
      <c r="AN67" s="229"/>
    </row>
    <row r="68" spans="1:40" s="191" customFormat="1" ht="12.75">
      <c r="A68" s="624"/>
      <c r="B68" s="182" t="s">
        <v>1130</v>
      </c>
      <c r="C68" s="625">
        <f>D68+P68+AB68</f>
        <v>0</v>
      </c>
      <c r="D68" s="625">
        <f>E68+F68</f>
        <v>0</v>
      </c>
      <c r="E68" s="625"/>
      <c r="F68" s="226"/>
      <c r="G68" s="210"/>
      <c r="H68" s="210"/>
      <c r="I68" s="210"/>
      <c r="J68" s="210"/>
      <c r="K68" s="210"/>
      <c r="L68" s="210"/>
      <c r="M68" s="210"/>
      <c r="N68" s="210"/>
      <c r="O68" s="210"/>
      <c r="P68" s="625"/>
      <c r="Q68" s="224"/>
      <c r="R68" s="226">
        <f>SUM(S68:AA68)</f>
        <v>1593578</v>
      </c>
      <c r="S68" s="224"/>
      <c r="T68" s="224"/>
      <c r="U68" s="224"/>
      <c r="V68" s="224"/>
      <c r="W68" s="224"/>
      <c r="X68" s="224">
        <v>1593578</v>
      </c>
      <c r="Y68" s="224"/>
      <c r="Z68" s="224"/>
      <c r="AA68" s="224"/>
      <c r="AB68" s="224"/>
      <c r="AC68" s="624"/>
      <c r="AD68" s="230"/>
      <c r="AE68" s="393"/>
      <c r="AF68" s="230"/>
      <c r="AG68" s="230"/>
      <c r="AH68" s="230"/>
      <c r="AI68" s="230"/>
      <c r="AJ68" s="230"/>
      <c r="AK68" s="230"/>
      <c r="AL68" s="230"/>
      <c r="AM68" s="230"/>
      <c r="AN68" s="230"/>
    </row>
    <row r="69" spans="1:40" s="191" customFormat="1" ht="12.75">
      <c r="A69" s="624"/>
      <c r="B69" s="182" t="s">
        <v>1131</v>
      </c>
      <c r="C69" s="625">
        <f>D69+P69+AB69</f>
        <v>0</v>
      </c>
      <c r="D69" s="625">
        <f>E69+F69</f>
        <v>0</v>
      </c>
      <c r="E69" s="625"/>
      <c r="F69" s="226"/>
      <c r="G69" s="210"/>
      <c r="H69" s="210"/>
      <c r="I69" s="210"/>
      <c r="J69" s="210"/>
      <c r="K69" s="210"/>
      <c r="L69" s="210"/>
      <c r="M69" s="210"/>
      <c r="N69" s="210"/>
      <c r="O69" s="210"/>
      <c r="P69" s="625"/>
      <c r="Q69" s="224"/>
      <c r="R69" s="226">
        <f>SUM(S69:AA69)</f>
        <v>60765664</v>
      </c>
      <c r="S69" s="224">
        <v>60765664</v>
      </c>
      <c r="T69" s="224"/>
      <c r="U69" s="224"/>
      <c r="V69" s="224"/>
      <c r="W69" s="224"/>
      <c r="X69" s="224"/>
      <c r="Y69" s="224"/>
      <c r="Z69" s="224"/>
      <c r="AA69" s="224"/>
      <c r="AB69" s="224"/>
      <c r="AC69" s="624"/>
      <c r="AD69" s="230"/>
      <c r="AE69" s="393"/>
      <c r="AF69" s="230"/>
      <c r="AG69" s="230"/>
      <c r="AH69" s="230"/>
      <c r="AI69" s="230"/>
      <c r="AJ69" s="230"/>
      <c r="AK69" s="230"/>
      <c r="AL69" s="230"/>
      <c r="AM69" s="230"/>
      <c r="AN69" s="230"/>
    </row>
    <row r="70" spans="1:40" s="191" customFormat="1" ht="12.75">
      <c r="A70" s="624"/>
      <c r="B70" s="182" t="s">
        <v>1132</v>
      </c>
      <c r="C70" s="625">
        <f>D70+P70+AB70</f>
        <v>0</v>
      </c>
      <c r="D70" s="625">
        <f>E70+F70</f>
        <v>0</v>
      </c>
      <c r="E70" s="625"/>
      <c r="F70" s="226"/>
      <c r="G70" s="210"/>
      <c r="H70" s="210"/>
      <c r="I70" s="210"/>
      <c r="J70" s="210"/>
      <c r="K70" s="210"/>
      <c r="L70" s="210"/>
      <c r="M70" s="210"/>
      <c r="N70" s="210"/>
      <c r="O70" s="210"/>
      <c r="P70" s="625"/>
      <c r="Q70" s="224"/>
      <c r="R70" s="226">
        <f>SUM(S70:AA70)</f>
        <v>287144897</v>
      </c>
      <c r="S70" s="224">
        <v>141786548</v>
      </c>
      <c r="T70" s="224">
        <v>47460000</v>
      </c>
      <c r="U70" s="224">
        <v>39200000</v>
      </c>
      <c r="V70" s="224"/>
      <c r="W70" s="224">
        <v>6990000</v>
      </c>
      <c r="X70" s="224">
        <v>3718349</v>
      </c>
      <c r="Y70" s="224">
        <v>39880000</v>
      </c>
      <c r="Z70" s="224">
        <v>8110000</v>
      </c>
      <c r="AA70" s="224"/>
      <c r="AB70" s="224"/>
      <c r="AC70" s="624"/>
      <c r="AD70" s="230"/>
      <c r="AE70" s="393"/>
      <c r="AF70" s="230"/>
      <c r="AG70" s="230"/>
      <c r="AH70" s="230"/>
      <c r="AI70" s="230"/>
      <c r="AJ70" s="230"/>
      <c r="AK70" s="230"/>
      <c r="AL70" s="230"/>
      <c r="AM70" s="230"/>
      <c r="AN70" s="230"/>
    </row>
    <row r="71" spans="1:31" ht="12.75">
      <c r="A71" s="31" t="s">
        <v>673</v>
      </c>
      <c r="B71" s="32" t="s">
        <v>673</v>
      </c>
      <c r="C71" s="158"/>
      <c r="D71" s="219"/>
      <c r="E71" s="219"/>
      <c r="F71" s="219"/>
      <c r="G71" s="220"/>
      <c r="H71" s="220"/>
      <c r="I71" s="220"/>
      <c r="J71" s="220"/>
      <c r="K71" s="220"/>
      <c r="L71" s="220"/>
      <c r="M71" s="220"/>
      <c r="N71" s="220"/>
      <c r="O71" s="220"/>
      <c r="P71" s="219"/>
      <c r="Q71" s="219"/>
      <c r="R71" s="219"/>
      <c r="S71" s="219"/>
      <c r="T71" s="219"/>
      <c r="U71" s="219"/>
      <c r="V71" s="219"/>
      <c r="W71" s="219"/>
      <c r="X71" s="219"/>
      <c r="Y71" s="219"/>
      <c r="Z71" s="219"/>
      <c r="AA71" s="219"/>
      <c r="AB71" s="219"/>
      <c r="AC71" s="31"/>
      <c r="AE71" s="229">
        <f>SUM(AF71:AN71)</f>
        <v>0</v>
      </c>
    </row>
    <row r="72" ht="12.75">
      <c r="A72" s="162" t="s">
        <v>674</v>
      </c>
    </row>
    <row r="74" spans="17:29" ht="18.75">
      <c r="Q74" s="772" t="s">
        <v>1001</v>
      </c>
      <c r="R74" s="772"/>
      <c r="S74" s="772"/>
      <c r="T74" s="772"/>
      <c r="U74" s="772"/>
      <c r="V74" s="772"/>
      <c r="W74" s="772"/>
      <c r="X74" s="772"/>
      <c r="Y74" s="772"/>
      <c r="Z74" s="772"/>
      <c r="AA74" s="772"/>
      <c r="AB74" s="772"/>
      <c r="AC74" s="772"/>
    </row>
    <row r="75" spans="17:29" ht="15.75">
      <c r="Q75" s="770" t="s">
        <v>282</v>
      </c>
      <c r="R75" s="770"/>
      <c r="S75" s="770"/>
      <c r="T75" s="770"/>
      <c r="U75" s="770"/>
      <c r="V75" s="770"/>
      <c r="W75" s="770"/>
      <c r="X75" s="770"/>
      <c r="Y75" s="770"/>
      <c r="Z75" s="770"/>
      <c r="AA75" s="770"/>
      <c r="AB75" s="770"/>
      <c r="AC75" s="770"/>
    </row>
    <row r="76" spans="17:29" ht="15.75">
      <c r="Q76" s="770" t="s">
        <v>285</v>
      </c>
      <c r="R76" s="770"/>
      <c r="S76" s="770"/>
      <c r="T76" s="770"/>
      <c r="U76" s="770"/>
      <c r="V76" s="770"/>
      <c r="W76" s="770"/>
      <c r="X76" s="770"/>
      <c r="Y76" s="770"/>
      <c r="Z76" s="770"/>
      <c r="AA76" s="770"/>
      <c r="AB76" s="770"/>
      <c r="AC76" s="770"/>
    </row>
  </sheetData>
  <sheetProtection/>
  <mergeCells count="13">
    <mergeCell ref="A3:AC3"/>
    <mergeCell ref="A4:AC4"/>
    <mergeCell ref="A5:AC5"/>
    <mergeCell ref="D7:AB7"/>
    <mergeCell ref="AF8:AN8"/>
    <mergeCell ref="Q74:AC74"/>
    <mergeCell ref="AE8:AE9"/>
    <mergeCell ref="Q75:AC75"/>
    <mergeCell ref="Q76:AC76"/>
    <mergeCell ref="A7:A8"/>
    <mergeCell ref="B7:B8"/>
    <mergeCell ref="C7:C8"/>
    <mergeCell ref="AC7:AC8"/>
  </mergeCells>
  <printOptions/>
  <pageMargins left="0.23" right="0.25" top="0.55" bottom="0.41" header="0.3" footer="0.3"/>
  <pageSetup blackAndWhite="1" horizontalDpi="600" verticalDpi="600" orientation="landscape" scale="70" r:id="rId4"/>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I62"/>
  <sheetViews>
    <sheetView zoomScalePageLayoutView="0" workbookViewId="0" topLeftCell="A34">
      <selection activeCell="E17" sqref="E17"/>
    </sheetView>
  </sheetViews>
  <sheetFormatPr defaultColWidth="9.33203125" defaultRowHeight="12.75"/>
  <cols>
    <col min="1" max="1" width="5.66015625" style="0" customWidth="1"/>
    <col min="2" max="2" width="45.66015625" style="0" customWidth="1"/>
    <col min="3" max="3" width="18" style="148" customWidth="1"/>
    <col min="4" max="4" width="14.33203125" style="0" customWidth="1"/>
    <col min="5" max="5" width="17.83203125" style="0" customWidth="1"/>
    <col min="6" max="6" width="13.16015625" style="0" customWidth="1"/>
    <col min="7" max="7" width="17.16015625" style="0" customWidth="1"/>
    <col min="8" max="8" width="13.16015625" style="0" customWidth="1"/>
    <col min="9" max="9" width="17.16015625" style="0" customWidth="1"/>
  </cols>
  <sheetData>
    <row r="1" spans="1:9" ht="12.75">
      <c r="A1" s="20"/>
      <c r="I1" s="20" t="s">
        <v>675</v>
      </c>
    </row>
    <row r="3" spans="1:9" ht="12.75">
      <c r="A3" s="734" t="s">
        <v>1144</v>
      </c>
      <c r="B3" s="734"/>
      <c r="C3" s="734"/>
      <c r="D3" s="734"/>
      <c r="E3" s="734"/>
      <c r="F3" s="734"/>
      <c r="G3" s="734"/>
      <c r="H3" s="734"/>
      <c r="I3" s="734"/>
    </row>
    <row r="4" spans="1:9" ht="12.75" hidden="1">
      <c r="A4" s="727" t="s">
        <v>676</v>
      </c>
      <c r="B4" s="727"/>
      <c r="C4" s="727"/>
      <c r="D4" s="727"/>
      <c r="E4" s="727"/>
      <c r="F4" s="727"/>
      <c r="G4" s="727"/>
      <c r="H4" s="727"/>
      <c r="I4" s="727"/>
    </row>
    <row r="5" ht="12.75">
      <c r="I5" s="163" t="s">
        <v>247</v>
      </c>
    </row>
    <row r="6" spans="1:9" ht="34.5" customHeight="1">
      <c r="A6" s="732" t="s">
        <v>3</v>
      </c>
      <c r="B6" s="732" t="s">
        <v>289</v>
      </c>
      <c r="C6" s="732" t="s">
        <v>677</v>
      </c>
      <c r="D6" s="732"/>
      <c r="E6" s="732" t="s">
        <v>954</v>
      </c>
      <c r="F6" s="732"/>
      <c r="G6" s="732" t="s">
        <v>678</v>
      </c>
      <c r="H6" s="732"/>
      <c r="I6" s="732" t="s">
        <v>599</v>
      </c>
    </row>
    <row r="7" spans="1:9" ht="41.25" customHeight="1">
      <c r="A7" s="732"/>
      <c r="B7" s="732"/>
      <c r="C7" s="172" t="s">
        <v>679</v>
      </c>
      <c r="D7" s="22" t="s">
        <v>680</v>
      </c>
      <c r="E7" s="22" t="s">
        <v>679</v>
      </c>
      <c r="F7" s="22" t="s">
        <v>680</v>
      </c>
      <c r="G7" s="22" t="s">
        <v>679</v>
      </c>
      <c r="H7" s="22" t="s">
        <v>680</v>
      </c>
      <c r="I7" s="732"/>
    </row>
    <row r="8" spans="1:9" ht="25.5">
      <c r="A8" s="173" t="s">
        <v>308</v>
      </c>
      <c r="B8" s="174" t="s">
        <v>681</v>
      </c>
      <c r="C8" s="175">
        <f aca="true" t="shared" si="0" ref="C8:H8">C9</f>
        <v>0</v>
      </c>
      <c r="D8" s="175">
        <f t="shared" si="0"/>
        <v>0</v>
      </c>
      <c r="E8" s="175">
        <f t="shared" si="0"/>
        <v>0</v>
      </c>
      <c r="F8" s="175">
        <f t="shared" si="0"/>
        <v>0</v>
      </c>
      <c r="G8" s="175">
        <f t="shared" si="0"/>
        <v>0</v>
      </c>
      <c r="H8" s="175">
        <f t="shared" si="0"/>
        <v>0</v>
      </c>
      <c r="I8" s="166"/>
    </row>
    <row r="9" spans="1:9" ht="12.75">
      <c r="A9" s="29">
        <v>1</v>
      </c>
      <c r="B9" s="30" t="s">
        <v>682</v>
      </c>
      <c r="C9" s="176">
        <f>C10</f>
        <v>0</v>
      </c>
      <c r="D9" s="176">
        <f>D10</f>
        <v>0</v>
      </c>
      <c r="E9" s="176">
        <f>E10</f>
        <v>0</v>
      </c>
      <c r="F9" s="176">
        <f>F10</f>
        <v>0</v>
      </c>
      <c r="G9" s="176">
        <f>G10</f>
        <v>0</v>
      </c>
      <c r="H9" s="176"/>
      <c r="I9" s="27"/>
    </row>
    <row r="10" spans="1:9" s="170" customFormat="1" ht="15.75">
      <c r="A10" s="177"/>
      <c r="B10" s="178" t="s">
        <v>683</v>
      </c>
      <c r="C10" s="179"/>
      <c r="D10" s="178"/>
      <c r="E10" s="180"/>
      <c r="F10" s="178"/>
      <c r="G10" s="181">
        <f>C10-E10</f>
        <v>0</v>
      </c>
      <c r="H10" s="178"/>
      <c r="I10" s="178"/>
    </row>
    <row r="11" spans="1:9" ht="25.5">
      <c r="A11" s="29">
        <v>2</v>
      </c>
      <c r="B11" s="30" t="s">
        <v>684</v>
      </c>
      <c r="C11" s="176"/>
      <c r="D11" s="176"/>
      <c r="E11" s="176"/>
      <c r="F11" s="176"/>
      <c r="G11" s="176"/>
      <c r="H11" s="176"/>
      <c r="I11" s="27"/>
    </row>
    <row r="12" spans="1:9" ht="12.75">
      <c r="A12" s="29">
        <v>3</v>
      </c>
      <c r="B12" s="30" t="s">
        <v>685</v>
      </c>
      <c r="C12" s="176"/>
      <c r="D12" s="176"/>
      <c r="E12" s="176"/>
      <c r="F12" s="176"/>
      <c r="G12" s="176"/>
      <c r="H12" s="176"/>
      <c r="I12" s="27"/>
    </row>
    <row r="13" spans="1:9" s="170" customFormat="1" ht="15.75">
      <c r="A13" s="177"/>
      <c r="B13" s="77" t="s">
        <v>686</v>
      </c>
      <c r="C13" s="179"/>
      <c r="D13" s="178"/>
      <c r="E13" s="180"/>
      <c r="F13" s="178"/>
      <c r="G13" s="181"/>
      <c r="H13" s="178"/>
      <c r="I13" s="178"/>
    </row>
    <row r="14" spans="1:9" s="170" customFormat="1" ht="15.75">
      <c r="A14" s="177"/>
      <c r="B14" s="77" t="s">
        <v>687</v>
      </c>
      <c r="C14" s="178"/>
      <c r="D14" s="178"/>
      <c r="E14" s="178"/>
      <c r="F14" s="178"/>
      <c r="G14" s="178"/>
      <c r="H14" s="178"/>
      <c r="I14" s="178"/>
    </row>
    <row r="15" spans="1:9" ht="12.75" hidden="1">
      <c r="A15" s="27">
        <v>1</v>
      </c>
      <c r="B15" s="28" t="s">
        <v>688</v>
      </c>
      <c r="C15" s="157"/>
      <c r="D15" s="27"/>
      <c r="E15" s="27"/>
      <c r="F15" s="27"/>
      <c r="G15" s="27"/>
      <c r="H15" s="27"/>
      <c r="I15" s="27"/>
    </row>
    <row r="16" spans="1:9" ht="12.75" hidden="1">
      <c r="A16" s="27"/>
      <c r="B16" s="182" t="s">
        <v>689</v>
      </c>
      <c r="C16" s="157"/>
      <c r="D16" s="27"/>
      <c r="E16" s="27"/>
      <c r="F16" s="27"/>
      <c r="G16" s="27"/>
      <c r="H16" s="27"/>
      <c r="I16" s="27"/>
    </row>
    <row r="17" spans="1:9" ht="12.75" hidden="1">
      <c r="A17" s="27"/>
      <c r="B17" s="28" t="s">
        <v>690</v>
      </c>
      <c r="C17" s="157"/>
      <c r="D17" s="27"/>
      <c r="E17" s="27"/>
      <c r="F17" s="27"/>
      <c r="G17" s="27"/>
      <c r="H17" s="27"/>
      <c r="I17" s="27"/>
    </row>
    <row r="18" spans="1:9" ht="12.75" hidden="1">
      <c r="A18" s="27">
        <v>2</v>
      </c>
      <c r="B18" s="28" t="s">
        <v>684</v>
      </c>
      <c r="C18" s="157"/>
      <c r="D18" s="27"/>
      <c r="E18" s="27"/>
      <c r="F18" s="27"/>
      <c r="G18" s="27"/>
      <c r="H18" s="27"/>
      <c r="I18" s="27"/>
    </row>
    <row r="19" spans="1:9" ht="12.75" hidden="1">
      <c r="A19" s="27"/>
      <c r="B19" s="182" t="s">
        <v>691</v>
      </c>
      <c r="C19" s="157"/>
      <c r="D19" s="27"/>
      <c r="E19" s="27"/>
      <c r="F19" s="27"/>
      <c r="G19" s="27"/>
      <c r="H19" s="27"/>
      <c r="I19" s="27"/>
    </row>
    <row r="20" spans="1:9" ht="12.75" hidden="1">
      <c r="A20" s="27"/>
      <c r="B20" s="182" t="s">
        <v>692</v>
      </c>
      <c r="C20" s="157"/>
      <c r="D20" s="27"/>
      <c r="E20" s="27"/>
      <c r="F20" s="27"/>
      <c r="G20" s="27"/>
      <c r="H20" s="27"/>
      <c r="I20" s="27"/>
    </row>
    <row r="21" spans="1:9" ht="12.75" hidden="1">
      <c r="A21" s="27">
        <v>3</v>
      </c>
      <c r="B21" s="28" t="s">
        <v>693</v>
      </c>
      <c r="C21" s="157"/>
      <c r="D21" s="27"/>
      <c r="E21" s="27"/>
      <c r="F21" s="27"/>
      <c r="G21" s="27"/>
      <c r="H21" s="27"/>
      <c r="I21" s="27"/>
    </row>
    <row r="22" spans="1:9" ht="12.75" hidden="1">
      <c r="A22" s="27" t="s">
        <v>694</v>
      </c>
      <c r="B22" s="28" t="s">
        <v>695</v>
      </c>
      <c r="C22" s="157"/>
      <c r="D22" s="27"/>
      <c r="E22" s="27"/>
      <c r="F22" s="27"/>
      <c r="G22" s="27"/>
      <c r="H22" s="27"/>
      <c r="I22" s="27"/>
    </row>
    <row r="23" spans="1:9" ht="12.75" hidden="1">
      <c r="A23" s="27"/>
      <c r="B23" s="182" t="s">
        <v>696</v>
      </c>
      <c r="C23" s="157"/>
      <c r="D23" s="27"/>
      <c r="E23" s="27"/>
      <c r="F23" s="27"/>
      <c r="G23" s="27"/>
      <c r="H23" s="27"/>
      <c r="I23" s="27"/>
    </row>
    <row r="24" spans="1:9" ht="12.75" hidden="1">
      <c r="A24" s="27"/>
      <c r="B24" s="182" t="s">
        <v>697</v>
      </c>
      <c r="C24" s="157"/>
      <c r="D24" s="27"/>
      <c r="E24" s="27"/>
      <c r="F24" s="27"/>
      <c r="G24" s="27"/>
      <c r="H24" s="27"/>
      <c r="I24" s="27"/>
    </row>
    <row r="25" spans="1:9" ht="12.75" hidden="1">
      <c r="A25" s="27" t="s">
        <v>698</v>
      </c>
      <c r="B25" s="28" t="s">
        <v>699</v>
      </c>
      <c r="C25" s="157"/>
      <c r="D25" s="27"/>
      <c r="E25" s="27"/>
      <c r="F25" s="27"/>
      <c r="G25" s="27"/>
      <c r="H25" s="27"/>
      <c r="I25" s="27"/>
    </row>
    <row r="26" spans="1:9" ht="12.75" hidden="1">
      <c r="A26" s="27"/>
      <c r="B26" s="182" t="s">
        <v>696</v>
      </c>
      <c r="C26" s="157"/>
      <c r="D26" s="27"/>
      <c r="E26" s="27"/>
      <c r="F26" s="27"/>
      <c r="G26" s="27"/>
      <c r="H26" s="27"/>
      <c r="I26" s="27"/>
    </row>
    <row r="27" spans="1:9" ht="12.75" hidden="1">
      <c r="A27" s="27"/>
      <c r="B27" s="182" t="s">
        <v>700</v>
      </c>
      <c r="C27" s="157"/>
      <c r="D27" s="27"/>
      <c r="E27" s="27"/>
      <c r="F27" s="27"/>
      <c r="G27" s="27"/>
      <c r="H27" s="27"/>
      <c r="I27" s="27"/>
    </row>
    <row r="28" spans="1:9" ht="12.75" hidden="1">
      <c r="A28" s="27">
        <v>4</v>
      </c>
      <c r="B28" s="28" t="s">
        <v>701</v>
      </c>
      <c r="C28" s="157"/>
      <c r="D28" s="27"/>
      <c r="E28" s="27"/>
      <c r="F28" s="27"/>
      <c r="G28" s="27"/>
      <c r="H28" s="27"/>
      <c r="I28" s="27"/>
    </row>
    <row r="29" spans="1:9" ht="12.75" hidden="1">
      <c r="A29" s="27"/>
      <c r="B29" s="182" t="s">
        <v>696</v>
      </c>
      <c r="C29" s="157"/>
      <c r="D29" s="27"/>
      <c r="E29" s="27"/>
      <c r="F29" s="27"/>
      <c r="G29" s="27"/>
      <c r="H29" s="27"/>
      <c r="I29" s="27"/>
    </row>
    <row r="30" spans="1:9" ht="12.75" hidden="1">
      <c r="A30" s="27"/>
      <c r="B30" s="182" t="s">
        <v>702</v>
      </c>
      <c r="C30" s="157"/>
      <c r="D30" s="27"/>
      <c r="E30" s="27"/>
      <c r="F30" s="27"/>
      <c r="G30" s="27"/>
      <c r="H30" s="27"/>
      <c r="I30" s="27"/>
    </row>
    <row r="31" spans="1:9" ht="31.5">
      <c r="A31" s="183" t="s">
        <v>364</v>
      </c>
      <c r="B31" s="184" t="s">
        <v>703</v>
      </c>
      <c r="C31" s="185">
        <f aca="true" t="shared" si="1" ref="C31:H31">C32+C35+C37+C44+C47</f>
        <v>14036237</v>
      </c>
      <c r="D31" s="185">
        <f t="shared" si="1"/>
        <v>0</v>
      </c>
      <c r="E31" s="185">
        <f t="shared" si="1"/>
        <v>14036237</v>
      </c>
      <c r="F31" s="185">
        <f t="shared" si="1"/>
        <v>0</v>
      </c>
      <c r="G31" s="185">
        <f t="shared" si="1"/>
        <v>0</v>
      </c>
      <c r="H31" s="185">
        <f t="shared" si="1"/>
        <v>0</v>
      </c>
      <c r="I31" s="459" t="s">
        <v>704</v>
      </c>
    </row>
    <row r="32" spans="1:9" s="247" customFormat="1" ht="15.75" customHeight="1">
      <c r="A32" s="460">
        <v>1</v>
      </c>
      <c r="B32" s="461" t="s">
        <v>682</v>
      </c>
      <c r="C32" s="462"/>
      <c r="D32" s="461"/>
      <c r="E32" s="462"/>
      <c r="F32" s="461"/>
      <c r="G32" s="461"/>
      <c r="H32" s="461"/>
      <c r="I32" s="463"/>
    </row>
    <row r="33" spans="1:9" s="247" customFormat="1" ht="12.75">
      <c r="A33" s="464"/>
      <c r="B33" s="465" t="s">
        <v>705</v>
      </c>
      <c r="C33" s="466"/>
      <c r="D33" s="461"/>
      <c r="E33" s="462"/>
      <c r="F33" s="461"/>
      <c r="G33" s="461"/>
      <c r="H33" s="461"/>
      <c r="I33" s="467"/>
    </row>
    <row r="34" spans="1:9" s="247" customFormat="1" ht="12.75">
      <c r="A34" s="464"/>
      <c r="B34" s="465" t="s">
        <v>706</v>
      </c>
      <c r="C34" s="466"/>
      <c r="D34" s="461"/>
      <c r="E34" s="462"/>
      <c r="F34" s="461"/>
      <c r="G34" s="461"/>
      <c r="H34" s="461"/>
      <c r="I34" s="467"/>
    </row>
    <row r="35" spans="1:9" s="248" customFormat="1" ht="12.75">
      <c r="A35" s="468">
        <v>2</v>
      </c>
      <c r="B35" s="469" t="s">
        <v>684</v>
      </c>
      <c r="C35" s="470"/>
      <c r="D35" s="468"/>
      <c r="E35" s="468"/>
      <c r="F35" s="468"/>
      <c r="G35" s="468"/>
      <c r="H35" s="468"/>
      <c r="I35" s="468"/>
    </row>
    <row r="36" spans="1:9" s="248" customFormat="1" ht="12.75">
      <c r="A36" s="468"/>
      <c r="B36" s="471" t="s">
        <v>953</v>
      </c>
      <c r="C36" s="470"/>
      <c r="D36" s="468"/>
      <c r="E36" s="468"/>
      <c r="F36" s="468"/>
      <c r="G36" s="468"/>
      <c r="H36" s="468"/>
      <c r="I36" s="468"/>
    </row>
    <row r="37" spans="1:9" s="247" customFormat="1" ht="12.75">
      <c r="A37" s="456">
        <v>3</v>
      </c>
      <c r="B37" s="457" t="s">
        <v>685</v>
      </c>
      <c r="C37" s="458">
        <f>C38+C41</f>
        <v>14036237</v>
      </c>
      <c r="D37" s="458"/>
      <c r="E37" s="458">
        <f>C37</f>
        <v>14036237</v>
      </c>
      <c r="F37" s="458"/>
      <c r="G37" s="458"/>
      <c r="H37" s="458"/>
      <c r="I37" s="456"/>
    </row>
    <row r="38" spans="1:9" s="308" customFormat="1" ht="13.5">
      <c r="A38" s="472" t="s">
        <v>694</v>
      </c>
      <c r="B38" s="473" t="s">
        <v>695</v>
      </c>
      <c r="C38" s="474">
        <f>SUM(C39:C40)</f>
        <v>14036237</v>
      </c>
      <c r="D38" s="474"/>
      <c r="E38" s="474">
        <f>C38</f>
        <v>14036237</v>
      </c>
      <c r="F38" s="474"/>
      <c r="G38" s="474"/>
      <c r="H38" s="474"/>
      <c r="I38" s="472"/>
    </row>
    <row r="39" spans="1:9" s="248" customFormat="1" ht="12.75">
      <c r="A39" s="468"/>
      <c r="B39" s="471" t="s">
        <v>696</v>
      </c>
      <c r="C39" s="470">
        <v>1013827</v>
      </c>
      <c r="D39" s="468"/>
      <c r="E39" s="470">
        <f>C39</f>
        <v>1013827</v>
      </c>
      <c r="F39" s="468"/>
      <c r="G39" s="468"/>
      <c r="H39" s="468"/>
      <c r="I39" s="468"/>
    </row>
    <row r="40" spans="1:9" s="248" customFormat="1" ht="12.75">
      <c r="A40" s="468"/>
      <c r="B40" s="471" t="s">
        <v>697</v>
      </c>
      <c r="C40" s="470">
        <v>13022410</v>
      </c>
      <c r="D40" s="468"/>
      <c r="E40" s="470">
        <f>C40</f>
        <v>13022410</v>
      </c>
      <c r="F40" s="468"/>
      <c r="G40" s="475"/>
      <c r="H40" s="468"/>
      <c r="I40" s="468"/>
    </row>
    <row r="41" spans="1:9" s="308" customFormat="1" ht="13.5">
      <c r="A41" s="472" t="s">
        <v>698</v>
      </c>
      <c r="B41" s="473" t="s">
        <v>707</v>
      </c>
      <c r="C41" s="474">
        <f>C42</f>
        <v>0</v>
      </c>
      <c r="D41" s="472"/>
      <c r="E41" s="474">
        <f>C41</f>
        <v>0</v>
      </c>
      <c r="F41" s="472"/>
      <c r="G41" s="472"/>
      <c r="H41" s="472"/>
      <c r="I41" s="472"/>
    </row>
    <row r="42" spans="1:9" s="248" customFormat="1" ht="12.75">
      <c r="A42" s="468"/>
      <c r="B42" s="476" t="s">
        <v>696</v>
      </c>
      <c r="C42" s="470"/>
      <c r="D42" s="468"/>
      <c r="E42" s="470"/>
      <c r="F42" s="468"/>
      <c r="G42" s="468"/>
      <c r="H42" s="468"/>
      <c r="I42" s="468"/>
    </row>
    <row r="43" spans="1:9" s="248" customFormat="1" ht="12.75">
      <c r="A43" s="468"/>
      <c r="B43" s="471" t="s">
        <v>702</v>
      </c>
      <c r="C43" s="470"/>
      <c r="D43" s="468"/>
      <c r="E43" s="468"/>
      <c r="F43" s="468"/>
      <c r="G43" s="468"/>
      <c r="H43" s="468"/>
      <c r="I43" s="468"/>
    </row>
    <row r="44" spans="1:9" ht="15.75">
      <c r="A44" s="186">
        <v>4</v>
      </c>
      <c r="B44" s="189" t="s">
        <v>708</v>
      </c>
      <c r="C44" s="187"/>
      <c r="D44" s="186"/>
      <c r="E44" s="186"/>
      <c r="F44" s="186"/>
      <c r="G44" s="186"/>
      <c r="H44" s="186"/>
      <c r="I44" s="186"/>
    </row>
    <row r="45" spans="1:9" ht="15.75">
      <c r="A45" s="186"/>
      <c r="B45" s="188" t="s">
        <v>696</v>
      </c>
      <c r="C45" s="187"/>
      <c r="D45" s="186"/>
      <c r="E45" s="186"/>
      <c r="F45" s="186"/>
      <c r="G45" s="186"/>
      <c r="H45" s="186"/>
      <c r="I45" s="186"/>
    </row>
    <row r="46" spans="1:9" ht="15.75">
      <c r="A46" s="186"/>
      <c r="B46" s="188" t="s">
        <v>702</v>
      </c>
      <c r="C46" s="187"/>
      <c r="D46" s="186"/>
      <c r="E46" s="186"/>
      <c r="F46" s="186"/>
      <c r="G46" s="186"/>
      <c r="H46" s="186"/>
      <c r="I46" s="186"/>
    </row>
    <row r="47" spans="1:9" ht="15.75">
      <c r="A47" s="186">
        <v>5</v>
      </c>
      <c r="B47" s="189" t="s">
        <v>709</v>
      </c>
      <c r="C47" s="187">
        <v>0</v>
      </c>
      <c r="D47" s="187">
        <v>0</v>
      </c>
      <c r="E47" s="187">
        <v>0</v>
      </c>
      <c r="F47" s="187">
        <v>0</v>
      </c>
      <c r="G47" s="187">
        <v>0</v>
      </c>
      <c r="H47" s="187">
        <v>0</v>
      </c>
      <c r="I47" s="186"/>
    </row>
    <row r="48" spans="1:9" ht="31.5">
      <c r="A48" s="183" t="s">
        <v>382</v>
      </c>
      <c r="B48" s="184" t="s">
        <v>710</v>
      </c>
      <c r="C48" s="187"/>
      <c r="D48" s="187"/>
      <c r="E48" s="186"/>
      <c r="F48" s="186"/>
      <c r="G48" s="186"/>
      <c r="H48" s="186"/>
      <c r="I48" s="186"/>
    </row>
    <row r="49" spans="1:9" ht="12.75" customHeight="1" hidden="1">
      <c r="A49" s="29"/>
      <c r="B49" s="444"/>
      <c r="C49" s="446"/>
      <c r="D49" s="447"/>
      <c r="E49" s="447"/>
      <c r="F49" s="447"/>
      <c r="G49" s="447"/>
      <c r="H49" s="447"/>
      <c r="I49" s="447"/>
    </row>
    <row r="50" spans="1:9" ht="12.75" customHeight="1" hidden="1">
      <c r="A50" s="29"/>
      <c r="B50" s="444"/>
      <c r="C50" s="446"/>
      <c r="D50" s="447"/>
      <c r="E50" s="447"/>
      <c r="F50" s="447"/>
      <c r="G50" s="447"/>
      <c r="H50" s="447"/>
      <c r="I50" s="447"/>
    </row>
    <row r="51" spans="1:9" ht="12.75" customHeight="1" hidden="1">
      <c r="A51" s="29"/>
      <c r="B51" s="444"/>
      <c r="C51" s="446"/>
      <c r="D51" s="447"/>
      <c r="E51" s="447"/>
      <c r="F51" s="447"/>
      <c r="G51" s="447"/>
      <c r="H51" s="447"/>
      <c r="I51" s="447"/>
    </row>
    <row r="52" spans="1:9" ht="12.75" customHeight="1" hidden="1">
      <c r="A52" s="29"/>
      <c r="B52" s="444"/>
      <c r="C52" s="446"/>
      <c r="D52" s="447"/>
      <c r="E52" s="447"/>
      <c r="F52" s="447"/>
      <c r="G52" s="447"/>
      <c r="H52" s="447"/>
      <c r="I52" s="447"/>
    </row>
    <row r="53" spans="1:9" ht="12.75" customHeight="1" hidden="1">
      <c r="A53" s="29"/>
      <c r="B53" s="444"/>
      <c r="C53" s="446"/>
      <c r="D53" s="447"/>
      <c r="E53" s="447"/>
      <c r="F53" s="447"/>
      <c r="G53" s="447"/>
      <c r="H53" s="447"/>
      <c r="I53" s="447"/>
    </row>
    <row r="54" spans="1:9" ht="12.75" customHeight="1" hidden="1">
      <c r="A54" s="29"/>
      <c r="B54" s="444"/>
      <c r="C54" s="446"/>
      <c r="D54" s="447"/>
      <c r="E54" s="447"/>
      <c r="F54" s="447"/>
      <c r="G54" s="447"/>
      <c r="H54" s="447"/>
      <c r="I54" s="447"/>
    </row>
    <row r="55" spans="1:9" ht="12.75" customHeight="1" hidden="1">
      <c r="A55" s="29"/>
      <c r="B55" s="444"/>
      <c r="C55" s="446"/>
      <c r="D55" s="447"/>
      <c r="E55" s="447"/>
      <c r="F55" s="447"/>
      <c r="G55" s="447"/>
      <c r="H55" s="447"/>
      <c r="I55" s="447"/>
    </row>
    <row r="56" spans="1:9" ht="12.75" customHeight="1" hidden="1">
      <c r="A56" s="29"/>
      <c r="B56" s="444"/>
      <c r="C56" s="446"/>
      <c r="D56" s="447"/>
      <c r="E56" s="447"/>
      <c r="F56" s="447"/>
      <c r="G56" s="447"/>
      <c r="H56" s="447"/>
      <c r="I56" s="447"/>
    </row>
    <row r="57" spans="1:9" ht="12.75" customHeight="1" hidden="1">
      <c r="A57" s="447"/>
      <c r="B57" s="28" t="s">
        <v>711</v>
      </c>
      <c r="C57" s="446"/>
      <c r="D57" s="447"/>
      <c r="E57" s="447"/>
      <c r="F57" s="447"/>
      <c r="G57" s="447"/>
      <c r="H57" s="447"/>
      <c r="I57" s="447"/>
    </row>
    <row r="58" spans="1:9" ht="12.75">
      <c r="A58" s="31"/>
      <c r="B58" s="32"/>
      <c r="C58" s="158"/>
      <c r="D58" s="31"/>
      <c r="E58" s="31"/>
      <c r="F58" s="31"/>
      <c r="G58" s="31"/>
      <c r="H58" s="31"/>
      <c r="I58" s="31"/>
    </row>
    <row r="60" spans="6:9" ht="18.75">
      <c r="F60" s="768" t="s">
        <v>1001</v>
      </c>
      <c r="G60" s="768"/>
      <c r="H60" s="768"/>
      <c r="I60" s="768"/>
    </row>
    <row r="61" spans="6:9" ht="15.75">
      <c r="F61" s="769" t="s">
        <v>282</v>
      </c>
      <c r="G61" s="769"/>
      <c r="H61" s="769"/>
      <c r="I61" s="769"/>
    </row>
    <row r="62" spans="6:9" ht="15.75">
      <c r="F62" s="769" t="s">
        <v>285</v>
      </c>
      <c r="G62" s="769"/>
      <c r="H62" s="769"/>
      <c r="I62" s="769"/>
    </row>
  </sheetData>
  <sheetProtection/>
  <mergeCells count="11">
    <mergeCell ref="F60:I60"/>
    <mergeCell ref="F61:I61"/>
    <mergeCell ref="F62:I62"/>
    <mergeCell ref="A6:A7"/>
    <mergeCell ref="B6:B7"/>
    <mergeCell ref="I6:I7"/>
    <mergeCell ref="A3:I3"/>
    <mergeCell ref="A4:I4"/>
    <mergeCell ref="C6:D6"/>
    <mergeCell ref="E6:F6"/>
    <mergeCell ref="G6:H6"/>
  </mergeCells>
  <printOptions/>
  <pageMargins left="0.61" right="0.22" top="0.54" bottom="0.32" header="0.21" footer="0.18"/>
  <pageSetup blackAndWhite="1" horizontalDpi="600" verticalDpi="600" orientation="landscape" scale="85"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Y22"/>
  <sheetViews>
    <sheetView zoomScalePageLayoutView="0" workbookViewId="0" topLeftCell="A1">
      <pane xSplit="3" ySplit="9" topLeftCell="Q10" activePane="bottomRight" state="frozen"/>
      <selection pane="topLeft" activeCell="E17" sqref="E17"/>
      <selection pane="topRight" activeCell="E17" sqref="E17"/>
      <selection pane="bottomLeft" activeCell="E17" sqref="E17"/>
      <selection pane="bottomRight" activeCell="E17" sqref="E17"/>
    </sheetView>
  </sheetViews>
  <sheetFormatPr defaultColWidth="9.33203125" defaultRowHeight="12.75"/>
  <cols>
    <col min="1" max="1" width="6.5" style="0" customWidth="1"/>
    <col min="2" max="2" width="44" style="0" customWidth="1"/>
    <col min="3" max="3" width="8" style="319" customWidth="1"/>
    <col min="4" max="6" width="19.83203125" style="148" customWidth="1"/>
    <col min="7" max="15" width="19.83203125" style="148" hidden="1" customWidth="1"/>
    <col min="16" max="16" width="19" style="148" bestFit="1" customWidth="1"/>
    <col min="17" max="18" width="19" style="148" customWidth="1"/>
    <col min="19" max="21" width="19.83203125" style="0" customWidth="1"/>
    <col min="22" max="22" width="12.16015625" style="0" bestFit="1" customWidth="1"/>
    <col min="23" max="23" width="24" style="0" customWidth="1"/>
    <col min="24" max="24" width="16.83203125" style="0" bestFit="1" customWidth="1"/>
  </cols>
  <sheetData>
    <row r="1" spans="1:23" ht="12.75">
      <c r="A1" s="20"/>
      <c r="W1" s="21" t="s">
        <v>712</v>
      </c>
    </row>
    <row r="2" ht="12.75"/>
    <row r="3" spans="1:23" ht="12.75">
      <c r="A3" s="719" t="s">
        <v>1139</v>
      </c>
      <c r="B3" s="719"/>
      <c r="C3" s="719"/>
      <c r="D3" s="719"/>
      <c r="E3" s="719"/>
      <c r="F3" s="719"/>
      <c r="G3" s="719"/>
      <c r="H3" s="719"/>
      <c r="I3" s="719"/>
      <c r="J3" s="719"/>
      <c r="K3" s="719"/>
      <c r="L3" s="719"/>
      <c r="M3" s="719"/>
      <c r="N3" s="719"/>
      <c r="O3" s="719"/>
      <c r="P3" s="719"/>
      <c r="Q3" s="719"/>
      <c r="R3" s="719"/>
      <c r="S3" s="719"/>
      <c r="T3" s="719"/>
      <c r="U3" s="719"/>
      <c r="V3" s="719"/>
      <c r="W3" s="719"/>
    </row>
    <row r="4" spans="1:23" ht="12.75" hidden="1">
      <c r="A4" s="726" t="s">
        <v>501</v>
      </c>
      <c r="B4" s="726"/>
      <c r="C4" s="726"/>
      <c r="D4" s="726"/>
      <c r="E4" s="726"/>
      <c r="F4" s="726"/>
      <c r="G4" s="726"/>
      <c r="H4" s="726"/>
      <c r="I4" s="726"/>
      <c r="J4" s="726"/>
      <c r="K4" s="726"/>
      <c r="L4" s="726"/>
      <c r="M4" s="726"/>
      <c r="N4" s="726"/>
      <c r="O4" s="726"/>
      <c r="P4" s="726"/>
      <c r="Q4" s="726"/>
      <c r="R4" s="726"/>
      <c r="S4" s="726"/>
      <c r="T4" s="726"/>
      <c r="U4" s="726"/>
      <c r="V4" s="726"/>
      <c r="W4" s="726"/>
    </row>
    <row r="5" ht="12.75">
      <c r="W5" s="163" t="s">
        <v>247</v>
      </c>
    </row>
    <row r="6" spans="1:23" ht="33" customHeight="1">
      <c r="A6" s="773" t="s">
        <v>3</v>
      </c>
      <c r="B6" s="773" t="s">
        <v>289</v>
      </c>
      <c r="C6" s="777" t="s">
        <v>1020</v>
      </c>
      <c r="D6" s="774" t="s">
        <v>713</v>
      </c>
      <c r="E6" s="775" t="s">
        <v>598</v>
      </c>
      <c r="F6" s="776"/>
      <c r="G6" s="151"/>
      <c r="H6" s="151"/>
      <c r="I6" s="151"/>
      <c r="J6" s="151"/>
      <c r="K6" s="151"/>
      <c r="L6" s="151"/>
      <c r="M6" s="151"/>
      <c r="N6" s="151"/>
      <c r="O6" s="151"/>
      <c r="P6" s="774" t="s">
        <v>714</v>
      </c>
      <c r="Q6" s="775" t="s">
        <v>598</v>
      </c>
      <c r="R6" s="776"/>
      <c r="S6" s="773" t="s">
        <v>715</v>
      </c>
      <c r="T6" s="773"/>
      <c r="U6" s="773"/>
      <c r="V6" s="773"/>
      <c r="W6" s="773" t="s">
        <v>716</v>
      </c>
    </row>
    <row r="7" spans="1:23" ht="51" customHeight="1">
      <c r="A7" s="773"/>
      <c r="B7" s="773"/>
      <c r="C7" s="778"/>
      <c r="D7" s="774"/>
      <c r="E7" s="150" t="s">
        <v>717</v>
      </c>
      <c r="F7" s="150" t="s">
        <v>718</v>
      </c>
      <c r="G7" s="150" t="s">
        <v>644</v>
      </c>
      <c r="H7" s="150" t="s">
        <v>645</v>
      </c>
      <c r="I7" s="150" t="s">
        <v>646</v>
      </c>
      <c r="J7" s="150" t="s">
        <v>647</v>
      </c>
      <c r="K7" s="150" t="s">
        <v>648</v>
      </c>
      <c r="L7" s="150" t="s">
        <v>649</v>
      </c>
      <c r="M7" s="150" t="s">
        <v>650</v>
      </c>
      <c r="N7" s="150" t="s">
        <v>651</v>
      </c>
      <c r="O7" s="150" t="s">
        <v>652</v>
      </c>
      <c r="P7" s="774"/>
      <c r="Q7" s="150" t="s">
        <v>717</v>
      </c>
      <c r="R7" s="150" t="s">
        <v>718</v>
      </c>
      <c r="S7" s="150" t="s">
        <v>719</v>
      </c>
      <c r="T7" s="150" t="s">
        <v>717</v>
      </c>
      <c r="U7" s="150" t="s">
        <v>718</v>
      </c>
      <c r="V7" s="150" t="s">
        <v>720</v>
      </c>
      <c r="W7" s="773"/>
    </row>
    <row r="8" spans="1:23" s="319" customFormat="1" ht="12.75">
      <c r="A8" s="23" t="s">
        <v>297</v>
      </c>
      <c r="B8" s="23" t="s">
        <v>298</v>
      </c>
      <c r="C8" s="23"/>
      <c r="D8" s="152">
        <v>1</v>
      </c>
      <c r="E8" s="152"/>
      <c r="F8" s="152"/>
      <c r="G8" s="152"/>
      <c r="H8" s="152"/>
      <c r="I8" s="152"/>
      <c r="J8" s="152"/>
      <c r="K8" s="152"/>
      <c r="L8" s="152"/>
      <c r="M8" s="152"/>
      <c r="N8" s="152"/>
      <c r="O8" s="152"/>
      <c r="P8" s="152">
        <v>2</v>
      </c>
      <c r="Q8" s="152"/>
      <c r="R8" s="152"/>
      <c r="S8" s="23" t="s">
        <v>721</v>
      </c>
      <c r="T8" s="23"/>
      <c r="U8" s="23"/>
      <c r="V8" s="23" t="s">
        <v>722</v>
      </c>
      <c r="W8" s="23">
        <v>5</v>
      </c>
    </row>
    <row r="9" spans="1:25" ht="12.75">
      <c r="A9" s="153"/>
      <c r="B9" s="153"/>
      <c r="C9" s="153"/>
      <c r="D9" s="154"/>
      <c r="E9" s="154"/>
      <c r="F9" s="154"/>
      <c r="G9" s="154"/>
      <c r="H9" s="154"/>
      <c r="I9" s="154"/>
      <c r="J9" s="154"/>
      <c r="K9" s="154"/>
      <c r="L9" s="154"/>
      <c r="M9" s="154"/>
      <c r="N9" s="154"/>
      <c r="O9" s="154"/>
      <c r="P9" s="154"/>
      <c r="Q9" s="154"/>
      <c r="R9" s="154"/>
      <c r="S9" s="153"/>
      <c r="T9" s="153"/>
      <c r="U9" s="153"/>
      <c r="V9" s="153"/>
      <c r="W9" s="153"/>
      <c r="Y9" t="s">
        <v>723</v>
      </c>
    </row>
    <row r="10" spans="1:25" ht="102">
      <c r="A10" s="26">
        <v>1</v>
      </c>
      <c r="B10" s="155" t="s">
        <v>724</v>
      </c>
      <c r="C10" s="26">
        <v>961</v>
      </c>
      <c r="D10" s="156">
        <f>E10+F10</f>
        <v>327622584</v>
      </c>
      <c r="E10" s="156">
        <v>278962000</v>
      </c>
      <c r="F10" s="164">
        <v>48660584</v>
      </c>
      <c r="G10" s="156"/>
      <c r="H10" s="156"/>
      <c r="I10" s="156"/>
      <c r="J10" s="156"/>
      <c r="K10" s="156"/>
      <c r="L10" s="156"/>
      <c r="M10" s="156"/>
      <c r="N10" s="156"/>
      <c r="O10" s="156"/>
      <c r="P10" s="156">
        <f>Q10+R10</f>
        <v>8089265591</v>
      </c>
      <c r="Q10" s="156">
        <v>7923930906</v>
      </c>
      <c r="R10" s="164">
        <v>165334685</v>
      </c>
      <c r="S10" s="165">
        <f>+P10-D10</f>
        <v>7761643007</v>
      </c>
      <c r="T10" s="165">
        <f>+Q10-E10</f>
        <v>7644968906</v>
      </c>
      <c r="U10" s="165">
        <f>+R10-F10</f>
        <v>116674101</v>
      </c>
      <c r="V10" s="167">
        <f>S10/D10</f>
        <v>23.690805780959227</v>
      </c>
      <c r="W10" s="166"/>
      <c r="Y10" t="s">
        <v>725</v>
      </c>
    </row>
    <row r="11" spans="1:23" ht="51">
      <c r="A11" s="27">
        <v>2</v>
      </c>
      <c r="B11" s="28" t="s">
        <v>726</v>
      </c>
      <c r="C11" s="544">
        <v>962</v>
      </c>
      <c r="D11" s="543">
        <f aca="true" t="shared" si="0" ref="D11:D17">E11+F11</f>
        <v>0</v>
      </c>
      <c r="E11" s="543">
        <v>0</v>
      </c>
      <c r="F11" s="165">
        <v>0</v>
      </c>
      <c r="G11" s="157"/>
      <c r="H11" s="157"/>
      <c r="I11" s="157"/>
      <c r="J11" s="157"/>
      <c r="K11" s="157"/>
      <c r="L11" s="157"/>
      <c r="M11" s="157"/>
      <c r="N11" s="157"/>
      <c r="O11" s="157"/>
      <c r="P11" s="157">
        <f aca="true" t="shared" si="1" ref="P11:P17">Q11+R11</f>
        <v>0</v>
      </c>
      <c r="Q11" s="157"/>
      <c r="R11" s="165">
        <v>0</v>
      </c>
      <c r="S11" s="165">
        <f>+P11-D11</f>
        <v>0</v>
      </c>
      <c r="T11" s="165">
        <f aca="true" t="shared" si="2" ref="T11:T17">+Q11-E11</f>
        <v>0</v>
      </c>
      <c r="U11" s="165">
        <f aca="true" t="shared" si="3" ref="U11:U17">+R11-F11</f>
        <v>0</v>
      </c>
      <c r="V11" s="167"/>
      <c r="W11" s="27"/>
    </row>
    <row r="12" spans="1:23" ht="38.25">
      <c r="A12" s="27">
        <v>3</v>
      </c>
      <c r="B12" s="28" t="s">
        <v>727</v>
      </c>
      <c r="C12" s="544">
        <v>963</v>
      </c>
      <c r="D12" s="543">
        <f t="shared" si="0"/>
        <v>4207757662</v>
      </c>
      <c r="E12" s="543">
        <v>3742762307</v>
      </c>
      <c r="F12" s="165">
        <v>464995355</v>
      </c>
      <c r="G12" s="157"/>
      <c r="H12" s="157">
        <v>117000000</v>
      </c>
      <c r="I12" s="157"/>
      <c r="J12" s="157">
        <v>58777612</v>
      </c>
      <c r="K12" s="157"/>
      <c r="L12" s="157"/>
      <c r="M12" s="157">
        <v>97190672</v>
      </c>
      <c r="N12" s="157"/>
      <c r="O12" s="157"/>
      <c r="P12" s="157">
        <f t="shared" si="1"/>
        <v>27827971810</v>
      </c>
      <c r="Q12" s="157">
        <v>27540292581</v>
      </c>
      <c r="R12" s="165">
        <v>287679229</v>
      </c>
      <c r="S12" s="165">
        <f aca="true" t="shared" si="4" ref="S12:S17">+P12-D12</f>
        <v>23620214148</v>
      </c>
      <c r="T12" s="165">
        <f t="shared" si="2"/>
        <v>23797530274</v>
      </c>
      <c r="U12" s="165">
        <f t="shared" si="3"/>
        <v>-177316126</v>
      </c>
      <c r="V12" s="167">
        <f aca="true" t="shared" si="5" ref="V12:V17">S12/D12</f>
        <v>5.613492041453028</v>
      </c>
      <c r="W12" s="27"/>
    </row>
    <row r="13" spans="1:23" ht="63.75">
      <c r="A13" s="27">
        <v>4</v>
      </c>
      <c r="B13" s="28" t="s">
        <v>728</v>
      </c>
      <c r="C13" s="544">
        <v>964</v>
      </c>
      <c r="D13" s="543">
        <f t="shared" si="0"/>
        <v>2045405994</v>
      </c>
      <c r="E13" s="543">
        <v>1212579630</v>
      </c>
      <c r="F13" s="165">
        <v>832826364</v>
      </c>
      <c r="G13" s="157"/>
      <c r="H13" s="157"/>
      <c r="I13" s="157"/>
      <c r="J13" s="157"/>
      <c r="K13" s="157"/>
      <c r="L13" s="157"/>
      <c r="M13" s="157"/>
      <c r="N13" s="157"/>
      <c r="O13" s="157"/>
      <c r="P13" s="157">
        <f t="shared" si="1"/>
        <v>1481191258</v>
      </c>
      <c r="Q13" s="157">
        <v>284557773</v>
      </c>
      <c r="R13" s="165">
        <v>1196633485</v>
      </c>
      <c r="S13" s="165">
        <f t="shared" si="4"/>
        <v>-564214736</v>
      </c>
      <c r="T13" s="165">
        <f t="shared" si="2"/>
        <v>-928021857</v>
      </c>
      <c r="U13" s="165">
        <f t="shared" si="3"/>
        <v>363807121</v>
      </c>
      <c r="V13" s="167">
        <f t="shared" si="5"/>
        <v>-0.2758448629050023</v>
      </c>
      <c r="W13" s="27"/>
    </row>
    <row r="14" spans="1:23" ht="76.5">
      <c r="A14" s="27">
        <v>5</v>
      </c>
      <c r="B14" s="28" t="s">
        <v>729</v>
      </c>
      <c r="C14" s="544">
        <v>965</v>
      </c>
      <c r="D14" s="543">
        <f t="shared" si="0"/>
        <v>3287339770</v>
      </c>
      <c r="E14" s="543">
        <v>2983253240</v>
      </c>
      <c r="F14" s="165">
        <v>304086530</v>
      </c>
      <c r="G14" s="157"/>
      <c r="H14" s="157"/>
      <c r="I14" s="157"/>
      <c r="J14" s="157"/>
      <c r="K14" s="157"/>
      <c r="L14" s="157"/>
      <c r="M14" s="157"/>
      <c r="N14" s="157"/>
      <c r="O14" s="157"/>
      <c r="P14" s="157">
        <f t="shared" si="1"/>
        <v>1629543224</v>
      </c>
      <c r="Q14" s="157">
        <v>1252220404</v>
      </c>
      <c r="R14" s="165">
        <v>377322820</v>
      </c>
      <c r="S14" s="165">
        <f t="shared" si="4"/>
        <v>-1657796546</v>
      </c>
      <c r="T14" s="165">
        <f t="shared" si="2"/>
        <v>-1731032836</v>
      </c>
      <c r="U14" s="165">
        <f t="shared" si="3"/>
        <v>73236290</v>
      </c>
      <c r="V14" s="167">
        <f t="shared" si="5"/>
        <v>-0.5042972926403649</v>
      </c>
      <c r="W14" s="27"/>
    </row>
    <row r="15" spans="1:24" ht="51">
      <c r="A15" s="27">
        <v>6</v>
      </c>
      <c r="B15" s="28" t="s">
        <v>730</v>
      </c>
      <c r="C15" s="544">
        <v>966</v>
      </c>
      <c r="D15" s="543">
        <f t="shared" si="0"/>
        <v>0</v>
      </c>
      <c r="E15" s="543">
        <v>0</v>
      </c>
      <c r="F15" s="165">
        <v>0</v>
      </c>
      <c r="G15" s="157"/>
      <c r="H15" s="157"/>
      <c r="I15" s="157"/>
      <c r="J15" s="157"/>
      <c r="K15" s="157"/>
      <c r="L15" s="157"/>
      <c r="M15" s="157"/>
      <c r="N15" s="157"/>
      <c r="O15" s="157"/>
      <c r="P15" s="157">
        <f t="shared" si="1"/>
        <v>0</v>
      </c>
      <c r="Q15" s="157"/>
      <c r="R15" s="165">
        <v>0</v>
      </c>
      <c r="S15" s="165">
        <f t="shared" si="4"/>
        <v>0</v>
      </c>
      <c r="T15" s="165">
        <f t="shared" si="2"/>
        <v>0</v>
      </c>
      <c r="U15" s="165">
        <f t="shared" si="3"/>
        <v>0</v>
      </c>
      <c r="V15" s="167" t="e">
        <f t="shared" si="5"/>
        <v>#DIV/0!</v>
      </c>
      <c r="W15" s="27"/>
      <c r="X15" s="168">
        <f>33089059584-SUM(D10:D16)</f>
        <v>13806798037</v>
      </c>
    </row>
    <row r="16" spans="1:23" ht="63.75">
      <c r="A16" s="215">
        <v>7</v>
      </c>
      <c r="B16" s="664" t="s">
        <v>731</v>
      </c>
      <c r="C16" s="215">
        <v>967</v>
      </c>
      <c r="D16" s="543">
        <f t="shared" si="0"/>
        <v>9414135537</v>
      </c>
      <c r="E16" s="543">
        <v>8836300000</v>
      </c>
      <c r="F16" s="165">
        <v>577835537</v>
      </c>
      <c r="G16" s="157"/>
      <c r="H16" s="157"/>
      <c r="I16" s="157">
        <v>23332470</v>
      </c>
      <c r="J16" s="157"/>
      <c r="K16" s="157"/>
      <c r="L16" s="157">
        <v>210515462</v>
      </c>
      <c r="M16" s="157"/>
      <c r="N16" s="157">
        <v>382555139</v>
      </c>
      <c r="O16" s="157"/>
      <c r="P16" s="157">
        <f t="shared" si="1"/>
        <v>6566915550</v>
      </c>
      <c r="Q16" s="157">
        <v>3878822323</v>
      </c>
      <c r="R16" s="165">
        <v>2688093227</v>
      </c>
      <c r="S16" s="165">
        <f t="shared" si="4"/>
        <v>-2847219987</v>
      </c>
      <c r="T16" s="165">
        <f t="shared" si="2"/>
        <v>-4957477677</v>
      </c>
      <c r="U16" s="165">
        <f t="shared" si="3"/>
        <v>2110257690</v>
      </c>
      <c r="V16" s="167">
        <f t="shared" si="5"/>
        <v>-0.3024409385024982</v>
      </c>
      <c r="W16" s="27"/>
    </row>
    <row r="17" spans="1:23" ht="29.25" customHeight="1">
      <c r="A17" s="31">
        <v>8</v>
      </c>
      <c r="B17" s="32" t="s">
        <v>732</v>
      </c>
      <c r="C17" s="31">
        <v>968</v>
      </c>
      <c r="D17" s="158">
        <f t="shared" si="0"/>
        <v>19645942922</v>
      </c>
      <c r="E17" s="158">
        <v>17146506290</v>
      </c>
      <c r="F17" s="158">
        <v>2499436632</v>
      </c>
      <c r="G17" s="158">
        <v>697093935</v>
      </c>
      <c r="H17" s="158">
        <v>82214320</v>
      </c>
      <c r="I17" s="158"/>
      <c r="J17" s="158">
        <v>56001250</v>
      </c>
      <c r="K17" s="158">
        <v>36631940</v>
      </c>
      <c r="L17" s="158">
        <v>25299765</v>
      </c>
      <c r="M17" s="158">
        <v>223175644</v>
      </c>
      <c r="N17" s="158">
        <v>64289049</v>
      </c>
      <c r="O17" s="158">
        <v>538739000</v>
      </c>
      <c r="P17" s="158">
        <f t="shared" si="1"/>
        <v>21366897515</v>
      </c>
      <c r="Q17" s="158">
        <v>20581646943</v>
      </c>
      <c r="R17" s="158">
        <v>785250572</v>
      </c>
      <c r="S17" s="158">
        <f t="shared" si="4"/>
        <v>1720954593</v>
      </c>
      <c r="T17" s="169">
        <f t="shared" si="2"/>
        <v>3435140653</v>
      </c>
      <c r="U17" s="169">
        <f t="shared" si="3"/>
        <v>-1714186060</v>
      </c>
      <c r="V17" s="167">
        <f t="shared" si="5"/>
        <v>0.08759847261252264</v>
      </c>
      <c r="W17" s="31"/>
    </row>
    <row r="18" spans="1:23" s="147" customFormat="1" ht="18" customHeight="1">
      <c r="A18" s="159"/>
      <c r="B18" s="160"/>
      <c r="C18" s="159"/>
      <c r="D18" s="161">
        <f aca="true" t="shared" si="6" ref="D18:L18">D10+D11+D12+D13+D14+D15+D16+D17</f>
        <v>38928204469</v>
      </c>
      <c r="E18" s="161">
        <f t="shared" si="6"/>
        <v>34200363467</v>
      </c>
      <c r="F18" s="161">
        <f t="shared" si="6"/>
        <v>4727841002</v>
      </c>
      <c r="G18" s="161">
        <f t="shared" si="6"/>
        <v>697093935</v>
      </c>
      <c r="H18" s="161">
        <f t="shared" si="6"/>
        <v>199214320</v>
      </c>
      <c r="I18" s="161">
        <f t="shared" si="6"/>
        <v>23332470</v>
      </c>
      <c r="J18" s="161">
        <f t="shared" si="6"/>
        <v>114778862</v>
      </c>
      <c r="K18" s="161">
        <f t="shared" si="6"/>
        <v>36631940</v>
      </c>
      <c r="L18" s="161">
        <f t="shared" si="6"/>
        <v>235815227</v>
      </c>
      <c r="M18" s="161">
        <f aca="true" t="shared" si="7" ref="M18:U18">M10+M11+M12+M13+M14+M15+M16+M17</f>
        <v>320366316</v>
      </c>
      <c r="N18" s="161">
        <f t="shared" si="7"/>
        <v>446844188</v>
      </c>
      <c r="O18" s="161">
        <f t="shared" si="7"/>
        <v>538739000</v>
      </c>
      <c r="P18" s="161">
        <f t="shared" si="7"/>
        <v>66961784948</v>
      </c>
      <c r="Q18" s="161">
        <f t="shared" si="7"/>
        <v>61461470930</v>
      </c>
      <c r="R18" s="161">
        <f t="shared" si="7"/>
        <v>5500314018</v>
      </c>
      <c r="S18" s="161">
        <f t="shared" si="7"/>
        <v>28033580479</v>
      </c>
      <c r="T18" s="161">
        <f t="shared" si="7"/>
        <v>27261107463</v>
      </c>
      <c r="U18" s="161">
        <f t="shared" si="7"/>
        <v>772473016</v>
      </c>
      <c r="V18" s="161"/>
      <c r="W18" s="159"/>
    </row>
    <row r="19" ht="12.75">
      <c r="A19" s="162" t="s">
        <v>733</v>
      </c>
    </row>
    <row r="20" spans="20:23" ht="18.75">
      <c r="T20" s="768" t="s">
        <v>955</v>
      </c>
      <c r="U20" s="768"/>
      <c r="V20" s="768"/>
      <c r="W20" s="768"/>
    </row>
    <row r="21" spans="20:23" ht="15.75">
      <c r="T21" s="769" t="s">
        <v>282</v>
      </c>
      <c r="U21" s="769"/>
      <c r="V21" s="769"/>
      <c r="W21" s="769"/>
    </row>
    <row r="22" spans="20:23" ht="15.75">
      <c r="T22" s="769" t="s">
        <v>285</v>
      </c>
      <c r="U22" s="769"/>
      <c r="V22" s="769"/>
      <c r="W22" s="769"/>
    </row>
  </sheetData>
  <sheetProtection/>
  <mergeCells count="14">
    <mergeCell ref="A3:W3"/>
    <mergeCell ref="A4:W4"/>
    <mergeCell ref="E6:F6"/>
    <mergeCell ref="Q6:R6"/>
    <mergeCell ref="S6:V6"/>
    <mergeCell ref="T20:W20"/>
    <mergeCell ref="C6:C7"/>
    <mergeCell ref="T21:W21"/>
    <mergeCell ref="T22:W22"/>
    <mergeCell ref="A6:A7"/>
    <mergeCell ref="B6:B7"/>
    <mergeCell ref="D6:D7"/>
    <mergeCell ref="P6:P7"/>
    <mergeCell ref="W6:W7"/>
  </mergeCells>
  <printOptions/>
  <pageMargins left="0.51" right="0.2" top="0.6" bottom="0.48" header="0.3" footer="0.3"/>
  <pageSetup blackAndWhite="1" horizontalDpi="600" verticalDpi="600" orientation="landscape" scale="53" r:id="rId4"/>
  <drawing r:id="rId3"/>
  <legacyDrawing r:id="rId2"/>
</worksheet>
</file>

<file path=xl/worksheets/sheet16.xml><?xml version="1.0" encoding="utf-8"?>
<worksheet xmlns="http://schemas.openxmlformats.org/spreadsheetml/2006/main" xmlns:r="http://schemas.openxmlformats.org/officeDocument/2006/relationships">
  <sheetPr>
    <tabColor rgb="FF00B050"/>
  </sheetPr>
  <dimension ref="A1:R57"/>
  <sheetViews>
    <sheetView zoomScalePageLayoutView="0" workbookViewId="0" topLeftCell="A52">
      <selection activeCell="E17" sqref="E17"/>
    </sheetView>
  </sheetViews>
  <sheetFormatPr defaultColWidth="9.33203125" defaultRowHeight="12.75"/>
  <cols>
    <col min="1" max="1" width="4.16015625" style="113" customWidth="1"/>
    <col min="2" max="2" width="44.16015625" style="113" customWidth="1"/>
    <col min="3" max="3" width="17.33203125" style="113" customWidth="1"/>
    <col min="4" max="11" width="12.83203125" style="113" customWidth="1"/>
    <col min="12" max="12" width="16.83203125" style="113" customWidth="1"/>
    <col min="13" max="19" width="0" style="113" hidden="1" customWidth="1"/>
    <col min="20" max="16384" width="9.33203125" style="113" customWidth="1"/>
  </cols>
  <sheetData>
    <row r="1" spans="12:13" ht="18.75" customHeight="1">
      <c r="L1" s="140" t="s">
        <v>734</v>
      </c>
      <c r="M1" s="141"/>
    </row>
    <row r="2" spans="1:12" s="105" customFormat="1" ht="21" customHeight="1">
      <c r="A2" s="784" t="s">
        <v>735</v>
      </c>
      <c r="B2" s="784"/>
      <c r="C2" s="784"/>
      <c r="D2" s="784"/>
      <c r="E2" s="784"/>
      <c r="F2" s="784"/>
      <c r="G2" s="784"/>
      <c r="H2" s="784"/>
      <c r="I2" s="784"/>
      <c r="J2" s="784"/>
      <c r="K2" s="784"/>
      <c r="L2" s="784"/>
    </row>
    <row r="3" spans="1:12" s="105" customFormat="1" ht="20.25" customHeight="1">
      <c r="A3" s="784" t="s">
        <v>1127</v>
      </c>
      <c r="B3" s="784"/>
      <c r="C3" s="784"/>
      <c r="D3" s="784"/>
      <c r="E3" s="784"/>
      <c r="F3" s="784"/>
      <c r="G3" s="784"/>
      <c r="H3" s="784"/>
      <c r="I3" s="784"/>
      <c r="J3" s="784"/>
      <c r="K3" s="784"/>
      <c r="L3" s="784"/>
    </row>
    <row r="4" spans="1:12" s="105" customFormat="1" ht="18" customHeight="1" hidden="1">
      <c r="A4" s="785" t="s">
        <v>736</v>
      </c>
      <c r="B4" s="785"/>
      <c r="C4" s="785"/>
      <c r="D4" s="785"/>
      <c r="E4" s="785"/>
      <c r="F4" s="785"/>
      <c r="G4" s="785"/>
      <c r="H4" s="785"/>
      <c r="I4" s="785"/>
      <c r="J4" s="785"/>
      <c r="K4" s="785"/>
      <c r="L4" s="785"/>
    </row>
    <row r="5" spans="1:8" s="105" customFormat="1" ht="25.5" customHeight="1" hidden="1">
      <c r="A5" s="114"/>
      <c r="B5" s="114"/>
      <c r="C5" s="114"/>
      <c r="D5" s="114"/>
      <c r="E5" s="114"/>
      <c r="F5" s="114"/>
      <c r="G5" s="114"/>
      <c r="H5" s="114"/>
    </row>
    <row r="6" spans="12:15" ht="19.5" customHeight="1">
      <c r="L6" s="142" t="s">
        <v>737</v>
      </c>
      <c r="M6" s="143"/>
      <c r="N6" s="143"/>
      <c r="O6" s="143"/>
    </row>
    <row r="7" spans="1:18" s="626" customFormat="1" ht="27" customHeight="1">
      <c r="A7" s="782" t="s">
        <v>3</v>
      </c>
      <c r="B7" s="783" t="s">
        <v>738</v>
      </c>
      <c r="C7" s="779" t="s">
        <v>964</v>
      </c>
      <c r="D7" s="782" t="s">
        <v>1118</v>
      </c>
      <c r="E7" s="782"/>
      <c r="F7" s="782"/>
      <c r="G7" s="782"/>
      <c r="H7" s="782" t="s">
        <v>1119</v>
      </c>
      <c r="I7" s="782"/>
      <c r="J7" s="782"/>
      <c r="K7" s="782"/>
      <c r="L7" s="782" t="s">
        <v>1128</v>
      </c>
      <c r="O7" s="786" t="s">
        <v>739</v>
      </c>
      <c r="P7" s="786"/>
      <c r="Q7" s="786"/>
      <c r="R7" s="786"/>
    </row>
    <row r="8" spans="1:12" s="626" customFormat="1" ht="56.25" customHeight="1">
      <c r="A8" s="782"/>
      <c r="B8" s="783"/>
      <c r="C8" s="779"/>
      <c r="D8" s="779" t="s">
        <v>740</v>
      </c>
      <c r="E8" s="779"/>
      <c r="F8" s="779" t="s">
        <v>741</v>
      </c>
      <c r="G8" s="779" t="s">
        <v>742</v>
      </c>
      <c r="H8" s="779" t="s">
        <v>740</v>
      </c>
      <c r="I8" s="779"/>
      <c r="J8" s="779" t="s">
        <v>741</v>
      </c>
      <c r="K8" s="779" t="s">
        <v>742</v>
      </c>
      <c r="L8" s="782"/>
    </row>
    <row r="9" spans="1:12" s="626" customFormat="1" ht="47.25" customHeight="1">
      <c r="A9" s="782"/>
      <c r="B9" s="783"/>
      <c r="C9" s="779"/>
      <c r="D9" s="779" t="s">
        <v>249</v>
      </c>
      <c r="E9" s="779" t="s">
        <v>743</v>
      </c>
      <c r="F9" s="779"/>
      <c r="G9" s="779"/>
      <c r="H9" s="779" t="s">
        <v>249</v>
      </c>
      <c r="I9" s="779" t="s">
        <v>743</v>
      </c>
      <c r="J9" s="779"/>
      <c r="K9" s="779"/>
      <c r="L9" s="782"/>
    </row>
    <row r="10" spans="1:12" s="114" customFormat="1" ht="47.25" customHeight="1">
      <c r="A10" s="782"/>
      <c r="B10" s="783"/>
      <c r="C10" s="779"/>
      <c r="D10" s="779"/>
      <c r="E10" s="779"/>
      <c r="F10" s="779"/>
      <c r="G10" s="779"/>
      <c r="H10" s="779"/>
      <c r="I10" s="779"/>
      <c r="J10" s="779"/>
      <c r="K10" s="779"/>
      <c r="L10" s="782"/>
    </row>
    <row r="11" spans="1:12" s="106" customFormat="1" ht="15.75" customHeight="1">
      <c r="A11" s="115" t="s">
        <v>297</v>
      </c>
      <c r="B11" s="115" t="s">
        <v>298</v>
      </c>
      <c r="C11" s="116">
        <v>1</v>
      </c>
      <c r="D11" s="116">
        <f>C11+1</f>
        <v>2</v>
      </c>
      <c r="E11" s="116">
        <f>D11+1</f>
        <v>3</v>
      </c>
      <c r="F11" s="116">
        <f>E11+1</f>
        <v>4</v>
      </c>
      <c r="G11" s="116" t="s">
        <v>744</v>
      </c>
      <c r="H11" s="116">
        <v>6</v>
      </c>
      <c r="I11" s="116">
        <f>H11+1</f>
        <v>7</v>
      </c>
      <c r="J11" s="116">
        <f>I11+1</f>
        <v>8</v>
      </c>
      <c r="K11" s="116" t="s">
        <v>745</v>
      </c>
      <c r="L11" s="144" t="s">
        <v>746</v>
      </c>
    </row>
    <row r="12" spans="1:14" s="107" customFormat="1" ht="20.25" customHeight="1">
      <c r="A12" s="117" t="s">
        <v>297</v>
      </c>
      <c r="B12" s="672" t="s">
        <v>747</v>
      </c>
      <c r="C12" s="118">
        <f>SUM(C13:C18)</f>
        <v>2074.507915</v>
      </c>
      <c r="D12" s="118">
        <f aca="true" t="shared" si="0" ref="D12:K12">SUM(D13:D18)</f>
        <v>1163.793</v>
      </c>
      <c r="E12" s="118">
        <f t="shared" si="0"/>
        <v>900</v>
      </c>
      <c r="F12" s="118">
        <f t="shared" si="0"/>
        <v>1183.793</v>
      </c>
      <c r="G12" s="118">
        <f t="shared" si="0"/>
        <v>-20</v>
      </c>
      <c r="H12" s="118">
        <f t="shared" si="0"/>
        <v>2947.453</v>
      </c>
      <c r="I12" s="118">
        <f t="shared" si="0"/>
        <v>689</v>
      </c>
      <c r="J12" s="118">
        <f t="shared" si="0"/>
        <v>2666.7799999999997</v>
      </c>
      <c r="K12" s="118">
        <f t="shared" si="0"/>
        <v>284.3729999999999</v>
      </c>
      <c r="L12" s="118">
        <f>SUM(L13:L18)</f>
        <v>2355.180915</v>
      </c>
      <c r="N12" s="502"/>
    </row>
    <row r="13" spans="1:14" s="108" customFormat="1" ht="20.25" customHeight="1">
      <c r="A13" s="119">
        <v>1</v>
      </c>
      <c r="B13" s="120" t="s">
        <v>760</v>
      </c>
      <c r="C13" s="665">
        <v>1254.742</v>
      </c>
      <c r="D13" s="122">
        <v>0</v>
      </c>
      <c r="E13" s="121">
        <v>0</v>
      </c>
      <c r="F13" s="121">
        <v>0</v>
      </c>
      <c r="G13" s="121">
        <f>D13-F13</f>
        <v>0</v>
      </c>
      <c r="H13" s="122">
        <v>0</v>
      </c>
      <c r="I13" s="121">
        <v>0</v>
      </c>
      <c r="J13" s="121">
        <v>254.48</v>
      </c>
      <c r="K13" s="123">
        <f>H13-J13</f>
        <v>-254.48</v>
      </c>
      <c r="L13" s="121">
        <f aca="true" t="shared" si="1" ref="L13:L18">C13+H13-J13</f>
        <v>1000.262</v>
      </c>
      <c r="M13" s="108" t="s">
        <v>1129</v>
      </c>
      <c r="N13" s="145"/>
    </row>
    <row r="14" spans="1:13" s="108" customFormat="1" ht="20.25" customHeight="1">
      <c r="A14" s="119">
        <v>2</v>
      </c>
      <c r="B14" s="120" t="s">
        <v>749</v>
      </c>
      <c r="C14" s="665">
        <v>0.897</v>
      </c>
      <c r="D14" s="665">
        <v>51.793</v>
      </c>
      <c r="E14" s="121">
        <v>0</v>
      </c>
      <c r="F14" s="665">
        <v>51.793</v>
      </c>
      <c r="G14" s="121">
        <f>D14-F14</f>
        <v>0</v>
      </c>
      <c r="H14" s="665">
        <v>51.793</v>
      </c>
      <c r="I14" s="121">
        <v>0</v>
      </c>
      <c r="J14" s="121">
        <v>12.6</v>
      </c>
      <c r="K14" s="123">
        <f>H14-J14</f>
        <v>39.193</v>
      </c>
      <c r="L14" s="121">
        <f t="shared" si="1"/>
        <v>40.089999999999996</v>
      </c>
      <c r="M14" s="108" t="s">
        <v>1129</v>
      </c>
    </row>
    <row r="15" spans="1:18" s="670" customFormat="1" ht="20.25" customHeight="1">
      <c r="A15" s="666">
        <v>3</v>
      </c>
      <c r="B15" s="667" t="s">
        <v>750</v>
      </c>
      <c r="C15" s="668">
        <v>582.328915</v>
      </c>
      <c r="D15" s="122">
        <v>1050</v>
      </c>
      <c r="E15" s="668">
        <v>900</v>
      </c>
      <c r="F15" s="668">
        <v>1050</v>
      </c>
      <c r="G15" s="668">
        <f>D15-F15</f>
        <v>0</v>
      </c>
      <c r="H15" s="122">
        <v>2163.41</v>
      </c>
      <c r="I15" s="668">
        <v>689</v>
      </c>
      <c r="J15" s="668">
        <v>2199</v>
      </c>
      <c r="K15" s="668">
        <f>H15-J15</f>
        <v>-35.590000000000146</v>
      </c>
      <c r="L15" s="668">
        <f t="shared" si="1"/>
        <v>546.7389149999999</v>
      </c>
      <c r="M15" s="108" t="s">
        <v>1129</v>
      </c>
      <c r="N15" s="669"/>
      <c r="O15" s="669"/>
      <c r="P15" s="669"/>
      <c r="Q15" s="669"/>
      <c r="R15" s="669"/>
    </row>
    <row r="16" spans="1:18" s="670" customFormat="1" ht="20.25" customHeight="1">
      <c r="A16" s="666">
        <v>4</v>
      </c>
      <c r="B16" s="667" t="s">
        <v>751</v>
      </c>
      <c r="C16" s="668">
        <f>70.34+62.64</f>
        <v>132.98000000000002</v>
      </c>
      <c r="D16" s="668">
        <v>62</v>
      </c>
      <c r="E16" s="668">
        <v>0</v>
      </c>
      <c r="F16" s="668">
        <v>62</v>
      </c>
      <c r="G16" s="668">
        <f>D16-F16</f>
        <v>0</v>
      </c>
      <c r="H16" s="668">
        <v>732.25</v>
      </c>
      <c r="I16" s="668">
        <v>0</v>
      </c>
      <c r="J16" s="668">
        <v>197</v>
      </c>
      <c r="K16" s="668">
        <f>H16-J16</f>
        <v>535.25</v>
      </c>
      <c r="L16" s="668">
        <f t="shared" si="1"/>
        <v>668.23</v>
      </c>
      <c r="M16" s="108" t="s">
        <v>1129</v>
      </c>
      <c r="N16" s="669"/>
      <c r="O16" s="669"/>
      <c r="P16" s="669"/>
      <c r="Q16" s="669"/>
      <c r="R16" s="669"/>
    </row>
    <row r="17" spans="1:18" s="670" customFormat="1" ht="20.25" customHeight="1">
      <c r="A17" s="666">
        <v>5</v>
      </c>
      <c r="B17" s="667" t="s">
        <v>752</v>
      </c>
      <c r="C17" s="668">
        <v>33</v>
      </c>
      <c r="D17" s="668">
        <v>0</v>
      </c>
      <c r="E17" s="668">
        <v>0</v>
      </c>
      <c r="F17" s="668">
        <v>0</v>
      </c>
      <c r="G17" s="668">
        <v>0</v>
      </c>
      <c r="H17" s="668">
        <v>0</v>
      </c>
      <c r="I17" s="668">
        <v>0</v>
      </c>
      <c r="J17" s="668">
        <v>0</v>
      </c>
      <c r="K17" s="668">
        <v>0</v>
      </c>
      <c r="L17" s="668">
        <f t="shared" si="1"/>
        <v>33</v>
      </c>
      <c r="M17" s="108" t="s">
        <v>1129</v>
      </c>
      <c r="N17" s="669"/>
      <c r="O17" s="669"/>
      <c r="P17" s="669"/>
      <c r="Q17" s="669"/>
      <c r="R17" s="669"/>
    </row>
    <row r="18" spans="1:18" s="670" customFormat="1" ht="20.25" customHeight="1">
      <c r="A18" s="666">
        <v>6</v>
      </c>
      <c r="B18" s="667" t="s">
        <v>912</v>
      </c>
      <c r="C18" s="668">
        <v>70.56</v>
      </c>
      <c r="D18" s="668">
        <v>0</v>
      </c>
      <c r="E18" s="668">
        <v>0</v>
      </c>
      <c r="F18" s="668">
        <v>20</v>
      </c>
      <c r="G18" s="668">
        <f>D18-F18</f>
        <v>-20</v>
      </c>
      <c r="H18" s="668">
        <v>0</v>
      </c>
      <c r="I18" s="668">
        <v>0</v>
      </c>
      <c r="J18" s="668">
        <v>3.7</v>
      </c>
      <c r="K18" s="668">
        <v>0</v>
      </c>
      <c r="L18" s="668">
        <f t="shared" si="1"/>
        <v>66.86</v>
      </c>
      <c r="M18" s="108" t="s">
        <v>1129</v>
      </c>
      <c r="N18" s="669"/>
      <c r="O18" s="669"/>
      <c r="P18" s="669"/>
      <c r="Q18" s="669"/>
      <c r="R18" s="669"/>
    </row>
    <row r="19" spans="1:13" s="109" customFormat="1" ht="20.25" customHeight="1">
      <c r="A19" s="124" t="s">
        <v>298</v>
      </c>
      <c r="B19" s="125" t="s">
        <v>753</v>
      </c>
      <c r="C19" s="126">
        <f>C20+C26+C29+C32+C37+C42+C45+C47+C50</f>
        <v>545.17</v>
      </c>
      <c r="D19" s="126">
        <f aca="true" t="shared" si="2" ref="D19:K19">D20+D26+D29+D32+D37+D42+D45+D47+D50</f>
        <v>258.683</v>
      </c>
      <c r="E19" s="126">
        <f t="shared" si="2"/>
        <v>0</v>
      </c>
      <c r="F19" s="126">
        <f t="shared" si="2"/>
        <v>176.588</v>
      </c>
      <c r="G19" s="126">
        <f t="shared" si="2"/>
        <v>82.095</v>
      </c>
      <c r="H19" s="126">
        <f t="shared" si="2"/>
        <v>283.77099999999996</v>
      </c>
      <c r="I19" s="126">
        <f t="shared" si="2"/>
        <v>0</v>
      </c>
      <c r="J19" s="126">
        <f t="shared" si="2"/>
        <v>145.37</v>
      </c>
      <c r="K19" s="126">
        <f t="shared" si="2"/>
        <v>138.401</v>
      </c>
      <c r="L19" s="126">
        <f>L20+L26+L29+L32+L37+L42+L45+L47+L50</f>
        <v>683.5709999999999</v>
      </c>
      <c r="M19" s="108" t="s">
        <v>1129</v>
      </c>
    </row>
    <row r="20" spans="1:13" s="109" customFormat="1" ht="20.25" customHeight="1">
      <c r="A20" s="503">
        <v>1</v>
      </c>
      <c r="B20" s="504" t="s">
        <v>754</v>
      </c>
      <c r="C20" s="505">
        <f>SUM(C21:C25)</f>
        <v>218.715</v>
      </c>
      <c r="D20" s="505">
        <f aca="true" t="shared" si="3" ref="D20:L20">SUM(D21:D25)</f>
        <v>94</v>
      </c>
      <c r="E20" s="505">
        <f t="shared" si="3"/>
        <v>0</v>
      </c>
      <c r="F20" s="505">
        <f t="shared" si="3"/>
        <v>51</v>
      </c>
      <c r="G20" s="505">
        <f t="shared" si="3"/>
        <v>43</v>
      </c>
      <c r="H20" s="505">
        <f t="shared" si="3"/>
        <v>62.985</v>
      </c>
      <c r="I20" s="505">
        <f t="shared" si="3"/>
        <v>0</v>
      </c>
      <c r="J20" s="505">
        <f t="shared" si="3"/>
        <v>47.510000000000005</v>
      </c>
      <c r="K20" s="505">
        <f t="shared" si="3"/>
        <v>15.475000000000001</v>
      </c>
      <c r="L20" s="505">
        <f t="shared" si="3"/>
        <v>234.18999999999997</v>
      </c>
      <c r="M20" s="109" t="s">
        <v>1129</v>
      </c>
    </row>
    <row r="21" spans="1:12" s="108" customFormat="1" ht="20.25" customHeight="1">
      <c r="A21" s="119"/>
      <c r="B21" s="127" t="s">
        <v>913</v>
      </c>
      <c r="C21" s="121">
        <v>48.964</v>
      </c>
      <c r="D21" s="121">
        <v>22</v>
      </c>
      <c r="E21" s="121"/>
      <c r="F21" s="121">
        <v>10</v>
      </c>
      <c r="G21" s="121">
        <f>D21-F21</f>
        <v>12</v>
      </c>
      <c r="H21" s="121">
        <v>0</v>
      </c>
      <c r="I21" s="121"/>
      <c r="J21" s="121">
        <v>7.31</v>
      </c>
      <c r="K21" s="121">
        <f>H21-J21</f>
        <v>-7.31</v>
      </c>
      <c r="L21" s="121">
        <f>C21+H21-J21</f>
        <v>41.653999999999996</v>
      </c>
    </row>
    <row r="22" spans="1:12" s="108" customFormat="1" ht="20.25" customHeight="1">
      <c r="A22" s="119"/>
      <c r="B22" s="127" t="s">
        <v>755</v>
      </c>
      <c r="C22" s="121">
        <v>49.97</v>
      </c>
      <c r="D22" s="121">
        <v>20</v>
      </c>
      <c r="E22" s="121"/>
      <c r="F22" s="121">
        <v>15</v>
      </c>
      <c r="G22" s="121">
        <f>D22-F22</f>
        <v>5</v>
      </c>
      <c r="H22" s="121">
        <v>21</v>
      </c>
      <c r="I22" s="121"/>
      <c r="J22" s="121">
        <v>30</v>
      </c>
      <c r="K22" s="121">
        <f>H22-J22</f>
        <v>-9</v>
      </c>
      <c r="L22" s="121">
        <f>C22+H22-J22</f>
        <v>40.97</v>
      </c>
    </row>
    <row r="23" spans="1:12" s="108" customFormat="1" ht="20.25" customHeight="1">
      <c r="A23" s="119"/>
      <c r="B23" s="120" t="s">
        <v>756</v>
      </c>
      <c r="C23" s="121">
        <v>68.22699999999999</v>
      </c>
      <c r="D23" s="121">
        <v>30</v>
      </c>
      <c r="E23" s="121"/>
      <c r="F23" s="121">
        <v>16</v>
      </c>
      <c r="G23" s="121">
        <f>D23-F23</f>
        <v>14</v>
      </c>
      <c r="H23" s="121">
        <v>23.335</v>
      </c>
      <c r="I23" s="121"/>
      <c r="J23" s="121">
        <v>0</v>
      </c>
      <c r="K23" s="121">
        <f>H23-J23</f>
        <v>23.335</v>
      </c>
      <c r="L23" s="121">
        <f>C23+H23-J23</f>
        <v>91.56199999999998</v>
      </c>
    </row>
    <row r="24" spans="1:12" s="110" customFormat="1" ht="20.25" customHeight="1">
      <c r="A24" s="119"/>
      <c r="B24" s="120" t="s">
        <v>757</v>
      </c>
      <c r="C24" s="128">
        <v>50.774</v>
      </c>
      <c r="D24" s="121">
        <v>22</v>
      </c>
      <c r="E24" s="121"/>
      <c r="F24" s="121">
        <v>10</v>
      </c>
      <c r="G24" s="121">
        <f>D24-F24</f>
        <v>12</v>
      </c>
      <c r="H24" s="121">
        <v>18.65</v>
      </c>
      <c r="I24" s="121"/>
      <c r="J24" s="121">
        <v>10.2</v>
      </c>
      <c r="K24" s="121">
        <f>H24-J24</f>
        <v>8.45</v>
      </c>
      <c r="L24" s="121">
        <f>C24+H24-J24</f>
        <v>59.224000000000004</v>
      </c>
    </row>
    <row r="25" spans="1:12" s="110" customFormat="1" ht="20.25" customHeight="1">
      <c r="A25" s="119"/>
      <c r="B25" s="120" t="s">
        <v>749</v>
      </c>
      <c r="C25" s="128">
        <v>0.7799999999999994</v>
      </c>
      <c r="D25" s="121">
        <v>0</v>
      </c>
      <c r="E25" s="121"/>
      <c r="F25" s="121">
        <f>D25</f>
        <v>0</v>
      </c>
      <c r="G25" s="121">
        <f>D25-F25</f>
        <v>0</v>
      </c>
      <c r="H25" s="121">
        <v>0</v>
      </c>
      <c r="I25" s="121"/>
      <c r="J25" s="121">
        <v>0</v>
      </c>
      <c r="K25" s="121">
        <f>H25-J25</f>
        <v>0</v>
      </c>
      <c r="L25" s="121">
        <f>C25+H25-J25</f>
        <v>0.7799999999999994</v>
      </c>
    </row>
    <row r="26" spans="1:14" s="111" customFormat="1" ht="20.25" customHeight="1">
      <c r="A26" s="503">
        <v>2</v>
      </c>
      <c r="B26" s="506" t="s">
        <v>758</v>
      </c>
      <c r="C26" s="507">
        <f>SUM(C27:C28)</f>
        <v>52.82</v>
      </c>
      <c r="D26" s="507">
        <f aca="true" t="shared" si="4" ref="D26:L26">SUM(D27:D28)</f>
        <v>31</v>
      </c>
      <c r="E26" s="507">
        <f t="shared" si="4"/>
        <v>0</v>
      </c>
      <c r="F26" s="507">
        <f t="shared" si="4"/>
        <v>34</v>
      </c>
      <c r="G26" s="507">
        <f t="shared" si="4"/>
        <v>-3</v>
      </c>
      <c r="H26" s="507">
        <f t="shared" si="4"/>
        <v>53.230000000000004</v>
      </c>
      <c r="I26" s="507">
        <f t="shared" si="4"/>
        <v>0</v>
      </c>
      <c r="J26" s="507">
        <f t="shared" si="4"/>
        <v>16.925</v>
      </c>
      <c r="K26" s="507">
        <f t="shared" si="4"/>
        <v>36.305</v>
      </c>
      <c r="L26" s="507">
        <f t="shared" si="4"/>
        <v>89.12500000000001</v>
      </c>
      <c r="M26" s="111" t="s">
        <v>1129</v>
      </c>
      <c r="N26" s="146" t="s">
        <v>748</v>
      </c>
    </row>
    <row r="27" spans="1:12" s="108" customFormat="1" ht="20.25" customHeight="1">
      <c r="A27" s="119"/>
      <c r="B27" s="127" t="s">
        <v>759</v>
      </c>
      <c r="C27" s="121">
        <v>35.685</v>
      </c>
      <c r="D27" s="122">
        <v>16</v>
      </c>
      <c r="E27" s="121"/>
      <c r="F27" s="121">
        <v>16</v>
      </c>
      <c r="G27" s="121">
        <f>D27-F27</f>
        <v>0</v>
      </c>
      <c r="H27" s="121">
        <v>43.02</v>
      </c>
      <c r="I27" s="121"/>
      <c r="J27" s="121">
        <v>12.725</v>
      </c>
      <c r="K27" s="121">
        <f>H27-J27</f>
        <v>30.295</v>
      </c>
      <c r="L27" s="121">
        <f>C27+H27-J27</f>
        <v>65.98000000000002</v>
      </c>
    </row>
    <row r="28" spans="1:12" s="108" customFormat="1" ht="20.25" customHeight="1">
      <c r="A28" s="119"/>
      <c r="B28" s="127" t="s">
        <v>760</v>
      </c>
      <c r="C28" s="121">
        <v>17.134999999999998</v>
      </c>
      <c r="D28" s="122">
        <v>15</v>
      </c>
      <c r="E28" s="121"/>
      <c r="F28" s="121">
        <v>18</v>
      </c>
      <c r="G28" s="121">
        <f>D28-F28</f>
        <v>-3</v>
      </c>
      <c r="H28" s="121">
        <v>10.21</v>
      </c>
      <c r="I28" s="121"/>
      <c r="J28" s="121">
        <v>4.2</v>
      </c>
      <c r="K28" s="121">
        <f>H28-J28</f>
        <v>6.010000000000001</v>
      </c>
      <c r="L28" s="121">
        <f>C28+H28-J28</f>
        <v>23.145</v>
      </c>
    </row>
    <row r="29" spans="1:13" s="109" customFormat="1" ht="20.25" customHeight="1">
      <c r="A29" s="503">
        <v>3</v>
      </c>
      <c r="B29" s="504" t="s">
        <v>553</v>
      </c>
      <c r="C29" s="505">
        <f>SUM(C30:C31)</f>
        <v>15.420000000000002</v>
      </c>
      <c r="D29" s="505">
        <f aca="true" t="shared" si="5" ref="D29:L29">SUM(D30:D31)</f>
        <v>4.35</v>
      </c>
      <c r="E29" s="505">
        <f t="shared" si="5"/>
        <v>0</v>
      </c>
      <c r="F29" s="505">
        <f t="shared" si="5"/>
        <v>4.35</v>
      </c>
      <c r="G29" s="505">
        <f t="shared" si="5"/>
        <v>0</v>
      </c>
      <c r="H29" s="505">
        <f t="shared" si="5"/>
        <v>10.171</v>
      </c>
      <c r="I29" s="505">
        <f t="shared" si="5"/>
        <v>0</v>
      </c>
      <c r="J29" s="505">
        <f t="shared" si="5"/>
        <v>5.42</v>
      </c>
      <c r="K29" s="505">
        <f t="shared" si="5"/>
        <v>4.7509999999999994</v>
      </c>
      <c r="L29" s="505">
        <f t="shared" si="5"/>
        <v>20.171000000000003</v>
      </c>
      <c r="M29" s="109" t="s">
        <v>1129</v>
      </c>
    </row>
    <row r="30" spans="1:14" s="108" customFormat="1" ht="20.25" customHeight="1">
      <c r="A30" s="119"/>
      <c r="B30" s="127" t="s">
        <v>755</v>
      </c>
      <c r="C30" s="121">
        <v>12.88</v>
      </c>
      <c r="D30" s="122">
        <v>3.35</v>
      </c>
      <c r="E30" s="121"/>
      <c r="F30" s="121">
        <v>3.35</v>
      </c>
      <c r="G30" s="121">
        <f>D30-F30</f>
        <v>0</v>
      </c>
      <c r="H30" s="121">
        <v>10.171</v>
      </c>
      <c r="I30" s="121"/>
      <c r="J30" s="121">
        <v>4.82</v>
      </c>
      <c r="K30" s="121">
        <f>H30-J30</f>
        <v>5.350999999999999</v>
      </c>
      <c r="L30" s="121">
        <f>C30+H30-J30</f>
        <v>18.231</v>
      </c>
      <c r="N30" s="145" t="s">
        <v>748</v>
      </c>
    </row>
    <row r="31" spans="1:12" s="108" customFormat="1" ht="20.25" customHeight="1">
      <c r="A31" s="119"/>
      <c r="B31" s="127" t="s">
        <v>760</v>
      </c>
      <c r="C31" s="121">
        <v>2.54</v>
      </c>
      <c r="D31" s="122">
        <v>1</v>
      </c>
      <c r="E31" s="121"/>
      <c r="F31" s="121">
        <v>1</v>
      </c>
      <c r="G31" s="121">
        <f>D31-F31</f>
        <v>0</v>
      </c>
      <c r="H31" s="121">
        <v>0</v>
      </c>
      <c r="I31" s="121"/>
      <c r="J31" s="121">
        <v>0.6</v>
      </c>
      <c r="K31" s="121">
        <f>H31-J31</f>
        <v>-0.6</v>
      </c>
      <c r="L31" s="121">
        <f>C31+H31-J31</f>
        <v>1.94</v>
      </c>
    </row>
    <row r="32" spans="1:13" s="109" customFormat="1" ht="20.25" customHeight="1">
      <c r="A32" s="503">
        <v>4</v>
      </c>
      <c r="B32" s="504" t="s">
        <v>551</v>
      </c>
      <c r="C32" s="505">
        <f>SUM(C33:C36)</f>
        <v>162.156</v>
      </c>
      <c r="D32" s="505">
        <f aca="true" t="shared" si="6" ref="D32:L32">SUM(D33:D36)</f>
        <v>69.33</v>
      </c>
      <c r="E32" s="505">
        <f t="shared" si="6"/>
        <v>0</v>
      </c>
      <c r="F32" s="505">
        <f t="shared" si="6"/>
        <v>50</v>
      </c>
      <c r="G32" s="505">
        <f t="shared" si="6"/>
        <v>19.33</v>
      </c>
      <c r="H32" s="505">
        <f t="shared" si="6"/>
        <v>85.365</v>
      </c>
      <c r="I32" s="505">
        <f t="shared" si="6"/>
        <v>0</v>
      </c>
      <c r="J32" s="505">
        <f t="shared" si="6"/>
        <v>47.335</v>
      </c>
      <c r="K32" s="505">
        <f t="shared" si="6"/>
        <v>38.03</v>
      </c>
      <c r="L32" s="505">
        <f t="shared" si="6"/>
        <v>200.186</v>
      </c>
      <c r="M32" s="109" t="s">
        <v>1129</v>
      </c>
    </row>
    <row r="33" spans="1:12" s="108" customFormat="1" ht="20.25" customHeight="1">
      <c r="A33" s="119"/>
      <c r="B33" s="127" t="s">
        <v>760</v>
      </c>
      <c r="C33" s="121">
        <v>46.839</v>
      </c>
      <c r="D33" s="121">
        <v>0</v>
      </c>
      <c r="E33" s="121"/>
      <c r="F33" s="121">
        <v>1</v>
      </c>
      <c r="G33" s="121">
        <f>D33-F33</f>
        <v>-1</v>
      </c>
      <c r="H33" s="121">
        <v>15.76</v>
      </c>
      <c r="I33" s="121"/>
      <c r="J33" s="121">
        <v>0</v>
      </c>
      <c r="K33" s="121">
        <f>H33-J33</f>
        <v>15.76</v>
      </c>
      <c r="L33" s="121">
        <f>C33+H33-J33</f>
        <v>62.599</v>
      </c>
    </row>
    <row r="34" spans="1:12" s="108" customFormat="1" ht="20.25" customHeight="1">
      <c r="A34" s="119"/>
      <c r="B34" s="127" t="s">
        <v>759</v>
      </c>
      <c r="C34" s="121">
        <v>74.031</v>
      </c>
      <c r="D34" s="121">
        <v>40.72</v>
      </c>
      <c r="E34" s="121"/>
      <c r="F34" s="121">
        <v>30</v>
      </c>
      <c r="G34" s="121">
        <f>D34-F34</f>
        <v>10.719999999999999</v>
      </c>
      <c r="H34" s="121">
        <v>45.22</v>
      </c>
      <c r="I34" s="121"/>
      <c r="J34" s="121">
        <v>30.435</v>
      </c>
      <c r="K34" s="121">
        <f>H34-J34</f>
        <v>14.785</v>
      </c>
      <c r="L34" s="121">
        <f>C34+H34-J34</f>
        <v>88.816</v>
      </c>
    </row>
    <row r="35" spans="1:12" s="108" customFormat="1" ht="20.25" customHeight="1">
      <c r="A35" s="119"/>
      <c r="B35" s="127" t="s">
        <v>761</v>
      </c>
      <c r="C35" s="121">
        <v>31.779000000000003</v>
      </c>
      <c r="D35" s="121">
        <v>12.49</v>
      </c>
      <c r="E35" s="121"/>
      <c r="F35" s="121">
        <v>6.5</v>
      </c>
      <c r="G35" s="121">
        <f>D35-F35</f>
        <v>5.99</v>
      </c>
      <c r="H35" s="121">
        <v>10.38</v>
      </c>
      <c r="I35" s="121"/>
      <c r="J35" s="121">
        <v>4</v>
      </c>
      <c r="K35" s="121">
        <f>H35-J35</f>
        <v>6.380000000000001</v>
      </c>
      <c r="L35" s="121">
        <f>C35+H35-J35</f>
        <v>38.159000000000006</v>
      </c>
    </row>
    <row r="36" spans="1:12" s="108" customFormat="1" ht="20.25" customHeight="1">
      <c r="A36" s="119"/>
      <c r="B36" s="127" t="s">
        <v>762</v>
      </c>
      <c r="C36" s="121">
        <v>9.507000000000001</v>
      </c>
      <c r="D36" s="121">
        <v>16.12</v>
      </c>
      <c r="E36" s="121"/>
      <c r="F36" s="121">
        <v>12.5</v>
      </c>
      <c r="G36" s="121">
        <f>D36-F36</f>
        <v>3.620000000000001</v>
      </c>
      <c r="H36" s="121">
        <v>14.005</v>
      </c>
      <c r="I36" s="121"/>
      <c r="J36" s="121">
        <v>12.9</v>
      </c>
      <c r="K36" s="121">
        <f>H36-J36</f>
        <v>1.1050000000000004</v>
      </c>
      <c r="L36" s="121">
        <f>C36+H36-J36</f>
        <v>10.612</v>
      </c>
    </row>
    <row r="37" spans="1:13" s="109" customFormat="1" ht="20.25" customHeight="1">
      <c r="A37" s="503">
        <v>5</v>
      </c>
      <c r="B37" s="504" t="s">
        <v>763</v>
      </c>
      <c r="C37" s="505">
        <f>SUM(C38:C41)</f>
        <v>20.277</v>
      </c>
      <c r="D37" s="505">
        <f aca="true" t="shared" si="7" ref="D37:L37">SUM(D38:D41)</f>
        <v>28.003</v>
      </c>
      <c r="E37" s="505">
        <f t="shared" si="7"/>
        <v>0</v>
      </c>
      <c r="F37" s="505">
        <f t="shared" si="7"/>
        <v>23.238</v>
      </c>
      <c r="G37" s="505">
        <f t="shared" si="7"/>
        <v>4.765</v>
      </c>
      <c r="H37" s="505">
        <f t="shared" si="7"/>
        <v>28.003</v>
      </c>
      <c r="I37" s="505">
        <f t="shared" si="7"/>
        <v>0</v>
      </c>
      <c r="J37" s="505">
        <f t="shared" si="7"/>
        <v>21.86</v>
      </c>
      <c r="K37" s="505">
        <f t="shared" si="7"/>
        <v>6.142999999999999</v>
      </c>
      <c r="L37" s="505">
        <f t="shared" si="7"/>
        <v>26.419999999999995</v>
      </c>
      <c r="M37" s="109" t="s">
        <v>1129</v>
      </c>
    </row>
    <row r="38" spans="1:12" s="108" customFormat="1" ht="20.25" customHeight="1">
      <c r="A38" s="119"/>
      <c r="B38" s="127" t="s">
        <v>761</v>
      </c>
      <c r="C38" s="121">
        <v>0</v>
      </c>
      <c r="D38" s="121">
        <v>10.36</v>
      </c>
      <c r="E38" s="121"/>
      <c r="F38" s="121">
        <v>10.36</v>
      </c>
      <c r="G38" s="121">
        <f>D38-F38</f>
        <v>0</v>
      </c>
      <c r="H38" s="121">
        <v>10.36</v>
      </c>
      <c r="I38" s="121"/>
      <c r="J38" s="121">
        <v>6.3</v>
      </c>
      <c r="K38" s="121">
        <f>H38-J38</f>
        <v>4.06</v>
      </c>
      <c r="L38" s="121">
        <f>C38+H38-J38</f>
        <v>4.06</v>
      </c>
    </row>
    <row r="39" spans="1:12" s="108" customFormat="1" ht="20.25" customHeight="1" hidden="1">
      <c r="A39" s="119"/>
      <c r="B39" s="127" t="s">
        <v>762</v>
      </c>
      <c r="C39" s="121">
        <v>0</v>
      </c>
      <c r="D39" s="121">
        <v>0</v>
      </c>
      <c r="E39" s="121">
        <v>0</v>
      </c>
      <c r="F39" s="121">
        <v>0</v>
      </c>
      <c r="G39" s="121">
        <f>D39-F39</f>
        <v>0</v>
      </c>
      <c r="H39" s="121">
        <v>0</v>
      </c>
      <c r="I39" s="121"/>
      <c r="J39" s="121">
        <v>0</v>
      </c>
      <c r="K39" s="121">
        <f>H39-J39</f>
        <v>0</v>
      </c>
      <c r="L39" s="121">
        <f>C39+H39-J39</f>
        <v>0</v>
      </c>
    </row>
    <row r="40" spans="1:12" s="108" customFormat="1" ht="20.25" customHeight="1">
      <c r="A40" s="119"/>
      <c r="B40" s="127" t="s">
        <v>760</v>
      </c>
      <c r="C40" s="121">
        <v>5.85</v>
      </c>
      <c r="D40" s="121">
        <v>4.765</v>
      </c>
      <c r="E40" s="121"/>
      <c r="F40" s="121">
        <v>0</v>
      </c>
      <c r="G40" s="121">
        <f>D40-F40</f>
        <v>4.765</v>
      </c>
      <c r="H40" s="121">
        <v>4.765</v>
      </c>
      <c r="I40" s="121"/>
      <c r="J40" s="121">
        <v>0</v>
      </c>
      <c r="K40" s="121">
        <f>H40-J40</f>
        <v>4.765</v>
      </c>
      <c r="L40" s="121">
        <f>C40+H40-J40</f>
        <v>10.614999999999998</v>
      </c>
    </row>
    <row r="41" spans="1:14" s="108" customFormat="1" ht="20.25" customHeight="1">
      <c r="A41" s="119"/>
      <c r="B41" s="127" t="s">
        <v>755</v>
      </c>
      <c r="C41" s="121">
        <v>14.427</v>
      </c>
      <c r="D41" s="122">
        <v>12.878</v>
      </c>
      <c r="E41" s="122"/>
      <c r="F41" s="121">
        <v>12.878</v>
      </c>
      <c r="G41" s="121">
        <f>D41-F41</f>
        <v>0</v>
      </c>
      <c r="H41" s="121">
        <v>12.878</v>
      </c>
      <c r="I41" s="121"/>
      <c r="J41" s="121">
        <v>15.56</v>
      </c>
      <c r="K41" s="121">
        <f>H41-J41</f>
        <v>-2.6820000000000004</v>
      </c>
      <c r="L41" s="121">
        <f>C41+H41-J41</f>
        <v>11.745</v>
      </c>
      <c r="N41" s="108">
        <v>10.14</v>
      </c>
    </row>
    <row r="42" spans="1:13" s="109" customFormat="1" ht="20.25" customHeight="1">
      <c r="A42" s="503">
        <v>6</v>
      </c>
      <c r="B42" s="504" t="s">
        <v>546</v>
      </c>
      <c r="C42" s="505">
        <f>SUM(C43:C44)</f>
        <v>28.634</v>
      </c>
      <c r="D42" s="505">
        <f aca="true" t="shared" si="8" ref="D42:L42">SUM(D43:D44)</f>
        <v>11</v>
      </c>
      <c r="E42" s="505">
        <f t="shared" si="8"/>
        <v>0</v>
      </c>
      <c r="F42" s="505">
        <f t="shared" si="8"/>
        <v>7</v>
      </c>
      <c r="G42" s="505">
        <f t="shared" si="8"/>
        <v>4</v>
      </c>
      <c r="H42" s="505">
        <f t="shared" si="8"/>
        <v>15.003</v>
      </c>
      <c r="I42" s="505">
        <f t="shared" si="8"/>
        <v>0</v>
      </c>
      <c r="J42" s="505">
        <f t="shared" si="8"/>
        <v>4.32</v>
      </c>
      <c r="K42" s="505">
        <f t="shared" si="8"/>
        <v>10.683</v>
      </c>
      <c r="L42" s="505">
        <f t="shared" si="8"/>
        <v>39.31699999999999</v>
      </c>
      <c r="M42" s="109" t="s">
        <v>1129</v>
      </c>
    </row>
    <row r="43" spans="1:12" s="108" customFormat="1" ht="20.25" customHeight="1">
      <c r="A43" s="119"/>
      <c r="B43" s="127" t="s">
        <v>760</v>
      </c>
      <c r="C43" s="121">
        <v>8.886999999999999</v>
      </c>
      <c r="D43" s="121">
        <v>5</v>
      </c>
      <c r="E43" s="121"/>
      <c r="F43" s="121">
        <v>2</v>
      </c>
      <c r="G43" s="121">
        <f>D43-F43</f>
        <v>3</v>
      </c>
      <c r="H43" s="121">
        <v>6.085</v>
      </c>
      <c r="I43" s="121"/>
      <c r="J43" s="121">
        <v>2</v>
      </c>
      <c r="K43" s="121">
        <f>H43-J43</f>
        <v>4.085</v>
      </c>
      <c r="L43" s="121">
        <f>C43+H43-J43</f>
        <v>12.971999999999998</v>
      </c>
    </row>
    <row r="44" spans="1:14" s="108" customFormat="1" ht="20.25" customHeight="1">
      <c r="A44" s="119"/>
      <c r="B44" s="127" t="s">
        <v>759</v>
      </c>
      <c r="C44" s="121">
        <v>19.747</v>
      </c>
      <c r="D44" s="121">
        <v>6</v>
      </c>
      <c r="E44" s="121"/>
      <c r="F44" s="121">
        <v>5</v>
      </c>
      <c r="G44" s="121">
        <f>D44-F44</f>
        <v>1</v>
      </c>
      <c r="H44" s="121">
        <v>8.918</v>
      </c>
      <c r="I44" s="121"/>
      <c r="J44" s="121">
        <v>2.32</v>
      </c>
      <c r="K44" s="121">
        <f>H44-J44</f>
        <v>6.597999999999999</v>
      </c>
      <c r="L44" s="665">
        <f>C44+H44-J44</f>
        <v>26.345</v>
      </c>
      <c r="N44" s="108">
        <v>11.34</v>
      </c>
    </row>
    <row r="45" spans="1:13" s="109" customFormat="1" ht="20.25" customHeight="1">
      <c r="A45" s="503">
        <v>7</v>
      </c>
      <c r="B45" s="504" t="s">
        <v>547</v>
      </c>
      <c r="C45" s="505">
        <f>SUM(C46)</f>
        <v>16.17</v>
      </c>
      <c r="D45" s="505">
        <f aca="true" t="shared" si="9" ref="D45:L45">SUM(D46)</f>
        <v>5</v>
      </c>
      <c r="E45" s="505">
        <f t="shared" si="9"/>
        <v>0</v>
      </c>
      <c r="F45" s="505">
        <f t="shared" si="9"/>
        <v>0</v>
      </c>
      <c r="G45" s="505">
        <f t="shared" si="9"/>
        <v>5</v>
      </c>
      <c r="H45" s="505">
        <f t="shared" si="9"/>
        <v>5</v>
      </c>
      <c r="I45" s="505">
        <f t="shared" si="9"/>
        <v>0</v>
      </c>
      <c r="J45" s="505">
        <f t="shared" si="9"/>
        <v>0</v>
      </c>
      <c r="K45" s="505">
        <f t="shared" si="9"/>
        <v>5</v>
      </c>
      <c r="L45" s="505">
        <f t="shared" si="9"/>
        <v>21.17</v>
      </c>
      <c r="M45" s="109" t="s">
        <v>1129</v>
      </c>
    </row>
    <row r="46" spans="1:12" s="108" customFormat="1" ht="20.25" customHeight="1">
      <c r="A46" s="119"/>
      <c r="B46" s="127" t="s">
        <v>755</v>
      </c>
      <c r="C46" s="122">
        <v>16.17</v>
      </c>
      <c r="D46" s="122">
        <v>5</v>
      </c>
      <c r="E46" s="121"/>
      <c r="F46" s="121"/>
      <c r="G46" s="121">
        <f>D46-F46</f>
        <v>5</v>
      </c>
      <c r="H46" s="122">
        <v>5</v>
      </c>
      <c r="I46" s="122"/>
      <c r="J46" s="122"/>
      <c r="K46" s="121">
        <f>H46-J46</f>
        <v>5</v>
      </c>
      <c r="L46" s="122">
        <f>C46+H46-J46</f>
        <v>21.17</v>
      </c>
    </row>
    <row r="47" spans="1:13" s="109" customFormat="1" ht="20.25" customHeight="1">
      <c r="A47" s="503">
        <v>8</v>
      </c>
      <c r="B47" s="504" t="s">
        <v>764</v>
      </c>
      <c r="C47" s="508">
        <f>SUM(C48:C49)</f>
        <v>11.290000000000001</v>
      </c>
      <c r="D47" s="508">
        <f aca="true" t="shared" si="10" ref="D47:L47">SUM(D48:D49)</f>
        <v>10</v>
      </c>
      <c r="E47" s="508">
        <f t="shared" si="10"/>
        <v>0</v>
      </c>
      <c r="F47" s="508">
        <f t="shared" si="10"/>
        <v>0</v>
      </c>
      <c r="G47" s="508">
        <f t="shared" si="10"/>
        <v>10</v>
      </c>
      <c r="H47" s="508">
        <f t="shared" si="10"/>
        <v>11.158</v>
      </c>
      <c r="I47" s="508">
        <f t="shared" si="10"/>
        <v>0</v>
      </c>
      <c r="J47" s="508">
        <f t="shared" si="10"/>
        <v>1</v>
      </c>
      <c r="K47" s="508">
        <f t="shared" si="10"/>
        <v>10.158</v>
      </c>
      <c r="L47" s="508">
        <f t="shared" si="10"/>
        <v>21.448</v>
      </c>
      <c r="M47" s="109" t="s">
        <v>1129</v>
      </c>
    </row>
    <row r="48" spans="1:13" s="108" customFormat="1" ht="20.25" customHeight="1">
      <c r="A48" s="119"/>
      <c r="B48" s="127" t="s">
        <v>759</v>
      </c>
      <c r="C48" s="121">
        <v>11.290000000000001</v>
      </c>
      <c r="D48" s="121">
        <v>5</v>
      </c>
      <c r="E48" s="121"/>
      <c r="F48" s="121">
        <v>0</v>
      </c>
      <c r="G48" s="121">
        <f>D48-F48</f>
        <v>5</v>
      </c>
      <c r="H48" s="121">
        <v>10.158</v>
      </c>
      <c r="I48" s="121"/>
      <c r="J48" s="121">
        <v>1</v>
      </c>
      <c r="K48" s="121">
        <f>H48-J48</f>
        <v>9.158</v>
      </c>
      <c r="L48" s="121">
        <f>C48+H48-J48</f>
        <v>20.448</v>
      </c>
      <c r="M48" s="108">
        <v>8.05</v>
      </c>
    </row>
    <row r="49" spans="1:12" s="108" customFormat="1" ht="20.25" customHeight="1">
      <c r="A49" s="119"/>
      <c r="B49" s="127" t="s">
        <v>760</v>
      </c>
      <c r="C49" s="121">
        <v>0</v>
      </c>
      <c r="D49" s="121">
        <v>5</v>
      </c>
      <c r="E49" s="121"/>
      <c r="F49" s="121">
        <v>0</v>
      </c>
      <c r="G49" s="121">
        <f>D49-F49</f>
        <v>5</v>
      </c>
      <c r="H49" s="121">
        <v>1</v>
      </c>
      <c r="I49" s="121"/>
      <c r="J49" s="121">
        <v>0</v>
      </c>
      <c r="K49" s="121">
        <f>H49-J49</f>
        <v>1</v>
      </c>
      <c r="L49" s="121">
        <f>C49+H49-J49</f>
        <v>1</v>
      </c>
    </row>
    <row r="50" spans="1:13" s="109" customFormat="1" ht="20.25" customHeight="1">
      <c r="A50" s="503">
        <v>9</v>
      </c>
      <c r="B50" s="504" t="s">
        <v>549</v>
      </c>
      <c r="C50" s="505">
        <f>SUM(C51:C52)</f>
        <v>19.688</v>
      </c>
      <c r="D50" s="505">
        <f aca="true" t="shared" si="11" ref="D50:L50">SUM(D51:D52)</f>
        <v>6</v>
      </c>
      <c r="E50" s="505">
        <f t="shared" si="11"/>
        <v>0</v>
      </c>
      <c r="F50" s="505">
        <f t="shared" si="11"/>
        <v>7</v>
      </c>
      <c r="G50" s="505">
        <f t="shared" si="11"/>
        <v>-1</v>
      </c>
      <c r="H50" s="505">
        <f t="shared" si="11"/>
        <v>12.856</v>
      </c>
      <c r="I50" s="505">
        <f t="shared" si="11"/>
        <v>0</v>
      </c>
      <c r="J50" s="505">
        <f t="shared" si="11"/>
        <v>1</v>
      </c>
      <c r="K50" s="505">
        <f t="shared" si="11"/>
        <v>11.856</v>
      </c>
      <c r="L50" s="505">
        <f t="shared" si="11"/>
        <v>31.543999999999997</v>
      </c>
      <c r="M50" s="109" t="s">
        <v>1129</v>
      </c>
    </row>
    <row r="51" spans="1:12" s="112" customFormat="1" ht="20.25" customHeight="1">
      <c r="A51" s="129"/>
      <c r="B51" s="127" t="s">
        <v>760</v>
      </c>
      <c r="C51" s="130">
        <v>1.87</v>
      </c>
      <c r="D51" s="131">
        <v>3</v>
      </c>
      <c r="E51" s="130"/>
      <c r="F51" s="130">
        <v>3</v>
      </c>
      <c r="G51" s="130">
        <f>D51-F51</f>
        <v>0</v>
      </c>
      <c r="H51" s="131">
        <v>5.351</v>
      </c>
      <c r="I51" s="130"/>
      <c r="J51" s="130">
        <v>0</v>
      </c>
      <c r="K51" s="121">
        <f>H51-J51</f>
        <v>5.351</v>
      </c>
      <c r="L51" s="671">
        <f>C51+H51-J51</f>
        <v>7.221</v>
      </c>
    </row>
    <row r="52" spans="1:12" s="112" customFormat="1" ht="20.25" customHeight="1">
      <c r="A52" s="129"/>
      <c r="B52" s="132" t="s">
        <v>765</v>
      </c>
      <c r="C52" s="130">
        <v>17.817999999999998</v>
      </c>
      <c r="D52" s="130">
        <v>3</v>
      </c>
      <c r="E52" s="130"/>
      <c r="F52" s="130">
        <v>4</v>
      </c>
      <c r="G52" s="130">
        <f>D52-F52</f>
        <v>-1</v>
      </c>
      <c r="H52" s="130">
        <v>7.505</v>
      </c>
      <c r="I52" s="130"/>
      <c r="J52" s="130">
        <v>1</v>
      </c>
      <c r="K52" s="121">
        <f>H52-J52</f>
        <v>6.505</v>
      </c>
      <c r="L52" s="671">
        <f>C52+H52-J52</f>
        <v>24.322999999999997</v>
      </c>
    </row>
    <row r="53" spans="1:12" s="109" customFormat="1" ht="20.25" customHeight="1">
      <c r="A53" s="133"/>
      <c r="B53" s="134" t="s">
        <v>766</v>
      </c>
      <c r="C53" s="135">
        <f>C12+C19</f>
        <v>2619.677915</v>
      </c>
      <c r="D53" s="135">
        <f aca="true" t="shared" si="12" ref="D53:K53">D12+D19</f>
        <v>1422.4759999999999</v>
      </c>
      <c r="E53" s="135">
        <f t="shared" si="12"/>
        <v>900</v>
      </c>
      <c r="F53" s="135">
        <f t="shared" si="12"/>
        <v>1360.3809999999999</v>
      </c>
      <c r="G53" s="135">
        <f t="shared" si="12"/>
        <v>62.095</v>
      </c>
      <c r="H53" s="135">
        <f t="shared" si="12"/>
        <v>3231.224</v>
      </c>
      <c r="I53" s="135">
        <f t="shared" si="12"/>
        <v>689</v>
      </c>
      <c r="J53" s="135">
        <f t="shared" si="12"/>
        <v>2812.1499999999996</v>
      </c>
      <c r="K53" s="135">
        <f t="shared" si="12"/>
        <v>422.7739999999999</v>
      </c>
      <c r="L53" s="135">
        <f>L12+L19</f>
        <v>3038.751915</v>
      </c>
    </row>
    <row r="54" spans="1:12" s="109" customFormat="1" ht="20.25" customHeight="1">
      <c r="A54" s="136"/>
      <c r="B54" s="137"/>
      <c r="C54" s="138"/>
      <c r="D54" s="138"/>
      <c r="E54" s="138"/>
      <c r="F54" s="138"/>
      <c r="G54" s="138"/>
      <c r="H54" s="138"/>
      <c r="I54" s="138"/>
      <c r="J54" s="138"/>
      <c r="K54" s="138"/>
      <c r="L54" s="138"/>
    </row>
    <row r="55" spans="7:12" ht="18.75">
      <c r="G55" s="780" t="s">
        <v>1001</v>
      </c>
      <c r="H55" s="780"/>
      <c r="I55" s="780"/>
      <c r="J55" s="780"/>
      <c r="K55" s="780"/>
      <c r="L55" s="780"/>
    </row>
    <row r="56" spans="2:12" ht="18.75">
      <c r="B56" s="139"/>
      <c r="G56" s="781" t="s">
        <v>283</v>
      </c>
      <c r="H56" s="781"/>
      <c r="I56" s="781"/>
      <c r="J56" s="781"/>
      <c r="K56" s="781"/>
      <c r="L56" s="781"/>
    </row>
    <row r="57" spans="7:12" ht="18.75">
      <c r="G57" s="781" t="s">
        <v>286</v>
      </c>
      <c r="H57" s="781"/>
      <c r="I57" s="781"/>
      <c r="J57" s="781"/>
      <c r="K57" s="781"/>
      <c r="L57" s="781"/>
    </row>
  </sheetData>
  <sheetProtection/>
  <mergeCells count="23">
    <mergeCell ref="A2:L2"/>
    <mergeCell ref="A3:L3"/>
    <mergeCell ref="A4:L4"/>
    <mergeCell ref="D7:G7"/>
    <mergeCell ref="H7:K7"/>
    <mergeCell ref="O7:R7"/>
    <mergeCell ref="L7:L10"/>
    <mergeCell ref="D8:E8"/>
    <mergeCell ref="H8:I8"/>
    <mergeCell ref="H9:H10"/>
    <mergeCell ref="A7:A10"/>
    <mergeCell ref="B7:B10"/>
    <mergeCell ref="C7:C10"/>
    <mergeCell ref="D9:D10"/>
    <mergeCell ref="E9:E10"/>
    <mergeCell ref="F8:F10"/>
    <mergeCell ref="I9:I10"/>
    <mergeCell ref="J8:J10"/>
    <mergeCell ref="K8:K10"/>
    <mergeCell ref="G55:L55"/>
    <mergeCell ref="G56:L56"/>
    <mergeCell ref="G57:L57"/>
    <mergeCell ref="G8:G10"/>
  </mergeCells>
  <printOptions/>
  <pageMargins left="0.43" right="0.2" top="0.71" bottom="0.75" header="0.3" footer="0.3"/>
  <pageSetup horizontalDpi="600" verticalDpi="600" orientation="landscape" scale="78" r:id="rId1"/>
</worksheet>
</file>

<file path=xl/worksheets/sheet17.xml><?xml version="1.0" encoding="utf-8"?>
<worksheet xmlns="http://schemas.openxmlformats.org/spreadsheetml/2006/main" xmlns:r="http://schemas.openxmlformats.org/officeDocument/2006/relationships">
  <sheetPr>
    <tabColor rgb="FF00B050"/>
  </sheetPr>
  <dimension ref="A1:L123"/>
  <sheetViews>
    <sheetView zoomScalePageLayoutView="0" workbookViewId="0" topLeftCell="A1">
      <selection activeCell="E17" sqref="E17"/>
    </sheetView>
  </sheetViews>
  <sheetFormatPr defaultColWidth="9.33203125" defaultRowHeight="12.75"/>
  <cols>
    <col min="1" max="1" width="6.16015625" style="40" customWidth="1"/>
    <col min="2" max="2" width="47.16015625" style="40" customWidth="1"/>
    <col min="3" max="3" width="19.5" style="40" customWidth="1"/>
    <col min="4" max="4" width="19" style="40" customWidth="1"/>
    <col min="5" max="5" width="14.83203125" style="40" customWidth="1"/>
    <col min="6" max="16384" width="9.33203125" style="40" customWidth="1"/>
  </cols>
  <sheetData>
    <row r="1" spans="1:5" ht="30.75" customHeight="1">
      <c r="A1" s="41"/>
      <c r="B1" s="42"/>
      <c r="D1" s="787" t="s">
        <v>767</v>
      </c>
      <c r="E1" s="787"/>
    </row>
    <row r="2" spans="1:5" ht="45.75" customHeight="1">
      <c r="A2" s="788" t="s">
        <v>1122</v>
      </c>
      <c r="B2" s="788"/>
      <c r="C2" s="788"/>
      <c r="D2" s="788"/>
      <c r="E2" s="788"/>
    </row>
    <row r="3" spans="1:12" ht="4.5" customHeight="1">
      <c r="A3" s="43"/>
      <c r="B3" s="43"/>
      <c r="C3" s="43"/>
      <c r="D3" s="43"/>
      <c r="E3" s="43"/>
      <c r="F3" s="44"/>
      <c r="G3" s="44"/>
      <c r="H3" s="45"/>
      <c r="I3" s="44"/>
      <c r="J3" s="44"/>
      <c r="K3" s="44"/>
      <c r="L3" s="44"/>
    </row>
    <row r="4" spans="4:8" ht="18.75" customHeight="1">
      <c r="D4" s="46"/>
      <c r="E4" s="47" t="s">
        <v>247</v>
      </c>
      <c r="H4" s="48"/>
    </row>
    <row r="5" spans="1:8" s="36" customFormat="1" ht="44.25" customHeight="1">
      <c r="A5" s="49" t="s">
        <v>3</v>
      </c>
      <c r="B5" s="49" t="s">
        <v>289</v>
      </c>
      <c r="C5" s="50" t="s">
        <v>1118</v>
      </c>
      <c r="D5" s="51" t="s">
        <v>1119</v>
      </c>
      <c r="E5" s="52" t="s">
        <v>768</v>
      </c>
      <c r="H5" s="53"/>
    </row>
    <row r="6" spans="1:8" s="37" customFormat="1" ht="17.25" customHeight="1">
      <c r="A6" s="54" t="s">
        <v>297</v>
      </c>
      <c r="B6" s="54" t="s">
        <v>298</v>
      </c>
      <c r="C6" s="54">
        <v>1</v>
      </c>
      <c r="D6" s="54">
        <v>2</v>
      </c>
      <c r="E6" s="55" t="s">
        <v>769</v>
      </c>
      <c r="F6" s="56"/>
      <c r="H6" s="57"/>
    </row>
    <row r="7" spans="1:8" s="36" customFormat="1" ht="32.25" customHeight="1">
      <c r="A7" s="58"/>
      <c r="B7" s="59" t="s">
        <v>770</v>
      </c>
      <c r="C7" s="60">
        <f>C8</f>
        <v>9863669000</v>
      </c>
      <c r="D7" s="60">
        <f>D8</f>
        <v>7670444345</v>
      </c>
      <c r="E7" s="61">
        <f aca="true" t="shared" si="0" ref="E7:E14">D7/C7*100</f>
        <v>77.76461623965687</v>
      </c>
      <c r="H7" s="62"/>
    </row>
    <row r="8" spans="1:8" s="36" customFormat="1" ht="32.25" customHeight="1">
      <c r="A8" s="63" t="s">
        <v>297</v>
      </c>
      <c r="B8" s="64" t="s">
        <v>771</v>
      </c>
      <c r="C8" s="65">
        <f>C9+C11+C14</f>
        <v>9863669000</v>
      </c>
      <c r="D8" s="65">
        <f>D9+D11+D14</f>
        <v>7670444345</v>
      </c>
      <c r="E8" s="546">
        <f t="shared" si="0"/>
        <v>77.76461623965687</v>
      </c>
      <c r="H8" s="62"/>
    </row>
    <row r="9" spans="1:5" s="38" customFormat="1" ht="28.5" customHeight="1">
      <c r="A9" s="64" t="s">
        <v>308</v>
      </c>
      <c r="B9" s="66" t="s">
        <v>772</v>
      </c>
      <c r="C9" s="67">
        <f>C10</f>
        <v>1300000000</v>
      </c>
      <c r="D9" s="67">
        <f>D10</f>
        <v>1253697000</v>
      </c>
      <c r="E9" s="627">
        <f t="shared" si="0"/>
        <v>96.43823076923077</v>
      </c>
    </row>
    <row r="10" spans="1:5" s="38" customFormat="1" ht="30.75" customHeight="1">
      <c r="A10" s="68">
        <v>1</v>
      </c>
      <c r="B10" s="69" t="s">
        <v>773</v>
      </c>
      <c r="C10" s="70">
        <v>1300000000</v>
      </c>
      <c r="D10" s="70">
        <v>1253697000</v>
      </c>
      <c r="E10" s="71">
        <f t="shared" si="0"/>
        <v>96.43823076923077</v>
      </c>
    </row>
    <row r="11" spans="1:5" s="38" customFormat="1" ht="28.5" customHeight="1">
      <c r="A11" s="64" t="s">
        <v>364</v>
      </c>
      <c r="B11" s="66" t="s">
        <v>774</v>
      </c>
      <c r="C11" s="67">
        <f>SUM(C12:C13)</f>
        <v>1615000000</v>
      </c>
      <c r="D11" s="67">
        <f>SUM(D12:D13)</f>
        <v>1521464000</v>
      </c>
      <c r="E11" s="627">
        <f t="shared" si="0"/>
        <v>94.20829721362229</v>
      </c>
    </row>
    <row r="12" spans="1:5" s="38" customFormat="1" ht="51.75" customHeight="1">
      <c r="A12" s="68">
        <v>1</v>
      </c>
      <c r="B12" s="69" t="s">
        <v>775</v>
      </c>
      <c r="C12" s="70">
        <v>1210000000</v>
      </c>
      <c r="D12" s="70">
        <v>1234259000</v>
      </c>
      <c r="E12" s="71">
        <f t="shared" si="0"/>
        <v>102.00487603305785</v>
      </c>
    </row>
    <row r="13" spans="1:5" s="38" customFormat="1" ht="27" customHeight="1">
      <c r="A13" s="72">
        <v>2</v>
      </c>
      <c r="B13" s="73" t="s">
        <v>776</v>
      </c>
      <c r="C13" s="74">
        <v>405000000</v>
      </c>
      <c r="D13" s="74">
        <v>287205000</v>
      </c>
      <c r="E13" s="71">
        <f t="shared" si="0"/>
        <v>70.91481481481482</v>
      </c>
    </row>
    <row r="14" spans="1:8" s="36" customFormat="1" ht="21.75" customHeight="1">
      <c r="A14" s="64" t="s">
        <v>382</v>
      </c>
      <c r="B14" s="66" t="s">
        <v>777</v>
      </c>
      <c r="C14" s="499">
        <f aca="true" t="shared" si="1" ref="C14:D16">C17+C59</f>
        <v>6948669000</v>
      </c>
      <c r="D14" s="499">
        <f t="shared" si="1"/>
        <v>4895283345</v>
      </c>
      <c r="E14" s="500">
        <f t="shared" si="0"/>
        <v>70.44922336925245</v>
      </c>
      <c r="H14" s="62"/>
    </row>
    <row r="15" spans="1:8" s="38" customFormat="1" ht="21.75" customHeight="1">
      <c r="A15" s="68"/>
      <c r="B15" s="76" t="s">
        <v>781</v>
      </c>
      <c r="C15" s="628">
        <f t="shared" si="1"/>
        <v>797326000</v>
      </c>
      <c r="D15" s="628">
        <f t="shared" si="1"/>
        <v>580953500</v>
      </c>
      <c r="E15" s="629"/>
      <c r="H15" s="630"/>
    </row>
    <row r="16" spans="1:8" s="38" customFormat="1" ht="21.75" customHeight="1">
      <c r="A16" s="68"/>
      <c r="B16" s="76" t="s">
        <v>782</v>
      </c>
      <c r="C16" s="628">
        <f t="shared" si="1"/>
        <v>6151343000</v>
      </c>
      <c r="D16" s="628">
        <f t="shared" si="1"/>
        <v>4314329845</v>
      </c>
      <c r="E16" s="629"/>
      <c r="H16" s="630"/>
    </row>
    <row r="17" spans="1:8" ht="21.75" customHeight="1">
      <c r="A17" s="631" t="s">
        <v>308</v>
      </c>
      <c r="B17" s="632" t="s">
        <v>778</v>
      </c>
      <c r="C17" s="633">
        <f aca="true" t="shared" si="2" ref="C17:D19">C20+C23+C26+C29+C32+C35+C38+C41+C44+C47+C50+C53+C56</f>
        <v>5790006000</v>
      </c>
      <c r="D17" s="633">
        <f t="shared" si="2"/>
        <v>4416638345</v>
      </c>
      <c r="E17" s="634">
        <f aca="true" t="shared" si="3" ref="E17:E72">D17/C17*100</f>
        <v>76.28037596161386</v>
      </c>
      <c r="H17" s="48"/>
    </row>
    <row r="18" spans="1:8" s="38" customFormat="1" ht="21.75" customHeight="1">
      <c r="A18" s="635"/>
      <c r="B18" s="636" t="s">
        <v>781</v>
      </c>
      <c r="C18" s="637">
        <f t="shared" si="2"/>
        <v>483155000</v>
      </c>
      <c r="D18" s="637">
        <f t="shared" si="2"/>
        <v>349317500</v>
      </c>
      <c r="E18" s="638"/>
      <c r="H18" s="630"/>
    </row>
    <row r="19" spans="1:8" s="38" customFormat="1" ht="21.75" customHeight="1">
      <c r="A19" s="635"/>
      <c r="B19" s="636" t="s">
        <v>782</v>
      </c>
      <c r="C19" s="637">
        <f t="shared" si="2"/>
        <v>5306851000</v>
      </c>
      <c r="D19" s="637">
        <f t="shared" si="2"/>
        <v>4067320845</v>
      </c>
      <c r="E19" s="638"/>
      <c r="H19" s="630"/>
    </row>
    <row r="20" spans="1:8" ht="21.75" customHeight="1">
      <c r="A20" s="639" t="s">
        <v>779</v>
      </c>
      <c r="B20" s="75" t="s">
        <v>780</v>
      </c>
      <c r="C20" s="640">
        <f>SUM(C21:C22)</f>
        <v>1524110000</v>
      </c>
      <c r="D20" s="640">
        <f>SUM(D21:D22)</f>
        <v>1169913000</v>
      </c>
      <c r="E20" s="641">
        <f t="shared" si="3"/>
        <v>76.76040443275092</v>
      </c>
      <c r="H20" s="48"/>
    </row>
    <row r="21" spans="1:8" ht="21.75" customHeight="1">
      <c r="A21" s="642"/>
      <c r="B21" s="76" t="s">
        <v>781</v>
      </c>
      <c r="C21" s="643">
        <v>99950000</v>
      </c>
      <c r="D21" s="643">
        <v>65515000</v>
      </c>
      <c r="E21" s="644">
        <f t="shared" si="3"/>
        <v>65.54777388694347</v>
      </c>
      <c r="H21" s="48"/>
    </row>
    <row r="22" spans="1:8" ht="21.75" customHeight="1">
      <c r="A22" s="642"/>
      <c r="B22" s="76" t="s">
        <v>782</v>
      </c>
      <c r="C22" s="643">
        <v>1424160000</v>
      </c>
      <c r="D22" s="643">
        <v>1104398000</v>
      </c>
      <c r="E22" s="644">
        <f t="shared" si="3"/>
        <v>77.54732614312998</v>
      </c>
      <c r="H22" s="48"/>
    </row>
    <row r="23" spans="1:8" ht="21.75" customHeight="1">
      <c r="A23" s="639" t="s">
        <v>783</v>
      </c>
      <c r="B23" s="75" t="s">
        <v>784</v>
      </c>
      <c r="C23" s="640">
        <f>SUM(C24:C25)</f>
        <v>2469320000</v>
      </c>
      <c r="D23" s="640">
        <f>SUM(D24:D25)</f>
        <v>1754989845</v>
      </c>
      <c r="E23" s="641">
        <f t="shared" si="3"/>
        <v>71.07178676720717</v>
      </c>
      <c r="H23" s="48"/>
    </row>
    <row r="24" spans="1:8" ht="21.75" customHeight="1">
      <c r="A24" s="642"/>
      <c r="B24" s="76" t="s">
        <v>781</v>
      </c>
      <c r="C24" s="643">
        <v>157540000</v>
      </c>
      <c r="D24" s="643">
        <v>104610000</v>
      </c>
      <c r="E24" s="644">
        <f t="shared" si="3"/>
        <v>66.40218357242605</v>
      </c>
      <c r="H24" s="48"/>
    </row>
    <row r="25" spans="1:8" ht="21.75" customHeight="1">
      <c r="A25" s="642"/>
      <c r="B25" s="76" t="s">
        <v>782</v>
      </c>
      <c r="C25" s="643">
        <v>2311780000</v>
      </c>
      <c r="D25" s="643">
        <v>1650379845</v>
      </c>
      <c r="E25" s="644">
        <f t="shared" si="3"/>
        <v>71.39000445544126</v>
      </c>
      <c r="H25" s="48"/>
    </row>
    <row r="26" spans="1:8" ht="21.75" customHeight="1">
      <c r="A26" s="639" t="s">
        <v>785</v>
      </c>
      <c r="B26" s="75" t="s">
        <v>1120</v>
      </c>
      <c r="C26" s="640">
        <f>SUM(C27:C28)</f>
        <v>221980000</v>
      </c>
      <c r="D26" s="640">
        <f>SUM(D27:D28)</f>
        <v>325440000</v>
      </c>
      <c r="E26" s="641">
        <f t="shared" si="3"/>
        <v>146.60780250473016</v>
      </c>
      <c r="H26" s="48"/>
    </row>
    <row r="27" spans="1:8" ht="21.75" customHeight="1">
      <c r="A27" s="642"/>
      <c r="B27" s="76" t="s">
        <v>781</v>
      </c>
      <c r="C27" s="643">
        <v>22000000</v>
      </c>
      <c r="D27" s="645">
        <v>28000000</v>
      </c>
      <c r="E27" s="646">
        <f t="shared" si="3"/>
        <v>127.27272727272727</v>
      </c>
      <c r="H27" s="48"/>
    </row>
    <row r="28" spans="1:8" ht="21.75" customHeight="1">
      <c r="A28" s="642"/>
      <c r="B28" s="76" t="s">
        <v>782</v>
      </c>
      <c r="C28" s="643">
        <v>199980000</v>
      </c>
      <c r="D28" s="645">
        <v>297440000</v>
      </c>
      <c r="E28" s="646">
        <f t="shared" si="3"/>
        <v>148.73487348734872</v>
      </c>
      <c r="H28" s="48"/>
    </row>
    <row r="29" spans="1:8" ht="21.75" customHeight="1">
      <c r="A29" s="639" t="s">
        <v>786</v>
      </c>
      <c r="B29" s="75" t="s">
        <v>787</v>
      </c>
      <c r="C29" s="640">
        <f>SUM(C30:C31)</f>
        <v>3540000</v>
      </c>
      <c r="D29" s="640">
        <f>SUM(D30:D31)</f>
        <v>0</v>
      </c>
      <c r="E29" s="641">
        <f t="shared" si="3"/>
        <v>0</v>
      </c>
      <c r="H29" s="48"/>
    </row>
    <row r="30" spans="1:8" ht="21.75" customHeight="1">
      <c r="A30" s="642"/>
      <c r="B30" s="76" t="s">
        <v>781</v>
      </c>
      <c r="C30" s="643">
        <v>3540000</v>
      </c>
      <c r="D30" s="643"/>
      <c r="E30" s="644">
        <f t="shared" si="3"/>
        <v>0</v>
      </c>
      <c r="H30" s="48"/>
    </row>
    <row r="31" spans="1:8" ht="21.75" customHeight="1">
      <c r="A31" s="642"/>
      <c r="B31" s="76" t="s">
        <v>782</v>
      </c>
      <c r="C31" s="643"/>
      <c r="D31" s="647"/>
      <c r="E31" s="644"/>
      <c r="H31" s="48"/>
    </row>
    <row r="32" spans="1:8" ht="21.75" customHeight="1">
      <c r="A32" s="639" t="s">
        <v>788</v>
      </c>
      <c r="B32" s="75" t="s">
        <v>789</v>
      </c>
      <c r="C32" s="640">
        <f>SUM(C33:C34)</f>
        <v>345800000</v>
      </c>
      <c r="D32" s="640">
        <f>SUM(D33:D34)</f>
        <v>302170000</v>
      </c>
      <c r="E32" s="641">
        <f t="shared" si="3"/>
        <v>87.38288027761712</v>
      </c>
      <c r="H32" s="48"/>
    </row>
    <row r="33" spans="1:8" ht="21.75" customHeight="1">
      <c r="A33" s="642"/>
      <c r="B33" s="76" t="s">
        <v>781</v>
      </c>
      <c r="C33" s="643">
        <v>38000000</v>
      </c>
      <c r="D33" s="643">
        <v>31000000</v>
      </c>
      <c r="E33" s="644">
        <f t="shared" si="3"/>
        <v>81.57894736842105</v>
      </c>
      <c r="H33" s="48"/>
    </row>
    <row r="34" spans="1:8" ht="21.75" customHeight="1">
      <c r="A34" s="642"/>
      <c r="B34" s="76" t="s">
        <v>782</v>
      </c>
      <c r="C34" s="643">
        <v>307800000</v>
      </c>
      <c r="D34" s="643">
        <v>271170000</v>
      </c>
      <c r="E34" s="644">
        <f t="shared" si="3"/>
        <v>88.09941520467837</v>
      </c>
      <c r="H34" s="48"/>
    </row>
    <row r="35" spans="1:8" ht="21.75" customHeight="1">
      <c r="A35" s="639" t="s">
        <v>790</v>
      </c>
      <c r="B35" s="75" t="s">
        <v>791</v>
      </c>
      <c r="C35" s="640">
        <f>SUM(C36:C37)</f>
        <v>324625000</v>
      </c>
      <c r="D35" s="640">
        <f>SUM(D36:D37)</f>
        <v>293480000</v>
      </c>
      <c r="E35" s="641">
        <f t="shared" si="3"/>
        <v>90.40585290720061</v>
      </c>
      <c r="H35" s="48"/>
    </row>
    <row r="36" spans="1:8" ht="21.75" customHeight="1">
      <c r="A36" s="642"/>
      <c r="B36" s="76" t="s">
        <v>781</v>
      </c>
      <c r="C36" s="643">
        <v>42115000</v>
      </c>
      <c r="D36" s="643">
        <v>32685000</v>
      </c>
      <c r="E36" s="644">
        <f t="shared" si="3"/>
        <v>77.60892793541494</v>
      </c>
      <c r="H36" s="48"/>
    </row>
    <row r="37" spans="1:8" ht="21.75" customHeight="1">
      <c r="A37" s="642"/>
      <c r="B37" s="76" t="s">
        <v>782</v>
      </c>
      <c r="C37" s="643">
        <v>282510000</v>
      </c>
      <c r="D37" s="643">
        <v>260795000</v>
      </c>
      <c r="E37" s="644">
        <f t="shared" si="3"/>
        <v>92.31354642313546</v>
      </c>
      <c r="H37" s="48"/>
    </row>
    <row r="38" spans="1:8" ht="21.75" customHeight="1">
      <c r="A38" s="639" t="s">
        <v>792</v>
      </c>
      <c r="B38" s="75" t="s">
        <v>793</v>
      </c>
      <c r="C38" s="640">
        <f>SUM(C39:C40)</f>
        <v>95300000</v>
      </c>
      <c r="D38" s="640">
        <f>SUM(D39:D40)</f>
        <v>80021000</v>
      </c>
      <c r="E38" s="641">
        <f t="shared" si="3"/>
        <v>83.96747114375655</v>
      </c>
      <c r="H38" s="48"/>
    </row>
    <row r="39" spans="1:5" s="38" customFormat="1" ht="21.75" customHeight="1">
      <c r="A39" s="642"/>
      <c r="B39" s="76" t="s">
        <v>781</v>
      </c>
      <c r="C39" s="643">
        <v>12800000</v>
      </c>
      <c r="D39" s="643">
        <v>12680000</v>
      </c>
      <c r="E39" s="644">
        <f t="shared" si="3"/>
        <v>99.0625</v>
      </c>
    </row>
    <row r="40" spans="1:5" s="38" customFormat="1" ht="21.75" customHeight="1">
      <c r="A40" s="642"/>
      <c r="B40" s="76" t="s">
        <v>782</v>
      </c>
      <c r="C40" s="643">
        <v>82500000</v>
      </c>
      <c r="D40" s="643">
        <v>67341000</v>
      </c>
      <c r="E40" s="644">
        <f t="shared" si="3"/>
        <v>81.62545454545455</v>
      </c>
    </row>
    <row r="41" spans="1:5" s="36" customFormat="1" ht="21.75" customHeight="1">
      <c r="A41" s="639" t="s">
        <v>794</v>
      </c>
      <c r="B41" s="75" t="s">
        <v>795</v>
      </c>
      <c r="C41" s="640">
        <f>SUM(C42:C43)</f>
        <v>4275000</v>
      </c>
      <c r="D41" s="640">
        <f>SUM(D42:D43)</f>
        <v>3190000</v>
      </c>
      <c r="E41" s="641">
        <f t="shared" si="3"/>
        <v>74.61988304093568</v>
      </c>
    </row>
    <row r="42" spans="1:8" ht="21.75" customHeight="1">
      <c r="A42" s="642"/>
      <c r="B42" s="76" t="s">
        <v>781</v>
      </c>
      <c r="C42" s="643">
        <v>4275000</v>
      </c>
      <c r="D42" s="643">
        <v>3190000</v>
      </c>
      <c r="E42" s="644">
        <f t="shared" si="3"/>
        <v>74.61988304093568</v>
      </c>
      <c r="H42" s="48"/>
    </row>
    <row r="43" spans="1:5" s="648" customFormat="1" ht="21.75" customHeight="1" hidden="1">
      <c r="A43" s="642"/>
      <c r="B43" s="76" t="s">
        <v>782</v>
      </c>
      <c r="C43" s="643"/>
      <c r="D43" s="643"/>
      <c r="E43" s="644"/>
    </row>
    <row r="44" spans="1:7" s="648" customFormat="1" ht="21.75" customHeight="1">
      <c r="A44" s="639" t="s">
        <v>796</v>
      </c>
      <c r="B44" s="75" t="s">
        <v>797</v>
      </c>
      <c r="C44" s="640">
        <f>SUM(C45:C46)</f>
        <v>359240000</v>
      </c>
      <c r="D44" s="640">
        <f>SUM(D45:D46)</f>
        <v>138480000</v>
      </c>
      <c r="E44" s="641">
        <f t="shared" si="3"/>
        <v>38.54804587462421</v>
      </c>
      <c r="G44" s="649"/>
    </row>
    <row r="45" spans="1:5" ht="21.75" customHeight="1">
      <c r="A45" s="642"/>
      <c r="B45" s="76" t="s">
        <v>781</v>
      </c>
      <c r="C45" s="643">
        <v>36500000</v>
      </c>
      <c r="D45" s="643">
        <v>14400000</v>
      </c>
      <c r="E45" s="644">
        <f t="shared" si="3"/>
        <v>39.45205479452055</v>
      </c>
    </row>
    <row r="46" spans="1:5" s="39" customFormat="1" ht="21.75" customHeight="1">
      <c r="A46" s="642"/>
      <c r="B46" s="76" t="s">
        <v>782</v>
      </c>
      <c r="C46" s="643">
        <v>322740000</v>
      </c>
      <c r="D46" s="643">
        <v>124080000</v>
      </c>
      <c r="E46" s="644">
        <f t="shared" si="3"/>
        <v>38.445807770961146</v>
      </c>
    </row>
    <row r="47" spans="1:5" ht="21.75" customHeight="1">
      <c r="A47" s="639" t="s">
        <v>798</v>
      </c>
      <c r="B47" s="75" t="s">
        <v>799</v>
      </c>
      <c r="C47" s="640">
        <f>SUM(C48:C49)</f>
        <v>336731000</v>
      </c>
      <c r="D47" s="640">
        <f>SUM(D48:D49)</f>
        <v>248952000</v>
      </c>
      <c r="E47" s="641">
        <f t="shared" si="3"/>
        <v>73.93201101175715</v>
      </c>
    </row>
    <row r="48" spans="1:5" ht="21.75" customHeight="1">
      <c r="A48" s="642"/>
      <c r="B48" s="76" t="s">
        <v>781</v>
      </c>
      <c r="C48" s="643">
        <v>28850000</v>
      </c>
      <c r="D48" s="650">
        <v>20385000</v>
      </c>
      <c r="E48" s="651">
        <f t="shared" si="3"/>
        <v>70.65857885615252</v>
      </c>
    </row>
    <row r="49" spans="1:5" ht="21.75" customHeight="1">
      <c r="A49" s="642"/>
      <c r="B49" s="76" t="s">
        <v>782</v>
      </c>
      <c r="C49" s="643">
        <v>307881000</v>
      </c>
      <c r="D49" s="650">
        <v>228567000</v>
      </c>
      <c r="E49" s="651">
        <f t="shared" si="3"/>
        <v>74.23874808773519</v>
      </c>
    </row>
    <row r="50" spans="1:5" ht="21.75" customHeight="1">
      <c r="A50" s="639" t="s">
        <v>800</v>
      </c>
      <c r="B50" s="75" t="s">
        <v>801</v>
      </c>
      <c r="C50" s="640">
        <f>SUM(C51:C52)</f>
        <v>79625000</v>
      </c>
      <c r="D50" s="640">
        <f>SUM(D51:D52)</f>
        <v>80295000</v>
      </c>
      <c r="E50" s="641">
        <f t="shared" si="3"/>
        <v>100.84144427001569</v>
      </c>
    </row>
    <row r="51" spans="1:5" ht="21.75" customHeight="1">
      <c r="A51" s="642"/>
      <c r="B51" s="76" t="s">
        <v>781</v>
      </c>
      <c r="C51" s="643">
        <v>12125000</v>
      </c>
      <c r="D51" s="643">
        <v>17145000</v>
      </c>
      <c r="E51" s="644">
        <f t="shared" si="3"/>
        <v>141.4020618556701</v>
      </c>
    </row>
    <row r="52" spans="1:5" ht="21.75" customHeight="1">
      <c r="A52" s="642"/>
      <c r="B52" s="76" t="s">
        <v>782</v>
      </c>
      <c r="C52" s="643">
        <v>67500000</v>
      </c>
      <c r="D52" s="643">
        <v>63150000</v>
      </c>
      <c r="E52" s="644">
        <f t="shared" si="3"/>
        <v>93.55555555555556</v>
      </c>
    </row>
    <row r="53" spans="1:5" ht="21.75" customHeight="1">
      <c r="A53" s="639" t="s">
        <v>344</v>
      </c>
      <c r="B53" s="75" t="s">
        <v>802</v>
      </c>
      <c r="C53" s="640">
        <f>SUM(C54:C55)</f>
        <v>14645000</v>
      </c>
      <c r="D53" s="640">
        <f>SUM(D54:D55)</f>
        <v>12267500</v>
      </c>
      <c r="E53" s="641">
        <f t="shared" si="3"/>
        <v>83.76579037214066</v>
      </c>
    </row>
    <row r="54" spans="1:5" ht="21.75" customHeight="1">
      <c r="A54" s="642"/>
      <c r="B54" s="76" t="s">
        <v>781</v>
      </c>
      <c r="C54" s="643">
        <v>14645000</v>
      </c>
      <c r="D54" s="643">
        <v>12267500</v>
      </c>
      <c r="E54" s="644">
        <f t="shared" si="3"/>
        <v>83.76579037214066</v>
      </c>
    </row>
    <row r="55" spans="1:5" ht="21.75" customHeight="1" hidden="1">
      <c r="A55" s="642"/>
      <c r="B55" s="76" t="s">
        <v>782</v>
      </c>
      <c r="C55" s="643"/>
      <c r="D55" s="643"/>
      <c r="E55" s="644" t="e">
        <f t="shared" si="3"/>
        <v>#DIV/0!</v>
      </c>
    </row>
    <row r="56" spans="1:5" ht="21.75" customHeight="1">
      <c r="A56" s="639" t="s">
        <v>803</v>
      </c>
      <c r="B56" s="78" t="s">
        <v>804</v>
      </c>
      <c r="C56" s="640">
        <f>SUM(C57:C58)</f>
        <v>10815000</v>
      </c>
      <c r="D56" s="640">
        <f>SUM(D57:D58)</f>
        <v>7440000</v>
      </c>
      <c r="E56" s="641">
        <f t="shared" si="3"/>
        <v>68.79334257975034</v>
      </c>
    </row>
    <row r="57" spans="1:5" ht="21.75" customHeight="1">
      <c r="A57" s="642"/>
      <c r="B57" s="76" t="s">
        <v>781</v>
      </c>
      <c r="C57" s="643">
        <v>10815000</v>
      </c>
      <c r="D57" s="643">
        <v>7440000</v>
      </c>
      <c r="E57" s="644">
        <f t="shared" si="3"/>
        <v>68.79334257975034</v>
      </c>
    </row>
    <row r="58" spans="1:5" ht="21.75" customHeight="1">
      <c r="A58" s="642"/>
      <c r="B58" s="76" t="s">
        <v>782</v>
      </c>
      <c r="C58" s="643"/>
      <c r="D58" s="643"/>
      <c r="E58" s="644"/>
    </row>
    <row r="59" spans="1:5" ht="21.75" customHeight="1">
      <c r="A59" s="652" t="s">
        <v>364</v>
      </c>
      <c r="B59" s="79" t="s">
        <v>805</v>
      </c>
      <c r="C59" s="653">
        <f aca="true" t="shared" si="4" ref="C59:D61">C62+C65+C68+C71+C74+C77+C80+C83+C86</f>
        <v>1158663000</v>
      </c>
      <c r="D59" s="653">
        <f t="shared" si="4"/>
        <v>478645000</v>
      </c>
      <c r="E59" s="654">
        <f t="shared" si="3"/>
        <v>41.31011346698738</v>
      </c>
    </row>
    <row r="60" spans="1:5" ht="21.75" customHeight="1">
      <c r="A60" s="642"/>
      <c r="B60" s="76" t="s">
        <v>781</v>
      </c>
      <c r="C60" s="643">
        <f t="shared" si="4"/>
        <v>314171000</v>
      </c>
      <c r="D60" s="643">
        <f t="shared" si="4"/>
        <v>231636000</v>
      </c>
      <c r="E60" s="646">
        <f>D60/C60*100</f>
        <v>73.72927482167356</v>
      </c>
    </row>
    <row r="61" spans="1:5" ht="21.75" customHeight="1">
      <c r="A61" s="642"/>
      <c r="B61" s="76" t="s">
        <v>807</v>
      </c>
      <c r="C61" s="643">
        <f t="shared" si="4"/>
        <v>844492000</v>
      </c>
      <c r="D61" s="643">
        <f t="shared" si="4"/>
        <v>247009000</v>
      </c>
      <c r="E61" s="646">
        <f>D61/C61*100</f>
        <v>29.249418585374404</v>
      </c>
    </row>
    <row r="62" spans="1:5" ht="21.75" customHeight="1">
      <c r="A62" s="639" t="s">
        <v>779</v>
      </c>
      <c r="B62" s="75" t="s">
        <v>806</v>
      </c>
      <c r="C62" s="640">
        <f>SUM(C63:C64)</f>
        <v>1015492000</v>
      </c>
      <c r="D62" s="640">
        <f>SUM(D63:D64)</f>
        <v>351622200</v>
      </c>
      <c r="E62" s="641">
        <f t="shared" si="3"/>
        <v>34.625797150543775</v>
      </c>
    </row>
    <row r="63" spans="1:5" ht="21.75" customHeight="1">
      <c r="A63" s="642"/>
      <c r="B63" s="76" t="s">
        <v>781</v>
      </c>
      <c r="C63" s="643">
        <v>171000000</v>
      </c>
      <c r="D63" s="645">
        <v>104613200</v>
      </c>
      <c r="E63" s="646">
        <f t="shared" si="3"/>
        <v>61.17730994152046</v>
      </c>
    </row>
    <row r="64" spans="1:5" ht="21.75" customHeight="1">
      <c r="A64" s="642"/>
      <c r="B64" s="76" t="s">
        <v>807</v>
      </c>
      <c r="C64" s="643">
        <v>844492000</v>
      </c>
      <c r="D64" s="645">
        <v>247009000</v>
      </c>
      <c r="E64" s="646">
        <f t="shared" si="3"/>
        <v>29.249418585374404</v>
      </c>
    </row>
    <row r="65" spans="1:5" ht="21.75" customHeight="1">
      <c r="A65" s="639" t="s">
        <v>783</v>
      </c>
      <c r="B65" s="75" t="s">
        <v>808</v>
      </c>
      <c r="C65" s="640">
        <f>SUM(C66:C67)</f>
        <v>47500000</v>
      </c>
      <c r="D65" s="640">
        <f>SUM(D66:D67)</f>
        <v>47762200</v>
      </c>
      <c r="E65" s="641">
        <f t="shared" si="3"/>
        <v>100.55199999999999</v>
      </c>
    </row>
    <row r="66" spans="1:5" ht="21.75" customHeight="1">
      <c r="A66" s="642"/>
      <c r="B66" s="76" t="s">
        <v>781</v>
      </c>
      <c r="C66" s="643">
        <v>47500000</v>
      </c>
      <c r="D66" s="645">
        <v>47762200</v>
      </c>
      <c r="E66" s="646">
        <f>D66/C66*100</f>
        <v>100.55199999999999</v>
      </c>
    </row>
    <row r="67" spans="1:5" ht="21.75" customHeight="1">
      <c r="A67" s="642"/>
      <c r="B67" s="76" t="s">
        <v>807</v>
      </c>
      <c r="C67" s="643"/>
      <c r="D67" s="643"/>
      <c r="E67" s="644"/>
    </row>
    <row r="68" spans="1:5" ht="21.75" customHeight="1">
      <c r="A68" s="639" t="s">
        <v>785</v>
      </c>
      <c r="B68" s="75" t="s">
        <v>809</v>
      </c>
      <c r="C68" s="640">
        <f>SUM(C69:C70)</f>
        <v>42000000</v>
      </c>
      <c r="D68" s="640">
        <f>SUM(D69:D70)</f>
        <v>40080000</v>
      </c>
      <c r="E68" s="641">
        <f t="shared" si="3"/>
        <v>95.42857142857143</v>
      </c>
    </row>
    <row r="69" spans="1:5" ht="21.75" customHeight="1">
      <c r="A69" s="642"/>
      <c r="B69" s="76" t="s">
        <v>781</v>
      </c>
      <c r="C69" s="643">
        <v>42000000</v>
      </c>
      <c r="D69" s="645">
        <v>40080000</v>
      </c>
      <c r="E69" s="646">
        <f t="shared" si="3"/>
        <v>95.42857142857143</v>
      </c>
    </row>
    <row r="70" spans="1:5" ht="21.75" customHeight="1">
      <c r="A70" s="642"/>
      <c r="B70" s="76" t="s">
        <v>807</v>
      </c>
      <c r="C70" s="643"/>
      <c r="D70" s="643"/>
      <c r="E70" s="644"/>
    </row>
    <row r="71" spans="1:5" ht="21.75" customHeight="1">
      <c r="A71" s="639" t="s">
        <v>786</v>
      </c>
      <c r="B71" s="75" t="s">
        <v>810</v>
      </c>
      <c r="C71" s="640">
        <f>SUM(C72:C73)</f>
        <v>15008000</v>
      </c>
      <c r="D71" s="640">
        <f>SUM(D72:D73)</f>
        <v>14029600</v>
      </c>
      <c r="E71" s="641">
        <f t="shared" si="3"/>
        <v>93.48081023454158</v>
      </c>
    </row>
    <row r="72" spans="1:5" ht="21.75" customHeight="1">
      <c r="A72" s="642"/>
      <c r="B72" s="76" t="s">
        <v>781</v>
      </c>
      <c r="C72" s="643">
        <v>15008000</v>
      </c>
      <c r="D72" s="643">
        <v>14029600</v>
      </c>
      <c r="E72" s="644">
        <f t="shared" si="3"/>
        <v>93.48081023454158</v>
      </c>
    </row>
    <row r="73" spans="1:5" ht="21.75" customHeight="1">
      <c r="A73" s="642"/>
      <c r="B73" s="76" t="s">
        <v>807</v>
      </c>
      <c r="C73" s="643"/>
      <c r="D73" s="643"/>
      <c r="E73" s="644"/>
    </row>
    <row r="74" spans="1:5" ht="21.75" customHeight="1">
      <c r="A74" s="639" t="s">
        <v>788</v>
      </c>
      <c r="B74" s="75" t="s">
        <v>811</v>
      </c>
      <c r="C74" s="640">
        <f>SUM(C75:C76)</f>
        <v>9000000</v>
      </c>
      <c r="D74" s="640">
        <f>SUM(D75:D76)</f>
        <v>0</v>
      </c>
      <c r="E74" s="641"/>
    </row>
    <row r="75" spans="1:5" ht="21.75" customHeight="1">
      <c r="A75" s="642"/>
      <c r="B75" s="76" t="s">
        <v>781</v>
      </c>
      <c r="C75" s="643">
        <v>9000000</v>
      </c>
      <c r="D75" s="645"/>
      <c r="E75" s="646">
        <f>D75/C75</f>
        <v>0</v>
      </c>
    </row>
    <row r="76" spans="1:5" ht="21.75" customHeight="1">
      <c r="A76" s="642"/>
      <c r="B76" s="76" t="s">
        <v>807</v>
      </c>
      <c r="C76" s="643"/>
      <c r="D76" s="643"/>
      <c r="E76" s="644"/>
    </row>
    <row r="77" spans="1:5" ht="21.75" customHeight="1">
      <c r="A77" s="639" t="s">
        <v>790</v>
      </c>
      <c r="B77" s="75" t="s">
        <v>1121</v>
      </c>
      <c r="C77" s="640">
        <f>SUM(C78:C79)</f>
        <v>8368000</v>
      </c>
      <c r="D77" s="640">
        <f>SUM(D78:D79)</f>
        <v>5163000</v>
      </c>
      <c r="E77" s="655">
        <f>D77/C77</f>
        <v>0.6169933078393881</v>
      </c>
    </row>
    <row r="78" spans="1:5" ht="21.75" customHeight="1">
      <c r="A78" s="642"/>
      <c r="B78" s="76" t="s">
        <v>781</v>
      </c>
      <c r="C78" s="643">
        <v>8368000</v>
      </c>
      <c r="D78" s="645">
        <v>5163000</v>
      </c>
      <c r="E78" s="646">
        <f>D78/C78</f>
        <v>0.6169933078393881</v>
      </c>
    </row>
    <row r="79" spans="1:5" ht="21.75" customHeight="1" hidden="1">
      <c r="A79" s="642"/>
      <c r="B79" s="76" t="s">
        <v>807</v>
      </c>
      <c r="C79" s="643"/>
      <c r="D79" s="643"/>
      <c r="E79" s="644"/>
    </row>
    <row r="80" spans="1:5" ht="21.75" customHeight="1">
      <c r="A80" s="639" t="s">
        <v>792</v>
      </c>
      <c r="B80" s="75" t="s">
        <v>812</v>
      </c>
      <c r="C80" s="640">
        <f>SUM(C81:C82)</f>
        <v>8242000</v>
      </c>
      <c r="D80" s="640">
        <f>SUM(D81:D82)</f>
        <v>7250400</v>
      </c>
      <c r="E80" s="641"/>
    </row>
    <row r="81" spans="1:5" ht="21.75" customHeight="1">
      <c r="A81" s="642"/>
      <c r="B81" s="76" t="s">
        <v>781</v>
      </c>
      <c r="C81" s="643">
        <v>8242000</v>
      </c>
      <c r="D81" s="645">
        <v>7250400</v>
      </c>
      <c r="E81" s="646">
        <f>D81/C81</f>
        <v>0.8796893957777239</v>
      </c>
    </row>
    <row r="82" spans="1:5" ht="21.75" customHeight="1">
      <c r="A82" s="642"/>
      <c r="B82" s="76" t="s">
        <v>807</v>
      </c>
      <c r="C82" s="643"/>
      <c r="D82" s="643"/>
      <c r="E82" s="644"/>
    </row>
    <row r="83" spans="1:5" ht="21.75" customHeight="1">
      <c r="A83" s="639" t="s">
        <v>794</v>
      </c>
      <c r="B83" s="75" t="s">
        <v>813</v>
      </c>
      <c r="C83" s="640">
        <f>SUM(C84:C85)</f>
        <v>8949000</v>
      </c>
      <c r="D83" s="640">
        <f>SUM(D84:D85)</f>
        <v>8519600</v>
      </c>
      <c r="E83" s="641"/>
    </row>
    <row r="84" spans="1:5" ht="21.75" customHeight="1">
      <c r="A84" s="642"/>
      <c r="B84" s="76" t="s">
        <v>781</v>
      </c>
      <c r="C84" s="643">
        <v>8949000</v>
      </c>
      <c r="D84" s="645">
        <v>8519600</v>
      </c>
      <c r="E84" s="646">
        <f>D84/C84</f>
        <v>0.9520169851380043</v>
      </c>
    </row>
    <row r="85" spans="1:5" ht="21.75" customHeight="1">
      <c r="A85" s="642"/>
      <c r="B85" s="76" t="s">
        <v>807</v>
      </c>
      <c r="C85" s="643"/>
      <c r="D85" s="643"/>
      <c r="E85" s="644"/>
    </row>
    <row r="86" spans="1:5" ht="21.75" customHeight="1">
      <c r="A86" s="639" t="s">
        <v>796</v>
      </c>
      <c r="B86" s="75" t="s">
        <v>814</v>
      </c>
      <c r="C86" s="640">
        <f>SUM(C87:C88)</f>
        <v>4104000</v>
      </c>
      <c r="D86" s="640">
        <f>SUM(D87:D88)</f>
        <v>4218000</v>
      </c>
      <c r="E86" s="641"/>
    </row>
    <row r="87" spans="1:5" ht="21.75" customHeight="1">
      <c r="A87" s="656"/>
      <c r="B87" s="80" t="s">
        <v>781</v>
      </c>
      <c r="C87" s="657">
        <v>4104000</v>
      </c>
      <c r="D87" s="658">
        <v>4218000</v>
      </c>
      <c r="E87" s="659">
        <f>D87/C87</f>
        <v>1.0277777777777777</v>
      </c>
    </row>
    <row r="88" spans="1:5" ht="18.75" customHeight="1" hidden="1">
      <c r="A88" s="84"/>
      <c r="B88" s="85" t="s">
        <v>807</v>
      </c>
      <c r="C88" s="86"/>
      <c r="D88" s="86"/>
      <c r="E88" s="83"/>
    </row>
    <row r="89" spans="1:5" ht="19.5" customHeight="1" hidden="1">
      <c r="A89" s="385" t="s">
        <v>792</v>
      </c>
      <c r="B89" s="87" t="s">
        <v>812</v>
      </c>
      <c r="C89" s="82">
        <f>SUM(C90:C91)</f>
        <v>6000000</v>
      </c>
      <c r="D89" s="82">
        <f>SUM(D90:D91)</f>
        <v>4035600</v>
      </c>
      <c r="E89" s="83"/>
    </row>
    <row r="90" spans="1:5" ht="56.25" customHeight="1" hidden="1">
      <c r="A90" s="84"/>
      <c r="B90" s="85" t="s">
        <v>781</v>
      </c>
      <c r="C90" s="86">
        <v>6000000</v>
      </c>
      <c r="D90" s="86">
        <v>4035600</v>
      </c>
      <c r="E90" s="83">
        <f>D90/C90</f>
        <v>0.6726</v>
      </c>
    </row>
    <row r="91" spans="1:5" ht="15.75" customHeight="1" hidden="1">
      <c r="A91" s="84"/>
      <c r="B91" s="85" t="s">
        <v>807</v>
      </c>
      <c r="C91" s="86"/>
      <c r="D91" s="86"/>
      <c r="E91" s="83"/>
    </row>
    <row r="92" spans="1:5" ht="15.75" customHeight="1" hidden="1">
      <c r="A92" s="385" t="s">
        <v>794</v>
      </c>
      <c r="B92" s="81" t="s">
        <v>813</v>
      </c>
      <c r="C92" s="82">
        <f>SUM(C93:C94)</f>
        <v>3000000</v>
      </c>
      <c r="D92" s="82">
        <f>SUM(D93:D94)</f>
        <v>11647000</v>
      </c>
      <c r="E92" s="83"/>
    </row>
    <row r="93" spans="1:5" ht="15.75" customHeight="1" hidden="1">
      <c r="A93" s="84"/>
      <c r="B93" s="85" t="s">
        <v>781</v>
      </c>
      <c r="C93" s="86">
        <v>3000000</v>
      </c>
      <c r="D93" s="86">
        <v>11647000</v>
      </c>
      <c r="E93" s="83">
        <f>D93/C93</f>
        <v>3.8823333333333334</v>
      </c>
    </row>
    <row r="94" spans="1:5" ht="18.75" customHeight="1" hidden="1">
      <c r="A94" s="84"/>
      <c r="B94" s="85" t="s">
        <v>807</v>
      </c>
      <c r="C94" s="86"/>
      <c r="D94" s="86"/>
      <c r="E94" s="83"/>
    </row>
    <row r="95" spans="1:5" ht="18.75" customHeight="1" hidden="1">
      <c r="A95" s="385" t="s">
        <v>796</v>
      </c>
      <c r="B95" s="81" t="s">
        <v>814</v>
      </c>
      <c r="C95" s="82">
        <f>SUM(C96:C97)</f>
        <v>7000000</v>
      </c>
      <c r="D95" s="82">
        <f>SUM(D96:D97)</f>
        <v>4628400</v>
      </c>
      <c r="E95" s="83"/>
    </row>
    <row r="96" spans="1:5" ht="18.75" customHeight="1" hidden="1">
      <c r="A96" s="84"/>
      <c r="B96" s="85" t="s">
        <v>781</v>
      </c>
      <c r="C96" s="86">
        <v>7000000</v>
      </c>
      <c r="D96" s="88">
        <f>4628400</f>
        <v>4628400</v>
      </c>
      <c r="E96" s="83">
        <f>D96/C96</f>
        <v>0.6612</v>
      </c>
    </row>
    <row r="97" spans="1:5" ht="18.75" customHeight="1" hidden="1">
      <c r="A97" s="84"/>
      <c r="B97" s="85" t="s">
        <v>807</v>
      </c>
      <c r="C97" s="86"/>
      <c r="D97" s="86"/>
      <c r="E97" s="83"/>
    </row>
    <row r="98" spans="1:5" ht="18.75" hidden="1">
      <c r="A98" s="89"/>
      <c r="B98" s="386" t="s">
        <v>815</v>
      </c>
      <c r="C98" s="91"/>
      <c r="D98" s="91"/>
      <c r="E98" s="92"/>
    </row>
    <row r="99" spans="1:5" ht="18.75" hidden="1">
      <c r="A99" s="93">
        <v>1</v>
      </c>
      <c r="B99" s="94" t="s">
        <v>816</v>
      </c>
      <c r="C99" s="95"/>
      <c r="D99" s="95"/>
      <c r="E99" s="96"/>
    </row>
    <row r="100" spans="1:5" ht="18.75" hidden="1">
      <c r="A100" s="89"/>
      <c r="B100" s="90" t="s">
        <v>817</v>
      </c>
      <c r="C100" s="91"/>
      <c r="D100" s="91"/>
      <c r="E100" s="92"/>
    </row>
    <row r="101" spans="1:5" ht="18.75" hidden="1">
      <c r="A101" s="89"/>
      <c r="B101" s="386" t="s">
        <v>818</v>
      </c>
      <c r="C101" s="91"/>
      <c r="D101" s="91"/>
      <c r="E101" s="92"/>
    </row>
    <row r="102" spans="1:5" ht="18.75" hidden="1">
      <c r="A102" s="89"/>
      <c r="B102" s="386" t="s">
        <v>819</v>
      </c>
      <c r="C102" s="91"/>
      <c r="D102" s="91"/>
      <c r="E102" s="92"/>
    </row>
    <row r="103" spans="1:5" ht="18.75" hidden="1">
      <c r="A103" s="89"/>
      <c r="B103" s="386" t="s">
        <v>815</v>
      </c>
      <c r="C103" s="91"/>
      <c r="D103" s="91"/>
      <c r="E103" s="92"/>
    </row>
    <row r="104" spans="1:5" ht="18.75" hidden="1">
      <c r="A104" s="93">
        <v>2</v>
      </c>
      <c r="B104" s="94" t="s">
        <v>820</v>
      </c>
      <c r="C104" s="97"/>
      <c r="D104" s="97"/>
      <c r="E104" s="98"/>
    </row>
    <row r="105" spans="1:5" ht="18.75" hidden="1">
      <c r="A105" s="89"/>
      <c r="B105" s="90" t="s">
        <v>817</v>
      </c>
      <c r="C105" s="97"/>
      <c r="D105" s="97"/>
      <c r="E105" s="98"/>
    </row>
    <row r="106" spans="1:5" ht="18.75" hidden="1">
      <c r="A106" s="89"/>
      <c r="B106" s="386" t="s">
        <v>818</v>
      </c>
      <c r="C106" s="97"/>
      <c r="D106" s="97"/>
      <c r="E106" s="98"/>
    </row>
    <row r="107" spans="1:5" ht="18.75" hidden="1">
      <c r="A107" s="89"/>
      <c r="B107" s="386" t="s">
        <v>819</v>
      </c>
      <c r="C107" s="97"/>
      <c r="D107" s="97"/>
      <c r="E107" s="98"/>
    </row>
    <row r="108" spans="1:5" ht="18.75" hidden="1">
      <c r="A108" s="89"/>
      <c r="B108" s="386" t="s">
        <v>815</v>
      </c>
      <c r="C108" s="91"/>
      <c r="D108" s="91"/>
      <c r="E108" s="92"/>
    </row>
    <row r="109" spans="1:5" ht="18.75" hidden="1">
      <c r="A109" s="93">
        <v>3</v>
      </c>
      <c r="B109" s="94" t="s">
        <v>821</v>
      </c>
      <c r="C109" s="97"/>
      <c r="D109" s="97"/>
      <c r="E109" s="98"/>
    </row>
    <row r="110" spans="1:5" ht="18.75" hidden="1">
      <c r="A110" s="89"/>
      <c r="B110" s="90" t="s">
        <v>817</v>
      </c>
      <c r="C110" s="97"/>
      <c r="D110" s="97"/>
      <c r="E110" s="98"/>
    </row>
    <row r="111" spans="1:5" ht="18.75" hidden="1">
      <c r="A111" s="89"/>
      <c r="B111" s="386" t="s">
        <v>818</v>
      </c>
      <c r="C111" s="97"/>
      <c r="D111" s="97"/>
      <c r="E111" s="98"/>
    </row>
    <row r="112" spans="1:5" ht="18.75" hidden="1">
      <c r="A112" s="89"/>
      <c r="B112" s="386" t="s">
        <v>819</v>
      </c>
      <c r="C112" s="97"/>
      <c r="D112" s="97"/>
      <c r="E112" s="98"/>
    </row>
    <row r="113" spans="1:5" ht="18.75" hidden="1">
      <c r="A113" s="89"/>
      <c r="B113" s="386" t="s">
        <v>815</v>
      </c>
      <c r="C113" s="91"/>
      <c r="D113" s="91"/>
      <c r="E113" s="92"/>
    </row>
    <row r="114" spans="1:5" ht="18.75" hidden="1">
      <c r="A114" s="99"/>
      <c r="B114" s="100"/>
      <c r="C114" s="101"/>
      <c r="D114" s="101"/>
      <c r="E114" s="102"/>
    </row>
    <row r="115" ht="15.75" hidden="1"/>
    <row r="116" ht="15.75" hidden="1"/>
    <row r="117" ht="15.75" hidden="1"/>
    <row r="118" ht="15.75" hidden="1"/>
    <row r="119" ht="15.75" hidden="1"/>
    <row r="121" spans="2:8" ht="18.75">
      <c r="B121" s="789" t="s">
        <v>1145</v>
      </c>
      <c r="C121" s="789"/>
      <c r="D121" s="789"/>
      <c r="E121" s="789"/>
      <c r="F121" s="103"/>
      <c r="G121" s="103"/>
      <c r="H121" s="103"/>
    </row>
    <row r="122" spans="2:7" ht="15.75">
      <c r="B122" s="719" t="s">
        <v>822</v>
      </c>
      <c r="C122" s="719"/>
      <c r="D122" s="719"/>
      <c r="E122" s="719"/>
      <c r="F122" s="104"/>
      <c r="G122" s="104"/>
    </row>
    <row r="123" spans="2:7" ht="15.75">
      <c r="B123" s="719" t="s">
        <v>823</v>
      </c>
      <c r="C123" s="719"/>
      <c r="D123" s="719"/>
      <c r="E123" s="719"/>
      <c r="F123" s="104"/>
      <c r="G123" s="104"/>
    </row>
  </sheetData>
  <sheetProtection/>
  <mergeCells count="5">
    <mergeCell ref="D1:E1"/>
    <mergeCell ref="A2:E2"/>
    <mergeCell ref="B121:E121"/>
    <mergeCell ref="B122:E122"/>
    <mergeCell ref="B123:E123"/>
  </mergeCells>
  <printOptions/>
  <pageMargins left="0.7" right="0.26"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FF00"/>
  </sheetPr>
  <dimension ref="A1:L34"/>
  <sheetViews>
    <sheetView zoomScalePageLayoutView="0" workbookViewId="0" topLeftCell="A4">
      <selection activeCell="E17" sqref="E17"/>
    </sheetView>
  </sheetViews>
  <sheetFormatPr defaultColWidth="9.33203125" defaultRowHeight="12.75"/>
  <cols>
    <col min="1" max="1" width="7.83203125" style="0" customWidth="1"/>
    <col min="2" max="2" width="41.5" style="0" customWidth="1"/>
    <col min="4" max="4" width="8.5" style="0" customWidth="1"/>
    <col min="5" max="5" width="11.16015625" style="0" customWidth="1"/>
    <col min="6" max="7" width="11" style="0" customWidth="1"/>
    <col min="8" max="8" width="11.66015625" style="0" customWidth="1"/>
    <col min="9" max="9" width="12.33203125" style="0" customWidth="1"/>
    <col min="10" max="10" width="12.5" style="0" customWidth="1"/>
    <col min="11" max="11" width="11.66015625" style="0" customWidth="1"/>
  </cols>
  <sheetData>
    <row r="1" spans="1:10" ht="12.75">
      <c r="A1" s="19" t="s">
        <v>824</v>
      </c>
      <c r="J1" s="20" t="s">
        <v>825</v>
      </c>
    </row>
    <row r="2" ht="12.75">
      <c r="A2" s="19" t="s">
        <v>826</v>
      </c>
    </row>
    <row r="3" ht="12.75">
      <c r="A3" s="20" t="s">
        <v>827</v>
      </c>
    </row>
    <row r="4" ht="12.75">
      <c r="A4" s="20"/>
    </row>
    <row r="5" spans="1:11" ht="12.75">
      <c r="A5" s="719" t="s">
        <v>828</v>
      </c>
      <c r="B5" s="719"/>
      <c r="C5" s="719"/>
      <c r="D5" s="719"/>
      <c r="E5" s="719"/>
      <c r="F5" s="719"/>
      <c r="G5" s="719"/>
      <c r="H5" s="719"/>
      <c r="I5" s="719"/>
      <c r="J5" s="719"/>
      <c r="K5" s="719"/>
    </row>
    <row r="6" spans="1:11" ht="12.75">
      <c r="A6" s="719" t="s">
        <v>829</v>
      </c>
      <c r="B6" s="719"/>
      <c r="C6" s="719"/>
      <c r="D6" s="719"/>
      <c r="E6" s="719"/>
      <c r="F6" s="719"/>
      <c r="G6" s="719"/>
      <c r="H6" s="719"/>
      <c r="I6" s="719"/>
      <c r="J6" s="719"/>
      <c r="K6" s="719"/>
    </row>
    <row r="7" spans="1:12" ht="15">
      <c r="A7" s="727" t="s">
        <v>830</v>
      </c>
      <c r="B7" s="727"/>
      <c r="C7" s="727"/>
      <c r="D7" s="727"/>
      <c r="E7" s="727"/>
      <c r="F7" s="727"/>
      <c r="G7" s="727"/>
      <c r="H7" s="727"/>
      <c r="I7" s="727"/>
      <c r="J7" s="727"/>
      <c r="K7" s="727"/>
      <c r="L7" s="35"/>
    </row>
    <row r="9" spans="1:11" ht="46.5" customHeight="1">
      <c r="A9" s="732" t="s">
        <v>3</v>
      </c>
      <c r="B9" s="732" t="s">
        <v>831</v>
      </c>
      <c r="C9" s="732" t="s">
        <v>832</v>
      </c>
      <c r="D9" s="732" t="s">
        <v>833</v>
      </c>
      <c r="E9" s="732" t="s">
        <v>834</v>
      </c>
      <c r="F9" s="732"/>
      <c r="G9" s="732"/>
      <c r="H9" s="732"/>
      <c r="I9" s="732" t="s">
        <v>835</v>
      </c>
      <c r="J9" s="732" t="s">
        <v>836</v>
      </c>
      <c r="K9" s="732"/>
    </row>
    <row r="10" spans="1:11" ht="72.75" customHeight="1">
      <c r="A10" s="732"/>
      <c r="B10" s="732"/>
      <c r="C10" s="732"/>
      <c r="D10" s="732"/>
      <c r="E10" s="22" t="s">
        <v>249</v>
      </c>
      <c r="F10" s="22" t="s">
        <v>837</v>
      </c>
      <c r="G10" s="22" t="s">
        <v>838</v>
      </c>
      <c r="H10" s="22" t="s">
        <v>839</v>
      </c>
      <c r="I10" s="732"/>
      <c r="J10" s="22" t="s">
        <v>840</v>
      </c>
      <c r="K10" s="22" t="s">
        <v>841</v>
      </c>
    </row>
    <row r="11" spans="1:11" ht="12.75">
      <c r="A11" s="23">
        <v>1</v>
      </c>
      <c r="B11" s="23">
        <v>2</v>
      </c>
      <c r="C11" s="23">
        <v>3</v>
      </c>
      <c r="D11" s="23">
        <v>4</v>
      </c>
      <c r="E11" s="23" t="s">
        <v>842</v>
      </c>
      <c r="F11" s="23">
        <v>6</v>
      </c>
      <c r="G11" s="23">
        <v>7</v>
      </c>
      <c r="H11" s="23">
        <v>8</v>
      </c>
      <c r="I11" s="23">
        <v>9</v>
      </c>
      <c r="J11" s="23" t="s">
        <v>843</v>
      </c>
      <c r="K11" s="23">
        <v>11</v>
      </c>
    </row>
    <row r="12" spans="1:11" ht="14.25">
      <c r="A12" s="24">
        <v>1</v>
      </c>
      <c r="B12" s="25" t="s">
        <v>844</v>
      </c>
      <c r="C12" s="26"/>
      <c r="D12" s="26"/>
      <c r="E12" s="26"/>
      <c r="F12" s="26"/>
      <c r="G12" s="26"/>
      <c r="H12" s="26"/>
      <c r="I12" s="26"/>
      <c r="J12" s="26"/>
      <c r="K12" s="26"/>
    </row>
    <row r="13" spans="1:11" ht="12.75">
      <c r="A13" s="27" t="s">
        <v>694</v>
      </c>
      <c r="B13" s="28" t="s">
        <v>845</v>
      </c>
      <c r="C13" s="27"/>
      <c r="D13" s="27"/>
      <c r="E13" s="27"/>
      <c r="F13" s="27"/>
      <c r="G13" s="27"/>
      <c r="H13" s="27"/>
      <c r="I13" s="27"/>
      <c r="J13" s="27"/>
      <c r="K13" s="27"/>
    </row>
    <row r="14" spans="1:11" ht="25.5">
      <c r="A14" s="27" t="s">
        <v>698</v>
      </c>
      <c r="B14" s="28" t="s">
        <v>846</v>
      </c>
      <c r="C14" s="27"/>
      <c r="D14" s="27"/>
      <c r="E14" s="27"/>
      <c r="F14" s="27"/>
      <c r="G14" s="27"/>
      <c r="H14" s="27"/>
      <c r="I14" s="27"/>
      <c r="J14" s="27"/>
      <c r="K14" s="27"/>
    </row>
    <row r="15" spans="1:11" ht="12.75">
      <c r="A15" s="27"/>
      <c r="B15" s="28"/>
      <c r="C15" s="27"/>
      <c r="D15" s="27"/>
      <c r="E15" s="27"/>
      <c r="F15" s="27"/>
      <c r="G15" s="27"/>
      <c r="H15" s="27"/>
      <c r="I15" s="27"/>
      <c r="J15" s="27"/>
      <c r="K15" s="27"/>
    </row>
    <row r="16" spans="1:11" ht="12.75">
      <c r="A16" s="27"/>
      <c r="B16" s="28"/>
      <c r="C16" s="27"/>
      <c r="D16" s="27"/>
      <c r="E16" s="27"/>
      <c r="F16" s="27"/>
      <c r="G16" s="27"/>
      <c r="H16" s="27"/>
      <c r="I16" s="27"/>
      <c r="J16" s="27"/>
      <c r="K16" s="27"/>
    </row>
    <row r="17" spans="1:11" ht="12.75">
      <c r="A17" s="27"/>
      <c r="B17" s="28"/>
      <c r="C17" s="27"/>
      <c r="D17" s="27"/>
      <c r="E17" s="27"/>
      <c r="F17" s="27"/>
      <c r="G17" s="27"/>
      <c r="H17" s="27"/>
      <c r="I17" s="27"/>
      <c r="J17" s="27"/>
      <c r="K17" s="27"/>
    </row>
    <row r="18" spans="1:11" ht="12.75">
      <c r="A18" s="27" t="s">
        <v>673</v>
      </c>
      <c r="B18" s="28" t="s">
        <v>711</v>
      </c>
      <c r="C18" s="27"/>
      <c r="D18" s="27"/>
      <c r="E18" s="27"/>
      <c r="F18" s="27"/>
      <c r="G18" s="27"/>
      <c r="H18" s="27"/>
      <c r="I18" s="27"/>
      <c r="J18" s="27"/>
      <c r="K18" s="27"/>
    </row>
    <row r="19" spans="1:11" ht="38.25">
      <c r="A19" s="29">
        <v>2</v>
      </c>
      <c r="B19" s="30" t="s">
        <v>847</v>
      </c>
      <c r="C19" s="27"/>
      <c r="D19" s="27"/>
      <c r="E19" s="27"/>
      <c r="F19" s="27"/>
      <c r="G19" s="27"/>
      <c r="H19" s="27"/>
      <c r="I19" s="27"/>
      <c r="J19" s="27"/>
      <c r="K19" s="27"/>
    </row>
    <row r="20" spans="1:11" ht="12.75">
      <c r="A20" s="29">
        <v>3</v>
      </c>
      <c r="B20" s="30" t="s">
        <v>848</v>
      </c>
      <c r="C20" s="27"/>
      <c r="D20" s="27"/>
      <c r="E20" s="27"/>
      <c r="F20" s="27"/>
      <c r="G20" s="27"/>
      <c r="H20" s="27"/>
      <c r="I20" s="27"/>
      <c r="J20" s="27"/>
      <c r="K20" s="27"/>
    </row>
    <row r="21" spans="1:11" ht="12.75">
      <c r="A21" s="27">
        <v>1</v>
      </c>
      <c r="B21" s="28" t="s">
        <v>849</v>
      </c>
      <c r="C21" s="27"/>
      <c r="D21" s="27"/>
      <c r="E21" s="27"/>
      <c r="F21" s="27"/>
      <c r="G21" s="27"/>
      <c r="H21" s="27"/>
      <c r="I21" s="27"/>
      <c r="J21" s="27"/>
      <c r="K21" s="27"/>
    </row>
    <row r="22" spans="1:11" ht="12.75">
      <c r="A22" s="31">
        <v>2</v>
      </c>
      <c r="B22" s="32" t="s">
        <v>850</v>
      </c>
      <c r="C22" s="31"/>
      <c r="D22" s="31"/>
      <c r="E22" s="31"/>
      <c r="F22" s="31"/>
      <c r="G22" s="31"/>
      <c r="H22" s="31"/>
      <c r="I22" s="31"/>
      <c r="J22" s="31"/>
      <c r="K22" s="31"/>
    </row>
    <row r="23" ht="12.75">
      <c r="A23" s="19" t="s">
        <v>851</v>
      </c>
    </row>
    <row r="24" ht="12.75">
      <c r="A24" s="33" t="s">
        <v>852</v>
      </c>
    </row>
    <row r="25" ht="12.75">
      <c r="A25" s="33" t="s">
        <v>853</v>
      </c>
    </row>
    <row r="26" ht="12.75">
      <c r="A26" s="33" t="s">
        <v>854</v>
      </c>
    </row>
    <row r="27" ht="12.75">
      <c r="A27" s="34" t="s">
        <v>855</v>
      </c>
    </row>
    <row r="28" ht="12.75">
      <c r="A28" s="33" t="s">
        <v>856</v>
      </c>
    </row>
    <row r="29" ht="12.75">
      <c r="A29" s="34" t="s">
        <v>857</v>
      </c>
    </row>
    <row r="30" ht="12.75">
      <c r="A30" s="33" t="s">
        <v>858</v>
      </c>
    </row>
    <row r="32" spans="8:11" ht="12.75">
      <c r="H32" s="791" t="s">
        <v>859</v>
      </c>
      <c r="I32" s="791"/>
      <c r="J32" s="791"/>
      <c r="K32" s="791"/>
    </row>
    <row r="33" spans="2:11" ht="12.75">
      <c r="B33" s="17" t="s">
        <v>860</v>
      </c>
      <c r="H33" s="790" t="s">
        <v>861</v>
      </c>
      <c r="I33" s="790"/>
      <c r="J33" s="790"/>
      <c r="K33" s="790"/>
    </row>
    <row r="34" spans="8:11" ht="12.75">
      <c r="H34" s="791" t="s">
        <v>516</v>
      </c>
      <c r="I34" s="791"/>
      <c r="J34" s="791"/>
      <c r="K34" s="791"/>
    </row>
  </sheetData>
  <sheetProtection/>
  <mergeCells count="13">
    <mergeCell ref="A5:K5"/>
    <mergeCell ref="A6:K6"/>
    <mergeCell ref="A7:K7"/>
    <mergeCell ref="E9:H9"/>
    <mergeCell ref="J9:K9"/>
    <mergeCell ref="H32:K32"/>
    <mergeCell ref="H33:K33"/>
    <mergeCell ref="H34:K34"/>
    <mergeCell ref="A9:A10"/>
    <mergeCell ref="B9:B10"/>
    <mergeCell ref="C9:C10"/>
    <mergeCell ref="D9:D10"/>
    <mergeCell ref="I9:I10"/>
  </mergeCells>
  <printOptions/>
  <pageMargins left="0.35" right="0.22" top="0.46" bottom="0.54" header="0.3" footer="0.3"/>
  <pageSetup blackAndWhite="1" horizontalDpi="600" verticalDpi="600" orientation="landscape" r:id="rId2"/>
  <drawing r:id="rId1"/>
</worksheet>
</file>

<file path=xl/worksheets/sheet19.xml><?xml version="1.0" encoding="utf-8"?>
<worksheet xmlns="http://schemas.openxmlformats.org/spreadsheetml/2006/main" xmlns:r="http://schemas.openxmlformats.org/officeDocument/2006/relationships">
  <sheetPr>
    <tabColor rgb="FFFFFF00"/>
  </sheetPr>
  <dimension ref="A1:I40"/>
  <sheetViews>
    <sheetView zoomScalePageLayoutView="0" workbookViewId="0" topLeftCell="A4">
      <selection activeCell="E17" sqref="E17"/>
    </sheetView>
  </sheetViews>
  <sheetFormatPr defaultColWidth="9.33203125" defaultRowHeight="12.75"/>
  <cols>
    <col min="1" max="1" width="6.33203125" style="1" customWidth="1"/>
    <col min="2" max="2" width="55" style="1" customWidth="1"/>
    <col min="3" max="3" width="11" style="1" customWidth="1"/>
    <col min="4" max="5" width="9.33203125" style="1" customWidth="1"/>
    <col min="6" max="6" width="14.33203125" style="1" customWidth="1"/>
    <col min="7" max="16384" width="9.33203125" style="1" customWidth="1"/>
  </cols>
  <sheetData>
    <row r="1" spans="1:5" ht="12.75">
      <c r="A1" s="2" t="s">
        <v>824</v>
      </c>
      <c r="E1" s="3" t="s">
        <v>862</v>
      </c>
    </row>
    <row r="2" ht="12.75">
      <c r="A2" s="2" t="s">
        <v>826</v>
      </c>
    </row>
    <row r="3" ht="12.75">
      <c r="A3" s="3" t="s">
        <v>827</v>
      </c>
    </row>
    <row r="4" ht="12.75">
      <c r="A4" s="3"/>
    </row>
    <row r="5" spans="1:6" ht="12.75">
      <c r="A5" s="792" t="s">
        <v>863</v>
      </c>
      <c r="B5" s="792"/>
      <c r="C5" s="792"/>
      <c r="D5" s="792"/>
      <c r="E5" s="792"/>
      <c r="F5" s="792"/>
    </row>
    <row r="6" spans="1:6" ht="12.75">
      <c r="A6" s="792" t="s">
        <v>864</v>
      </c>
      <c r="B6" s="792"/>
      <c r="C6" s="792"/>
      <c r="D6" s="792"/>
      <c r="E6" s="792"/>
      <c r="F6" s="792"/>
    </row>
    <row r="7" spans="1:6" ht="12.75">
      <c r="A7" s="792" t="s">
        <v>865</v>
      </c>
      <c r="B7" s="792"/>
      <c r="C7" s="792"/>
      <c r="D7" s="792"/>
      <c r="E7" s="792"/>
      <c r="F7" s="792"/>
    </row>
    <row r="8" ht="12.75">
      <c r="I8" s="18"/>
    </row>
    <row r="9" spans="1:9" ht="66.75">
      <c r="A9" s="4" t="s">
        <v>3</v>
      </c>
      <c r="B9" s="4" t="s">
        <v>289</v>
      </c>
      <c r="C9" s="4" t="s">
        <v>866</v>
      </c>
      <c r="D9" s="4" t="s">
        <v>833</v>
      </c>
      <c r="E9" s="4" t="s">
        <v>867</v>
      </c>
      <c r="F9" s="4" t="s">
        <v>868</v>
      </c>
      <c r="I9" s="3"/>
    </row>
    <row r="10" spans="1:9" ht="12.75">
      <c r="A10" s="5" t="s">
        <v>297</v>
      </c>
      <c r="B10" s="5" t="s">
        <v>298</v>
      </c>
      <c r="C10" s="5">
        <v>1</v>
      </c>
      <c r="D10" s="5">
        <v>2</v>
      </c>
      <c r="E10" s="5">
        <v>3</v>
      </c>
      <c r="F10" s="5">
        <v>4</v>
      </c>
      <c r="I10" s="18"/>
    </row>
    <row r="11" spans="1:6" ht="15.75">
      <c r="A11" s="6">
        <v>1</v>
      </c>
      <c r="B11" s="7" t="s">
        <v>869</v>
      </c>
      <c r="C11" s="8"/>
      <c r="D11" s="8"/>
      <c r="E11" s="8"/>
      <c r="F11" s="8"/>
    </row>
    <row r="12" spans="1:6" ht="12.75">
      <c r="A12" s="9" t="s">
        <v>694</v>
      </c>
      <c r="B12" s="10" t="s">
        <v>845</v>
      </c>
      <c r="C12" s="9"/>
      <c r="D12" s="9"/>
      <c r="E12" s="9"/>
      <c r="F12" s="9"/>
    </row>
    <row r="13" spans="1:6" ht="12.75">
      <c r="A13" s="9" t="s">
        <v>698</v>
      </c>
      <c r="B13" s="10" t="s">
        <v>870</v>
      </c>
      <c r="C13" s="9"/>
      <c r="D13" s="9"/>
      <c r="E13" s="9"/>
      <c r="F13" s="9"/>
    </row>
    <row r="14" spans="1:6" ht="12.75">
      <c r="A14" s="9"/>
      <c r="B14" s="10"/>
      <c r="C14" s="9"/>
      <c r="D14" s="9"/>
      <c r="E14" s="9"/>
      <c r="F14" s="9"/>
    </row>
    <row r="15" spans="1:6" ht="12.75">
      <c r="A15" s="9"/>
      <c r="B15" s="10"/>
      <c r="C15" s="9"/>
      <c r="D15" s="9"/>
      <c r="E15" s="9"/>
      <c r="F15" s="9"/>
    </row>
    <row r="16" spans="1:6" ht="12.75">
      <c r="A16" s="9"/>
      <c r="B16" s="10"/>
      <c r="C16" s="9"/>
      <c r="D16" s="9"/>
      <c r="E16" s="9"/>
      <c r="F16" s="9"/>
    </row>
    <row r="17" spans="1:6" ht="12.75">
      <c r="A17" s="9"/>
      <c r="B17" s="10"/>
      <c r="C17" s="9"/>
      <c r="D17" s="9"/>
      <c r="E17" s="9"/>
      <c r="F17" s="9"/>
    </row>
    <row r="18" spans="1:6" ht="12.75">
      <c r="A18" s="9"/>
      <c r="B18" s="10"/>
      <c r="C18" s="9"/>
      <c r="D18" s="9"/>
      <c r="E18" s="9"/>
      <c r="F18" s="9"/>
    </row>
    <row r="19" spans="1:6" ht="12.75">
      <c r="A19" s="9"/>
      <c r="B19" s="10"/>
      <c r="C19" s="9"/>
      <c r="D19" s="9"/>
      <c r="E19" s="9"/>
      <c r="F19" s="9"/>
    </row>
    <row r="20" spans="1:6" ht="12.75">
      <c r="A20" s="9"/>
      <c r="B20" s="10"/>
      <c r="C20" s="9"/>
      <c r="D20" s="9"/>
      <c r="E20" s="9"/>
      <c r="F20" s="9"/>
    </row>
    <row r="21" spans="1:6" ht="12.75">
      <c r="A21" s="9" t="s">
        <v>673</v>
      </c>
      <c r="B21" s="10" t="s">
        <v>871</v>
      </c>
      <c r="C21" s="9"/>
      <c r="D21" s="9"/>
      <c r="E21" s="9"/>
      <c r="F21" s="9"/>
    </row>
    <row r="22" spans="1:6" ht="25.5">
      <c r="A22" s="11">
        <v>2</v>
      </c>
      <c r="B22" s="12" t="s">
        <v>847</v>
      </c>
      <c r="C22" s="9"/>
      <c r="D22" s="9"/>
      <c r="E22" s="9"/>
      <c r="F22" s="9"/>
    </row>
    <row r="23" spans="1:6" ht="12.75">
      <c r="A23" s="11"/>
      <c r="B23" s="12"/>
      <c r="C23" s="9"/>
      <c r="D23" s="9"/>
      <c r="E23" s="9"/>
      <c r="F23" s="9"/>
    </row>
    <row r="24" spans="1:6" ht="12.75">
      <c r="A24" s="11"/>
      <c r="B24" s="12"/>
      <c r="C24" s="9"/>
      <c r="D24" s="9"/>
      <c r="E24" s="9"/>
      <c r="F24" s="9"/>
    </row>
    <row r="25" spans="1:6" ht="12.75">
      <c r="A25" s="11"/>
      <c r="B25" s="12"/>
      <c r="C25" s="9"/>
      <c r="D25" s="9"/>
      <c r="E25" s="9"/>
      <c r="F25" s="9"/>
    </row>
    <row r="26" spans="1:6" ht="12.75">
      <c r="A26" s="11"/>
      <c r="B26" s="12"/>
      <c r="C26" s="9"/>
      <c r="D26" s="9"/>
      <c r="E26" s="9"/>
      <c r="F26" s="9"/>
    </row>
    <row r="27" spans="1:6" ht="12.75">
      <c r="A27" s="11"/>
      <c r="B27" s="12"/>
      <c r="C27" s="9"/>
      <c r="D27" s="9"/>
      <c r="E27" s="9"/>
      <c r="F27" s="9"/>
    </row>
    <row r="28" spans="1:6" ht="12.75">
      <c r="A28" s="11"/>
      <c r="B28" s="12"/>
      <c r="C28" s="9"/>
      <c r="D28" s="9"/>
      <c r="E28" s="9"/>
      <c r="F28" s="9"/>
    </row>
    <row r="29" spans="1:6" ht="12.75">
      <c r="A29" s="11"/>
      <c r="B29" s="12"/>
      <c r="C29" s="9"/>
      <c r="D29" s="9"/>
      <c r="E29" s="9"/>
      <c r="F29" s="9"/>
    </row>
    <row r="30" spans="1:6" ht="12.75">
      <c r="A30" s="13"/>
      <c r="B30" s="14" t="s">
        <v>872</v>
      </c>
      <c r="C30" s="13"/>
      <c r="D30" s="13"/>
      <c r="E30" s="13"/>
      <c r="F30" s="13"/>
    </row>
    <row r="32" ht="12.75">
      <c r="A32" s="2" t="s">
        <v>495</v>
      </c>
    </row>
    <row r="33" ht="12.75">
      <c r="A33" s="15" t="s">
        <v>873</v>
      </c>
    </row>
    <row r="34" ht="12.75">
      <c r="A34" s="16" t="s">
        <v>874</v>
      </c>
    </row>
    <row r="35" ht="12.75">
      <c r="A35" s="16" t="s">
        <v>875</v>
      </c>
    </row>
    <row r="36" ht="12.75">
      <c r="A36" s="15" t="s">
        <v>876</v>
      </c>
    </row>
    <row r="38" spans="3:6" ht="12.75" customHeight="1">
      <c r="C38" s="793" t="s">
        <v>859</v>
      </c>
      <c r="D38" s="793"/>
      <c r="E38" s="793"/>
      <c r="F38" s="793"/>
    </row>
    <row r="39" spans="2:6" ht="12.75">
      <c r="B39" s="17" t="s">
        <v>860</v>
      </c>
      <c r="C39" s="794" t="s">
        <v>861</v>
      </c>
      <c r="D39" s="794"/>
      <c r="E39" s="794"/>
      <c r="F39" s="794"/>
    </row>
    <row r="40" spans="3:6" ht="12.75">
      <c r="C40" s="793" t="s">
        <v>516</v>
      </c>
      <c r="D40" s="793"/>
      <c r="E40" s="793"/>
      <c r="F40" s="793"/>
    </row>
  </sheetData>
  <sheetProtection/>
  <mergeCells count="6">
    <mergeCell ref="A5:F5"/>
    <mergeCell ref="A6:F6"/>
    <mergeCell ref="A7:F7"/>
    <mergeCell ref="C38:F38"/>
    <mergeCell ref="C39:F39"/>
    <mergeCell ref="C40:F40"/>
  </mergeCells>
  <printOptions/>
  <pageMargins left="0.39" right="0.25" top="0.57" bottom="0.54" header="0.3" footer="0.3"/>
  <pageSetup blackAndWhite="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N19"/>
  <sheetViews>
    <sheetView zoomScalePageLayoutView="0" workbookViewId="0" topLeftCell="A1">
      <selection activeCell="A18" sqref="A18"/>
    </sheetView>
  </sheetViews>
  <sheetFormatPr defaultColWidth="9.33203125" defaultRowHeight="12.75"/>
  <cols>
    <col min="1" max="1" width="140" style="337" customWidth="1"/>
    <col min="2" max="2" width="9.33203125" style="337" customWidth="1"/>
    <col min="3" max="3" width="15.33203125" style="337" customWidth="1"/>
    <col min="4" max="4" width="6.66015625" style="337" customWidth="1"/>
    <col min="5" max="5" width="16.5" style="337" customWidth="1"/>
    <col min="6" max="6" width="9.33203125" style="337" customWidth="1"/>
    <col min="7" max="7" width="6.83203125" style="337" customWidth="1"/>
    <col min="8" max="8" width="9.33203125" style="337" customWidth="1"/>
    <col min="9" max="9" width="7.5" style="337" customWidth="1"/>
    <col min="10" max="16384" width="9.33203125" style="337" customWidth="1"/>
  </cols>
  <sheetData>
    <row r="2" ht="18.75">
      <c r="A2" s="338" t="s">
        <v>241</v>
      </c>
    </row>
    <row r="3" spans="1:12" ht="18.75">
      <c r="A3" s="339" t="s">
        <v>242</v>
      </c>
      <c r="B3" s="340"/>
      <c r="E3" s="714"/>
      <c r="F3" s="714"/>
      <c r="G3" s="714"/>
      <c r="H3" s="714"/>
      <c r="I3" s="714"/>
      <c r="L3" s="340"/>
    </row>
    <row r="4" spans="1:12" ht="144.75" customHeight="1">
      <c r="A4" s="341"/>
      <c r="B4" s="263"/>
      <c r="E4" s="715"/>
      <c r="F4" s="715"/>
      <c r="G4" s="715"/>
      <c r="H4" s="715"/>
      <c r="I4" s="715"/>
      <c r="L4" s="263"/>
    </row>
    <row r="5" spans="1:14" ht="50.25" customHeight="1">
      <c r="A5" s="342" t="s">
        <v>243</v>
      </c>
      <c r="B5" s="257"/>
      <c r="E5" s="716"/>
      <c r="F5" s="716"/>
      <c r="G5" s="716"/>
      <c r="H5" s="716"/>
      <c r="I5" s="716"/>
      <c r="J5" s="716"/>
      <c r="K5" s="716"/>
      <c r="L5" s="718"/>
      <c r="M5" s="718"/>
      <c r="N5" s="718"/>
    </row>
    <row r="6" ht="33.75" customHeight="1">
      <c r="A6" s="343" t="s">
        <v>244</v>
      </c>
    </row>
    <row r="7" ht="33.75" customHeight="1">
      <c r="A7" s="343" t="s">
        <v>1141</v>
      </c>
    </row>
    <row r="8" ht="30.75" customHeight="1">
      <c r="A8" s="341"/>
    </row>
    <row r="9" ht="12.75">
      <c r="A9" s="341"/>
    </row>
    <row r="10" ht="98.25" customHeight="1">
      <c r="A10" s="341"/>
    </row>
    <row r="11" ht="15.75">
      <c r="A11" s="344" t="s">
        <v>1142</v>
      </c>
    </row>
    <row r="12" ht="27.75" customHeight="1">
      <c r="A12" s="345"/>
    </row>
    <row r="17" spans="2:14" ht="18.75">
      <c r="B17" s="340"/>
      <c r="C17" s="714"/>
      <c r="D17" s="714"/>
      <c r="E17" s="714"/>
      <c r="F17" s="714"/>
      <c r="G17" s="714"/>
      <c r="H17" s="714"/>
      <c r="J17" s="714"/>
      <c r="K17" s="714"/>
      <c r="L17" s="714"/>
      <c r="M17" s="714"/>
      <c r="N17" s="714"/>
    </row>
    <row r="18" spans="2:14" ht="12.75">
      <c r="B18" s="263"/>
      <c r="C18" s="715"/>
      <c r="D18" s="715"/>
      <c r="E18" s="715"/>
      <c r="F18" s="715"/>
      <c r="G18" s="715"/>
      <c r="H18" s="715"/>
      <c r="J18" s="715"/>
      <c r="K18" s="715"/>
      <c r="L18" s="715"/>
      <c r="M18" s="715"/>
      <c r="N18" s="715"/>
    </row>
    <row r="19" spans="2:14" ht="15.75">
      <c r="B19" s="257"/>
      <c r="C19" s="716"/>
      <c r="D19" s="716"/>
      <c r="E19" s="717"/>
      <c r="F19" s="717"/>
      <c r="G19" s="717"/>
      <c r="H19" s="717"/>
      <c r="J19" s="716"/>
      <c r="K19" s="716"/>
      <c r="L19" s="718"/>
      <c r="M19" s="718"/>
      <c r="N19" s="718"/>
    </row>
  </sheetData>
  <sheetProtection/>
  <mergeCells count="14">
    <mergeCell ref="E3:I3"/>
    <mergeCell ref="E4:I4"/>
    <mergeCell ref="E5:F5"/>
    <mergeCell ref="G5:I5"/>
    <mergeCell ref="J5:K5"/>
    <mergeCell ref="L5:N5"/>
    <mergeCell ref="C17:H17"/>
    <mergeCell ref="J17:N17"/>
    <mergeCell ref="C18:H18"/>
    <mergeCell ref="J18:N18"/>
    <mergeCell ref="C19:D19"/>
    <mergeCell ref="E19:H19"/>
    <mergeCell ref="J19:K19"/>
    <mergeCell ref="L19:N19"/>
  </mergeCells>
  <printOptions/>
  <pageMargins left="0.7" right="0.7" top="0.75" bottom="0.7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C16" sqref="C16"/>
    </sheetView>
  </sheetViews>
  <sheetFormatPr defaultColWidth="9.332031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Q41"/>
  <sheetViews>
    <sheetView zoomScalePageLayoutView="0" workbookViewId="0" topLeftCell="A1">
      <selection activeCell="C11" sqref="C11"/>
    </sheetView>
  </sheetViews>
  <sheetFormatPr defaultColWidth="9.33203125" defaultRowHeight="12.75"/>
  <cols>
    <col min="1" max="1" width="26.5" style="0" customWidth="1"/>
    <col min="2" max="2" width="20.16015625" style="317" customWidth="1"/>
    <col min="3" max="3" width="8.66015625" style="317" customWidth="1"/>
    <col min="4" max="4" width="21.83203125" style="317" customWidth="1"/>
    <col min="5" max="5" width="18.83203125" style="317" customWidth="1"/>
    <col min="6" max="6" width="31" style="148" customWidth="1"/>
    <col min="7" max="7" width="20.5" style="148" customWidth="1"/>
    <col min="8" max="8" width="10.33203125" style="148" customWidth="1"/>
    <col min="9" max="9" width="19.83203125" style="148" customWidth="1"/>
    <col min="10" max="10" width="19.33203125" style="148" customWidth="1"/>
    <col min="14" max="14" width="19" style="0" bestFit="1" customWidth="1"/>
  </cols>
  <sheetData>
    <row r="1" spans="1:11" ht="12.75">
      <c r="A1" s="20"/>
      <c r="I1" s="294" t="s">
        <v>245</v>
      </c>
      <c r="K1" s="269"/>
    </row>
    <row r="2" spans="1:11" ht="12.75">
      <c r="A2" s="20"/>
      <c r="I2" s="294"/>
      <c r="K2" s="20"/>
    </row>
    <row r="3" spans="1:11" ht="18">
      <c r="A3" s="725" t="s">
        <v>995</v>
      </c>
      <c r="B3" s="725"/>
      <c r="C3" s="725"/>
      <c r="D3" s="725"/>
      <c r="E3" s="725"/>
      <c r="F3" s="725"/>
      <c r="G3" s="725"/>
      <c r="H3" s="725"/>
      <c r="I3" s="725"/>
      <c r="J3" s="725"/>
      <c r="K3" s="269"/>
    </row>
    <row r="4" spans="1:11" ht="18.75" customHeight="1">
      <c r="A4" s="726" t="s">
        <v>1148</v>
      </c>
      <c r="B4" s="726"/>
      <c r="C4" s="726"/>
      <c r="D4" s="726"/>
      <c r="E4" s="726"/>
      <c r="F4" s="726"/>
      <c r="G4" s="726"/>
      <c r="H4" s="726"/>
      <c r="I4" s="726"/>
      <c r="J4" s="726"/>
      <c r="K4" s="269"/>
    </row>
    <row r="5" spans="1:11" ht="18.75" customHeight="1">
      <c r="A5" s="726" t="s">
        <v>1149</v>
      </c>
      <c r="B5" s="726"/>
      <c r="C5" s="726"/>
      <c r="D5" s="726"/>
      <c r="E5" s="726"/>
      <c r="F5" s="726"/>
      <c r="G5" s="726"/>
      <c r="H5" s="726"/>
      <c r="I5" s="726"/>
      <c r="J5" s="726"/>
      <c r="K5" s="269"/>
    </row>
    <row r="6" spans="1:11" ht="18.75" customHeight="1">
      <c r="A6" s="726" t="s">
        <v>1150</v>
      </c>
      <c r="B6" s="726"/>
      <c r="C6" s="726"/>
      <c r="D6" s="726"/>
      <c r="E6" s="726"/>
      <c r="F6" s="726"/>
      <c r="G6" s="726"/>
      <c r="H6" s="726"/>
      <c r="I6" s="726"/>
      <c r="J6" s="726"/>
      <c r="K6" s="269"/>
    </row>
    <row r="7" spans="1:11" ht="12.75" hidden="1">
      <c r="A7" s="727" t="s">
        <v>246</v>
      </c>
      <c r="B7" s="727"/>
      <c r="C7" s="727"/>
      <c r="D7" s="727"/>
      <c r="E7" s="727"/>
      <c r="F7" s="727"/>
      <c r="G7" s="727"/>
      <c r="H7" s="727"/>
      <c r="I7" s="727"/>
      <c r="J7" s="727"/>
      <c r="K7" s="269"/>
    </row>
    <row r="8" spans="10:11" ht="12.75">
      <c r="J8" s="335" t="s">
        <v>247</v>
      </c>
      <c r="K8" s="269"/>
    </row>
    <row r="9" spans="1:17" s="319" customFormat="1" ht="64.5" customHeight="1">
      <c r="A9" s="22" t="s">
        <v>248</v>
      </c>
      <c r="B9" s="172" t="s">
        <v>249</v>
      </c>
      <c r="C9" s="172" t="s">
        <v>250</v>
      </c>
      <c r="D9" s="172" t="s">
        <v>251</v>
      </c>
      <c r="E9" s="172" t="s">
        <v>252</v>
      </c>
      <c r="F9" s="172" t="s">
        <v>253</v>
      </c>
      <c r="G9" s="172" t="s">
        <v>249</v>
      </c>
      <c r="H9" s="172" t="s">
        <v>254</v>
      </c>
      <c r="I9" s="172" t="s">
        <v>255</v>
      </c>
      <c r="J9" s="172" t="s">
        <v>256</v>
      </c>
      <c r="Q9" s="149"/>
    </row>
    <row r="10" spans="1:17" s="320" customFormat="1" ht="26.25" customHeight="1">
      <c r="A10" s="321">
        <v>1</v>
      </c>
      <c r="B10" s="321">
        <v>2</v>
      </c>
      <c r="C10" s="321">
        <v>3</v>
      </c>
      <c r="D10" s="321">
        <v>4</v>
      </c>
      <c r="E10" s="321">
        <v>5</v>
      </c>
      <c r="F10" s="321">
        <v>6</v>
      </c>
      <c r="G10" s="321">
        <v>7</v>
      </c>
      <c r="H10" s="321">
        <v>8</v>
      </c>
      <c r="I10" s="321">
        <v>9</v>
      </c>
      <c r="J10" s="321">
        <v>10</v>
      </c>
      <c r="Q10" s="336"/>
    </row>
    <row r="11" spans="1:17" ht="32.25" customHeight="1">
      <c r="A11" s="24" t="s">
        <v>257</v>
      </c>
      <c r="B11" s="322"/>
      <c r="C11" s="322"/>
      <c r="D11" s="322"/>
      <c r="E11" s="322"/>
      <c r="F11" s="203" t="s">
        <v>258</v>
      </c>
      <c r="G11" s="216"/>
      <c r="H11" s="216"/>
      <c r="I11" s="216"/>
      <c r="J11" s="216"/>
      <c r="N11" t="s">
        <v>1146</v>
      </c>
      <c r="Q11" s="269"/>
    </row>
    <row r="12" spans="1:14" s="247" customFormat="1" ht="32.25" customHeight="1">
      <c r="A12" s="30" t="s">
        <v>259</v>
      </c>
      <c r="B12" s="323">
        <f>SUM(B13:B19)</f>
        <v>493439670256</v>
      </c>
      <c r="C12" s="323">
        <f>SUM(C13:C19)</f>
        <v>0</v>
      </c>
      <c r="D12" s="323">
        <f>SUM(D13:D19)</f>
        <v>428437608717</v>
      </c>
      <c r="E12" s="323">
        <f>SUM(E13:E19)</f>
        <v>65002061539</v>
      </c>
      <c r="F12" s="324" t="s">
        <v>260</v>
      </c>
      <c r="G12" s="176">
        <f>SUM(G13:G19)</f>
        <v>487490166801</v>
      </c>
      <c r="H12" s="176">
        <f>SUM(H13:H19)</f>
        <v>0</v>
      </c>
      <c r="I12" s="176">
        <f>SUM(I13:I19)</f>
        <v>422734051652</v>
      </c>
      <c r="J12" s="176">
        <f>SUM(J13:J19)</f>
        <v>64756115149</v>
      </c>
      <c r="N12" s="325">
        <f>'61-H'!D49+'61-H'!D52+'61-H'!D61+'61-H'!D54+'61-H'!D79+'61-H'!D77+'61-H'!D82</f>
        <v>19840000000</v>
      </c>
    </row>
    <row r="13" spans="1:14" ht="32.25" customHeight="1">
      <c r="A13" s="28" t="s">
        <v>261</v>
      </c>
      <c r="B13" s="325">
        <f>SUM(C13:E13)</f>
        <v>13959001853</v>
      </c>
      <c r="C13" s="325"/>
      <c r="D13" s="325">
        <f>'61-H'!H49+'61-H'!H52+'61-H'!H61+'61-H'!H54+'61-H'!H79+'61-H'!H77+'61-H'!H82</f>
        <v>12169335291</v>
      </c>
      <c r="E13" s="325">
        <f>'61-H'!I49+'61-H'!I52+'61-H'!I61+'61-H'!I54+'61-H'!I79+'61-H'!I77+'61-H'!I82</f>
        <v>1789666562</v>
      </c>
      <c r="F13" s="326" t="s">
        <v>262</v>
      </c>
      <c r="G13" s="157">
        <f>SUM(H13:J13)</f>
        <v>75111345094</v>
      </c>
      <c r="H13" s="157"/>
      <c r="I13" s="157">
        <f>'62-H-N'!O15</f>
        <v>72337348094</v>
      </c>
      <c r="J13" s="157">
        <f>'62-H-N'!P15</f>
        <v>2773997000</v>
      </c>
      <c r="N13" s="677">
        <f>'61-H'!D13-'60-H'!N12</f>
        <v>74840000000</v>
      </c>
    </row>
    <row r="14" spans="1:10" ht="32.25" customHeight="1">
      <c r="A14" s="28" t="s">
        <v>263</v>
      </c>
      <c r="B14" s="325">
        <f aca="true" t="shared" si="0" ref="B14:B21">SUM(C14:E14)</f>
        <v>97058967697</v>
      </c>
      <c r="C14" s="325"/>
      <c r="D14" s="325">
        <f>'61-H'!H13-'60-H'!D13</f>
        <v>95629702762</v>
      </c>
      <c r="E14" s="325">
        <f>'61-H'!I13-'60-H'!E13</f>
        <v>1429264935</v>
      </c>
      <c r="F14" s="326" t="s">
        <v>264</v>
      </c>
      <c r="G14" s="157">
        <f aca="true" t="shared" si="1" ref="G14:G21">SUM(H14:J14)</f>
        <v>0</v>
      </c>
      <c r="H14" s="157"/>
      <c r="I14" s="157"/>
      <c r="J14" s="157"/>
    </row>
    <row r="15" spans="1:10" ht="32.25" customHeight="1">
      <c r="A15" s="28" t="s">
        <v>265</v>
      </c>
      <c r="B15" s="325">
        <f t="shared" si="0"/>
        <v>0</v>
      </c>
      <c r="C15" s="325"/>
      <c r="D15" s="325"/>
      <c r="E15" s="325"/>
      <c r="F15" s="326" t="s">
        <v>266</v>
      </c>
      <c r="G15" s="157">
        <f t="shared" si="1"/>
        <v>287094605170</v>
      </c>
      <c r="H15" s="157"/>
      <c r="I15" s="157">
        <f>'62-H-N'!O32</f>
        <v>231503547046</v>
      </c>
      <c r="J15" s="157">
        <f>'62-H-N'!P32</f>
        <v>55591058124</v>
      </c>
    </row>
    <row r="16" spans="1:10" ht="32.25" customHeight="1">
      <c r="A16" s="28" t="s">
        <v>267</v>
      </c>
      <c r="B16" s="325">
        <f t="shared" si="0"/>
        <v>16851171832</v>
      </c>
      <c r="C16" s="325"/>
      <c r="D16" s="325">
        <f>'61-H'!H131</f>
        <v>15555199190</v>
      </c>
      <c r="E16" s="325">
        <f>'61-H'!I131</f>
        <v>1295972642</v>
      </c>
      <c r="F16" s="326" t="s">
        <v>268</v>
      </c>
      <c r="G16" s="157">
        <f t="shared" si="1"/>
        <v>0</v>
      </c>
      <c r="H16" s="157"/>
      <c r="I16" s="157"/>
      <c r="J16" s="157"/>
    </row>
    <row r="17" spans="1:10" ht="32.25" customHeight="1">
      <c r="A17" s="28" t="s">
        <v>269</v>
      </c>
      <c r="B17" s="325">
        <f t="shared" si="0"/>
        <v>38928204469</v>
      </c>
      <c r="C17" s="325"/>
      <c r="D17" s="325">
        <f>'61-H'!H130</f>
        <v>34200363467</v>
      </c>
      <c r="E17" s="325">
        <f>'61-H'!I130</f>
        <v>4727841002</v>
      </c>
      <c r="F17" s="326" t="s">
        <v>270</v>
      </c>
      <c r="G17" s="157">
        <f t="shared" si="1"/>
        <v>55759316398</v>
      </c>
      <c r="H17" s="157"/>
      <c r="I17" s="157">
        <f>'62-H-N'!O50</f>
        <v>55759316398</v>
      </c>
      <c r="J17" s="157"/>
    </row>
    <row r="18" spans="1:12" ht="32.25" customHeight="1">
      <c r="A18" s="28" t="s">
        <v>271</v>
      </c>
      <c r="B18" s="325">
        <f t="shared" si="0"/>
        <v>890746007</v>
      </c>
      <c r="C18" s="325"/>
      <c r="D18" s="325">
        <f>'61-H'!H129</f>
        <v>890746007</v>
      </c>
      <c r="E18" s="325">
        <f>'61-H'!I129</f>
        <v>0</v>
      </c>
      <c r="F18" s="326" t="s">
        <v>272</v>
      </c>
      <c r="G18" s="532">
        <f t="shared" si="1"/>
        <v>66961784948</v>
      </c>
      <c r="H18" s="532"/>
      <c r="I18" s="532">
        <v>61461470930</v>
      </c>
      <c r="J18" s="532">
        <f>'62-H-N'!P49</f>
        <v>5500314018</v>
      </c>
      <c r="L18" s="397">
        <v>50204617617</v>
      </c>
    </row>
    <row r="19" spans="1:10" ht="32.25" customHeight="1">
      <c r="A19" s="28" t="s">
        <v>273</v>
      </c>
      <c r="B19" s="325">
        <f t="shared" si="0"/>
        <v>325751578398</v>
      </c>
      <c r="C19" s="325"/>
      <c r="D19" s="325">
        <f>SUM(D20:D21)</f>
        <v>269992262000</v>
      </c>
      <c r="E19" s="325">
        <f>SUM(E20:E21)</f>
        <v>55759316398</v>
      </c>
      <c r="F19" s="326" t="s">
        <v>274</v>
      </c>
      <c r="G19" s="157">
        <f t="shared" si="1"/>
        <v>2563115191</v>
      </c>
      <c r="H19" s="157"/>
      <c r="I19" s="157">
        <f>'62-H-N'!O55</f>
        <v>1672369184</v>
      </c>
      <c r="J19" s="157">
        <f>'62-H-N'!P55</f>
        <v>890746007</v>
      </c>
    </row>
    <row r="20" spans="1:10" ht="32.25" customHeight="1">
      <c r="A20" s="28" t="s">
        <v>275</v>
      </c>
      <c r="B20" s="325">
        <f t="shared" si="0"/>
        <v>219915811148</v>
      </c>
      <c r="C20" s="325"/>
      <c r="D20" s="325">
        <f>'61-H'!H125</f>
        <v>180092000000</v>
      </c>
      <c r="E20" s="325">
        <f>'61-H'!I125</f>
        <v>39823811148</v>
      </c>
      <c r="F20" s="326"/>
      <c r="G20" s="157">
        <f t="shared" si="1"/>
        <v>0</v>
      </c>
      <c r="H20" s="157"/>
      <c r="I20" s="157"/>
      <c r="J20" s="157"/>
    </row>
    <row r="21" spans="1:10" ht="32.25" customHeight="1">
      <c r="A21" s="28" t="s">
        <v>276</v>
      </c>
      <c r="B21" s="325">
        <f t="shared" si="0"/>
        <v>105835767250</v>
      </c>
      <c r="C21" s="325"/>
      <c r="D21" s="325">
        <f>'61-H'!H126</f>
        <v>89900262000</v>
      </c>
      <c r="E21" s="325">
        <f>'61-H'!I126</f>
        <v>15935505250</v>
      </c>
      <c r="F21" s="326"/>
      <c r="G21" s="157">
        <f t="shared" si="1"/>
        <v>0</v>
      </c>
      <c r="H21" s="157"/>
      <c r="I21" s="157"/>
      <c r="J21" s="157"/>
    </row>
    <row r="22" spans="1:10" ht="32.25" customHeight="1">
      <c r="A22" s="728" t="s">
        <v>277</v>
      </c>
      <c r="B22" s="729"/>
      <c r="C22" s="729"/>
      <c r="D22" s="533">
        <f>+D12-I12</f>
        <v>5703557065</v>
      </c>
      <c r="E22" s="323">
        <f>+E12-J12</f>
        <v>245946390</v>
      </c>
      <c r="F22" s="326"/>
      <c r="G22" s="157"/>
      <c r="H22" s="157"/>
      <c r="I22" s="157"/>
      <c r="J22" s="157"/>
    </row>
    <row r="23" spans="1:10" ht="32.25" customHeight="1">
      <c r="A23" s="730" t="s">
        <v>278</v>
      </c>
      <c r="B23" s="730"/>
      <c r="C23" s="730"/>
      <c r="D23" s="730"/>
      <c r="E23" s="327"/>
      <c r="F23" s="328" t="s">
        <v>279</v>
      </c>
      <c r="G23" s="158"/>
      <c r="H23" s="158"/>
      <c r="I23" s="158"/>
      <c r="J23" s="158"/>
    </row>
    <row r="24" spans="1:10" s="147" customFormat="1" ht="12.75" hidden="1">
      <c r="A24" s="160" t="s">
        <v>280</v>
      </c>
      <c r="B24" s="329"/>
      <c r="C24" s="329"/>
      <c r="D24" s="329">
        <f>D12-'61-H'!H12</f>
        <v>0</v>
      </c>
      <c r="E24" s="329">
        <f>E12-'61-H'!I12</f>
        <v>0</v>
      </c>
      <c r="F24" s="330"/>
      <c r="G24" s="161" t="e">
        <f>'62-H-N'!#REF!-'60-H'!G12</f>
        <v>#REF!</v>
      </c>
      <c r="H24" s="161" t="e">
        <f>'62-H-N'!#REF!-'60-H'!H12</f>
        <v>#REF!</v>
      </c>
      <c r="I24" s="161" t="e">
        <f>'62-H-N'!#REF!-'60-H'!I12</f>
        <v>#REF!</v>
      </c>
      <c r="J24" s="161" t="e">
        <f>'62-H-N'!#REF!-'60-H'!J12</f>
        <v>#REF!</v>
      </c>
    </row>
    <row r="25" spans="1:10" ht="12.75">
      <c r="A25" s="331"/>
      <c r="B25" s="332"/>
      <c r="C25" s="332"/>
      <c r="D25" s="332"/>
      <c r="E25" s="332"/>
      <c r="F25" s="333"/>
      <c r="G25" s="334"/>
      <c r="H25" s="334"/>
      <c r="I25" s="334"/>
      <c r="J25" s="334"/>
    </row>
    <row r="26" spans="4:5" ht="12.75">
      <c r="D26" s="534"/>
      <c r="E26" s="534"/>
    </row>
    <row r="27" spans="2:10" ht="12.75">
      <c r="B27" s="316"/>
      <c r="C27" s="316"/>
      <c r="D27" s="535"/>
      <c r="E27" s="535"/>
      <c r="F27" s="293"/>
      <c r="H27" s="724" t="s">
        <v>1001</v>
      </c>
      <c r="I27" s="724"/>
      <c r="J27" s="724"/>
    </row>
    <row r="28" spans="1:10" ht="12.75">
      <c r="A28" s="719" t="s">
        <v>281</v>
      </c>
      <c r="B28" s="719"/>
      <c r="D28" s="720" t="s">
        <v>282</v>
      </c>
      <c r="E28" s="720"/>
      <c r="F28" s="720"/>
      <c r="H28" s="719" t="s">
        <v>283</v>
      </c>
      <c r="I28" s="719"/>
      <c r="J28" s="719"/>
    </row>
    <row r="29" spans="1:10" ht="12.75">
      <c r="A29" s="719" t="s">
        <v>284</v>
      </c>
      <c r="B29" s="719"/>
      <c r="D29" s="720" t="s">
        <v>285</v>
      </c>
      <c r="E29" s="721"/>
      <c r="F29" s="721"/>
      <c r="H29" s="719" t="s">
        <v>286</v>
      </c>
      <c r="I29" s="719"/>
      <c r="J29" s="719"/>
    </row>
    <row r="30" spans="1:6" ht="12.75">
      <c r="A30" s="149"/>
      <c r="D30" s="724"/>
      <c r="E30" s="724"/>
      <c r="F30" s="724"/>
    </row>
    <row r="31" ht="12.75">
      <c r="A31" s="149"/>
    </row>
    <row r="32" ht="12.75">
      <c r="A32" s="149"/>
    </row>
    <row r="33" ht="12.75">
      <c r="A33" s="149"/>
    </row>
    <row r="34" ht="12.75" hidden="1">
      <c r="A34" s="149"/>
    </row>
    <row r="35" spans="1:5" ht="12.75" hidden="1">
      <c r="A35" s="149"/>
      <c r="E35" s="396"/>
    </row>
    <row r="36" spans="1:5" ht="12.75" hidden="1">
      <c r="A36" s="149"/>
      <c r="E36" s="396"/>
    </row>
    <row r="37" spans="1:5" ht="12.75" hidden="1">
      <c r="A37" s="149"/>
      <c r="B37" s="397" t="s">
        <v>915</v>
      </c>
      <c r="D37" s="317">
        <v>13019970000</v>
      </c>
      <c r="E37" s="396">
        <f>D37+D41</f>
        <v>-28423159848.6</v>
      </c>
    </row>
    <row r="38" spans="1:4" ht="12.75" hidden="1">
      <c r="A38" s="149"/>
      <c r="B38" s="397" t="s">
        <v>916</v>
      </c>
      <c r="D38" s="317">
        <v>34200363467</v>
      </c>
    </row>
    <row r="39" spans="1:5" ht="28.5" customHeight="1" hidden="1">
      <c r="A39" s="722" t="s">
        <v>914</v>
      </c>
      <c r="B39" s="723"/>
      <c r="C39" s="723"/>
      <c r="D39" s="317">
        <f>105209362*70%</f>
        <v>73646553.39999999</v>
      </c>
      <c r="E39" s="317">
        <f>D37-D22</f>
        <v>7316412935</v>
      </c>
    </row>
    <row r="40" ht="12.75" hidden="1">
      <c r="D40" s="317">
        <f>D37+D38-D39</f>
        <v>47146686913.6</v>
      </c>
    </row>
    <row r="41" ht="12.75" hidden="1">
      <c r="D41" s="317">
        <f>D22-D40</f>
        <v>-41443129848.6</v>
      </c>
    </row>
    <row r="42" ht="12.75" hidden="1"/>
    <row r="43" ht="12.75" hidden="1"/>
    <row r="44" ht="12.75" hidden="1"/>
    <row r="45" ht="12.75" hidden="1"/>
  </sheetData>
  <sheetProtection/>
  <mergeCells count="16">
    <mergeCell ref="A3:J3"/>
    <mergeCell ref="A4:J4"/>
    <mergeCell ref="A6:J6"/>
    <mergeCell ref="A7:J7"/>
    <mergeCell ref="A22:C22"/>
    <mergeCell ref="A23:D23"/>
    <mergeCell ref="A5:J5"/>
    <mergeCell ref="A29:B29"/>
    <mergeCell ref="D29:F29"/>
    <mergeCell ref="H29:J29"/>
    <mergeCell ref="A39:C39"/>
    <mergeCell ref="D30:F30"/>
    <mergeCell ref="H27:J27"/>
    <mergeCell ref="A28:B28"/>
    <mergeCell ref="D28:F28"/>
    <mergeCell ref="H28:J28"/>
  </mergeCells>
  <printOptions/>
  <pageMargins left="0.37" right="0.16" top="0.43" bottom="0.43" header="0.31" footer="0.31"/>
  <pageSetup blackAndWhite="1"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M151"/>
  <sheetViews>
    <sheetView zoomScalePageLayoutView="0" workbookViewId="0" topLeftCell="A1">
      <pane xSplit="2" ySplit="11" topLeftCell="C12" activePane="bottomRight" state="frozen"/>
      <selection pane="topLeft" activeCell="A1" sqref="A1"/>
      <selection pane="topRight" activeCell="C1" sqref="C1"/>
      <selection pane="bottomLeft" activeCell="A11" sqref="A11"/>
      <selection pane="bottomRight" activeCell="C10" sqref="C10"/>
    </sheetView>
  </sheetViews>
  <sheetFormatPr defaultColWidth="9.33203125" defaultRowHeight="12.75"/>
  <cols>
    <col min="1" max="1" width="6.33203125" style="193" customWidth="1"/>
    <col min="2" max="2" width="57.83203125" style="193" customWidth="1"/>
    <col min="3" max="3" width="20.66015625" style="194" customWidth="1"/>
    <col min="4" max="4" width="20.5" style="194" customWidth="1"/>
    <col min="5" max="5" width="21.16015625" style="194" customWidth="1"/>
    <col min="6" max="6" width="17.83203125" style="194" customWidth="1"/>
    <col min="7" max="7" width="20.16015625" style="194" customWidth="1"/>
    <col min="8" max="8" width="20.33203125" style="194" customWidth="1"/>
    <col min="9" max="9" width="18.83203125" style="194" customWidth="1"/>
    <col min="10" max="10" width="13" style="194" customWidth="1"/>
    <col min="11" max="11" width="12.16015625" style="193" customWidth="1"/>
    <col min="12" max="12" width="9.33203125" style="193" customWidth="1"/>
    <col min="13" max="13" width="20" style="193" bestFit="1" customWidth="1"/>
    <col min="14" max="16384" width="9.33203125" style="193" customWidth="1"/>
  </cols>
  <sheetData>
    <row r="1" spans="1:9" ht="20.25" customHeight="1">
      <c r="A1" s="19"/>
      <c r="I1" s="481" t="s">
        <v>287</v>
      </c>
    </row>
    <row r="2" spans="1:9" ht="20.25" customHeight="1">
      <c r="A2" s="19"/>
      <c r="I2" s="481"/>
    </row>
    <row r="3" spans="1:11" ht="20.25" customHeight="1">
      <c r="A3" s="737" t="s">
        <v>994</v>
      </c>
      <c r="B3" s="737"/>
      <c r="C3" s="737"/>
      <c r="D3" s="737"/>
      <c r="E3" s="737"/>
      <c r="F3" s="737"/>
      <c r="G3" s="737"/>
      <c r="H3" s="737"/>
      <c r="I3" s="737"/>
      <c r="J3" s="737"/>
      <c r="K3" s="737"/>
    </row>
    <row r="4" spans="1:11" s="191" customFormat="1" ht="20.25" customHeight="1">
      <c r="A4" s="727" t="str">
        <f>'60-H'!A4:J4</f>
        <v>Kèm theo Báo cáo số:        /BC-UBND, ngày        /tháng        năm 2021 của UBND huyện Đăk Tô)</v>
      </c>
      <c r="B4" s="727"/>
      <c r="C4" s="727"/>
      <c r="D4" s="727"/>
      <c r="E4" s="727"/>
      <c r="F4" s="727"/>
      <c r="G4" s="727"/>
      <c r="H4" s="727"/>
      <c r="I4" s="727"/>
      <c r="J4" s="727"/>
      <c r="K4" s="727"/>
    </row>
    <row r="5" spans="1:11" s="191" customFormat="1" ht="20.25" customHeight="1">
      <c r="A5" s="727" t="str">
        <f>'60-H'!A5:J5</f>
        <v>Kèm theo Nghi quyết số:       /TTr-UBND, ngày        /tháng        năm 2021 của UBND huyện Đăk Tô)</v>
      </c>
      <c r="B5" s="727"/>
      <c r="C5" s="727"/>
      <c r="D5" s="727"/>
      <c r="E5" s="727"/>
      <c r="F5" s="727"/>
      <c r="G5" s="727"/>
      <c r="H5" s="727"/>
      <c r="I5" s="727"/>
      <c r="J5" s="727"/>
      <c r="K5" s="727"/>
    </row>
    <row r="6" spans="1:11" s="191" customFormat="1" ht="20.25" customHeight="1">
      <c r="A6" s="727" t="str">
        <f>'60-H'!A6:J6</f>
        <v>Kèm theo Nghi quyết số:       /NQ-HĐND, ngày        /tháng        năm 2021 của HĐND huyện Đăk Tô)</v>
      </c>
      <c r="B6" s="727"/>
      <c r="C6" s="727"/>
      <c r="D6" s="727"/>
      <c r="E6" s="727"/>
      <c r="F6" s="727"/>
      <c r="G6" s="727"/>
      <c r="H6" s="727"/>
      <c r="I6" s="727"/>
      <c r="J6" s="727"/>
      <c r="K6" s="727"/>
    </row>
    <row r="7" spans="1:11" s="191" customFormat="1" ht="20.25" customHeight="1" hidden="1">
      <c r="A7" s="727" t="s">
        <v>246</v>
      </c>
      <c r="B7" s="727"/>
      <c r="C7" s="727"/>
      <c r="D7" s="727"/>
      <c r="E7" s="727"/>
      <c r="F7" s="727"/>
      <c r="G7" s="727"/>
      <c r="H7" s="727"/>
      <c r="I7" s="727"/>
      <c r="J7" s="727"/>
      <c r="K7" s="727"/>
    </row>
    <row r="8" spans="8:11" ht="20.25" customHeight="1">
      <c r="H8" s="678">
        <f>E124/E12*100</f>
        <v>61.79497721955678</v>
      </c>
      <c r="K8" s="251" t="s">
        <v>288</v>
      </c>
    </row>
    <row r="9" spans="1:11" ht="53.25" customHeight="1">
      <c r="A9" s="732" t="s">
        <v>3</v>
      </c>
      <c r="B9" s="732" t="s">
        <v>289</v>
      </c>
      <c r="C9" s="733" t="s">
        <v>290</v>
      </c>
      <c r="D9" s="733"/>
      <c r="E9" s="733" t="s">
        <v>291</v>
      </c>
      <c r="F9" s="733" t="s">
        <v>292</v>
      </c>
      <c r="G9" s="733"/>
      <c r="H9" s="733"/>
      <c r="I9" s="733"/>
      <c r="J9" s="732" t="s">
        <v>293</v>
      </c>
      <c r="K9" s="732"/>
    </row>
    <row r="10" spans="1:13" ht="53.25" customHeight="1">
      <c r="A10" s="732"/>
      <c r="B10" s="732"/>
      <c r="C10" s="450" t="s">
        <v>294</v>
      </c>
      <c r="D10" s="450" t="s">
        <v>295</v>
      </c>
      <c r="E10" s="733"/>
      <c r="F10" s="450" t="s">
        <v>296</v>
      </c>
      <c r="G10" s="450" t="s">
        <v>250</v>
      </c>
      <c r="H10" s="450" t="s">
        <v>251</v>
      </c>
      <c r="I10" s="450" t="s">
        <v>252</v>
      </c>
      <c r="J10" s="450" t="s">
        <v>294</v>
      </c>
      <c r="K10" s="451" t="s">
        <v>295</v>
      </c>
      <c r="M10" s="193" t="s">
        <v>1147</v>
      </c>
    </row>
    <row r="11" spans="1:11" s="190" customFormat="1" ht="42.75" customHeight="1">
      <c r="A11" s="309" t="s">
        <v>297</v>
      </c>
      <c r="B11" s="309" t="s">
        <v>298</v>
      </c>
      <c r="C11" s="309">
        <v>1</v>
      </c>
      <c r="D11" s="309">
        <v>2</v>
      </c>
      <c r="E11" s="310" t="s">
        <v>299</v>
      </c>
      <c r="F11" s="382" t="s">
        <v>300</v>
      </c>
      <c r="G11" s="382" t="s">
        <v>301</v>
      </c>
      <c r="H11" s="382" t="s">
        <v>302</v>
      </c>
      <c r="I11" s="382" t="s">
        <v>303</v>
      </c>
      <c r="J11" s="310" t="s">
        <v>304</v>
      </c>
      <c r="K11" s="309" t="s">
        <v>305</v>
      </c>
    </row>
    <row r="12" spans="1:13" s="190" customFormat="1" ht="42.75" customHeight="1">
      <c r="A12" s="24"/>
      <c r="B12" s="24" t="s">
        <v>306</v>
      </c>
      <c r="C12" s="203">
        <f>+C13+C116+C123+C130+C131+C132</f>
        <v>329635000000</v>
      </c>
      <c r="D12" s="203">
        <f aca="true" t="shared" si="0" ref="D12:I12">+D13+D116+D123+D130+D131+D132</f>
        <v>329635000000</v>
      </c>
      <c r="E12" s="203">
        <f t="shared" si="0"/>
        <v>527148957820</v>
      </c>
      <c r="F12" s="203">
        <f t="shared" si="0"/>
        <v>8668597670</v>
      </c>
      <c r="G12" s="203">
        <f t="shared" si="0"/>
        <v>25040689894</v>
      </c>
      <c r="H12" s="203">
        <f t="shared" si="0"/>
        <v>428437608717</v>
      </c>
      <c r="I12" s="203">
        <f t="shared" si="0"/>
        <v>65002061539</v>
      </c>
      <c r="J12" s="303">
        <f>+E12/C12%</f>
        <v>159.91898852367012</v>
      </c>
      <c r="K12" s="303">
        <f>+E12/D12%</f>
        <v>159.91898852367012</v>
      </c>
      <c r="M12" s="482">
        <f>H12+I12</f>
        <v>493439670256</v>
      </c>
    </row>
    <row r="13" spans="1:13" s="190" customFormat="1" ht="42.75" customHeight="1">
      <c r="A13" s="311" t="s">
        <v>297</v>
      </c>
      <c r="B13" s="312" t="s">
        <v>307</v>
      </c>
      <c r="C13" s="203">
        <f aca="true" t="shared" si="1" ref="C13:I13">C14+C85+C96+C106+C107+C110</f>
        <v>94680000000</v>
      </c>
      <c r="D13" s="203">
        <f t="shared" si="1"/>
        <v>94680000000</v>
      </c>
      <c r="E13" s="203">
        <f t="shared" si="1"/>
        <v>143054887930</v>
      </c>
      <c r="F13" s="203">
        <f t="shared" si="1"/>
        <v>8668597670</v>
      </c>
      <c r="G13" s="203">
        <f t="shared" si="1"/>
        <v>23368320710</v>
      </c>
      <c r="H13" s="203">
        <f t="shared" si="1"/>
        <v>107799038053</v>
      </c>
      <c r="I13" s="203">
        <f t="shared" si="1"/>
        <v>3218931497</v>
      </c>
      <c r="J13" s="303">
        <f>+E13/C13%</f>
        <v>151.09303752640474</v>
      </c>
      <c r="K13" s="303">
        <f>+E13/D13%</f>
        <v>151.09303752640474</v>
      </c>
      <c r="M13" s="482">
        <f aca="true" t="shared" si="2" ref="M13:M76">H13+I13</f>
        <v>111017969550</v>
      </c>
    </row>
    <row r="14" spans="1:13" s="190" customFormat="1" ht="42.75" customHeight="1">
      <c r="A14" s="29" t="s">
        <v>308</v>
      </c>
      <c r="B14" s="449" t="s">
        <v>309</v>
      </c>
      <c r="C14" s="176">
        <f>+C15+C24+C31+C44+C52+C53+C54+C55+C56+C59+C63+C66+C67+C70+C73+C76+C77+C79+C82+C83+C84</f>
        <v>94680000000</v>
      </c>
      <c r="D14" s="176">
        <f aca="true" t="shared" si="3" ref="D14:I14">+D15+D24+D31+D44+D52+D53+D54+D55+D56+D59+D63+D66+D67+D70+D73+D76+D77+D79+D82+D83+D84</f>
        <v>94680000000</v>
      </c>
      <c r="E14" s="176">
        <f t="shared" si="3"/>
        <v>143029882780</v>
      </c>
      <c r="F14" s="176">
        <f t="shared" si="3"/>
        <v>8668597670</v>
      </c>
      <c r="G14" s="176">
        <f t="shared" si="3"/>
        <v>23368320710</v>
      </c>
      <c r="H14" s="176">
        <f t="shared" si="3"/>
        <v>107799038053</v>
      </c>
      <c r="I14" s="176">
        <f t="shared" si="3"/>
        <v>3193926347</v>
      </c>
      <c r="J14" s="303">
        <f>+E14/C14%</f>
        <v>151.06662735530207</v>
      </c>
      <c r="K14" s="303">
        <f>+E14/D14%</f>
        <v>151.06662735530207</v>
      </c>
      <c r="M14" s="482">
        <f t="shared" si="2"/>
        <v>110992964400</v>
      </c>
    </row>
    <row r="15" spans="1:13" s="190" customFormat="1" ht="42.75" customHeight="1">
      <c r="A15" s="29">
        <v>1</v>
      </c>
      <c r="B15" s="449" t="s">
        <v>310</v>
      </c>
      <c r="C15" s="176">
        <f>SUM(C16:C23)-C17-C20-C23</f>
        <v>4220000000</v>
      </c>
      <c r="D15" s="176">
        <f>SUM(D16:D23)-D17-D20-D23</f>
        <v>4220000000</v>
      </c>
      <c r="E15" s="176">
        <f>SUM(E16:E23)-E17-E20-E23</f>
        <v>4340589033</v>
      </c>
      <c r="F15" s="176">
        <f>SUM(F16:F23)-F17-F20-F23</f>
        <v>0</v>
      </c>
      <c r="G15" s="176">
        <f>SUM(G16:G23)-G17-G20-G23</f>
        <v>3838909790</v>
      </c>
      <c r="H15" s="176">
        <f>SUM(H16:H23)-H17-H20-H23</f>
        <v>501679243</v>
      </c>
      <c r="I15" s="176">
        <f>+I16+I18+I19+I22</f>
        <v>0</v>
      </c>
      <c r="J15" s="303">
        <f>+E15/C15%</f>
        <v>102.85756002369668</v>
      </c>
      <c r="K15" s="303">
        <f>+E15/D15%</f>
        <v>102.85756002369668</v>
      </c>
      <c r="M15" s="482">
        <f t="shared" si="2"/>
        <v>501679243</v>
      </c>
    </row>
    <row r="16" spans="1:13" ht="42.75" customHeight="1">
      <c r="A16" s="455"/>
      <c r="B16" s="28" t="s">
        <v>311</v>
      </c>
      <c r="C16" s="453">
        <v>3850000000</v>
      </c>
      <c r="D16" s="453">
        <f>C16</f>
        <v>3850000000</v>
      </c>
      <c r="E16" s="453">
        <f>SUM(F16:I16)</f>
        <v>3986908820</v>
      </c>
      <c r="F16" s="453">
        <v>0</v>
      </c>
      <c r="G16" s="453">
        <v>3588217912</v>
      </c>
      <c r="H16" s="453">
        <v>398690908</v>
      </c>
      <c r="I16" s="453">
        <v>0</v>
      </c>
      <c r="J16" s="302">
        <f>+E16/C16%</f>
        <v>103.55607324675324</v>
      </c>
      <c r="K16" s="302">
        <f>+E16/D16%</f>
        <v>103.55607324675324</v>
      </c>
      <c r="M16" s="482">
        <f t="shared" si="2"/>
        <v>398690908</v>
      </c>
    </row>
    <row r="17" spans="1:13" ht="42.75" customHeight="1">
      <c r="A17" s="455"/>
      <c r="B17" s="182" t="s">
        <v>312</v>
      </c>
      <c r="C17" s="453"/>
      <c r="D17" s="453"/>
      <c r="E17" s="453">
        <f aca="true" t="shared" si="4" ref="E17:E85">SUM(F17:I17)</f>
        <v>0</v>
      </c>
      <c r="F17" s="453"/>
      <c r="G17" s="453"/>
      <c r="H17" s="453"/>
      <c r="I17" s="453"/>
      <c r="J17" s="302"/>
      <c r="K17" s="302"/>
      <c r="M17" s="482">
        <f t="shared" si="2"/>
        <v>0</v>
      </c>
    </row>
    <row r="18" spans="1:13" ht="42.75" customHeight="1">
      <c r="A18" s="455"/>
      <c r="B18" s="28" t="s">
        <v>313</v>
      </c>
      <c r="C18" s="453"/>
      <c r="D18" s="453"/>
      <c r="E18" s="226">
        <f>SUM(F18:I18)</f>
        <v>990500</v>
      </c>
      <c r="F18" s="226"/>
      <c r="G18" s="226">
        <v>891450</v>
      </c>
      <c r="H18" s="226">
        <v>99050</v>
      </c>
      <c r="I18" s="453"/>
      <c r="J18" s="302"/>
      <c r="K18" s="302"/>
      <c r="M18" s="482">
        <f t="shared" si="2"/>
        <v>99050</v>
      </c>
    </row>
    <row r="19" spans="1:13" ht="42.75" customHeight="1">
      <c r="A19" s="455"/>
      <c r="B19" s="28" t="s">
        <v>314</v>
      </c>
      <c r="C19" s="453"/>
      <c r="D19" s="453"/>
      <c r="E19" s="453">
        <f t="shared" si="4"/>
        <v>0</v>
      </c>
      <c r="F19" s="453"/>
      <c r="G19" s="453"/>
      <c r="H19" s="453"/>
      <c r="I19" s="453"/>
      <c r="J19" s="302"/>
      <c r="K19" s="302"/>
      <c r="M19" s="482">
        <f t="shared" si="2"/>
        <v>0</v>
      </c>
    </row>
    <row r="20" spans="1:13" ht="42.75" customHeight="1">
      <c r="A20" s="455"/>
      <c r="B20" s="182" t="s">
        <v>315</v>
      </c>
      <c r="C20" s="453"/>
      <c r="D20" s="453"/>
      <c r="E20" s="453">
        <f t="shared" si="4"/>
        <v>0</v>
      </c>
      <c r="F20" s="453"/>
      <c r="G20" s="453"/>
      <c r="H20" s="453"/>
      <c r="I20" s="453"/>
      <c r="J20" s="302"/>
      <c r="K20" s="302"/>
      <c r="M20" s="482">
        <f t="shared" si="2"/>
        <v>0</v>
      </c>
    </row>
    <row r="21" spans="1:13" ht="42.75" customHeight="1">
      <c r="A21" s="455"/>
      <c r="B21" s="383" t="s">
        <v>316</v>
      </c>
      <c r="C21" s="453">
        <v>370000000</v>
      </c>
      <c r="D21" s="453">
        <f>C21</f>
        <v>370000000</v>
      </c>
      <c r="E21" s="453">
        <f t="shared" si="4"/>
        <v>352689713</v>
      </c>
      <c r="F21" s="453">
        <v>0</v>
      </c>
      <c r="G21" s="453">
        <v>249800428</v>
      </c>
      <c r="H21" s="453">
        <v>102889285</v>
      </c>
      <c r="I21" s="453"/>
      <c r="J21" s="302"/>
      <c r="K21" s="302"/>
      <c r="M21" s="482">
        <f t="shared" si="2"/>
        <v>102889285</v>
      </c>
    </row>
    <row r="22" spans="1:13" ht="42.75" customHeight="1">
      <c r="A22" s="455"/>
      <c r="B22" s="383" t="s">
        <v>317</v>
      </c>
      <c r="C22" s="453">
        <v>0</v>
      </c>
      <c r="D22" s="453"/>
      <c r="E22" s="453">
        <f t="shared" si="4"/>
        <v>0</v>
      </c>
      <c r="F22" s="453"/>
      <c r="G22" s="453"/>
      <c r="H22" s="453"/>
      <c r="I22" s="453"/>
      <c r="J22" s="302"/>
      <c r="K22" s="302"/>
      <c r="M22" s="482">
        <f t="shared" si="2"/>
        <v>0</v>
      </c>
    </row>
    <row r="23" spans="1:13" ht="42.75" customHeight="1">
      <c r="A23" s="455"/>
      <c r="B23" s="182" t="s">
        <v>318</v>
      </c>
      <c r="C23" s="453"/>
      <c r="D23" s="453"/>
      <c r="E23" s="453">
        <f t="shared" si="4"/>
        <v>0</v>
      </c>
      <c r="F23" s="453"/>
      <c r="G23" s="453"/>
      <c r="H23" s="453"/>
      <c r="I23" s="453"/>
      <c r="J23" s="302"/>
      <c r="K23" s="302"/>
      <c r="M23" s="482">
        <f t="shared" si="2"/>
        <v>0</v>
      </c>
    </row>
    <row r="24" spans="1:13" s="190" customFormat="1" ht="42.75" customHeight="1">
      <c r="A24" s="29">
        <v>2</v>
      </c>
      <c r="B24" s="449" t="s">
        <v>319</v>
      </c>
      <c r="C24" s="176">
        <f aca="true" t="shared" si="5" ref="C24:I24">SUM(C25:C30)-C28</f>
        <v>610000000</v>
      </c>
      <c r="D24" s="176">
        <f t="shared" si="5"/>
        <v>610000000</v>
      </c>
      <c r="E24" s="176">
        <f t="shared" si="5"/>
        <v>992338992</v>
      </c>
      <c r="F24" s="176">
        <f t="shared" si="5"/>
        <v>0</v>
      </c>
      <c r="G24" s="176">
        <f t="shared" si="5"/>
        <v>917367386</v>
      </c>
      <c r="H24" s="176">
        <f t="shared" si="5"/>
        <v>74971606</v>
      </c>
      <c r="I24" s="176">
        <f t="shared" si="5"/>
        <v>0</v>
      </c>
      <c r="J24" s="302">
        <f>+E24/C24%</f>
        <v>162.67852327868852</v>
      </c>
      <c r="K24" s="302">
        <f>+E24/D24%</f>
        <v>162.67852327868852</v>
      </c>
      <c r="M24" s="482">
        <f t="shared" si="2"/>
        <v>74971606</v>
      </c>
    </row>
    <row r="25" spans="1:13" ht="42.75" customHeight="1">
      <c r="A25" s="455"/>
      <c r="B25" s="28" t="s">
        <v>311</v>
      </c>
      <c r="C25" s="453">
        <v>240000000</v>
      </c>
      <c r="D25" s="453">
        <f>C25</f>
        <v>240000000</v>
      </c>
      <c r="E25" s="453">
        <f>SUM(F25:I25)</f>
        <v>164414592</v>
      </c>
      <c r="F25" s="453"/>
      <c r="G25" s="453">
        <v>147973129</v>
      </c>
      <c r="H25" s="453">
        <v>16441463</v>
      </c>
      <c r="I25" s="453"/>
      <c r="J25" s="302">
        <f>+E25/C25%</f>
        <v>68.50608</v>
      </c>
      <c r="K25" s="302">
        <f>+E25/D25%</f>
        <v>68.50608</v>
      </c>
      <c r="M25" s="482">
        <f t="shared" si="2"/>
        <v>16441463</v>
      </c>
    </row>
    <row r="26" spans="1:13" ht="42.75" customHeight="1">
      <c r="A26" s="455"/>
      <c r="B26" s="28" t="s">
        <v>313</v>
      </c>
      <c r="C26" s="453">
        <v>270000000</v>
      </c>
      <c r="D26" s="537">
        <f>C26</f>
        <v>270000000</v>
      </c>
      <c r="E26" s="226">
        <f t="shared" si="4"/>
        <v>585301390</v>
      </c>
      <c r="F26" s="226"/>
      <c r="G26" s="226">
        <v>526771247</v>
      </c>
      <c r="H26" s="226">
        <v>58530143</v>
      </c>
      <c r="I26" s="453"/>
      <c r="J26" s="302">
        <f>+E26/C26%</f>
        <v>216.7782925925926</v>
      </c>
      <c r="K26" s="302">
        <f>+E26/D26%</f>
        <v>216.7782925925926</v>
      </c>
      <c r="M26" s="482">
        <f t="shared" si="2"/>
        <v>58530143</v>
      </c>
    </row>
    <row r="27" spans="1:13" ht="42.75" customHeight="1">
      <c r="A27" s="455"/>
      <c r="B27" s="28" t="s">
        <v>314</v>
      </c>
      <c r="C27" s="453"/>
      <c r="D27" s="453">
        <f>C27</f>
        <v>0</v>
      </c>
      <c r="E27" s="453">
        <f t="shared" si="4"/>
        <v>0</v>
      </c>
      <c r="F27" s="453"/>
      <c r="G27" s="453">
        <v>0</v>
      </c>
      <c r="H27" s="453"/>
      <c r="I27" s="453"/>
      <c r="J27" s="302"/>
      <c r="K27" s="302"/>
      <c r="M27" s="482">
        <f t="shared" si="2"/>
        <v>0</v>
      </c>
    </row>
    <row r="28" spans="1:13" ht="42.75" customHeight="1">
      <c r="A28" s="455"/>
      <c r="B28" s="182" t="s">
        <v>315</v>
      </c>
      <c r="C28" s="453"/>
      <c r="D28" s="453">
        <f>C28</f>
        <v>0</v>
      </c>
      <c r="E28" s="453">
        <f t="shared" si="4"/>
        <v>0</v>
      </c>
      <c r="F28" s="453"/>
      <c r="G28" s="453"/>
      <c r="H28" s="453"/>
      <c r="I28" s="453"/>
      <c r="J28" s="302"/>
      <c r="K28" s="302"/>
      <c r="M28" s="482">
        <f t="shared" si="2"/>
        <v>0</v>
      </c>
    </row>
    <row r="29" spans="1:13" ht="42.75" customHeight="1">
      <c r="A29" s="455"/>
      <c r="B29" s="28" t="s">
        <v>320</v>
      </c>
      <c r="C29" s="453">
        <v>100000000</v>
      </c>
      <c r="D29" s="453">
        <f>C29</f>
        <v>100000000</v>
      </c>
      <c r="E29" s="453">
        <f t="shared" si="4"/>
        <v>242623010</v>
      </c>
      <c r="F29" s="453"/>
      <c r="G29" s="453">
        <v>242623010</v>
      </c>
      <c r="H29" s="453">
        <v>0</v>
      </c>
      <c r="I29" s="453"/>
      <c r="J29" s="302"/>
      <c r="K29" s="302"/>
      <c r="M29" s="482">
        <f t="shared" si="2"/>
        <v>0</v>
      </c>
    </row>
    <row r="30" spans="1:13" ht="42.75" customHeight="1">
      <c r="A30" s="455"/>
      <c r="B30" s="383" t="s">
        <v>317</v>
      </c>
      <c r="C30" s="453"/>
      <c r="D30" s="453"/>
      <c r="E30" s="453">
        <f t="shared" si="4"/>
        <v>0</v>
      </c>
      <c r="F30" s="453"/>
      <c r="G30" s="453">
        <v>0</v>
      </c>
      <c r="H30" s="453">
        <v>0</v>
      </c>
      <c r="I30" s="453"/>
      <c r="J30" s="302"/>
      <c r="K30" s="302"/>
      <c r="M30" s="482">
        <f t="shared" si="2"/>
        <v>0</v>
      </c>
    </row>
    <row r="31" spans="1:13" s="190" customFormat="1" ht="42.75" customHeight="1">
      <c r="A31" s="29">
        <v>3</v>
      </c>
      <c r="B31" s="449" t="s">
        <v>321</v>
      </c>
      <c r="C31" s="176">
        <f aca="true" t="shared" si="6" ref="C31:I31">SUM(C32:C43)-C33-C35-C38-C40-C42</f>
        <v>0</v>
      </c>
      <c r="D31" s="176">
        <f t="shared" si="6"/>
        <v>0</v>
      </c>
      <c r="E31" s="176">
        <f t="shared" si="6"/>
        <v>270451479</v>
      </c>
      <c r="F31" s="176">
        <f t="shared" si="6"/>
        <v>0</v>
      </c>
      <c r="G31" s="176">
        <f t="shared" si="6"/>
        <v>243406330</v>
      </c>
      <c r="H31" s="176">
        <f t="shared" si="6"/>
        <v>27045149</v>
      </c>
      <c r="I31" s="176">
        <f t="shared" si="6"/>
        <v>0</v>
      </c>
      <c r="J31" s="302"/>
      <c r="K31" s="302"/>
      <c r="M31" s="482">
        <f t="shared" si="2"/>
        <v>27045149</v>
      </c>
    </row>
    <row r="32" spans="1:13" ht="42.75" customHeight="1">
      <c r="A32" s="455"/>
      <c r="B32" s="28" t="s">
        <v>311</v>
      </c>
      <c r="C32" s="453">
        <v>0</v>
      </c>
      <c r="D32" s="453">
        <f>C32</f>
        <v>0</v>
      </c>
      <c r="E32" s="453">
        <f t="shared" si="4"/>
        <v>138693066</v>
      </c>
      <c r="F32" s="453"/>
      <c r="G32" s="453">
        <v>124823759</v>
      </c>
      <c r="H32" s="453">
        <v>13869307</v>
      </c>
      <c r="I32" s="453"/>
      <c r="J32" s="302"/>
      <c r="K32" s="302"/>
      <c r="M32" s="482">
        <f t="shared" si="2"/>
        <v>13869307</v>
      </c>
    </row>
    <row r="33" spans="1:13" ht="42.75" customHeight="1">
      <c r="A33" s="455"/>
      <c r="B33" s="182" t="s">
        <v>322</v>
      </c>
      <c r="C33" s="453"/>
      <c r="D33" s="453"/>
      <c r="E33" s="453">
        <f t="shared" si="4"/>
        <v>0</v>
      </c>
      <c r="F33" s="453"/>
      <c r="G33" s="453"/>
      <c r="H33" s="453"/>
      <c r="I33" s="453"/>
      <c r="J33" s="302"/>
      <c r="K33" s="302"/>
      <c r="M33" s="482">
        <f t="shared" si="2"/>
        <v>0</v>
      </c>
    </row>
    <row r="34" spans="1:13" ht="42.75" customHeight="1">
      <c r="A34" s="455"/>
      <c r="B34" s="28" t="s">
        <v>313</v>
      </c>
      <c r="C34" s="453">
        <v>0</v>
      </c>
      <c r="D34" s="453">
        <f>C34</f>
        <v>0</v>
      </c>
      <c r="E34" s="453">
        <f t="shared" si="4"/>
        <v>131758413</v>
      </c>
      <c r="F34" s="453"/>
      <c r="G34" s="453">
        <v>118582571</v>
      </c>
      <c r="H34" s="453">
        <v>13175842</v>
      </c>
      <c r="I34" s="453"/>
      <c r="J34" s="302"/>
      <c r="K34" s="302"/>
      <c r="M34" s="482">
        <f t="shared" si="2"/>
        <v>13175842</v>
      </c>
    </row>
    <row r="35" spans="1:13" ht="42.75" customHeight="1">
      <c r="A35" s="455"/>
      <c r="B35" s="182" t="s">
        <v>323</v>
      </c>
      <c r="C35" s="453"/>
      <c r="D35" s="453"/>
      <c r="E35" s="453">
        <f t="shared" si="4"/>
        <v>0</v>
      </c>
      <c r="F35" s="453"/>
      <c r="G35" s="453"/>
      <c r="H35" s="453"/>
      <c r="I35" s="453"/>
      <c r="J35" s="302"/>
      <c r="K35" s="302"/>
      <c r="M35" s="482">
        <f t="shared" si="2"/>
        <v>0</v>
      </c>
    </row>
    <row r="36" spans="1:13" ht="42.75" customHeight="1">
      <c r="A36" s="455"/>
      <c r="B36" s="28" t="s">
        <v>324</v>
      </c>
      <c r="C36" s="453"/>
      <c r="D36" s="453"/>
      <c r="E36" s="453">
        <f t="shared" si="4"/>
        <v>0</v>
      </c>
      <c r="F36" s="453"/>
      <c r="G36" s="453"/>
      <c r="H36" s="453"/>
      <c r="I36" s="453"/>
      <c r="J36" s="302"/>
      <c r="K36" s="302"/>
      <c r="M36" s="482">
        <f t="shared" si="2"/>
        <v>0</v>
      </c>
    </row>
    <row r="37" spans="1:13" ht="42.75" customHeight="1">
      <c r="A37" s="455"/>
      <c r="B37" s="28" t="s">
        <v>314</v>
      </c>
      <c r="C37" s="453"/>
      <c r="D37" s="453"/>
      <c r="E37" s="453">
        <f t="shared" si="4"/>
        <v>0</v>
      </c>
      <c r="F37" s="453"/>
      <c r="G37" s="453"/>
      <c r="H37" s="453"/>
      <c r="I37" s="453"/>
      <c r="J37" s="302"/>
      <c r="K37" s="302"/>
      <c r="M37" s="482">
        <f t="shared" si="2"/>
        <v>0</v>
      </c>
    </row>
    <row r="38" spans="1:13" ht="42.75" customHeight="1">
      <c r="A38" s="455"/>
      <c r="B38" s="182" t="s">
        <v>325</v>
      </c>
      <c r="C38" s="453"/>
      <c r="D38" s="453"/>
      <c r="E38" s="453">
        <f t="shared" si="4"/>
        <v>0</v>
      </c>
      <c r="F38" s="453"/>
      <c r="G38" s="453"/>
      <c r="H38" s="453"/>
      <c r="I38" s="453"/>
      <c r="J38" s="302"/>
      <c r="K38" s="302"/>
      <c r="M38" s="482">
        <f t="shared" si="2"/>
        <v>0</v>
      </c>
    </row>
    <row r="39" spans="1:13" s="483" customFormat="1" ht="42.75" customHeight="1">
      <c r="A39" s="279"/>
      <c r="B39" s="395" t="s">
        <v>320</v>
      </c>
      <c r="C39" s="226"/>
      <c r="D39" s="226"/>
      <c r="E39" s="453">
        <f t="shared" si="4"/>
        <v>0</v>
      </c>
      <c r="F39" s="453"/>
      <c r="G39" s="453"/>
      <c r="H39" s="453"/>
      <c r="I39" s="226"/>
      <c r="J39" s="302"/>
      <c r="K39" s="302"/>
      <c r="M39" s="482">
        <f t="shared" si="2"/>
        <v>0</v>
      </c>
    </row>
    <row r="40" spans="1:13" ht="42.75" customHeight="1">
      <c r="A40" s="455"/>
      <c r="B40" s="182" t="s">
        <v>318</v>
      </c>
      <c r="C40" s="453"/>
      <c r="D40" s="453"/>
      <c r="E40" s="453">
        <f t="shared" si="4"/>
        <v>0</v>
      </c>
      <c r="F40" s="453"/>
      <c r="G40" s="453"/>
      <c r="H40" s="453"/>
      <c r="I40" s="453"/>
      <c r="J40" s="302"/>
      <c r="K40" s="302"/>
      <c r="M40" s="482">
        <f t="shared" si="2"/>
        <v>0</v>
      </c>
    </row>
    <row r="41" spans="1:13" ht="42.75" customHeight="1">
      <c r="A41" s="455"/>
      <c r="B41" s="28" t="s">
        <v>326</v>
      </c>
      <c r="C41" s="453"/>
      <c r="D41" s="453"/>
      <c r="E41" s="453">
        <f t="shared" si="4"/>
        <v>0</v>
      </c>
      <c r="F41" s="453"/>
      <c r="G41" s="453"/>
      <c r="H41" s="453"/>
      <c r="I41" s="453"/>
      <c r="J41" s="302"/>
      <c r="K41" s="302"/>
      <c r="M41" s="482">
        <f t="shared" si="2"/>
        <v>0</v>
      </c>
    </row>
    <row r="42" spans="1:13" ht="42.75" customHeight="1">
      <c r="A42" s="455"/>
      <c r="B42" s="182" t="s">
        <v>322</v>
      </c>
      <c r="C42" s="453"/>
      <c r="D42" s="453"/>
      <c r="E42" s="453">
        <f t="shared" si="4"/>
        <v>0</v>
      </c>
      <c r="F42" s="453"/>
      <c r="G42" s="453"/>
      <c r="H42" s="453"/>
      <c r="I42" s="453"/>
      <c r="J42" s="302"/>
      <c r="K42" s="302"/>
      <c r="M42" s="482">
        <f t="shared" si="2"/>
        <v>0</v>
      </c>
    </row>
    <row r="43" spans="1:13" ht="42.75" customHeight="1">
      <c r="A43" s="455"/>
      <c r="B43" s="383" t="s">
        <v>317</v>
      </c>
      <c r="C43" s="453"/>
      <c r="D43" s="453"/>
      <c r="E43" s="453">
        <f t="shared" si="4"/>
        <v>0</v>
      </c>
      <c r="F43" s="453"/>
      <c r="G43" s="453"/>
      <c r="H43" s="453"/>
      <c r="I43" s="453"/>
      <c r="J43" s="302"/>
      <c r="K43" s="302"/>
      <c r="M43" s="482">
        <f t="shared" si="2"/>
        <v>0</v>
      </c>
    </row>
    <row r="44" spans="1:13" s="190" customFormat="1" ht="42.75" customHeight="1">
      <c r="A44" s="29">
        <v>4</v>
      </c>
      <c r="B44" s="449" t="s">
        <v>327</v>
      </c>
      <c r="C44" s="176">
        <f aca="true" t="shared" si="7" ref="C44:I44">SUM(C45:C51)-C48</f>
        <v>69500000000</v>
      </c>
      <c r="D44" s="176">
        <f t="shared" si="7"/>
        <v>69500000000</v>
      </c>
      <c r="E44" s="176">
        <f t="shared" si="7"/>
        <v>97083059416</v>
      </c>
      <c r="F44" s="176">
        <f t="shared" si="7"/>
        <v>0</v>
      </c>
      <c r="G44" s="176">
        <f t="shared" si="7"/>
        <v>11134431333</v>
      </c>
      <c r="H44" s="176">
        <f t="shared" si="7"/>
        <v>85948628083</v>
      </c>
      <c r="I44" s="176">
        <f t="shared" si="7"/>
        <v>0</v>
      </c>
      <c r="J44" s="302">
        <f>+E44/C44%</f>
        <v>139.68785527482015</v>
      </c>
      <c r="K44" s="302">
        <f>+E44/D44%</f>
        <v>139.68785527482015</v>
      </c>
      <c r="M44" s="482">
        <f t="shared" si="2"/>
        <v>85948628083</v>
      </c>
    </row>
    <row r="45" spans="1:13" ht="42.75" customHeight="1">
      <c r="A45" s="455"/>
      <c r="B45" s="28" t="s">
        <v>311</v>
      </c>
      <c r="C45" s="453">
        <v>58540000000</v>
      </c>
      <c r="D45" s="453">
        <f>C45</f>
        <v>58540000000</v>
      </c>
      <c r="E45" s="453">
        <f t="shared" si="4"/>
        <v>87617772369</v>
      </c>
      <c r="F45" s="453"/>
      <c r="G45" s="453">
        <v>8761777015</v>
      </c>
      <c r="H45" s="453">
        <v>78855995354</v>
      </c>
      <c r="I45" s="453"/>
      <c r="J45" s="302">
        <f>+E45/C45%</f>
        <v>149.67163028527503</v>
      </c>
      <c r="K45" s="302">
        <f>+E45/D45%</f>
        <v>149.67163028527503</v>
      </c>
      <c r="M45" s="482">
        <f t="shared" si="2"/>
        <v>78855995354</v>
      </c>
    </row>
    <row r="46" spans="1:13" ht="42.75" customHeight="1">
      <c r="A46" s="455"/>
      <c r="B46" s="28" t="s">
        <v>313</v>
      </c>
      <c r="C46" s="453">
        <v>1280000000</v>
      </c>
      <c r="D46" s="537">
        <f>C46</f>
        <v>1280000000</v>
      </c>
      <c r="E46" s="453">
        <f t="shared" si="4"/>
        <v>1163633446</v>
      </c>
      <c r="F46" s="453"/>
      <c r="G46" s="453">
        <v>116363281</v>
      </c>
      <c r="H46" s="453">
        <v>1047270165</v>
      </c>
      <c r="I46" s="453"/>
      <c r="J46" s="302">
        <f>+E46/C46%</f>
        <v>90.90886296875</v>
      </c>
      <c r="K46" s="302">
        <f>+E46/D46%</f>
        <v>90.90886296875</v>
      </c>
      <c r="M46" s="482">
        <f t="shared" si="2"/>
        <v>1047270165</v>
      </c>
    </row>
    <row r="47" spans="1:13" ht="42.75" customHeight="1">
      <c r="A47" s="455"/>
      <c r="B47" s="28" t="s">
        <v>314</v>
      </c>
      <c r="C47" s="453">
        <v>220000000</v>
      </c>
      <c r="D47" s="537">
        <f>C47</f>
        <v>220000000</v>
      </c>
      <c r="E47" s="453">
        <f t="shared" si="4"/>
        <v>119753954</v>
      </c>
      <c r="F47" s="453"/>
      <c r="G47" s="453"/>
      <c r="H47" s="453">
        <v>119753954</v>
      </c>
      <c r="I47" s="453"/>
      <c r="J47" s="302">
        <f>+E47/C47%</f>
        <v>54.43361545454545</v>
      </c>
      <c r="K47" s="302">
        <f>+E47/D47%</f>
        <v>54.43361545454545</v>
      </c>
      <c r="M47" s="482">
        <f t="shared" si="2"/>
        <v>119753954</v>
      </c>
    </row>
    <row r="48" spans="1:13" ht="42.75" customHeight="1">
      <c r="A48" s="455"/>
      <c r="B48" s="182" t="s">
        <v>328</v>
      </c>
      <c r="C48" s="453"/>
      <c r="D48" s="453"/>
      <c r="E48" s="453">
        <f t="shared" si="4"/>
        <v>0</v>
      </c>
      <c r="F48" s="453"/>
      <c r="G48" s="453"/>
      <c r="H48" s="453"/>
      <c r="I48" s="453"/>
      <c r="J48" s="302"/>
      <c r="K48" s="302"/>
      <c r="M48" s="482">
        <f t="shared" si="2"/>
        <v>0</v>
      </c>
    </row>
    <row r="49" spans="1:13" s="483" customFormat="1" ht="42.75" customHeight="1">
      <c r="A49" s="279"/>
      <c r="B49" s="454" t="s">
        <v>320</v>
      </c>
      <c r="C49" s="226">
        <v>9460000000</v>
      </c>
      <c r="D49" s="226">
        <f>C49</f>
        <v>9460000000</v>
      </c>
      <c r="E49" s="226">
        <f t="shared" si="4"/>
        <v>8181899647</v>
      </c>
      <c r="F49" s="226"/>
      <c r="G49" s="226">
        <v>2256291037</v>
      </c>
      <c r="H49" s="226">
        <v>5925608610</v>
      </c>
      <c r="I49" s="226"/>
      <c r="J49" s="301">
        <f>+E49/C49%</f>
        <v>86.48942544397462</v>
      </c>
      <c r="K49" s="301">
        <f>+E49/D49%</f>
        <v>86.48942544397462</v>
      </c>
      <c r="M49" s="482">
        <f t="shared" si="2"/>
        <v>5925608610</v>
      </c>
    </row>
    <row r="50" spans="1:13" ht="42.75" customHeight="1">
      <c r="A50" s="455"/>
      <c r="B50" s="383" t="s">
        <v>329</v>
      </c>
      <c r="C50" s="453"/>
      <c r="D50" s="453"/>
      <c r="E50" s="453">
        <f t="shared" si="4"/>
        <v>0</v>
      </c>
      <c r="F50" s="453"/>
      <c r="G50" s="453"/>
      <c r="H50" s="453"/>
      <c r="I50" s="453"/>
      <c r="J50" s="302"/>
      <c r="K50" s="302"/>
      <c r="M50" s="482">
        <f t="shared" si="2"/>
        <v>0</v>
      </c>
    </row>
    <row r="51" spans="1:13" ht="42.75" customHeight="1">
      <c r="A51" s="455"/>
      <c r="B51" s="383" t="s">
        <v>317</v>
      </c>
      <c r="C51" s="453"/>
      <c r="D51" s="453"/>
      <c r="E51" s="453">
        <f t="shared" si="4"/>
        <v>0</v>
      </c>
      <c r="F51" s="453"/>
      <c r="G51" s="453"/>
      <c r="H51" s="453"/>
      <c r="I51" s="453"/>
      <c r="J51" s="302"/>
      <c r="K51" s="302"/>
      <c r="M51" s="482">
        <f t="shared" si="2"/>
        <v>0</v>
      </c>
    </row>
    <row r="52" spans="1:13" s="484" customFormat="1" ht="42.75" customHeight="1">
      <c r="A52" s="276">
        <v>5</v>
      </c>
      <c r="B52" s="277" t="s">
        <v>330</v>
      </c>
      <c r="C52" s="225">
        <v>4800000000</v>
      </c>
      <c r="D52" s="225">
        <f>C52</f>
        <v>4800000000</v>
      </c>
      <c r="E52" s="225">
        <f t="shared" si="4"/>
        <v>5678614574</v>
      </c>
      <c r="F52" s="225"/>
      <c r="G52" s="225"/>
      <c r="H52" s="225">
        <v>5250771326</v>
      </c>
      <c r="I52" s="225">
        <v>427843248</v>
      </c>
      <c r="J52" s="302">
        <f>+E52/C52%</f>
        <v>118.30447029166666</v>
      </c>
      <c r="K52" s="302">
        <f>+E52/D52%</f>
        <v>118.30447029166666</v>
      </c>
      <c r="M52" s="482">
        <f t="shared" si="2"/>
        <v>5678614574</v>
      </c>
    </row>
    <row r="53" spans="1:13" s="190" customFormat="1" ht="42.75" customHeight="1">
      <c r="A53" s="29">
        <v>6</v>
      </c>
      <c r="B53" s="449" t="s">
        <v>331</v>
      </c>
      <c r="C53" s="176"/>
      <c r="D53" s="176"/>
      <c r="E53" s="176">
        <f t="shared" si="4"/>
        <v>7600000</v>
      </c>
      <c r="F53" s="176"/>
      <c r="G53" s="176"/>
      <c r="H53" s="176"/>
      <c r="I53" s="176">
        <v>7600000</v>
      </c>
      <c r="J53" s="302"/>
      <c r="K53" s="302"/>
      <c r="M53" s="482">
        <f t="shared" si="2"/>
        <v>7600000</v>
      </c>
    </row>
    <row r="54" spans="1:13" s="484" customFormat="1" ht="42.75" customHeight="1">
      <c r="A54" s="276">
        <v>7</v>
      </c>
      <c r="B54" s="277" t="s">
        <v>332</v>
      </c>
      <c r="C54" s="225">
        <v>50000000</v>
      </c>
      <c r="D54" s="225">
        <f>C54</f>
        <v>50000000</v>
      </c>
      <c r="E54" s="225">
        <f t="shared" si="4"/>
        <v>107716658</v>
      </c>
      <c r="F54" s="225"/>
      <c r="G54" s="225"/>
      <c r="H54" s="225"/>
      <c r="I54" s="225">
        <v>107716658</v>
      </c>
      <c r="J54" s="302">
        <f>+E54/C54%</f>
        <v>215.433316</v>
      </c>
      <c r="K54" s="302">
        <f>+E54/D54%</f>
        <v>215.433316</v>
      </c>
      <c r="M54" s="482">
        <f t="shared" si="2"/>
        <v>107716658</v>
      </c>
    </row>
    <row r="55" spans="1:13" s="190" customFormat="1" ht="42.75" customHeight="1">
      <c r="A55" s="29">
        <v>8</v>
      </c>
      <c r="B55" s="449" t="s">
        <v>333</v>
      </c>
      <c r="C55" s="176">
        <v>5450000000</v>
      </c>
      <c r="D55" s="176">
        <f>C55</f>
        <v>5450000000</v>
      </c>
      <c r="E55" s="176">
        <f t="shared" si="4"/>
        <v>3958988425</v>
      </c>
      <c r="F55" s="176"/>
      <c r="G55" s="176">
        <v>395898559</v>
      </c>
      <c r="H55" s="176">
        <v>3563089866</v>
      </c>
      <c r="I55" s="176"/>
      <c r="J55" s="302">
        <f>+E55/C55%</f>
        <v>72.64198944954128</v>
      </c>
      <c r="K55" s="302">
        <f>+E55/D55%</f>
        <v>72.64198944954128</v>
      </c>
      <c r="M55" s="482">
        <f t="shared" si="2"/>
        <v>3563089866</v>
      </c>
    </row>
    <row r="56" spans="1:13" s="190" customFormat="1" ht="42.75" customHeight="1">
      <c r="A56" s="29">
        <v>9</v>
      </c>
      <c r="B56" s="449" t="s">
        <v>334</v>
      </c>
      <c r="C56" s="176"/>
      <c r="D56" s="176"/>
      <c r="E56" s="176">
        <f t="shared" si="4"/>
        <v>10277418936</v>
      </c>
      <c r="F56" s="176">
        <v>6433117072</v>
      </c>
      <c r="G56" s="176">
        <v>3844301864</v>
      </c>
      <c r="H56" s="176">
        <f>SUM(H57:H58)</f>
        <v>0</v>
      </c>
      <c r="I56" s="176">
        <f>SUM(I57:I58)</f>
        <v>0</v>
      </c>
      <c r="J56" s="302"/>
      <c r="K56" s="302"/>
      <c r="M56" s="482">
        <f t="shared" si="2"/>
        <v>0</v>
      </c>
    </row>
    <row r="57" spans="1:13" ht="42.75" customHeight="1">
      <c r="A57" s="455"/>
      <c r="B57" s="182" t="s">
        <v>335</v>
      </c>
      <c r="C57" s="453"/>
      <c r="D57" s="453"/>
      <c r="E57" s="453">
        <f t="shared" si="4"/>
        <v>5314616902</v>
      </c>
      <c r="F57" s="453">
        <v>5293312148</v>
      </c>
      <c r="G57" s="453">
        <v>21304754</v>
      </c>
      <c r="H57" s="453"/>
      <c r="I57" s="453"/>
      <c r="J57" s="302"/>
      <c r="K57" s="302"/>
      <c r="M57" s="482">
        <f t="shared" si="2"/>
        <v>0</v>
      </c>
    </row>
    <row r="58" spans="1:13" ht="42.75" customHeight="1">
      <c r="A58" s="455"/>
      <c r="B58" s="182" t="s">
        <v>336</v>
      </c>
      <c r="C58" s="453"/>
      <c r="D58" s="453"/>
      <c r="E58" s="453">
        <f t="shared" si="4"/>
        <v>3147826034</v>
      </c>
      <c r="F58" s="453"/>
      <c r="G58" s="453">
        <v>3147826034</v>
      </c>
      <c r="H58" s="453"/>
      <c r="I58" s="453"/>
      <c r="J58" s="302"/>
      <c r="K58" s="302"/>
      <c r="M58" s="482">
        <f t="shared" si="2"/>
        <v>0</v>
      </c>
    </row>
    <row r="59" spans="1:13" s="190" customFormat="1" ht="42.75" customHeight="1">
      <c r="A59" s="29">
        <v>10</v>
      </c>
      <c r="B59" s="449" t="s">
        <v>337</v>
      </c>
      <c r="C59" s="176">
        <f aca="true" t="shared" si="8" ref="C59:I59">SUM(C60:C62)-C62</f>
        <v>1540000000</v>
      </c>
      <c r="D59" s="176">
        <f t="shared" si="8"/>
        <v>1540000000</v>
      </c>
      <c r="E59" s="176">
        <f t="shared" si="8"/>
        <v>1538771049</v>
      </c>
      <c r="F59" s="176">
        <f t="shared" si="8"/>
        <v>289855116</v>
      </c>
      <c r="G59" s="176">
        <f t="shared" si="8"/>
        <v>0</v>
      </c>
      <c r="H59" s="176">
        <f t="shared" si="8"/>
        <v>260426705</v>
      </c>
      <c r="I59" s="176">
        <f t="shared" si="8"/>
        <v>988489228</v>
      </c>
      <c r="J59" s="302">
        <f>+E59/C59%</f>
        <v>99.92019798701298</v>
      </c>
      <c r="K59" s="302">
        <f>+E59/D59%</f>
        <v>99.92019798701298</v>
      </c>
      <c r="M59" s="482">
        <f t="shared" si="2"/>
        <v>1248915933</v>
      </c>
    </row>
    <row r="60" spans="1:13" ht="42.75" customHeight="1">
      <c r="A60" s="455"/>
      <c r="B60" s="182" t="s">
        <v>338</v>
      </c>
      <c r="C60" s="453">
        <v>0</v>
      </c>
      <c r="D60" s="453"/>
      <c r="E60" s="453">
        <f t="shared" si="4"/>
        <v>350312870</v>
      </c>
      <c r="F60" s="453">
        <v>289855116</v>
      </c>
      <c r="G60" s="453">
        <v>0</v>
      </c>
      <c r="H60" s="453">
        <v>55457754</v>
      </c>
      <c r="I60" s="453">
        <v>5000000</v>
      </c>
      <c r="J60" s="302" t="e">
        <f>+E60/C60%</f>
        <v>#DIV/0!</v>
      </c>
      <c r="K60" s="302" t="e">
        <f>+E60/D60%</f>
        <v>#DIV/0!</v>
      </c>
      <c r="M60" s="482">
        <f t="shared" si="2"/>
        <v>60457754</v>
      </c>
    </row>
    <row r="61" spans="1:13" s="483" customFormat="1" ht="42.75" customHeight="1">
      <c r="A61" s="279"/>
      <c r="B61" s="313" t="s">
        <v>339</v>
      </c>
      <c r="C61" s="226">
        <v>1540000000</v>
      </c>
      <c r="D61" s="226">
        <f>C61</f>
        <v>1540000000</v>
      </c>
      <c r="E61" s="226">
        <f t="shared" si="4"/>
        <v>1188458179</v>
      </c>
      <c r="F61" s="226"/>
      <c r="G61" s="226">
        <v>0</v>
      </c>
      <c r="H61" s="226">
        <f>105298329+99670622</f>
        <v>204968951</v>
      </c>
      <c r="I61" s="226">
        <f>23500000+482555000+477434228</f>
        <v>983489228</v>
      </c>
      <c r="J61" s="302">
        <f>+E61/C61%</f>
        <v>77.17260902597403</v>
      </c>
      <c r="K61" s="302">
        <f>+E61/D61%</f>
        <v>77.17260902597403</v>
      </c>
      <c r="M61" s="482">
        <f t="shared" si="2"/>
        <v>1188458179</v>
      </c>
    </row>
    <row r="62" spans="1:13" ht="42.75" customHeight="1">
      <c r="A62" s="455"/>
      <c r="B62" s="182" t="s">
        <v>340</v>
      </c>
      <c r="C62" s="453">
        <v>400000000</v>
      </c>
      <c r="D62" s="453">
        <v>400000000</v>
      </c>
      <c r="E62" s="453">
        <f t="shared" si="4"/>
        <v>0</v>
      </c>
      <c r="F62" s="453"/>
      <c r="G62" s="453"/>
      <c r="H62" s="453"/>
      <c r="I62" s="453"/>
      <c r="J62" s="302">
        <f>+E62/C62%</f>
        <v>0</v>
      </c>
      <c r="K62" s="302">
        <f>+E62/D62%</f>
        <v>0</v>
      </c>
      <c r="M62" s="482">
        <f t="shared" si="2"/>
        <v>0</v>
      </c>
    </row>
    <row r="63" spans="1:13" s="190" customFormat="1" ht="42.75" customHeight="1">
      <c r="A63" s="29">
        <v>11</v>
      </c>
      <c r="B63" s="449" t="s">
        <v>341</v>
      </c>
      <c r="C63" s="176">
        <f aca="true" t="shared" si="9" ref="C63:I63">SUM(C64:C65)</f>
        <v>3500000000</v>
      </c>
      <c r="D63" s="176">
        <f t="shared" si="9"/>
        <v>3500000000</v>
      </c>
      <c r="E63" s="176">
        <f t="shared" si="9"/>
        <v>13916597850</v>
      </c>
      <c r="F63" s="176">
        <f t="shared" si="9"/>
        <v>0</v>
      </c>
      <c r="G63" s="176">
        <f t="shared" si="9"/>
        <v>1669991742</v>
      </c>
      <c r="H63" s="176">
        <f t="shared" si="9"/>
        <v>10854946323</v>
      </c>
      <c r="I63" s="176">
        <f t="shared" si="9"/>
        <v>1391659785</v>
      </c>
      <c r="J63" s="302">
        <f>+E63/C63%</f>
        <v>397.61708142857145</v>
      </c>
      <c r="K63" s="302">
        <f>+E63/D63%</f>
        <v>397.61708142857145</v>
      </c>
      <c r="M63" s="482">
        <f t="shared" si="2"/>
        <v>12246606108</v>
      </c>
    </row>
    <row r="64" spans="1:13" ht="42.75" customHeight="1">
      <c r="A64" s="455"/>
      <c r="B64" s="182" t="s">
        <v>342</v>
      </c>
      <c r="C64" s="453"/>
      <c r="D64" s="453"/>
      <c r="E64" s="453">
        <f t="shared" si="4"/>
        <v>0</v>
      </c>
      <c r="F64" s="453"/>
      <c r="G64" s="453"/>
      <c r="H64" s="453"/>
      <c r="I64" s="453"/>
      <c r="J64" s="302"/>
      <c r="K64" s="302"/>
      <c r="M64" s="482">
        <f t="shared" si="2"/>
        <v>0</v>
      </c>
    </row>
    <row r="65" spans="1:13" ht="42.75" customHeight="1">
      <c r="A65" s="455"/>
      <c r="B65" s="182" t="s">
        <v>343</v>
      </c>
      <c r="C65" s="453">
        <v>3500000000</v>
      </c>
      <c r="D65" s="453">
        <f>C65</f>
        <v>3500000000</v>
      </c>
      <c r="E65" s="453">
        <f t="shared" si="4"/>
        <v>13916597850</v>
      </c>
      <c r="F65" s="453"/>
      <c r="G65" s="453">
        <v>1669991742</v>
      </c>
      <c r="H65" s="453">
        <v>10854946323</v>
      </c>
      <c r="I65" s="453">
        <v>1391659785</v>
      </c>
      <c r="J65" s="302">
        <f>+E65/C65%</f>
        <v>397.61708142857145</v>
      </c>
      <c r="K65" s="302">
        <f>+E65/D65%</f>
        <v>397.61708142857145</v>
      </c>
      <c r="M65" s="482">
        <f t="shared" si="2"/>
        <v>12246606108</v>
      </c>
    </row>
    <row r="66" spans="1:13" s="190" customFormat="1" ht="42.75" customHeight="1">
      <c r="A66" s="29" t="s">
        <v>344</v>
      </c>
      <c r="B66" s="449" t="s">
        <v>345</v>
      </c>
      <c r="C66" s="176">
        <v>520000000</v>
      </c>
      <c r="D66" s="176">
        <f>C66</f>
        <v>520000000</v>
      </c>
      <c r="E66" s="176">
        <f t="shared" si="4"/>
        <v>661866679</v>
      </c>
      <c r="F66" s="176"/>
      <c r="G66" s="176">
        <v>132373331</v>
      </c>
      <c r="H66" s="176">
        <v>529493348</v>
      </c>
      <c r="I66" s="176"/>
      <c r="J66" s="302">
        <f>+E66/C66%</f>
        <v>127.28205365384615</v>
      </c>
      <c r="K66" s="302">
        <f>+E66/D66%</f>
        <v>127.28205365384615</v>
      </c>
      <c r="M66" s="482">
        <f t="shared" si="2"/>
        <v>529493348</v>
      </c>
    </row>
    <row r="67" spans="1:13" ht="42.75" customHeight="1">
      <c r="A67" s="29">
        <v>13</v>
      </c>
      <c r="B67" s="449" t="s">
        <v>346</v>
      </c>
      <c r="C67" s="453"/>
      <c r="D67" s="453"/>
      <c r="E67" s="453">
        <f t="shared" si="4"/>
        <v>0</v>
      </c>
      <c r="F67" s="453"/>
      <c r="G67" s="453"/>
      <c r="H67" s="453"/>
      <c r="I67" s="453"/>
      <c r="J67" s="302"/>
      <c r="K67" s="302"/>
      <c r="M67" s="482">
        <f t="shared" si="2"/>
        <v>0</v>
      </c>
    </row>
    <row r="68" spans="1:13" ht="42.75" customHeight="1">
      <c r="A68" s="28"/>
      <c r="B68" s="182" t="s">
        <v>347</v>
      </c>
      <c r="C68" s="453"/>
      <c r="D68" s="453"/>
      <c r="E68" s="453">
        <f t="shared" si="4"/>
        <v>0</v>
      </c>
      <c r="F68" s="453"/>
      <c r="G68" s="453"/>
      <c r="H68" s="453"/>
      <c r="I68" s="453"/>
      <c r="J68" s="302"/>
      <c r="K68" s="302"/>
      <c r="M68" s="482">
        <f t="shared" si="2"/>
        <v>0</v>
      </c>
    </row>
    <row r="69" spans="1:13" ht="42.75" customHeight="1">
      <c r="A69" s="28"/>
      <c r="B69" s="182" t="s">
        <v>348</v>
      </c>
      <c r="C69" s="453"/>
      <c r="D69" s="453"/>
      <c r="E69" s="453">
        <f t="shared" si="4"/>
        <v>0</v>
      </c>
      <c r="F69" s="453"/>
      <c r="G69" s="453"/>
      <c r="H69" s="453"/>
      <c r="I69" s="453"/>
      <c r="J69" s="302"/>
      <c r="K69" s="302"/>
      <c r="M69" s="482">
        <f t="shared" si="2"/>
        <v>0</v>
      </c>
    </row>
    <row r="70" spans="1:13" ht="42.75" customHeight="1">
      <c r="A70" s="29">
        <v>14</v>
      </c>
      <c r="B70" s="449" t="s">
        <v>349</v>
      </c>
      <c r="C70" s="453"/>
      <c r="D70" s="453"/>
      <c r="E70" s="453">
        <f t="shared" si="4"/>
        <v>0</v>
      </c>
      <c r="F70" s="453"/>
      <c r="G70" s="453"/>
      <c r="H70" s="453"/>
      <c r="I70" s="453"/>
      <c r="J70" s="302"/>
      <c r="K70" s="302"/>
      <c r="M70" s="482">
        <f t="shared" si="2"/>
        <v>0</v>
      </c>
    </row>
    <row r="71" spans="1:13" ht="42.75" customHeight="1">
      <c r="A71" s="455"/>
      <c r="B71" s="182" t="s">
        <v>350</v>
      </c>
      <c r="C71" s="453"/>
      <c r="D71" s="453"/>
      <c r="E71" s="453">
        <f t="shared" si="4"/>
        <v>0</v>
      </c>
      <c r="F71" s="453"/>
      <c r="G71" s="453"/>
      <c r="H71" s="453"/>
      <c r="I71" s="453"/>
      <c r="J71" s="302"/>
      <c r="K71" s="302"/>
      <c r="M71" s="482">
        <f t="shared" si="2"/>
        <v>0</v>
      </c>
    </row>
    <row r="72" spans="1:13" ht="42.75" customHeight="1">
      <c r="A72" s="28"/>
      <c r="B72" s="182" t="s">
        <v>351</v>
      </c>
      <c r="C72" s="453"/>
      <c r="D72" s="453"/>
      <c r="E72" s="453">
        <f t="shared" si="4"/>
        <v>0</v>
      </c>
      <c r="F72" s="453"/>
      <c r="G72" s="453"/>
      <c r="H72" s="453"/>
      <c r="I72" s="453"/>
      <c r="J72" s="302"/>
      <c r="K72" s="302"/>
      <c r="M72" s="482">
        <f t="shared" si="2"/>
        <v>0</v>
      </c>
    </row>
    <row r="73" spans="1:13" ht="42.75" customHeight="1">
      <c r="A73" s="29">
        <v>15</v>
      </c>
      <c r="B73" s="449" t="s">
        <v>352</v>
      </c>
      <c r="C73" s="453"/>
      <c r="D73" s="453"/>
      <c r="E73" s="453">
        <f t="shared" si="4"/>
        <v>0</v>
      </c>
      <c r="F73" s="453"/>
      <c r="G73" s="453"/>
      <c r="H73" s="453"/>
      <c r="I73" s="453"/>
      <c r="J73" s="302"/>
      <c r="K73" s="302"/>
      <c r="M73" s="482">
        <f t="shared" si="2"/>
        <v>0</v>
      </c>
    </row>
    <row r="74" spans="1:13" ht="42.75" customHeight="1">
      <c r="A74" s="28"/>
      <c r="B74" s="182" t="s">
        <v>353</v>
      </c>
      <c r="C74" s="453"/>
      <c r="D74" s="453"/>
      <c r="E74" s="453">
        <f t="shared" si="4"/>
        <v>0</v>
      </c>
      <c r="F74" s="453"/>
      <c r="G74" s="453"/>
      <c r="H74" s="453"/>
      <c r="I74" s="453"/>
      <c r="J74" s="302"/>
      <c r="K74" s="302"/>
      <c r="M74" s="482">
        <f t="shared" si="2"/>
        <v>0</v>
      </c>
    </row>
    <row r="75" spans="1:13" ht="42.75" customHeight="1">
      <c r="A75" s="28"/>
      <c r="B75" s="182" t="s">
        <v>354</v>
      </c>
      <c r="C75" s="453"/>
      <c r="D75" s="453"/>
      <c r="E75" s="453">
        <f t="shared" si="4"/>
        <v>0</v>
      </c>
      <c r="F75" s="453"/>
      <c r="G75" s="453"/>
      <c r="H75" s="453"/>
      <c r="I75" s="453"/>
      <c r="J75" s="302"/>
      <c r="K75" s="302"/>
      <c r="M75" s="482">
        <f t="shared" si="2"/>
        <v>0</v>
      </c>
    </row>
    <row r="76" spans="1:13" ht="42.75" customHeight="1">
      <c r="A76" s="29">
        <v>16</v>
      </c>
      <c r="B76" s="449" t="s">
        <v>355</v>
      </c>
      <c r="C76" s="453"/>
      <c r="D76" s="453"/>
      <c r="E76" s="453">
        <f t="shared" si="4"/>
        <v>0</v>
      </c>
      <c r="F76" s="453"/>
      <c r="G76" s="453"/>
      <c r="H76" s="453"/>
      <c r="I76" s="453"/>
      <c r="J76" s="302"/>
      <c r="K76" s="302"/>
      <c r="M76" s="482">
        <f t="shared" si="2"/>
        <v>0</v>
      </c>
    </row>
    <row r="77" spans="1:13" s="484" customFormat="1" ht="42.75" customHeight="1">
      <c r="A77" s="276">
        <v>17</v>
      </c>
      <c r="B77" s="277" t="s">
        <v>356</v>
      </c>
      <c r="C77" s="225">
        <v>2070000000</v>
      </c>
      <c r="D77" s="225">
        <f>C77</f>
        <v>2070000000</v>
      </c>
      <c r="E77" s="225">
        <f t="shared" si="4"/>
        <v>2150434494</v>
      </c>
      <c r="F77" s="225">
        <v>1059766309</v>
      </c>
      <c r="G77" s="225">
        <v>331986443</v>
      </c>
      <c r="H77" s="225">
        <v>516612704</v>
      </c>
      <c r="I77" s="225">
        <v>242069038</v>
      </c>
      <c r="J77" s="302">
        <f>+E77/C77%</f>
        <v>103.88572434782608</v>
      </c>
      <c r="K77" s="302">
        <f>+E77/D77%</f>
        <v>103.88572434782608</v>
      </c>
      <c r="M77" s="482">
        <f aca="true" t="shared" si="10" ref="M77:M135">H77+I77</f>
        <v>758681742</v>
      </c>
    </row>
    <row r="78" spans="1:13" ht="42.75" customHeight="1">
      <c r="A78" s="28"/>
      <c r="B78" s="182" t="s">
        <v>357</v>
      </c>
      <c r="C78" s="453"/>
      <c r="D78" s="453"/>
      <c r="E78" s="453">
        <f t="shared" si="4"/>
        <v>1059766309</v>
      </c>
      <c r="F78" s="453">
        <f>F77</f>
        <v>1059766309</v>
      </c>
      <c r="G78" s="453"/>
      <c r="H78" s="453"/>
      <c r="I78" s="453"/>
      <c r="J78" s="302" t="e">
        <f>+E78/C78%</f>
        <v>#DIV/0!</v>
      </c>
      <c r="K78" s="302" t="e">
        <f>+E78/D78%</f>
        <v>#DIV/0!</v>
      </c>
      <c r="M78" s="482">
        <f t="shared" si="10"/>
        <v>0</v>
      </c>
    </row>
    <row r="79" spans="1:13" s="484" customFormat="1" ht="42.75" customHeight="1">
      <c r="A79" s="276">
        <v>18</v>
      </c>
      <c r="B79" s="277" t="s">
        <v>358</v>
      </c>
      <c r="C79" s="225">
        <f aca="true" t="shared" si="11" ref="C79:I79">SUM(C80:C81)</f>
        <v>1870000000</v>
      </c>
      <c r="D79" s="225">
        <f t="shared" si="11"/>
        <v>1870000000</v>
      </c>
      <c r="E79" s="225">
        <f t="shared" si="11"/>
        <v>1536886805</v>
      </c>
      <c r="F79" s="225">
        <f t="shared" si="11"/>
        <v>885859173</v>
      </c>
      <c r="G79" s="225">
        <f t="shared" si="11"/>
        <v>379653932</v>
      </c>
      <c r="H79" s="225">
        <f t="shared" si="11"/>
        <v>271373700</v>
      </c>
      <c r="I79" s="225">
        <f t="shared" si="11"/>
        <v>0</v>
      </c>
      <c r="J79" s="302">
        <f>+E79/C79%</f>
        <v>82.18646016042781</v>
      </c>
      <c r="K79" s="302">
        <f>+E79/D79%</f>
        <v>82.18646016042781</v>
      </c>
      <c r="M79" s="482">
        <f t="shared" si="10"/>
        <v>271373700</v>
      </c>
    </row>
    <row r="80" spans="1:13" ht="42.75" customHeight="1">
      <c r="A80" s="28"/>
      <c r="B80" s="182" t="s">
        <v>359</v>
      </c>
      <c r="C80" s="453">
        <v>1260000000</v>
      </c>
      <c r="D80" s="453">
        <f>C80</f>
        <v>1260000000</v>
      </c>
      <c r="E80" s="453">
        <f t="shared" si="4"/>
        <v>1265513105</v>
      </c>
      <c r="F80" s="453">
        <v>885859173</v>
      </c>
      <c r="G80" s="453">
        <v>379653932</v>
      </c>
      <c r="H80" s="453"/>
      <c r="I80" s="453"/>
      <c r="J80" s="302"/>
      <c r="K80" s="302"/>
      <c r="M80" s="482">
        <f t="shared" si="10"/>
        <v>0</v>
      </c>
    </row>
    <row r="81" spans="1:13" ht="42.75" customHeight="1">
      <c r="A81" s="455"/>
      <c r="B81" s="182" t="s">
        <v>360</v>
      </c>
      <c r="C81" s="453">
        <v>610000000</v>
      </c>
      <c r="D81" s="537">
        <f>C81</f>
        <v>610000000</v>
      </c>
      <c r="E81" s="226">
        <f t="shared" si="4"/>
        <v>271373700</v>
      </c>
      <c r="F81" s="226"/>
      <c r="G81" s="226"/>
      <c r="H81" s="226">
        <v>271373700</v>
      </c>
      <c r="I81" s="453"/>
      <c r="J81" s="302">
        <f>+E81/C81%</f>
        <v>44.48749180327869</v>
      </c>
      <c r="K81" s="302">
        <f>+E81/D81%</f>
        <v>44.48749180327869</v>
      </c>
      <c r="M81" s="482">
        <f t="shared" si="10"/>
        <v>271373700</v>
      </c>
    </row>
    <row r="82" spans="1:13" s="484" customFormat="1" ht="42.75" customHeight="1">
      <c r="A82" s="276">
        <v>19</v>
      </c>
      <c r="B82" s="277" t="s">
        <v>361</v>
      </c>
      <c r="C82" s="225">
        <v>50000000</v>
      </c>
      <c r="D82" s="225">
        <f>C82</f>
        <v>50000000</v>
      </c>
      <c r="E82" s="225">
        <f t="shared" si="4"/>
        <v>28548390</v>
      </c>
      <c r="F82" s="225"/>
      <c r="G82" s="225"/>
      <c r="H82" s="225"/>
      <c r="I82" s="225">
        <v>28548390</v>
      </c>
      <c r="J82" s="302">
        <f>+E82/C82%</f>
        <v>57.09678</v>
      </c>
      <c r="K82" s="302">
        <f>+E82/D82%</f>
        <v>57.09678</v>
      </c>
      <c r="M82" s="482">
        <f t="shared" si="10"/>
        <v>28548390</v>
      </c>
    </row>
    <row r="83" spans="1:13" ht="42.75" customHeight="1">
      <c r="A83" s="29">
        <v>20</v>
      </c>
      <c r="B83" s="449" t="s">
        <v>362</v>
      </c>
      <c r="C83" s="453">
        <v>500000000</v>
      </c>
      <c r="D83" s="453">
        <f>C83</f>
        <v>500000000</v>
      </c>
      <c r="E83" s="453">
        <f t="shared" si="4"/>
        <v>480000000</v>
      </c>
      <c r="F83" s="453"/>
      <c r="G83" s="453">
        <v>480000000</v>
      </c>
      <c r="H83" s="453"/>
      <c r="I83" s="453"/>
      <c r="J83" s="302">
        <f>+E83/C83%</f>
        <v>96</v>
      </c>
      <c r="K83" s="302">
        <f>+E83/D83%</f>
        <v>96</v>
      </c>
      <c r="M83" s="482">
        <f t="shared" si="10"/>
        <v>0</v>
      </c>
    </row>
    <row r="84" spans="1:13" ht="42.75" customHeight="1">
      <c r="A84" s="29">
        <v>21</v>
      </c>
      <c r="B84" s="449" t="s">
        <v>363</v>
      </c>
      <c r="C84" s="453"/>
      <c r="D84" s="453"/>
      <c r="E84" s="453">
        <f t="shared" si="4"/>
        <v>0</v>
      </c>
      <c r="F84" s="453"/>
      <c r="G84" s="453"/>
      <c r="H84" s="453"/>
      <c r="I84" s="453"/>
      <c r="J84" s="302"/>
      <c r="K84" s="302"/>
      <c r="M84" s="482">
        <f t="shared" si="10"/>
        <v>0</v>
      </c>
    </row>
    <row r="85" spans="1:13" ht="42.75" customHeight="1">
      <c r="A85" s="29" t="s">
        <v>364</v>
      </c>
      <c r="B85" s="449" t="s">
        <v>365</v>
      </c>
      <c r="C85" s="453"/>
      <c r="D85" s="453"/>
      <c r="E85" s="453">
        <f t="shared" si="4"/>
        <v>0</v>
      </c>
      <c r="F85" s="453"/>
      <c r="G85" s="453"/>
      <c r="H85" s="453"/>
      <c r="I85" s="453"/>
      <c r="J85" s="302"/>
      <c r="K85" s="302"/>
      <c r="M85" s="482">
        <f t="shared" si="10"/>
        <v>0</v>
      </c>
    </row>
    <row r="86" spans="1:13" ht="42.75" customHeight="1">
      <c r="A86" s="207">
        <v>1</v>
      </c>
      <c r="B86" s="208" t="s">
        <v>366</v>
      </c>
      <c r="C86" s="453"/>
      <c r="D86" s="453"/>
      <c r="E86" s="453">
        <f aca="true" t="shared" si="12" ref="E86:E131">SUM(F86:I86)</f>
        <v>0</v>
      </c>
      <c r="F86" s="453"/>
      <c r="G86" s="453"/>
      <c r="H86" s="453"/>
      <c r="I86" s="453"/>
      <c r="J86" s="302"/>
      <c r="K86" s="302"/>
      <c r="M86" s="482">
        <f t="shared" si="10"/>
        <v>0</v>
      </c>
    </row>
    <row r="87" spans="1:13" ht="42.75" customHeight="1">
      <c r="A87" s="455" t="s">
        <v>367</v>
      </c>
      <c r="B87" s="28" t="s">
        <v>368</v>
      </c>
      <c r="C87" s="453"/>
      <c r="D87" s="453"/>
      <c r="E87" s="453">
        <f t="shared" si="12"/>
        <v>0</v>
      </c>
      <c r="F87" s="453"/>
      <c r="G87" s="453"/>
      <c r="H87" s="453"/>
      <c r="I87" s="453"/>
      <c r="J87" s="302"/>
      <c r="K87" s="302"/>
      <c r="M87" s="482">
        <f t="shared" si="10"/>
        <v>0</v>
      </c>
    </row>
    <row r="88" spans="1:13" ht="42.75" customHeight="1">
      <c r="A88" s="455" t="s">
        <v>369</v>
      </c>
      <c r="B88" s="28" t="s">
        <v>370</v>
      </c>
      <c r="C88" s="453"/>
      <c r="D88" s="453"/>
      <c r="E88" s="453">
        <f t="shared" si="12"/>
        <v>0</v>
      </c>
      <c r="F88" s="453"/>
      <c r="G88" s="453"/>
      <c r="H88" s="453"/>
      <c r="I88" s="453"/>
      <c r="J88" s="302"/>
      <c r="K88" s="302"/>
      <c r="M88" s="482">
        <f t="shared" si="10"/>
        <v>0</v>
      </c>
    </row>
    <row r="89" spans="1:13" ht="42.75" customHeight="1">
      <c r="A89" s="455" t="s">
        <v>371</v>
      </c>
      <c r="B89" s="28" t="s">
        <v>372</v>
      </c>
      <c r="C89" s="453"/>
      <c r="D89" s="453"/>
      <c r="E89" s="453">
        <f t="shared" si="12"/>
        <v>0</v>
      </c>
      <c r="F89" s="453"/>
      <c r="G89" s="453"/>
      <c r="H89" s="453"/>
      <c r="I89" s="453"/>
      <c r="J89" s="302"/>
      <c r="K89" s="302"/>
      <c r="M89" s="482">
        <f t="shared" si="10"/>
        <v>0</v>
      </c>
    </row>
    <row r="90" spans="1:13" ht="42.75" customHeight="1">
      <c r="A90" s="455" t="s">
        <v>373</v>
      </c>
      <c r="B90" s="28" t="s">
        <v>374</v>
      </c>
      <c r="C90" s="453"/>
      <c r="D90" s="453"/>
      <c r="E90" s="453">
        <f t="shared" si="12"/>
        <v>0</v>
      </c>
      <c r="F90" s="453"/>
      <c r="G90" s="453"/>
      <c r="H90" s="453"/>
      <c r="I90" s="453"/>
      <c r="J90" s="302"/>
      <c r="K90" s="302"/>
      <c r="M90" s="482">
        <f t="shared" si="10"/>
        <v>0</v>
      </c>
    </row>
    <row r="91" spans="1:13" ht="42.75" customHeight="1">
      <c r="A91" s="455" t="s">
        <v>375</v>
      </c>
      <c r="B91" s="28" t="s">
        <v>376</v>
      </c>
      <c r="C91" s="453"/>
      <c r="D91" s="453"/>
      <c r="E91" s="453">
        <f t="shared" si="12"/>
        <v>0</v>
      </c>
      <c r="F91" s="453"/>
      <c r="G91" s="453"/>
      <c r="H91" s="453"/>
      <c r="I91" s="453"/>
      <c r="J91" s="302"/>
      <c r="K91" s="302"/>
      <c r="M91" s="482">
        <f t="shared" si="10"/>
        <v>0</v>
      </c>
    </row>
    <row r="92" spans="1:13" ht="42.75" customHeight="1">
      <c r="A92" s="455" t="s">
        <v>377</v>
      </c>
      <c r="B92" s="28" t="s">
        <v>378</v>
      </c>
      <c r="C92" s="453"/>
      <c r="D92" s="453"/>
      <c r="E92" s="453">
        <f t="shared" si="12"/>
        <v>0</v>
      </c>
      <c r="F92" s="453"/>
      <c r="G92" s="453"/>
      <c r="H92" s="453"/>
      <c r="I92" s="453"/>
      <c r="J92" s="302"/>
      <c r="K92" s="302"/>
      <c r="M92" s="482">
        <f t="shared" si="10"/>
        <v>0</v>
      </c>
    </row>
    <row r="93" spans="1:13" ht="42.75" customHeight="1">
      <c r="A93" s="207">
        <v>2</v>
      </c>
      <c r="B93" s="208" t="s">
        <v>379</v>
      </c>
      <c r="C93" s="453"/>
      <c r="D93" s="453"/>
      <c r="E93" s="453">
        <f t="shared" si="12"/>
        <v>0</v>
      </c>
      <c r="F93" s="453"/>
      <c r="G93" s="453"/>
      <c r="H93" s="453"/>
      <c r="I93" s="453"/>
      <c r="J93" s="302"/>
      <c r="K93" s="302"/>
      <c r="M93" s="482">
        <f t="shared" si="10"/>
        <v>0</v>
      </c>
    </row>
    <row r="94" spans="1:13" ht="42.75" customHeight="1">
      <c r="A94" s="207">
        <v>3</v>
      </c>
      <c r="B94" s="208" t="s">
        <v>380</v>
      </c>
      <c r="C94" s="453"/>
      <c r="D94" s="453"/>
      <c r="E94" s="453">
        <f t="shared" si="12"/>
        <v>0</v>
      </c>
      <c r="F94" s="453"/>
      <c r="G94" s="453"/>
      <c r="H94" s="453"/>
      <c r="I94" s="453"/>
      <c r="J94" s="302"/>
      <c r="K94" s="302"/>
      <c r="M94" s="482">
        <f t="shared" si="10"/>
        <v>0</v>
      </c>
    </row>
    <row r="95" spans="1:13" ht="42.75" customHeight="1">
      <c r="A95" s="207">
        <v>4</v>
      </c>
      <c r="B95" s="208" t="s">
        <v>381</v>
      </c>
      <c r="C95" s="453"/>
      <c r="D95" s="453"/>
      <c r="E95" s="453">
        <f t="shared" si="12"/>
        <v>0</v>
      </c>
      <c r="F95" s="453"/>
      <c r="G95" s="453"/>
      <c r="H95" s="453"/>
      <c r="I95" s="453"/>
      <c r="J95" s="302"/>
      <c r="K95" s="302"/>
      <c r="M95" s="482">
        <f t="shared" si="10"/>
        <v>0</v>
      </c>
    </row>
    <row r="96" spans="1:13" ht="42.75" customHeight="1">
      <c r="A96" s="29" t="s">
        <v>382</v>
      </c>
      <c r="B96" s="449" t="s">
        <v>383</v>
      </c>
      <c r="C96" s="453"/>
      <c r="D96" s="453"/>
      <c r="E96" s="453">
        <f t="shared" si="12"/>
        <v>0</v>
      </c>
      <c r="F96" s="453"/>
      <c r="G96" s="453"/>
      <c r="H96" s="453"/>
      <c r="I96" s="453"/>
      <c r="J96" s="302"/>
      <c r="K96" s="302"/>
      <c r="M96" s="482">
        <f t="shared" si="10"/>
        <v>0</v>
      </c>
    </row>
    <row r="97" spans="1:13" ht="42.75" customHeight="1">
      <c r="A97" s="455">
        <v>1</v>
      </c>
      <c r="B97" s="28" t="s">
        <v>384</v>
      </c>
      <c r="C97" s="453"/>
      <c r="D97" s="453"/>
      <c r="E97" s="453">
        <f t="shared" si="12"/>
        <v>0</v>
      </c>
      <c r="F97" s="453"/>
      <c r="G97" s="453"/>
      <c r="H97" s="453"/>
      <c r="I97" s="453"/>
      <c r="J97" s="302"/>
      <c r="K97" s="302"/>
      <c r="M97" s="482">
        <f t="shared" si="10"/>
        <v>0</v>
      </c>
    </row>
    <row r="98" spans="1:13" ht="42.75" customHeight="1">
      <c r="A98" s="455">
        <v>2</v>
      </c>
      <c r="B98" s="28" t="s">
        <v>385</v>
      </c>
      <c r="C98" s="453"/>
      <c r="D98" s="453"/>
      <c r="E98" s="453">
        <f t="shared" si="12"/>
        <v>0</v>
      </c>
      <c r="F98" s="453"/>
      <c r="G98" s="453"/>
      <c r="H98" s="453"/>
      <c r="I98" s="453"/>
      <c r="J98" s="302"/>
      <c r="K98" s="302"/>
      <c r="M98" s="482">
        <f t="shared" si="10"/>
        <v>0</v>
      </c>
    </row>
    <row r="99" spans="1:13" ht="42.75" customHeight="1">
      <c r="A99" s="455">
        <v>3</v>
      </c>
      <c r="B99" s="28" t="s">
        <v>386</v>
      </c>
      <c r="C99" s="453"/>
      <c r="D99" s="453"/>
      <c r="E99" s="453">
        <f t="shared" si="12"/>
        <v>0</v>
      </c>
      <c r="F99" s="453"/>
      <c r="G99" s="453"/>
      <c r="H99" s="453"/>
      <c r="I99" s="453"/>
      <c r="J99" s="302"/>
      <c r="K99" s="302"/>
      <c r="M99" s="482">
        <f t="shared" si="10"/>
        <v>0</v>
      </c>
    </row>
    <row r="100" spans="1:13" ht="42.75" customHeight="1">
      <c r="A100" s="455">
        <v>4</v>
      </c>
      <c r="B100" s="28" t="s">
        <v>387</v>
      </c>
      <c r="C100" s="453"/>
      <c r="D100" s="453"/>
      <c r="E100" s="453">
        <f t="shared" si="12"/>
        <v>0</v>
      </c>
      <c r="F100" s="453"/>
      <c r="G100" s="453"/>
      <c r="H100" s="453"/>
      <c r="I100" s="453"/>
      <c r="J100" s="302"/>
      <c r="K100" s="302"/>
      <c r="M100" s="482">
        <f t="shared" si="10"/>
        <v>0</v>
      </c>
    </row>
    <row r="101" spans="1:13" ht="42.75" customHeight="1">
      <c r="A101" s="455">
        <v>5</v>
      </c>
      <c r="B101" s="28" t="s">
        <v>388</v>
      </c>
      <c r="C101" s="453"/>
      <c r="D101" s="453"/>
      <c r="E101" s="453">
        <f t="shared" si="12"/>
        <v>0</v>
      </c>
      <c r="F101" s="453"/>
      <c r="G101" s="453"/>
      <c r="H101" s="453"/>
      <c r="I101" s="453"/>
      <c r="J101" s="302"/>
      <c r="K101" s="302"/>
      <c r="M101" s="482">
        <f t="shared" si="10"/>
        <v>0</v>
      </c>
    </row>
    <row r="102" spans="1:13" ht="42.75" customHeight="1">
      <c r="A102" s="455">
        <v>6</v>
      </c>
      <c r="B102" s="28" t="s">
        <v>389</v>
      </c>
      <c r="C102" s="453"/>
      <c r="D102" s="453"/>
      <c r="E102" s="453">
        <f t="shared" si="12"/>
        <v>0</v>
      </c>
      <c r="F102" s="453"/>
      <c r="G102" s="453"/>
      <c r="H102" s="453"/>
      <c r="I102" s="453"/>
      <c r="J102" s="302"/>
      <c r="K102" s="302"/>
      <c r="M102" s="482">
        <f t="shared" si="10"/>
        <v>0</v>
      </c>
    </row>
    <row r="103" spans="1:13" ht="42.75" customHeight="1">
      <c r="A103" s="455">
        <v>7</v>
      </c>
      <c r="B103" s="28" t="s">
        <v>390</v>
      </c>
      <c r="C103" s="453"/>
      <c r="D103" s="453"/>
      <c r="E103" s="453">
        <f t="shared" si="12"/>
        <v>0</v>
      </c>
      <c r="F103" s="453"/>
      <c r="G103" s="453"/>
      <c r="H103" s="453"/>
      <c r="I103" s="453"/>
      <c r="J103" s="302"/>
      <c r="K103" s="302"/>
      <c r="M103" s="482">
        <f t="shared" si="10"/>
        <v>0</v>
      </c>
    </row>
    <row r="104" spans="1:13" ht="42.75" customHeight="1">
      <c r="A104" s="455">
        <v>8</v>
      </c>
      <c r="B104" s="28" t="s">
        <v>391</v>
      </c>
      <c r="C104" s="453"/>
      <c r="D104" s="453"/>
      <c r="E104" s="453">
        <f t="shared" si="12"/>
        <v>0</v>
      </c>
      <c r="F104" s="453"/>
      <c r="G104" s="453"/>
      <c r="H104" s="453"/>
      <c r="I104" s="453"/>
      <c r="J104" s="302"/>
      <c r="K104" s="302"/>
      <c r="M104" s="482">
        <f t="shared" si="10"/>
        <v>0</v>
      </c>
    </row>
    <row r="105" spans="1:13" ht="42.75" customHeight="1">
      <c r="A105" s="455">
        <v>9</v>
      </c>
      <c r="B105" s="28" t="s">
        <v>378</v>
      </c>
      <c r="C105" s="453"/>
      <c r="D105" s="453"/>
      <c r="E105" s="453">
        <f t="shared" si="12"/>
        <v>0</v>
      </c>
      <c r="F105" s="453"/>
      <c r="G105" s="453"/>
      <c r="H105" s="453"/>
      <c r="I105" s="453"/>
      <c r="J105" s="302"/>
      <c r="K105" s="302"/>
      <c r="M105" s="482">
        <f t="shared" si="10"/>
        <v>0</v>
      </c>
    </row>
    <row r="106" spans="1:13" ht="42.75" customHeight="1">
      <c r="A106" s="29" t="s">
        <v>392</v>
      </c>
      <c r="B106" s="449" t="s">
        <v>393</v>
      </c>
      <c r="C106" s="453"/>
      <c r="D106" s="453"/>
      <c r="E106" s="453">
        <f t="shared" si="12"/>
        <v>0</v>
      </c>
      <c r="F106" s="453"/>
      <c r="G106" s="453"/>
      <c r="H106" s="453"/>
      <c r="I106" s="453"/>
      <c r="J106" s="302"/>
      <c r="K106" s="302"/>
      <c r="M106" s="482">
        <f t="shared" si="10"/>
        <v>0</v>
      </c>
    </row>
    <row r="107" spans="1:13" ht="42.75" customHeight="1">
      <c r="A107" s="29" t="s">
        <v>394</v>
      </c>
      <c r="B107" s="449" t="s">
        <v>395</v>
      </c>
      <c r="C107" s="176"/>
      <c r="D107" s="176"/>
      <c r="E107" s="176">
        <f>SUM(E108:E109)</f>
        <v>25005150</v>
      </c>
      <c r="F107" s="176">
        <f>SUM(F108:F109)</f>
        <v>0</v>
      </c>
      <c r="G107" s="176">
        <f>SUM(G108:G109)</f>
        <v>0</v>
      </c>
      <c r="H107" s="176">
        <f>SUM(H108:H109)</f>
        <v>0</v>
      </c>
      <c r="I107" s="176">
        <f>SUM(I108:I109)</f>
        <v>25005150</v>
      </c>
      <c r="J107" s="302"/>
      <c r="K107" s="302"/>
      <c r="M107" s="482">
        <f t="shared" si="10"/>
        <v>25005150</v>
      </c>
    </row>
    <row r="108" spans="1:13" ht="42.75" customHeight="1">
      <c r="A108" s="455">
        <v>1</v>
      </c>
      <c r="B108" s="28" t="s">
        <v>396</v>
      </c>
      <c r="C108" s="453"/>
      <c r="D108" s="453"/>
      <c r="E108" s="453">
        <f t="shared" si="12"/>
        <v>0</v>
      </c>
      <c r="F108" s="453"/>
      <c r="G108" s="453"/>
      <c r="H108" s="453">
        <v>0</v>
      </c>
      <c r="I108" s="453"/>
      <c r="J108" s="302"/>
      <c r="K108" s="302"/>
      <c r="M108" s="482">
        <f t="shared" si="10"/>
        <v>0</v>
      </c>
    </row>
    <row r="109" spans="1:13" ht="42.75" customHeight="1">
      <c r="A109" s="455">
        <v>2</v>
      </c>
      <c r="B109" s="28" t="s">
        <v>397</v>
      </c>
      <c r="C109" s="453"/>
      <c r="D109" s="453"/>
      <c r="E109" s="453">
        <f t="shared" si="12"/>
        <v>25005150</v>
      </c>
      <c r="F109" s="453"/>
      <c r="G109" s="453"/>
      <c r="H109" s="453"/>
      <c r="I109" s="453">
        <v>25005150</v>
      </c>
      <c r="J109" s="302"/>
      <c r="K109" s="302"/>
      <c r="M109" s="482">
        <f t="shared" si="10"/>
        <v>25005150</v>
      </c>
    </row>
    <row r="110" spans="1:13" ht="42.75" customHeight="1">
      <c r="A110" s="29" t="s">
        <v>398</v>
      </c>
      <c r="B110" s="449" t="s">
        <v>399</v>
      </c>
      <c r="C110" s="453"/>
      <c r="D110" s="453"/>
      <c r="E110" s="453">
        <f t="shared" si="12"/>
        <v>0</v>
      </c>
      <c r="F110" s="453"/>
      <c r="G110" s="453"/>
      <c r="H110" s="453"/>
      <c r="I110" s="453"/>
      <c r="J110" s="302"/>
      <c r="K110" s="302"/>
      <c r="M110" s="482">
        <f t="shared" si="10"/>
        <v>0</v>
      </c>
    </row>
    <row r="111" spans="1:13" ht="42.75" customHeight="1">
      <c r="A111" s="207">
        <v>1</v>
      </c>
      <c r="B111" s="208" t="s">
        <v>400</v>
      </c>
      <c r="C111" s="453"/>
      <c r="D111" s="453"/>
      <c r="E111" s="453">
        <f t="shared" si="12"/>
        <v>0</v>
      </c>
      <c r="F111" s="453"/>
      <c r="G111" s="453"/>
      <c r="H111" s="453"/>
      <c r="I111" s="453"/>
      <c r="J111" s="302"/>
      <c r="K111" s="302"/>
      <c r="M111" s="482">
        <f t="shared" si="10"/>
        <v>0</v>
      </c>
    </row>
    <row r="112" spans="1:13" ht="42.75" customHeight="1">
      <c r="A112" s="207">
        <v>2</v>
      </c>
      <c r="B112" s="208" t="s">
        <v>401</v>
      </c>
      <c r="C112" s="453"/>
      <c r="D112" s="453"/>
      <c r="E112" s="453">
        <f t="shared" si="12"/>
        <v>0</v>
      </c>
      <c r="F112" s="453"/>
      <c r="G112" s="453"/>
      <c r="H112" s="453"/>
      <c r="I112" s="453"/>
      <c r="J112" s="302"/>
      <c r="K112" s="302"/>
      <c r="M112" s="482">
        <f t="shared" si="10"/>
        <v>0</v>
      </c>
    </row>
    <row r="113" spans="1:13" ht="42.75" customHeight="1">
      <c r="A113" s="455" t="s">
        <v>402</v>
      </c>
      <c r="B113" s="28" t="s">
        <v>403</v>
      </c>
      <c r="C113" s="453"/>
      <c r="D113" s="453"/>
      <c r="E113" s="453">
        <f t="shared" si="12"/>
        <v>0</v>
      </c>
      <c r="F113" s="453"/>
      <c r="G113" s="453"/>
      <c r="H113" s="453"/>
      <c r="I113" s="453"/>
      <c r="J113" s="302"/>
      <c r="K113" s="302"/>
      <c r="M113" s="482">
        <f t="shared" si="10"/>
        <v>0</v>
      </c>
    </row>
    <row r="114" spans="1:13" ht="42.75" customHeight="1">
      <c r="A114" s="455" t="s">
        <v>404</v>
      </c>
      <c r="B114" s="28" t="s">
        <v>405</v>
      </c>
      <c r="C114" s="453"/>
      <c r="D114" s="453"/>
      <c r="E114" s="453">
        <f t="shared" si="12"/>
        <v>0</v>
      </c>
      <c r="F114" s="453"/>
      <c r="G114" s="453"/>
      <c r="H114" s="453"/>
      <c r="I114" s="453"/>
      <c r="J114" s="302"/>
      <c r="K114" s="302"/>
      <c r="M114" s="482">
        <f t="shared" si="10"/>
        <v>0</v>
      </c>
    </row>
    <row r="115" spans="1:13" ht="42.75" customHeight="1">
      <c r="A115" s="207">
        <v>3</v>
      </c>
      <c r="B115" s="208" t="s">
        <v>406</v>
      </c>
      <c r="C115" s="453"/>
      <c r="D115" s="453"/>
      <c r="E115" s="453">
        <f t="shared" si="12"/>
        <v>0</v>
      </c>
      <c r="F115" s="453"/>
      <c r="G115" s="453"/>
      <c r="H115" s="453"/>
      <c r="I115" s="453"/>
      <c r="J115" s="302"/>
      <c r="K115" s="302"/>
      <c r="M115" s="482">
        <f t="shared" si="10"/>
        <v>0</v>
      </c>
    </row>
    <row r="116" spans="1:13" ht="42.75" customHeight="1">
      <c r="A116" s="29" t="s">
        <v>298</v>
      </c>
      <c r="B116" s="449" t="s">
        <v>407</v>
      </c>
      <c r="C116" s="453"/>
      <c r="D116" s="453"/>
      <c r="E116" s="453">
        <f t="shared" si="12"/>
        <v>0</v>
      </c>
      <c r="F116" s="453"/>
      <c r="G116" s="453"/>
      <c r="H116" s="453"/>
      <c r="I116" s="453"/>
      <c r="J116" s="302"/>
      <c r="K116" s="302"/>
      <c r="M116" s="482">
        <f t="shared" si="10"/>
        <v>0</v>
      </c>
    </row>
    <row r="117" spans="1:13" ht="42.75" customHeight="1">
      <c r="A117" s="29" t="s">
        <v>308</v>
      </c>
      <c r="B117" s="449" t="s">
        <v>408</v>
      </c>
      <c r="C117" s="453"/>
      <c r="D117" s="453"/>
      <c r="E117" s="453">
        <f t="shared" si="12"/>
        <v>0</v>
      </c>
      <c r="F117" s="453"/>
      <c r="G117" s="453"/>
      <c r="H117" s="453"/>
      <c r="I117" s="453"/>
      <c r="J117" s="302"/>
      <c r="K117" s="302"/>
      <c r="M117" s="482">
        <f t="shared" si="10"/>
        <v>0</v>
      </c>
    </row>
    <row r="118" spans="1:13" ht="42.75" customHeight="1">
      <c r="A118" s="455">
        <v>1</v>
      </c>
      <c r="B118" s="28" t="s">
        <v>409</v>
      </c>
      <c r="C118" s="453"/>
      <c r="D118" s="453"/>
      <c r="E118" s="453">
        <f t="shared" si="12"/>
        <v>0</v>
      </c>
      <c r="F118" s="453"/>
      <c r="G118" s="453"/>
      <c r="H118" s="453"/>
      <c r="I118" s="453"/>
      <c r="J118" s="302"/>
      <c r="K118" s="302"/>
      <c r="M118" s="482">
        <f t="shared" si="10"/>
        <v>0</v>
      </c>
    </row>
    <row r="119" spans="1:13" ht="42.75" customHeight="1">
      <c r="A119" s="455">
        <v>2</v>
      </c>
      <c r="B119" s="28" t="s">
        <v>410</v>
      </c>
      <c r="C119" s="453"/>
      <c r="D119" s="453"/>
      <c r="E119" s="453">
        <f t="shared" si="12"/>
        <v>0</v>
      </c>
      <c r="F119" s="453"/>
      <c r="G119" s="453"/>
      <c r="H119" s="453"/>
      <c r="I119" s="453"/>
      <c r="J119" s="302"/>
      <c r="K119" s="302"/>
      <c r="M119" s="482">
        <f t="shared" si="10"/>
        <v>0</v>
      </c>
    </row>
    <row r="120" spans="1:13" ht="42.75" customHeight="1">
      <c r="A120" s="29" t="s">
        <v>364</v>
      </c>
      <c r="B120" s="449" t="s">
        <v>411</v>
      </c>
      <c r="C120" s="453"/>
      <c r="D120" s="453"/>
      <c r="E120" s="453">
        <f t="shared" si="12"/>
        <v>0</v>
      </c>
      <c r="F120" s="453"/>
      <c r="G120" s="453"/>
      <c r="H120" s="453"/>
      <c r="I120" s="453"/>
      <c r="J120" s="302"/>
      <c r="K120" s="302"/>
      <c r="M120" s="482">
        <f t="shared" si="10"/>
        <v>0</v>
      </c>
    </row>
    <row r="121" spans="1:13" ht="42.75" customHeight="1">
      <c r="A121" s="455">
        <v>1</v>
      </c>
      <c r="B121" s="28" t="s">
        <v>409</v>
      </c>
      <c r="C121" s="453"/>
      <c r="D121" s="453"/>
      <c r="E121" s="453">
        <f t="shared" si="12"/>
        <v>0</v>
      </c>
      <c r="F121" s="453"/>
      <c r="G121" s="453"/>
      <c r="H121" s="453"/>
      <c r="I121" s="453"/>
      <c r="J121" s="302"/>
      <c r="K121" s="302"/>
      <c r="M121" s="482">
        <f t="shared" si="10"/>
        <v>0</v>
      </c>
    </row>
    <row r="122" spans="1:13" ht="42.75" customHeight="1">
      <c r="A122" s="455">
        <v>2</v>
      </c>
      <c r="B122" s="28" t="s">
        <v>410</v>
      </c>
      <c r="C122" s="453"/>
      <c r="D122" s="453"/>
      <c r="E122" s="453">
        <f t="shared" si="12"/>
        <v>0</v>
      </c>
      <c r="F122" s="453"/>
      <c r="G122" s="453"/>
      <c r="H122" s="453"/>
      <c r="I122" s="453"/>
      <c r="J122" s="302"/>
      <c r="K122" s="302"/>
      <c r="M122" s="482">
        <f t="shared" si="10"/>
        <v>0</v>
      </c>
    </row>
    <row r="123" spans="1:13" s="190" customFormat="1" ht="42.75" customHeight="1">
      <c r="A123" s="29" t="s">
        <v>412</v>
      </c>
      <c r="B123" s="449" t="s">
        <v>413</v>
      </c>
      <c r="C123" s="176">
        <f aca="true" t="shared" si="13" ref="C123:I123">C124+C129</f>
        <v>234955000000</v>
      </c>
      <c r="D123" s="176">
        <f t="shared" si="13"/>
        <v>234955000000</v>
      </c>
      <c r="E123" s="176">
        <f t="shared" si="13"/>
        <v>328314693589</v>
      </c>
      <c r="F123" s="176">
        <f t="shared" si="13"/>
        <v>0</v>
      </c>
      <c r="G123" s="176">
        <f t="shared" si="13"/>
        <v>1672369184</v>
      </c>
      <c r="H123" s="176">
        <f t="shared" si="13"/>
        <v>270883008007</v>
      </c>
      <c r="I123" s="176">
        <f t="shared" si="13"/>
        <v>55759316398</v>
      </c>
      <c r="J123" s="302">
        <f>+E123/C123%</f>
        <v>139.7351380430295</v>
      </c>
      <c r="K123" s="302">
        <f>+E123/D123%</f>
        <v>139.7351380430295</v>
      </c>
      <c r="M123" s="482">
        <f t="shared" si="10"/>
        <v>326642324405</v>
      </c>
    </row>
    <row r="124" spans="1:13" s="190" customFormat="1" ht="42.75" customHeight="1">
      <c r="A124" s="29" t="s">
        <v>308</v>
      </c>
      <c r="B124" s="449" t="s">
        <v>414</v>
      </c>
      <c r="C124" s="176">
        <f aca="true" t="shared" si="14" ref="C124:I124">C125+C126</f>
        <v>234955000000</v>
      </c>
      <c r="D124" s="176">
        <f t="shared" si="14"/>
        <v>234955000000</v>
      </c>
      <c r="E124" s="176">
        <f t="shared" si="14"/>
        <v>325751578398</v>
      </c>
      <c r="F124" s="176">
        <f t="shared" si="14"/>
        <v>0</v>
      </c>
      <c r="G124" s="176">
        <f t="shared" si="14"/>
        <v>0</v>
      </c>
      <c r="H124" s="176">
        <f t="shared" si="14"/>
        <v>269992262000</v>
      </c>
      <c r="I124" s="176">
        <f t="shared" si="14"/>
        <v>55759316398</v>
      </c>
      <c r="J124" s="302">
        <f>+E124/C124%</f>
        <v>138.64424183269136</v>
      </c>
      <c r="K124" s="302">
        <f>+E124/D124%</f>
        <v>138.64424183269136</v>
      </c>
      <c r="M124" s="482">
        <f t="shared" si="10"/>
        <v>325751578398</v>
      </c>
    </row>
    <row r="125" spans="1:13" s="192" customFormat="1" ht="42.75" customHeight="1">
      <c r="A125" s="207" t="s">
        <v>415</v>
      </c>
      <c r="B125" s="208" t="s">
        <v>416</v>
      </c>
      <c r="C125" s="209">
        <f>151586000000+28506000000</f>
        <v>180092000000</v>
      </c>
      <c r="D125" s="209">
        <f>C125</f>
        <v>180092000000</v>
      </c>
      <c r="E125" s="209">
        <f t="shared" si="12"/>
        <v>219915811148</v>
      </c>
      <c r="F125" s="209"/>
      <c r="G125" s="209"/>
      <c r="H125" s="209">
        <v>180092000000</v>
      </c>
      <c r="I125" s="209">
        <v>39823811148</v>
      </c>
      <c r="J125" s="302">
        <f>+E125/C125%</f>
        <v>122.11303730759833</v>
      </c>
      <c r="K125" s="302">
        <f>+E125/D125%</f>
        <v>122.11303730759833</v>
      </c>
      <c r="M125" s="482">
        <f t="shared" si="10"/>
        <v>219915811148</v>
      </c>
    </row>
    <row r="126" spans="1:13" s="192" customFormat="1" ht="42.75" customHeight="1">
      <c r="A126" s="207" t="s">
        <v>417</v>
      </c>
      <c r="B126" s="208" t="s">
        <v>418</v>
      </c>
      <c r="C126" s="209">
        <f aca="true" t="shared" si="15" ref="C126:I126">SUM(C127:C128)</f>
        <v>54863000000</v>
      </c>
      <c r="D126" s="209">
        <f t="shared" si="15"/>
        <v>54863000000</v>
      </c>
      <c r="E126" s="209">
        <f t="shared" si="15"/>
        <v>105835767250</v>
      </c>
      <c r="F126" s="209">
        <f t="shared" si="15"/>
        <v>0</v>
      </c>
      <c r="G126" s="209">
        <f t="shared" si="15"/>
        <v>0</v>
      </c>
      <c r="H126" s="209">
        <f t="shared" si="15"/>
        <v>89900262000</v>
      </c>
      <c r="I126" s="209">
        <f t="shared" si="15"/>
        <v>15935505250</v>
      </c>
      <c r="J126" s="302">
        <f>+E126/C126%</f>
        <v>192.9091869748282</v>
      </c>
      <c r="K126" s="302">
        <f>+E126/D126%</f>
        <v>192.9091869748282</v>
      </c>
      <c r="M126" s="482">
        <f t="shared" si="10"/>
        <v>105835767250</v>
      </c>
    </row>
    <row r="127" spans="1:13" ht="42.75" customHeight="1">
      <c r="A127" s="452" t="s">
        <v>402</v>
      </c>
      <c r="B127" s="182" t="s">
        <v>419</v>
      </c>
      <c r="C127" s="453">
        <f>18225000000+8040000000+28598000000</f>
        <v>54863000000</v>
      </c>
      <c r="D127" s="453">
        <f>C127</f>
        <v>54863000000</v>
      </c>
      <c r="E127" s="453">
        <f t="shared" si="12"/>
        <v>105835767250</v>
      </c>
      <c r="F127" s="453"/>
      <c r="G127" s="453"/>
      <c r="H127" s="453">
        <v>89900262000</v>
      </c>
      <c r="I127" s="453">
        <v>15935505250</v>
      </c>
      <c r="J127" s="302">
        <f>+E127/C127%</f>
        <v>192.9091869748282</v>
      </c>
      <c r="K127" s="302">
        <f>+E127/D127%</f>
        <v>192.9091869748282</v>
      </c>
      <c r="M127" s="482">
        <f t="shared" si="10"/>
        <v>105835767250</v>
      </c>
    </row>
    <row r="128" spans="1:13" ht="42.75" customHeight="1">
      <c r="A128" s="452" t="s">
        <v>404</v>
      </c>
      <c r="B128" s="182" t="s">
        <v>420</v>
      </c>
      <c r="C128" s="453"/>
      <c r="D128" s="453"/>
      <c r="E128" s="453">
        <f t="shared" si="12"/>
        <v>0</v>
      </c>
      <c r="F128" s="453"/>
      <c r="G128" s="453"/>
      <c r="H128" s="453"/>
      <c r="I128" s="453"/>
      <c r="J128" s="302"/>
      <c r="K128" s="302"/>
      <c r="M128" s="482">
        <f t="shared" si="10"/>
        <v>0</v>
      </c>
    </row>
    <row r="129" spans="1:13" s="190" customFormat="1" ht="42.75" customHeight="1">
      <c r="A129" s="29" t="s">
        <v>364</v>
      </c>
      <c r="B129" s="449" t="s">
        <v>421</v>
      </c>
      <c r="C129" s="176"/>
      <c r="D129" s="176"/>
      <c r="E129" s="176">
        <f t="shared" si="12"/>
        <v>2563115191</v>
      </c>
      <c r="F129" s="176"/>
      <c r="G129" s="176">
        <v>1672369184</v>
      </c>
      <c r="H129" s="176">
        <v>890746007</v>
      </c>
      <c r="I129" s="176"/>
      <c r="J129" s="302"/>
      <c r="K129" s="302"/>
      <c r="M129" s="482">
        <f t="shared" si="10"/>
        <v>890746007</v>
      </c>
    </row>
    <row r="130" spans="1:13" s="190" customFormat="1" ht="42.75" customHeight="1">
      <c r="A130" s="29" t="s">
        <v>422</v>
      </c>
      <c r="B130" s="449" t="s">
        <v>423</v>
      </c>
      <c r="C130" s="176"/>
      <c r="D130" s="176"/>
      <c r="E130" s="176">
        <f t="shared" si="12"/>
        <v>38928204469</v>
      </c>
      <c r="F130" s="176"/>
      <c r="G130" s="176"/>
      <c r="H130" s="176">
        <v>34200363467</v>
      </c>
      <c r="I130" s="176">
        <v>4727841002</v>
      </c>
      <c r="J130" s="302"/>
      <c r="K130" s="302"/>
      <c r="M130" s="482">
        <f t="shared" si="10"/>
        <v>38928204469</v>
      </c>
    </row>
    <row r="131" spans="1:13" s="190" customFormat="1" ht="42.75" customHeight="1">
      <c r="A131" s="29" t="s">
        <v>424</v>
      </c>
      <c r="B131" s="449" t="s">
        <v>425</v>
      </c>
      <c r="C131" s="176"/>
      <c r="D131" s="176"/>
      <c r="E131" s="176">
        <f t="shared" si="12"/>
        <v>16851171832</v>
      </c>
      <c r="F131" s="176"/>
      <c r="G131" s="176"/>
      <c r="H131" s="176">
        <v>15555199190</v>
      </c>
      <c r="I131" s="176">
        <v>1295972642</v>
      </c>
      <c r="J131" s="302"/>
      <c r="K131" s="302"/>
      <c r="M131" s="482">
        <f t="shared" si="10"/>
        <v>16851171832</v>
      </c>
    </row>
    <row r="132" spans="1:13" s="190" customFormat="1" ht="42.75" customHeight="1">
      <c r="A132" s="213" t="s">
        <v>426</v>
      </c>
      <c r="B132" s="485" t="s">
        <v>427</v>
      </c>
      <c r="C132" s="217"/>
      <c r="D132" s="217"/>
      <c r="E132" s="217">
        <f>SUM(E133:E134)</f>
        <v>0</v>
      </c>
      <c r="F132" s="217">
        <f>SUM(F133:F134)</f>
        <v>0</v>
      </c>
      <c r="G132" s="217">
        <f>SUM(G133:G134)</f>
        <v>0</v>
      </c>
      <c r="H132" s="217">
        <f>SUM(H133:H134)</f>
        <v>0</v>
      </c>
      <c r="I132" s="217">
        <f>SUM(I133:I134)</f>
        <v>0</v>
      </c>
      <c r="J132" s="302"/>
      <c r="K132" s="302"/>
      <c r="M132" s="482">
        <f t="shared" si="10"/>
        <v>0</v>
      </c>
    </row>
    <row r="133" spans="1:13" s="190" customFormat="1" ht="42.75" customHeight="1">
      <c r="A133" s="31">
        <v>1</v>
      </c>
      <c r="B133" s="486" t="s">
        <v>428</v>
      </c>
      <c r="C133" s="158"/>
      <c r="D133" s="158"/>
      <c r="E133" s="158">
        <f>SUM(F133:I133)</f>
        <v>0</v>
      </c>
      <c r="F133" s="158"/>
      <c r="G133" s="158"/>
      <c r="H133" s="158"/>
      <c r="I133" s="158"/>
      <c r="J133" s="302"/>
      <c r="K133" s="302"/>
      <c r="M133" s="482">
        <f t="shared" si="10"/>
        <v>0</v>
      </c>
    </row>
    <row r="134" spans="1:13" s="190" customFormat="1" ht="24.75" customHeight="1" hidden="1">
      <c r="A134" s="675">
        <v>2</v>
      </c>
      <c r="B134" s="676" t="s">
        <v>429</v>
      </c>
      <c r="C134" s="674"/>
      <c r="D134" s="674"/>
      <c r="E134" s="674">
        <f>SUM(F134:I134)</f>
        <v>0</v>
      </c>
      <c r="F134" s="674"/>
      <c r="G134" s="674"/>
      <c r="H134" s="674"/>
      <c r="I134" s="674"/>
      <c r="J134" s="480"/>
      <c r="K134" s="480"/>
      <c r="M134" s="482">
        <f t="shared" si="10"/>
        <v>0</v>
      </c>
    </row>
    <row r="135" spans="1:13" s="484" customFormat="1" ht="15.75" hidden="1">
      <c r="A135" s="291"/>
      <c r="B135" s="487" t="s">
        <v>280</v>
      </c>
      <c r="C135" s="292">
        <f>312703000000-C12</f>
        <v>-16932000000</v>
      </c>
      <c r="D135" s="292">
        <f>312703000000-D12</f>
        <v>-16932000000</v>
      </c>
      <c r="E135" s="292">
        <f>438809796449-E12</f>
        <v>-88339161371</v>
      </c>
      <c r="F135" s="292">
        <f>1292284204-F12</f>
        <v>-7376313466</v>
      </c>
      <c r="G135" s="292">
        <f>17846560282-G12</f>
        <v>-7194129612</v>
      </c>
      <c r="H135" s="292">
        <f>364097964191-H12</f>
        <v>-64339644526</v>
      </c>
      <c r="I135" s="292">
        <f>55572987772-I12</f>
        <v>-9429073767</v>
      </c>
      <c r="J135" s="292"/>
      <c r="K135" s="292"/>
      <c r="M135" s="482">
        <f t="shared" si="10"/>
        <v>-73768718293</v>
      </c>
    </row>
    <row r="136" spans="1:11" s="484" customFormat="1" ht="15.75">
      <c r="A136" s="291"/>
      <c r="B136" s="487"/>
      <c r="C136" s="292"/>
      <c r="D136" s="292"/>
      <c r="E136" s="292"/>
      <c r="F136" s="292"/>
      <c r="G136" s="292"/>
      <c r="H136" s="292"/>
      <c r="I136" s="292"/>
      <c r="J136" s="292"/>
      <c r="K136" s="292"/>
    </row>
    <row r="137" ht="12.75" hidden="1"/>
    <row r="138" spans="2:10" ht="12.75">
      <c r="B138" s="316"/>
      <c r="C138" s="316"/>
      <c r="D138" s="488"/>
      <c r="E138" s="488"/>
      <c r="F138" s="488"/>
      <c r="H138" s="731" t="s">
        <v>955</v>
      </c>
      <c r="I138" s="731"/>
      <c r="J138" s="731"/>
    </row>
    <row r="139" spans="1:10" ht="12.75">
      <c r="A139" s="734" t="s">
        <v>281</v>
      </c>
      <c r="B139" s="734"/>
      <c r="C139" s="489"/>
      <c r="D139" s="735" t="s">
        <v>282</v>
      </c>
      <c r="E139" s="735"/>
      <c r="F139" s="735"/>
      <c r="H139" s="734" t="s">
        <v>283</v>
      </c>
      <c r="I139" s="734"/>
      <c r="J139" s="734"/>
    </row>
    <row r="140" spans="1:10" ht="12.75">
      <c r="A140" s="734" t="s">
        <v>284</v>
      </c>
      <c r="B140" s="734"/>
      <c r="C140" s="489"/>
      <c r="D140" s="735" t="s">
        <v>285</v>
      </c>
      <c r="E140" s="736"/>
      <c r="F140" s="736"/>
      <c r="H140" s="734" t="s">
        <v>286</v>
      </c>
      <c r="I140" s="734"/>
      <c r="J140" s="734"/>
    </row>
    <row r="141" spans="1:6" ht="12.75">
      <c r="A141" s="448"/>
      <c r="B141" s="489"/>
      <c r="C141" s="489"/>
      <c r="D141" s="731"/>
      <c r="E141" s="731"/>
      <c r="F141" s="731"/>
    </row>
    <row r="149" ht="12.75" hidden="1"/>
    <row r="150" ht="12.75" hidden="1"/>
    <row r="151" ht="12.75" hidden="1">
      <c r="A151" s="162" t="s">
        <v>430</v>
      </c>
    </row>
  </sheetData>
  <sheetProtection/>
  <mergeCells count="19">
    <mergeCell ref="H140:J140"/>
    <mergeCell ref="A3:K3"/>
    <mergeCell ref="A4:K4"/>
    <mergeCell ref="A6:K6"/>
    <mergeCell ref="A7:K7"/>
    <mergeCell ref="C9:D9"/>
    <mergeCell ref="F9:I9"/>
    <mergeCell ref="J9:K9"/>
    <mergeCell ref="A5:K5"/>
    <mergeCell ref="D141:F141"/>
    <mergeCell ref="A9:A10"/>
    <mergeCell ref="B9:B10"/>
    <mergeCell ref="E9:E10"/>
    <mergeCell ref="H138:J138"/>
    <mergeCell ref="A139:B139"/>
    <mergeCell ref="D139:F139"/>
    <mergeCell ref="H139:J139"/>
    <mergeCell ref="A140:B140"/>
    <mergeCell ref="D140:F140"/>
  </mergeCells>
  <printOptions/>
  <pageMargins left="0.31" right="0.24" top="0.8" bottom="0.34" header="0.31" footer="0.27"/>
  <pageSetup blackAndWhite="1" horizontalDpi="600" verticalDpi="600" orientation="landscape" scale="70"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U73"/>
  <sheetViews>
    <sheetView tabSelected="1" zoomScalePageLayoutView="0" workbookViewId="0" topLeftCell="A3">
      <pane xSplit="2" ySplit="8" topLeftCell="C11" activePane="bottomRight" state="frozen"/>
      <selection pane="topLeft" activeCell="A3" sqref="A3"/>
      <selection pane="topRight" activeCell="C3" sqref="C3"/>
      <selection pane="bottomLeft" activeCell="A10" sqref="A10"/>
      <selection pane="bottomRight" activeCell="H13" sqref="H13"/>
    </sheetView>
  </sheetViews>
  <sheetFormatPr defaultColWidth="9.33203125" defaultRowHeight="12.75"/>
  <cols>
    <col min="1" max="1" width="6.66015625" style="0" customWidth="1"/>
    <col min="2" max="2" width="60.83203125" style="0" customWidth="1"/>
    <col min="3" max="3" width="21.33203125" style="272" customWidth="1"/>
    <col min="4" max="7" width="20" style="272" hidden="1" customWidth="1"/>
    <col min="8" max="8" width="21.33203125" style="273" customWidth="1"/>
    <col min="9" max="12" width="20" style="273" hidden="1" customWidth="1"/>
    <col min="13" max="13" width="21" style="148" customWidth="1"/>
    <col min="14" max="14" width="12.83203125" style="148" hidden="1" customWidth="1"/>
    <col min="15" max="15" width="22.5" style="148" customWidth="1"/>
    <col min="16" max="16" width="20.83203125" style="148" customWidth="1"/>
    <col min="17" max="18" width="13.66015625" style="0" customWidth="1"/>
    <col min="20" max="20" width="20" style="0" bestFit="1" customWidth="1"/>
    <col min="21" max="21" width="18.16015625" style="0" customWidth="1"/>
  </cols>
  <sheetData>
    <row r="1" spans="1:16" ht="12.75">
      <c r="A1" s="20"/>
      <c r="P1" s="294" t="s">
        <v>431</v>
      </c>
    </row>
    <row r="2" spans="1:16" ht="12.75">
      <c r="A2" s="20"/>
      <c r="P2" s="294"/>
    </row>
    <row r="3" spans="1:18" ht="18">
      <c r="A3" s="737" t="s">
        <v>996</v>
      </c>
      <c r="B3" s="737"/>
      <c r="C3" s="737"/>
      <c r="D3" s="737"/>
      <c r="E3" s="737"/>
      <c r="F3" s="737"/>
      <c r="G3" s="737"/>
      <c r="H3" s="737"/>
      <c r="I3" s="737"/>
      <c r="J3" s="737"/>
      <c r="K3" s="737"/>
      <c r="L3" s="737"/>
      <c r="M3" s="737"/>
      <c r="N3" s="737"/>
      <c r="O3" s="737"/>
      <c r="P3" s="737"/>
      <c r="Q3" s="737"/>
      <c r="R3" s="737"/>
    </row>
    <row r="4" spans="1:18" ht="12.75">
      <c r="A4" s="727" t="str">
        <f>'61-H'!A4:K4</f>
        <v>Kèm theo Báo cáo số:        /BC-UBND, ngày        /tháng        năm 2021 của UBND huyện Đăk Tô)</v>
      </c>
      <c r="B4" s="727"/>
      <c r="C4" s="727"/>
      <c r="D4" s="727"/>
      <c r="E4" s="727"/>
      <c r="F4" s="727"/>
      <c r="G4" s="727"/>
      <c r="H4" s="727"/>
      <c r="I4" s="727"/>
      <c r="J4" s="727"/>
      <c r="K4" s="727"/>
      <c r="L4" s="727"/>
      <c r="M4" s="727"/>
      <c r="N4" s="727"/>
      <c r="O4" s="727"/>
      <c r="P4" s="727"/>
      <c r="Q4" s="727"/>
      <c r="R4" s="727"/>
    </row>
    <row r="5" spans="1:18" ht="12.75" hidden="1">
      <c r="A5" s="727" t="str">
        <f>'61-H'!A5:K5</f>
        <v>Kèm theo Nghi quyết số:       /TTr-UBND, ngày        /tháng        năm 2021 của UBND huyện Đăk Tô)</v>
      </c>
      <c r="B5" s="727"/>
      <c r="C5" s="727"/>
      <c r="D5" s="727"/>
      <c r="E5" s="727"/>
      <c r="F5" s="727"/>
      <c r="G5" s="727"/>
      <c r="H5" s="727"/>
      <c r="I5" s="727"/>
      <c r="J5" s="727"/>
      <c r="K5" s="727"/>
      <c r="L5" s="727"/>
      <c r="M5" s="727"/>
      <c r="N5" s="727"/>
      <c r="O5" s="727"/>
      <c r="P5" s="727"/>
      <c r="Q5" s="727"/>
      <c r="R5" s="727"/>
    </row>
    <row r="6" spans="1:18" ht="12.75" hidden="1">
      <c r="A6" s="727" t="str">
        <f>'61-H'!A6:K6</f>
        <v>Kèm theo Nghi quyết số:       /NQ-HĐND, ngày        /tháng        năm 2021 của HĐND huyện Đăk Tô)</v>
      </c>
      <c r="B6" s="727"/>
      <c r="C6" s="727"/>
      <c r="D6" s="727"/>
      <c r="E6" s="727"/>
      <c r="F6" s="727"/>
      <c r="G6" s="727"/>
      <c r="H6" s="727"/>
      <c r="I6" s="727"/>
      <c r="J6" s="727"/>
      <c r="K6" s="727"/>
      <c r="L6" s="727"/>
      <c r="M6" s="727"/>
      <c r="N6" s="727"/>
      <c r="O6" s="727"/>
      <c r="P6" s="727"/>
      <c r="Q6" s="727"/>
      <c r="R6" s="727"/>
    </row>
    <row r="7" spans="1:18" ht="12.75" hidden="1">
      <c r="A7" s="727" t="s">
        <v>432</v>
      </c>
      <c r="B7" s="727"/>
      <c r="C7" s="727"/>
      <c r="D7" s="727"/>
      <c r="E7" s="727"/>
      <c r="F7" s="727"/>
      <c r="G7" s="727"/>
      <c r="H7" s="727"/>
      <c r="I7" s="727"/>
      <c r="J7" s="727"/>
      <c r="K7" s="727"/>
      <c r="L7" s="727"/>
      <c r="M7" s="727"/>
      <c r="N7" s="727"/>
      <c r="O7" s="727"/>
      <c r="P7" s="727"/>
      <c r="Q7" s="727"/>
      <c r="R7" s="727"/>
    </row>
    <row r="8" spans="16:18" ht="12.75">
      <c r="P8" s="679">
        <f>P12/M12*100</f>
        <v>13.283573610097926</v>
      </c>
      <c r="R8" s="251" t="s">
        <v>288</v>
      </c>
    </row>
    <row r="9" spans="1:18" ht="31.5" customHeight="1">
      <c r="A9" s="744" t="s">
        <v>3</v>
      </c>
      <c r="B9" s="732" t="s">
        <v>433</v>
      </c>
      <c r="C9" s="741" t="s">
        <v>290</v>
      </c>
      <c r="D9" s="742"/>
      <c r="E9" s="742"/>
      <c r="F9" s="742"/>
      <c r="G9" s="742"/>
      <c r="H9" s="742"/>
      <c r="I9" s="742"/>
      <c r="J9" s="742"/>
      <c r="K9" s="742"/>
      <c r="L9" s="743"/>
      <c r="M9" s="733" t="s">
        <v>291</v>
      </c>
      <c r="N9" s="733"/>
      <c r="O9" s="733"/>
      <c r="P9" s="733"/>
      <c r="Q9" s="732" t="s">
        <v>434</v>
      </c>
      <c r="R9" s="732"/>
    </row>
    <row r="10" spans="1:18" ht="57.75" customHeight="1">
      <c r="A10" s="744"/>
      <c r="B10" s="732"/>
      <c r="C10" s="198" t="s">
        <v>294</v>
      </c>
      <c r="D10" s="198" t="s">
        <v>435</v>
      </c>
      <c r="E10" s="198" t="s">
        <v>436</v>
      </c>
      <c r="F10" s="198" t="s">
        <v>437</v>
      </c>
      <c r="G10" s="198" t="s">
        <v>438</v>
      </c>
      <c r="H10" s="274" t="s">
        <v>295</v>
      </c>
      <c r="I10" s="274" t="s">
        <v>909</v>
      </c>
      <c r="J10" s="274" t="s">
        <v>436</v>
      </c>
      <c r="K10" s="274" t="s">
        <v>437</v>
      </c>
      <c r="L10" s="274" t="s">
        <v>438</v>
      </c>
      <c r="M10" s="172" t="s">
        <v>439</v>
      </c>
      <c r="N10" s="172" t="s">
        <v>254</v>
      </c>
      <c r="O10" s="172" t="s">
        <v>255</v>
      </c>
      <c r="P10" s="172" t="s">
        <v>256</v>
      </c>
      <c r="Q10" s="22" t="s">
        <v>294</v>
      </c>
      <c r="R10" s="22" t="s">
        <v>295</v>
      </c>
    </row>
    <row r="11" spans="1:18" s="495" customFormat="1" ht="36" customHeight="1">
      <c r="A11" s="227" t="s">
        <v>297</v>
      </c>
      <c r="B11" s="23" t="s">
        <v>298</v>
      </c>
      <c r="C11" s="496" t="s">
        <v>959</v>
      </c>
      <c r="D11" s="493"/>
      <c r="E11" s="493"/>
      <c r="F11" s="493"/>
      <c r="G11" s="493"/>
      <c r="H11" s="497" t="s">
        <v>960</v>
      </c>
      <c r="I11" s="494"/>
      <c r="J11" s="494"/>
      <c r="K11" s="494"/>
      <c r="L11" s="494"/>
      <c r="M11" s="199" t="s">
        <v>440</v>
      </c>
      <c r="N11" s="498" t="s">
        <v>300</v>
      </c>
      <c r="O11" s="498" t="s">
        <v>301</v>
      </c>
      <c r="P11" s="498" t="s">
        <v>302</v>
      </c>
      <c r="Q11" s="227" t="s">
        <v>441</v>
      </c>
      <c r="R11" s="227" t="s">
        <v>442</v>
      </c>
    </row>
    <row r="12" spans="1:20" s="247" customFormat="1" ht="29.25" customHeight="1">
      <c r="A12" s="538"/>
      <c r="B12" s="173" t="s">
        <v>494</v>
      </c>
      <c r="C12" s="539">
        <f>C13+C50+C55+C56</f>
        <v>313400000000</v>
      </c>
      <c r="D12" s="539">
        <f>D13+D50+D55+D56</f>
        <v>258537000000</v>
      </c>
      <c r="E12" s="539">
        <f>E13+E50+E55+E56</f>
        <v>18225000000</v>
      </c>
      <c r="F12" s="539">
        <f>F13+F50+F55+F56</f>
        <v>8040000000</v>
      </c>
      <c r="G12" s="539">
        <f>G13+G50+G55+G56</f>
        <v>28598000000</v>
      </c>
      <c r="H12" s="539">
        <f aca="true" t="shared" si="0" ref="H12:P12">H13+H50+H55+H56</f>
        <v>313400000000</v>
      </c>
      <c r="I12" s="539">
        <f t="shared" si="0"/>
        <v>258537000000</v>
      </c>
      <c r="J12" s="539">
        <f t="shared" si="0"/>
        <v>18225000000</v>
      </c>
      <c r="K12" s="539">
        <f t="shared" si="0"/>
        <v>8040000000</v>
      </c>
      <c r="L12" s="539">
        <f t="shared" si="0"/>
        <v>28598000000</v>
      </c>
      <c r="M12" s="539">
        <f t="shared" si="0"/>
        <v>487490166801</v>
      </c>
      <c r="N12" s="539">
        <f t="shared" si="0"/>
        <v>0</v>
      </c>
      <c r="O12" s="539">
        <f t="shared" si="0"/>
        <v>422734051652</v>
      </c>
      <c r="P12" s="539">
        <f t="shared" si="0"/>
        <v>64756115149</v>
      </c>
      <c r="Q12" s="299">
        <f>+M12/C12%</f>
        <v>155.5488726231653</v>
      </c>
      <c r="R12" s="299">
        <f>+M12/H12%</f>
        <v>155.5488726231653</v>
      </c>
      <c r="T12" s="314">
        <f>P12+O12-M12</f>
        <v>0</v>
      </c>
    </row>
    <row r="13" spans="1:20" s="247" customFormat="1" ht="29.25" customHeight="1">
      <c r="A13" s="24" t="s">
        <v>297</v>
      </c>
      <c r="B13" s="25" t="s">
        <v>443</v>
      </c>
      <c r="C13" s="275">
        <f>+C14+C31+C32+C47+C48+C49</f>
        <v>313400000000</v>
      </c>
      <c r="D13" s="275">
        <f>+D14+D31+D32+D47+D48+D49</f>
        <v>258537000000</v>
      </c>
      <c r="E13" s="275">
        <f>+E14+E31+E32+E47+E48+E49</f>
        <v>18225000000</v>
      </c>
      <c r="F13" s="275">
        <f>+F14+F31+F32+F47+F48+F49</f>
        <v>8040000000</v>
      </c>
      <c r="G13" s="275">
        <f aca="true" t="shared" si="1" ref="G13:P13">+G14+G31+G32+G47+G48+G49</f>
        <v>28598000000</v>
      </c>
      <c r="H13" s="275">
        <f t="shared" si="1"/>
        <v>313400000000</v>
      </c>
      <c r="I13" s="275">
        <f t="shared" si="1"/>
        <v>258537000000</v>
      </c>
      <c r="J13" s="275">
        <f t="shared" si="1"/>
        <v>18225000000</v>
      </c>
      <c r="K13" s="275">
        <f t="shared" si="1"/>
        <v>8040000000</v>
      </c>
      <c r="L13" s="275">
        <f t="shared" si="1"/>
        <v>28598000000</v>
      </c>
      <c r="M13" s="275">
        <f t="shared" si="1"/>
        <v>429167735212</v>
      </c>
      <c r="N13" s="275">
        <f t="shared" si="1"/>
        <v>0</v>
      </c>
      <c r="O13" s="275">
        <f>+O14+O31+O32+O47+O48+O49</f>
        <v>365302366070</v>
      </c>
      <c r="P13" s="275">
        <f t="shared" si="1"/>
        <v>63865369142</v>
      </c>
      <c r="Q13" s="299">
        <f>+M13/C13%</f>
        <v>136.93929011231654</v>
      </c>
      <c r="R13" s="299">
        <f>+M13/H13%</f>
        <v>136.93929011231654</v>
      </c>
      <c r="T13" s="314">
        <f>O13+1229188000</f>
        <v>366531554070</v>
      </c>
    </row>
    <row r="14" spans="1:18" s="271" customFormat="1" ht="29.25" customHeight="1">
      <c r="A14" s="276" t="s">
        <v>308</v>
      </c>
      <c r="B14" s="277" t="s">
        <v>444</v>
      </c>
      <c r="C14" s="278">
        <f>C15+C29+C30</f>
        <v>36047000000</v>
      </c>
      <c r="D14" s="278">
        <f>D15+D29+D30</f>
        <v>10178000000</v>
      </c>
      <c r="E14" s="278">
        <f>E15+E29+E30</f>
        <v>5000000000</v>
      </c>
      <c r="F14" s="278">
        <f>F15+F29+F30</f>
        <v>0</v>
      </c>
      <c r="G14" s="278">
        <f>G15+G29+G30</f>
        <v>20869000000</v>
      </c>
      <c r="H14" s="278">
        <f aca="true" t="shared" si="2" ref="H14:P14">H15+H29+H30</f>
        <v>36047000000</v>
      </c>
      <c r="I14" s="278">
        <f t="shared" si="2"/>
        <v>10178000000</v>
      </c>
      <c r="J14" s="278">
        <f t="shared" si="2"/>
        <v>5000000000</v>
      </c>
      <c r="K14" s="278">
        <f t="shared" si="2"/>
        <v>0</v>
      </c>
      <c r="L14" s="278">
        <f t="shared" si="2"/>
        <v>20869000000</v>
      </c>
      <c r="M14" s="278">
        <f t="shared" si="2"/>
        <v>75111345094</v>
      </c>
      <c r="N14" s="278">
        <f t="shared" si="2"/>
        <v>0</v>
      </c>
      <c r="O14" s="278">
        <f>O15+O29+O30</f>
        <v>72337348094</v>
      </c>
      <c r="P14" s="278">
        <f t="shared" si="2"/>
        <v>2773997000</v>
      </c>
      <c r="Q14" s="300">
        <f>+M14/C14%</f>
        <v>208.37058588509447</v>
      </c>
      <c r="R14" s="300">
        <f>+M14/H14%</f>
        <v>208.37058588509447</v>
      </c>
    </row>
    <row r="15" spans="1:18" s="271" customFormat="1" ht="42" customHeight="1">
      <c r="A15" s="276">
        <v>1</v>
      </c>
      <c r="B15" s="277" t="s">
        <v>906</v>
      </c>
      <c r="C15" s="278">
        <f aca="true" t="shared" si="3" ref="C15:P15">SUM(C16:C28)</f>
        <v>36047000000</v>
      </c>
      <c r="D15" s="278">
        <f t="shared" si="3"/>
        <v>10178000000</v>
      </c>
      <c r="E15" s="278">
        <f t="shared" si="3"/>
        <v>5000000000</v>
      </c>
      <c r="F15" s="278">
        <f t="shared" si="3"/>
        <v>0</v>
      </c>
      <c r="G15" s="278">
        <f t="shared" si="3"/>
        <v>20869000000</v>
      </c>
      <c r="H15" s="278">
        <f t="shared" si="3"/>
        <v>36047000000</v>
      </c>
      <c r="I15" s="278">
        <f t="shared" si="3"/>
        <v>10178000000</v>
      </c>
      <c r="J15" s="278">
        <f t="shared" si="3"/>
        <v>5000000000</v>
      </c>
      <c r="K15" s="278">
        <f t="shared" si="3"/>
        <v>0</v>
      </c>
      <c r="L15" s="278">
        <f t="shared" si="3"/>
        <v>20869000000</v>
      </c>
      <c r="M15" s="278">
        <f t="shared" si="3"/>
        <v>75111345094</v>
      </c>
      <c r="N15" s="278">
        <f t="shared" si="3"/>
        <v>0</v>
      </c>
      <c r="O15" s="278">
        <f t="shared" si="3"/>
        <v>72337348094</v>
      </c>
      <c r="P15" s="278">
        <f t="shared" si="3"/>
        <v>2773997000</v>
      </c>
      <c r="Q15" s="300">
        <f>+M15/C15%</f>
        <v>208.37058588509447</v>
      </c>
      <c r="R15" s="300">
        <f>+M15/H15%</f>
        <v>208.37058588509447</v>
      </c>
    </row>
    <row r="16" spans="1:21" s="147" customFormat="1" ht="29.25" customHeight="1">
      <c r="A16" s="279" t="s">
        <v>367</v>
      </c>
      <c r="B16" s="267" t="s">
        <v>445</v>
      </c>
      <c r="C16" s="280">
        <f aca="true" t="shared" si="4" ref="C16:C30">SUM(D16:G16)</f>
        <v>0</v>
      </c>
      <c r="D16" s="280"/>
      <c r="E16" s="280"/>
      <c r="F16" s="280"/>
      <c r="G16" s="280"/>
      <c r="H16" s="280">
        <f aca="true" t="shared" si="5" ref="H16:H27">SUM(I16:L16)</f>
        <v>0</v>
      </c>
      <c r="I16" s="280"/>
      <c r="J16" s="280"/>
      <c r="K16" s="280"/>
      <c r="L16" s="280"/>
      <c r="M16" s="226"/>
      <c r="N16" s="226"/>
      <c r="O16" s="225"/>
      <c r="P16" s="225"/>
      <c r="Q16" s="301"/>
      <c r="R16" s="301"/>
      <c r="T16" s="225">
        <v>47267106271</v>
      </c>
      <c r="U16" s="225">
        <v>1952845265</v>
      </c>
    </row>
    <row r="17" spans="1:18" s="147" customFormat="1" ht="29.25" customHeight="1">
      <c r="A17" s="279" t="s">
        <v>369</v>
      </c>
      <c r="B17" s="267" t="s">
        <v>446</v>
      </c>
      <c r="C17" s="280">
        <f t="shared" si="4"/>
        <v>0</v>
      </c>
      <c r="D17" s="280"/>
      <c r="E17" s="280"/>
      <c r="F17" s="280"/>
      <c r="G17" s="280"/>
      <c r="H17" s="280">
        <f t="shared" si="5"/>
        <v>0</v>
      </c>
      <c r="I17" s="280"/>
      <c r="J17" s="280"/>
      <c r="K17" s="280"/>
      <c r="L17" s="280"/>
      <c r="M17" s="226">
        <f>SUM(N17:P17)</f>
        <v>0</v>
      </c>
      <c r="N17" s="226"/>
      <c r="O17" s="226"/>
      <c r="P17" s="226"/>
      <c r="Q17" s="301"/>
      <c r="R17" s="301"/>
    </row>
    <row r="18" spans="1:21" s="147" customFormat="1" ht="29.25" customHeight="1">
      <c r="A18" s="279" t="s">
        <v>371</v>
      </c>
      <c r="B18" s="267" t="s">
        <v>447</v>
      </c>
      <c r="C18" s="280">
        <f t="shared" si="4"/>
        <v>7323365000</v>
      </c>
      <c r="D18" s="280">
        <v>678000000</v>
      </c>
      <c r="E18" s="280"/>
      <c r="F18" s="280"/>
      <c r="G18" s="280">
        <v>6645365000</v>
      </c>
      <c r="H18" s="280">
        <f>SUM(I18:L18)</f>
        <v>7323365000</v>
      </c>
      <c r="I18" s="280">
        <v>678000000</v>
      </c>
      <c r="J18" s="280"/>
      <c r="K18" s="280"/>
      <c r="L18" s="280">
        <v>6645365000</v>
      </c>
      <c r="M18" s="226">
        <f aca="true" t="shared" si="6" ref="M18:M49">SUM(N18:P18)</f>
        <v>12496665000</v>
      </c>
      <c r="N18" s="226"/>
      <c r="O18" s="226">
        <f>12771628000-450000000</f>
        <v>12321628000</v>
      </c>
      <c r="P18" s="226">
        <v>175037000</v>
      </c>
      <c r="Q18" s="301">
        <f>+M18/C18%</f>
        <v>170.6410236277995</v>
      </c>
      <c r="R18" s="301">
        <f>+M18/H18%</f>
        <v>170.6410236277995</v>
      </c>
      <c r="T18" s="240"/>
      <c r="U18" s="240"/>
    </row>
    <row r="19" spans="1:18" s="147" customFormat="1" ht="29.25" customHeight="1">
      <c r="A19" s="279" t="s">
        <v>373</v>
      </c>
      <c r="B19" s="267" t="s">
        <v>448</v>
      </c>
      <c r="C19" s="280">
        <f t="shared" si="4"/>
        <v>0</v>
      </c>
      <c r="D19" s="280"/>
      <c r="E19" s="280"/>
      <c r="F19" s="280"/>
      <c r="G19" s="280"/>
      <c r="H19" s="280">
        <f t="shared" si="5"/>
        <v>0</v>
      </c>
      <c r="I19" s="280"/>
      <c r="J19" s="280"/>
      <c r="K19" s="280"/>
      <c r="L19" s="280"/>
      <c r="M19" s="226">
        <f t="shared" si="6"/>
        <v>0</v>
      </c>
      <c r="N19" s="226"/>
      <c r="O19" s="226"/>
      <c r="P19" s="226"/>
      <c r="Q19" s="301"/>
      <c r="R19" s="301"/>
    </row>
    <row r="20" spans="1:18" s="147" customFormat="1" ht="29.25" customHeight="1">
      <c r="A20" s="279" t="s">
        <v>375</v>
      </c>
      <c r="B20" s="267" t="s">
        <v>449</v>
      </c>
      <c r="C20" s="280">
        <f t="shared" si="4"/>
        <v>0</v>
      </c>
      <c r="D20" s="280"/>
      <c r="E20" s="280"/>
      <c r="F20" s="280"/>
      <c r="G20" s="280"/>
      <c r="H20" s="280">
        <f t="shared" si="5"/>
        <v>0</v>
      </c>
      <c r="I20" s="280"/>
      <c r="J20" s="280"/>
      <c r="K20" s="280"/>
      <c r="L20" s="280"/>
      <c r="M20" s="226">
        <f t="shared" si="6"/>
        <v>0</v>
      </c>
      <c r="N20" s="226"/>
      <c r="O20" s="226"/>
      <c r="P20" s="226"/>
      <c r="Q20" s="301"/>
      <c r="R20" s="301"/>
    </row>
    <row r="21" spans="1:18" s="147" customFormat="1" ht="29.25" customHeight="1">
      <c r="A21" s="279" t="s">
        <v>377</v>
      </c>
      <c r="B21" s="267" t="s">
        <v>450</v>
      </c>
      <c r="C21" s="280">
        <f t="shared" si="4"/>
        <v>5822683000</v>
      </c>
      <c r="D21" s="280"/>
      <c r="E21" s="280"/>
      <c r="F21" s="280"/>
      <c r="G21" s="280">
        <v>5822683000</v>
      </c>
      <c r="H21" s="280">
        <f t="shared" si="5"/>
        <v>5822683000</v>
      </c>
      <c r="I21" s="280"/>
      <c r="J21" s="280"/>
      <c r="K21" s="280"/>
      <c r="L21" s="280">
        <v>5822683000</v>
      </c>
      <c r="M21" s="226">
        <f t="shared" si="6"/>
        <v>7806662094</v>
      </c>
      <c r="N21" s="226"/>
      <c r="O21" s="226">
        <v>7797662094</v>
      </c>
      <c r="P21" s="226">
        <v>9000000</v>
      </c>
      <c r="Q21" s="301">
        <f>+M21/C21%</f>
        <v>134.07328020433192</v>
      </c>
      <c r="R21" s="301">
        <f>+M21/H21%</f>
        <v>134.07328020433192</v>
      </c>
    </row>
    <row r="22" spans="1:18" s="147" customFormat="1" ht="29.25" customHeight="1">
      <c r="A22" s="279" t="s">
        <v>451</v>
      </c>
      <c r="B22" s="267" t="s">
        <v>452</v>
      </c>
      <c r="C22" s="280">
        <f t="shared" si="4"/>
        <v>0</v>
      </c>
      <c r="D22" s="280"/>
      <c r="E22" s="280"/>
      <c r="F22" s="280"/>
      <c r="G22" s="280"/>
      <c r="H22" s="280">
        <f t="shared" si="5"/>
        <v>0</v>
      </c>
      <c r="I22" s="280"/>
      <c r="J22" s="280"/>
      <c r="K22" s="280"/>
      <c r="L22" s="280"/>
      <c r="M22" s="226">
        <f t="shared" si="6"/>
        <v>0</v>
      </c>
      <c r="N22" s="226"/>
      <c r="O22" s="226"/>
      <c r="P22" s="226"/>
      <c r="Q22" s="301"/>
      <c r="R22" s="301"/>
    </row>
    <row r="23" spans="1:18" s="147" customFormat="1" ht="29.25" customHeight="1">
      <c r="A23" s="279" t="s">
        <v>453</v>
      </c>
      <c r="B23" s="267" t="s">
        <v>454</v>
      </c>
      <c r="C23" s="280">
        <f t="shared" si="4"/>
        <v>90000000</v>
      </c>
      <c r="D23" s="280"/>
      <c r="E23" s="280"/>
      <c r="F23" s="280"/>
      <c r="G23" s="280">
        <v>90000000</v>
      </c>
      <c r="H23" s="280">
        <f t="shared" si="5"/>
        <v>90000000</v>
      </c>
      <c r="I23" s="280"/>
      <c r="J23" s="280"/>
      <c r="K23" s="280"/>
      <c r="L23" s="280">
        <v>90000000</v>
      </c>
      <c r="M23" s="226">
        <f t="shared" si="6"/>
        <v>89999000</v>
      </c>
      <c r="N23" s="226"/>
      <c r="O23" s="226">
        <v>89999000</v>
      </c>
      <c r="P23" s="226"/>
      <c r="Q23" s="301">
        <f>+M23/C23%</f>
        <v>99.99888888888889</v>
      </c>
      <c r="R23" s="301">
        <f>+M23/H23%</f>
        <v>99.99888888888889</v>
      </c>
    </row>
    <row r="24" spans="1:18" s="147" customFormat="1" ht="29.25" customHeight="1">
      <c r="A24" s="279" t="s">
        <v>455</v>
      </c>
      <c r="B24" s="267" t="s">
        <v>456</v>
      </c>
      <c r="C24" s="280">
        <f t="shared" si="4"/>
        <v>0</v>
      </c>
      <c r="D24" s="280"/>
      <c r="E24" s="280"/>
      <c r="F24" s="280"/>
      <c r="G24" s="280"/>
      <c r="H24" s="280">
        <f t="shared" si="5"/>
        <v>0</v>
      </c>
      <c r="I24" s="280"/>
      <c r="J24" s="280"/>
      <c r="K24" s="280"/>
      <c r="L24" s="280"/>
      <c r="M24" s="226">
        <f t="shared" si="6"/>
        <v>153905000</v>
      </c>
      <c r="N24" s="226"/>
      <c r="O24" s="226">
        <v>153905000</v>
      </c>
      <c r="P24" s="226"/>
      <c r="Q24" s="301"/>
      <c r="R24" s="301"/>
    </row>
    <row r="25" spans="1:18" s="147" customFormat="1" ht="29.25" customHeight="1">
      <c r="A25" s="279" t="s">
        <v>457</v>
      </c>
      <c r="B25" s="267" t="s">
        <v>458</v>
      </c>
      <c r="C25" s="280">
        <f t="shared" si="4"/>
        <v>22810952000</v>
      </c>
      <c r="D25" s="280">
        <f>9150000000+273000000+350000000-273000000</f>
        <v>9500000000</v>
      </c>
      <c r="E25" s="280">
        <f>5000000000+482000000-482000000</f>
        <v>5000000000</v>
      </c>
      <c r="F25" s="280"/>
      <c r="G25" s="280">
        <v>8310952000</v>
      </c>
      <c r="H25" s="280">
        <f t="shared" si="5"/>
        <v>22810952000</v>
      </c>
      <c r="I25" s="280">
        <f>9150000000+350000000</f>
        <v>9500000000</v>
      </c>
      <c r="J25" s="280">
        <f>5000000000</f>
        <v>5000000000</v>
      </c>
      <c r="K25" s="280"/>
      <c r="L25" s="280">
        <v>8310952000</v>
      </c>
      <c r="M25" s="226">
        <f t="shared" si="6"/>
        <v>51518002000</v>
      </c>
      <c r="N25" s="226"/>
      <c r="O25" s="226">
        <v>49228042000</v>
      </c>
      <c r="P25" s="226">
        <v>2289960000</v>
      </c>
      <c r="Q25" s="301">
        <f>+M25/C25%</f>
        <v>225.8476629997731</v>
      </c>
      <c r="R25" s="301">
        <f>+M25/H25%</f>
        <v>225.8476629997731</v>
      </c>
    </row>
    <row r="26" spans="1:18" s="147" customFormat="1" ht="29.25" customHeight="1">
      <c r="A26" s="279" t="s">
        <v>459</v>
      </c>
      <c r="B26" s="267" t="s">
        <v>460</v>
      </c>
      <c r="C26" s="280">
        <f t="shared" si="4"/>
        <v>0</v>
      </c>
      <c r="D26" s="280"/>
      <c r="E26" s="280"/>
      <c r="F26" s="280"/>
      <c r="G26" s="280"/>
      <c r="H26" s="280">
        <f t="shared" si="5"/>
        <v>0</v>
      </c>
      <c r="I26" s="280"/>
      <c r="J26" s="280"/>
      <c r="K26" s="280"/>
      <c r="L26" s="280"/>
      <c r="M26" s="226">
        <f t="shared" si="6"/>
        <v>3046112000</v>
      </c>
      <c r="N26" s="226"/>
      <c r="O26" s="226">
        <v>2746112000</v>
      </c>
      <c r="P26" s="226">
        <v>300000000</v>
      </c>
      <c r="Q26" s="301"/>
      <c r="R26" s="301"/>
    </row>
    <row r="27" spans="1:18" s="147" customFormat="1" ht="29.25" customHeight="1">
      <c r="A27" s="279" t="s">
        <v>461</v>
      </c>
      <c r="B27" s="267" t="s">
        <v>462</v>
      </c>
      <c r="C27" s="280">
        <f t="shared" si="4"/>
        <v>0</v>
      </c>
      <c r="D27" s="280"/>
      <c r="E27" s="280"/>
      <c r="F27" s="280"/>
      <c r="G27" s="280"/>
      <c r="H27" s="280">
        <f t="shared" si="5"/>
        <v>0</v>
      </c>
      <c r="I27" s="280"/>
      <c r="J27" s="280"/>
      <c r="K27" s="280"/>
      <c r="L27" s="280"/>
      <c r="M27" s="226">
        <f t="shared" si="6"/>
        <v>0</v>
      </c>
      <c r="N27" s="226"/>
      <c r="O27" s="226"/>
      <c r="P27" s="226"/>
      <c r="Q27" s="301"/>
      <c r="R27" s="301"/>
    </row>
    <row r="28" spans="1:18" s="147" customFormat="1" ht="29.25" customHeight="1">
      <c r="A28" s="279" t="s">
        <v>463</v>
      </c>
      <c r="B28" s="267" t="s">
        <v>464</v>
      </c>
      <c r="C28" s="280">
        <f t="shared" si="4"/>
        <v>0</v>
      </c>
      <c r="D28" s="280"/>
      <c r="E28" s="280"/>
      <c r="F28" s="280"/>
      <c r="G28" s="280"/>
      <c r="H28" s="536"/>
      <c r="I28" s="280"/>
      <c r="J28" s="280"/>
      <c r="K28" s="280"/>
      <c r="L28" s="280"/>
      <c r="M28" s="226">
        <f t="shared" si="6"/>
        <v>0</v>
      </c>
      <c r="N28" s="226"/>
      <c r="O28" s="226"/>
      <c r="P28" s="226"/>
      <c r="Q28" s="301"/>
      <c r="R28" s="301"/>
    </row>
    <row r="29" spans="1:18" s="147" customFormat="1" ht="29.25" customHeight="1">
      <c r="A29" s="276">
        <v>2</v>
      </c>
      <c r="B29" s="277" t="s">
        <v>465</v>
      </c>
      <c r="C29" s="280"/>
      <c r="D29" s="280"/>
      <c r="E29" s="280"/>
      <c r="F29" s="280"/>
      <c r="G29" s="280"/>
      <c r="H29" s="281"/>
      <c r="I29" s="280"/>
      <c r="J29" s="280"/>
      <c r="K29" s="280"/>
      <c r="L29" s="280"/>
      <c r="M29" s="226">
        <f t="shared" si="6"/>
        <v>0</v>
      </c>
      <c r="N29" s="226"/>
      <c r="O29" s="226"/>
      <c r="P29" s="226"/>
      <c r="Q29" s="301"/>
      <c r="R29" s="301"/>
    </row>
    <row r="30" spans="1:18" s="147" customFormat="1" ht="29.25" customHeight="1">
      <c r="A30" s="276">
        <v>3</v>
      </c>
      <c r="B30" s="277" t="s">
        <v>466</v>
      </c>
      <c r="C30" s="280">
        <f t="shared" si="4"/>
        <v>0</v>
      </c>
      <c r="D30" s="280"/>
      <c r="E30" s="280"/>
      <c r="F30" s="280"/>
      <c r="G30" s="280"/>
      <c r="H30" s="280">
        <f>SUM(I30:L30)</f>
        <v>0</v>
      </c>
      <c r="I30" s="280"/>
      <c r="J30" s="280"/>
      <c r="K30" s="280"/>
      <c r="L30" s="280"/>
      <c r="M30" s="226">
        <f t="shared" si="6"/>
        <v>0</v>
      </c>
      <c r="N30" s="226"/>
      <c r="O30" s="226"/>
      <c r="P30" s="226"/>
      <c r="Q30" s="301"/>
      <c r="R30" s="301"/>
    </row>
    <row r="31" spans="1:18" ht="29.25" customHeight="1">
      <c r="A31" s="29" t="s">
        <v>364</v>
      </c>
      <c r="B31" s="30" t="s">
        <v>467</v>
      </c>
      <c r="C31" s="280"/>
      <c r="D31" s="280"/>
      <c r="E31" s="280"/>
      <c r="F31" s="280"/>
      <c r="G31" s="280"/>
      <c r="H31" s="281"/>
      <c r="I31" s="281"/>
      <c r="J31" s="281"/>
      <c r="K31" s="281"/>
      <c r="L31" s="281"/>
      <c r="M31" s="157">
        <f t="shared" si="6"/>
        <v>0</v>
      </c>
      <c r="N31" s="157"/>
      <c r="O31" s="157"/>
      <c r="P31" s="157"/>
      <c r="Q31" s="302"/>
      <c r="R31" s="302"/>
    </row>
    <row r="32" spans="1:18" s="247" customFormat="1" ht="29.25" customHeight="1">
      <c r="A32" s="29" t="s">
        <v>382</v>
      </c>
      <c r="B32" s="30" t="s">
        <v>468</v>
      </c>
      <c r="C32" s="278">
        <f>SUM(C33:C46)</f>
        <v>276520000000</v>
      </c>
      <c r="D32" s="278">
        <f>SUM(D33:D46)</f>
        <v>247526000000</v>
      </c>
      <c r="E32" s="278">
        <f>SUM(E33:E46)</f>
        <v>13225000000</v>
      </c>
      <c r="F32" s="278">
        <f>SUM(F33:F46)</f>
        <v>8040000000</v>
      </c>
      <c r="G32" s="278">
        <f>SUM(G33:G46)</f>
        <v>7729000000</v>
      </c>
      <c r="H32" s="282">
        <f aca="true" t="shared" si="7" ref="H32:P32">SUM(H33:H46)</f>
        <v>274932800000</v>
      </c>
      <c r="I32" s="278">
        <f>SUM(I33:I46)</f>
        <v>245938800000</v>
      </c>
      <c r="J32" s="278">
        <f>SUM(J33:J46)</f>
        <v>13225000000</v>
      </c>
      <c r="K32" s="278">
        <f>SUM(K33:K46)</f>
        <v>8040000000</v>
      </c>
      <c r="L32" s="278">
        <f>SUM(L33:L46)</f>
        <v>7729000000</v>
      </c>
      <c r="M32" s="176">
        <f>SUM(M33:M46)</f>
        <v>287094605170</v>
      </c>
      <c r="N32" s="176">
        <f t="shared" si="7"/>
        <v>0</v>
      </c>
      <c r="O32" s="176">
        <f t="shared" si="7"/>
        <v>231503547046</v>
      </c>
      <c r="P32" s="176">
        <f t="shared" si="7"/>
        <v>55591058124</v>
      </c>
      <c r="Q32" s="303">
        <f>+M32/C32%</f>
        <v>103.82417371980327</v>
      </c>
      <c r="R32" s="303">
        <f>+M32/H32%</f>
        <v>104.42355556339585</v>
      </c>
    </row>
    <row r="33" spans="1:18" ht="29.25" customHeight="1">
      <c r="A33" s="27" t="s">
        <v>402</v>
      </c>
      <c r="B33" s="28" t="s">
        <v>445</v>
      </c>
      <c r="C33" s="280">
        <f>SUM(D33:G33)</f>
        <v>450000000</v>
      </c>
      <c r="D33" s="280">
        <v>450000000</v>
      </c>
      <c r="E33" s="280"/>
      <c r="F33" s="280"/>
      <c r="G33" s="281"/>
      <c r="H33" s="281">
        <f>I33+J33+K33+L33</f>
        <v>453600000</v>
      </c>
      <c r="I33" s="280">
        <v>453600000</v>
      </c>
      <c r="J33" s="280"/>
      <c r="K33" s="280"/>
      <c r="L33" s="281"/>
      <c r="M33" s="157">
        <f t="shared" si="6"/>
        <v>6492160029</v>
      </c>
      <c r="N33" s="157"/>
      <c r="O33" s="157">
        <v>2184117000</v>
      </c>
      <c r="P33" s="157">
        <v>4308043029</v>
      </c>
      <c r="Q33" s="302">
        <f>+M33/C33%</f>
        <v>1442.7022286666668</v>
      </c>
      <c r="R33" s="302">
        <f>+M33/H33%</f>
        <v>1431.252210978836</v>
      </c>
    </row>
    <row r="34" spans="1:18" ht="29.25" customHeight="1">
      <c r="A34" s="27" t="s">
        <v>404</v>
      </c>
      <c r="B34" s="28" t="s">
        <v>446</v>
      </c>
      <c r="C34" s="280">
        <f aca="true" t="shared" si="8" ref="C34:C46">SUM(D34:G34)</f>
        <v>5550000000</v>
      </c>
      <c r="D34" s="280">
        <f>6000000000-D33</f>
        <v>5550000000</v>
      </c>
      <c r="E34" s="280"/>
      <c r="F34" s="280"/>
      <c r="G34" s="281"/>
      <c r="H34" s="281">
        <f>I34+J34+K34+L34</f>
        <v>5627300000</v>
      </c>
      <c r="I34" s="280">
        <v>5627300000</v>
      </c>
      <c r="J34" s="280"/>
      <c r="K34" s="280"/>
      <c r="L34" s="281"/>
      <c r="M34" s="157">
        <f t="shared" si="6"/>
        <v>1727882500</v>
      </c>
      <c r="N34" s="157"/>
      <c r="O34" s="157">
        <v>538600000</v>
      </c>
      <c r="P34" s="157">
        <v>1189282500</v>
      </c>
      <c r="Q34" s="302">
        <f>+M34/C34%</f>
        <v>31.133018018018017</v>
      </c>
      <c r="R34" s="302">
        <f>+M34/H34%</f>
        <v>30.705356032200168</v>
      </c>
    </row>
    <row r="35" spans="1:18" ht="29.25" customHeight="1">
      <c r="A35" s="27" t="s">
        <v>469</v>
      </c>
      <c r="B35" s="28" t="s">
        <v>447</v>
      </c>
      <c r="C35" s="280">
        <f t="shared" si="8"/>
        <v>166614000000</v>
      </c>
      <c r="D35" s="280">
        <v>153482000000</v>
      </c>
      <c r="E35" s="280">
        <f>1300000000-417000000+6321000000</f>
        <v>7204000000</v>
      </c>
      <c r="F35" s="280">
        <f>2656000000+2079000000+26000000</f>
        <v>4761000000</v>
      </c>
      <c r="G35" s="281">
        <v>1167000000</v>
      </c>
      <c r="H35" s="281">
        <f aca="true" t="shared" si="9" ref="H35:H58">I35+J35+K35+L35</f>
        <v>166614000000</v>
      </c>
      <c r="I35" s="280">
        <v>153482000000</v>
      </c>
      <c r="J35" s="280">
        <f>1300000000-417000000+6321000000</f>
        <v>7204000000</v>
      </c>
      <c r="K35" s="280">
        <f>2656000000+2079000000+26000000</f>
        <v>4761000000</v>
      </c>
      <c r="L35" s="281">
        <v>1167000000</v>
      </c>
      <c r="M35" s="157">
        <f t="shared" si="6"/>
        <v>169080399533</v>
      </c>
      <c r="N35" s="157"/>
      <c r="O35" s="157">
        <v>168789287170</v>
      </c>
      <c r="P35" s="157">
        <v>291112363</v>
      </c>
      <c r="Q35" s="302">
        <f>+M35/C35%</f>
        <v>101.48030749696905</v>
      </c>
      <c r="R35" s="302">
        <f>+M35/H35%</f>
        <v>101.48030749696905</v>
      </c>
    </row>
    <row r="36" spans="1:18" ht="29.25" customHeight="1">
      <c r="A36" s="27" t="s">
        <v>470</v>
      </c>
      <c r="B36" s="28" t="s">
        <v>448</v>
      </c>
      <c r="C36" s="280">
        <f t="shared" si="8"/>
        <v>150000000</v>
      </c>
      <c r="D36" s="280">
        <v>150000000</v>
      </c>
      <c r="E36" s="280"/>
      <c r="F36" s="280"/>
      <c r="G36" s="281"/>
      <c r="H36" s="281">
        <f t="shared" si="9"/>
        <v>150000000</v>
      </c>
      <c r="I36" s="280">
        <v>150000000</v>
      </c>
      <c r="J36" s="280"/>
      <c r="K36" s="280"/>
      <c r="L36" s="281"/>
      <c r="M36" s="157">
        <f t="shared" si="6"/>
        <v>150000000</v>
      </c>
      <c r="N36" s="157"/>
      <c r="O36" s="157">
        <v>150000000</v>
      </c>
      <c r="P36" s="157"/>
      <c r="Q36" s="302"/>
      <c r="R36" s="302"/>
    </row>
    <row r="37" spans="1:18" ht="29.25" customHeight="1">
      <c r="A37" s="27" t="s">
        <v>471</v>
      </c>
      <c r="B37" s="28" t="s">
        <v>449</v>
      </c>
      <c r="C37" s="280">
        <f t="shared" si="8"/>
        <v>900000000</v>
      </c>
      <c r="D37" s="280">
        <v>650000000</v>
      </c>
      <c r="E37" s="280"/>
      <c r="F37" s="280">
        <v>250000000</v>
      </c>
      <c r="G37" s="281"/>
      <c r="H37" s="281">
        <f t="shared" si="9"/>
        <v>778400000</v>
      </c>
      <c r="I37" s="280">
        <v>528400000</v>
      </c>
      <c r="J37" s="280"/>
      <c r="K37" s="280">
        <v>250000000</v>
      </c>
      <c r="L37" s="281"/>
      <c r="M37" s="157">
        <f t="shared" si="6"/>
        <v>837780820</v>
      </c>
      <c r="N37" s="157"/>
      <c r="O37" s="157">
        <v>295154100</v>
      </c>
      <c r="P37" s="157">
        <v>542626720</v>
      </c>
      <c r="Q37" s="302"/>
      <c r="R37" s="302">
        <f aca="true" t="shared" si="10" ref="R37:R46">+M37/H37%</f>
        <v>107.6285739979445</v>
      </c>
    </row>
    <row r="38" spans="1:18" ht="29.25" customHeight="1">
      <c r="A38" s="27" t="s">
        <v>472</v>
      </c>
      <c r="B38" s="28" t="s">
        <v>450</v>
      </c>
      <c r="C38" s="280">
        <f t="shared" si="8"/>
        <v>2188000000</v>
      </c>
      <c r="D38" s="280">
        <v>1100000000</v>
      </c>
      <c r="E38" s="280"/>
      <c r="F38" s="280"/>
      <c r="G38" s="281">
        <v>1088000000</v>
      </c>
      <c r="H38" s="281">
        <f t="shared" si="9"/>
        <v>1988800000</v>
      </c>
      <c r="I38" s="280">
        <v>900800000</v>
      </c>
      <c r="J38" s="280"/>
      <c r="K38" s="280"/>
      <c r="L38" s="281">
        <v>1088000000</v>
      </c>
      <c r="M38" s="157">
        <f t="shared" si="6"/>
        <v>3667817409</v>
      </c>
      <c r="N38" s="157"/>
      <c r="O38" s="157">
        <v>3468165909</v>
      </c>
      <c r="P38" s="157">
        <v>199651500</v>
      </c>
      <c r="Q38" s="302">
        <f aca="true" t="shared" si="11" ref="Q38:Q46">+M38/C38%</f>
        <v>167.6333367915905</v>
      </c>
      <c r="R38" s="302">
        <f t="shared" si="10"/>
        <v>184.42364284995978</v>
      </c>
    </row>
    <row r="39" spans="1:18" ht="29.25" customHeight="1">
      <c r="A39" s="27" t="s">
        <v>473</v>
      </c>
      <c r="B39" s="28" t="s">
        <v>452</v>
      </c>
      <c r="C39" s="280">
        <f t="shared" si="8"/>
        <v>1046000000</v>
      </c>
      <c r="D39" s="280">
        <v>1046000000</v>
      </c>
      <c r="E39" s="280"/>
      <c r="F39" s="280"/>
      <c r="G39" s="281"/>
      <c r="H39" s="281">
        <f t="shared" si="9"/>
        <v>954600000</v>
      </c>
      <c r="I39" s="280">
        <v>954600000</v>
      </c>
      <c r="J39" s="280"/>
      <c r="K39" s="280"/>
      <c r="L39" s="281"/>
      <c r="M39" s="157">
        <f t="shared" si="6"/>
        <v>1064186294</v>
      </c>
      <c r="N39" s="157"/>
      <c r="O39" s="157">
        <v>993186294</v>
      </c>
      <c r="P39" s="157">
        <v>71000000</v>
      </c>
      <c r="Q39" s="302">
        <f t="shared" si="11"/>
        <v>101.73865143403442</v>
      </c>
      <c r="R39" s="302">
        <f t="shared" si="10"/>
        <v>111.47981290592918</v>
      </c>
    </row>
    <row r="40" spans="1:18" ht="29.25" customHeight="1">
      <c r="A40" s="27" t="s">
        <v>474</v>
      </c>
      <c r="B40" s="28" t="s">
        <v>454</v>
      </c>
      <c r="C40" s="280">
        <f t="shared" si="8"/>
        <v>300000000</v>
      </c>
      <c r="D40" s="280">
        <v>300000000</v>
      </c>
      <c r="E40" s="280"/>
      <c r="F40" s="280"/>
      <c r="G40" s="477"/>
      <c r="H40" s="281">
        <f t="shared" si="9"/>
        <v>282300000</v>
      </c>
      <c r="I40" s="280">
        <v>282300000</v>
      </c>
      <c r="J40" s="280"/>
      <c r="K40" s="280"/>
      <c r="L40" s="477"/>
      <c r="M40" s="157">
        <f t="shared" si="6"/>
        <v>291365000</v>
      </c>
      <c r="N40" s="157"/>
      <c r="O40" s="157">
        <v>222040000</v>
      </c>
      <c r="P40" s="157">
        <v>69325000</v>
      </c>
      <c r="Q40" s="302">
        <f t="shared" si="11"/>
        <v>97.12166666666667</v>
      </c>
      <c r="R40" s="302">
        <f t="shared" si="10"/>
        <v>103.21112291888062</v>
      </c>
    </row>
    <row r="41" spans="1:18" ht="29.25" customHeight="1">
      <c r="A41" s="27" t="s">
        <v>475</v>
      </c>
      <c r="B41" s="28" t="s">
        <v>456</v>
      </c>
      <c r="C41" s="280">
        <f t="shared" si="8"/>
        <v>2954848000</v>
      </c>
      <c r="D41" s="280">
        <v>2291000000</v>
      </c>
      <c r="E41" s="280">
        <v>500000000</v>
      </c>
      <c r="F41" s="280"/>
      <c r="G41" s="281">
        <v>163848000</v>
      </c>
      <c r="H41" s="281">
        <f t="shared" si="9"/>
        <v>2956448000</v>
      </c>
      <c r="I41" s="280">
        <v>2292600000</v>
      </c>
      <c r="J41" s="280">
        <v>500000000</v>
      </c>
      <c r="K41" s="280"/>
      <c r="L41" s="281">
        <v>163848000</v>
      </c>
      <c r="M41" s="157">
        <f t="shared" si="6"/>
        <v>5471127395</v>
      </c>
      <c r="N41" s="157"/>
      <c r="O41" s="157">
        <v>5244463548</v>
      </c>
      <c r="P41" s="157">
        <v>226663847</v>
      </c>
      <c r="Q41" s="302">
        <f t="shared" si="11"/>
        <v>185.15765937875653</v>
      </c>
      <c r="R41" s="302">
        <f t="shared" si="10"/>
        <v>185.05745391090932</v>
      </c>
    </row>
    <row r="42" spans="1:18" ht="29.25" customHeight="1">
      <c r="A42" s="27" t="s">
        <v>476</v>
      </c>
      <c r="B42" s="28" t="s">
        <v>907</v>
      </c>
      <c r="C42" s="280">
        <f t="shared" si="8"/>
        <v>18005152000</v>
      </c>
      <c r="D42" s="280">
        <f>9517000000+273000000</f>
        <v>9790000000</v>
      </c>
      <c r="E42" s="280">
        <f>140000000-468000000+210000000+2000000000+482000000</f>
        <v>2364000000</v>
      </c>
      <c r="F42" s="280">
        <f>222000000+364000000</f>
        <v>586000000</v>
      </c>
      <c r="G42" s="281">
        <v>5265152000</v>
      </c>
      <c r="H42" s="281">
        <f t="shared" si="9"/>
        <v>15132752000</v>
      </c>
      <c r="I42" s="280">
        <f>6644600000+273000000</f>
        <v>6917600000</v>
      </c>
      <c r="J42" s="280">
        <f>140000000-468000000+210000000+2000000000+482000000</f>
        <v>2364000000</v>
      </c>
      <c r="K42" s="280">
        <f>222000000+364000000</f>
        <v>586000000</v>
      </c>
      <c r="L42" s="281">
        <v>5265152000</v>
      </c>
      <c r="M42" s="157">
        <f t="shared" si="6"/>
        <v>14757792813</v>
      </c>
      <c r="N42" s="157"/>
      <c r="O42" s="157">
        <v>9917672122</v>
      </c>
      <c r="P42" s="157">
        <v>4840120691</v>
      </c>
      <c r="Q42" s="302">
        <f t="shared" si="11"/>
        <v>81.96427785225029</v>
      </c>
      <c r="R42" s="302">
        <f t="shared" si="10"/>
        <v>97.5222009387321</v>
      </c>
    </row>
    <row r="43" spans="1:18" ht="29.25" customHeight="1">
      <c r="A43" s="27" t="s">
        <v>477</v>
      </c>
      <c r="B43" s="28" t="s">
        <v>460</v>
      </c>
      <c r="C43" s="280">
        <f t="shared" si="8"/>
        <v>60724000000</v>
      </c>
      <c r="D43" s="280">
        <v>58000000000</v>
      </c>
      <c r="E43" s="280">
        <f>12000000+170000000+393000000+247000000+80000000+72000000+350000000+1290000000</f>
        <v>2614000000</v>
      </c>
      <c r="F43" s="226">
        <f>30000000+10000000+10000000+30000000+30000000</f>
        <v>110000000</v>
      </c>
      <c r="G43" s="281"/>
      <c r="H43" s="281">
        <f t="shared" si="9"/>
        <v>61514400000</v>
      </c>
      <c r="I43" s="280">
        <v>58790400000</v>
      </c>
      <c r="J43" s="280">
        <f>12000000+170000000+393000000+247000000+80000000+72000000+350000000+1290000000</f>
        <v>2614000000</v>
      </c>
      <c r="K43" s="226">
        <f>30000000+10000000+10000000+30000000+30000000</f>
        <v>110000000</v>
      </c>
      <c r="L43" s="281"/>
      <c r="M43" s="157">
        <f t="shared" si="6"/>
        <v>63815493235</v>
      </c>
      <c r="N43" s="157"/>
      <c r="O43" s="157">
        <v>29470582885</v>
      </c>
      <c r="P43" s="157">
        <v>34344910350</v>
      </c>
      <c r="Q43" s="302">
        <f t="shared" si="11"/>
        <v>105.0910566415256</v>
      </c>
      <c r="R43" s="302">
        <f t="shared" si="10"/>
        <v>103.74073913587713</v>
      </c>
    </row>
    <row r="44" spans="1:18" ht="29.25" customHeight="1">
      <c r="A44" s="27" t="s">
        <v>478</v>
      </c>
      <c r="B44" s="28" t="s">
        <v>908</v>
      </c>
      <c r="C44" s="280">
        <f t="shared" si="8"/>
        <v>9388000000</v>
      </c>
      <c r="D44" s="280">
        <v>6557000000</v>
      </c>
      <c r="E44" s="280">
        <f>75000000+468000000</f>
        <v>543000000</v>
      </c>
      <c r="F44" s="280">
        <f>2097000000+10000000+10000000+36000000+90000000</f>
        <v>2243000000</v>
      </c>
      <c r="G44" s="281">
        <v>45000000</v>
      </c>
      <c r="H44" s="281">
        <f t="shared" si="9"/>
        <v>9652400000</v>
      </c>
      <c r="I44" s="280">
        <v>6821400000</v>
      </c>
      <c r="J44" s="280">
        <f>75000000+468000000</f>
        <v>543000000</v>
      </c>
      <c r="K44" s="280">
        <f>2097000000+10000000+10000000+36000000+90000000</f>
        <v>2243000000</v>
      </c>
      <c r="L44" s="281">
        <v>45000000</v>
      </c>
      <c r="M44" s="157">
        <f t="shared" si="6"/>
        <v>17805918269</v>
      </c>
      <c r="N44" s="157"/>
      <c r="O44" s="157">
        <v>8297596145</v>
      </c>
      <c r="P44" s="157">
        <v>9508322124</v>
      </c>
      <c r="Q44" s="302">
        <f t="shared" si="11"/>
        <v>189.66679025351513</v>
      </c>
      <c r="R44" s="302">
        <f t="shared" si="10"/>
        <v>184.47140886204468</v>
      </c>
    </row>
    <row r="45" spans="1:18" ht="29.25" customHeight="1">
      <c r="A45" s="27" t="s">
        <v>479</v>
      </c>
      <c r="B45" s="28" t="s">
        <v>480</v>
      </c>
      <c r="C45" s="280">
        <f t="shared" si="8"/>
        <v>3090000000</v>
      </c>
      <c r="D45" s="280">
        <v>3000000000</v>
      </c>
      <c r="E45" s="280"/>
      <c r="F45" s="280">
        <v>90000000</v>
      </c>
      <c r="G45" s="281"/>
      <c r="H45" s="281">
        <f t="shared" si="9"/>
        <v>3667800000</v>
      </c>
      <c r="I45" s="280">
        <v>3577800000</v>
      </c>
      <c r="J45" s="280"/>
      <c r="K45" s="280">
        <v>90000000</v>
      </c>
      <c r="L45" s="281"/>
      <c r="M45" s="157">
        <f t="shared" si="6"/>
        <v>1932681873</v>
      </c>
      <c r="N45" s="157"/>
      <c r="O45" s="157">
        <v>1932681873</v>
      </c>
      <c r="P45" s="157">
        <v>0</v>
      </c>
      <c r="Q45" s="302">
        <f t="shared" si="11"/>
        <v>62.546338932038836</v>
      </c>
      <c r="R45" s="302">
        <f t="shared" si="10"/>
        <v>52.693218632422706</v>
      </c>
    </row>
    <row r="46" spans="1:18" ht="29.25" customHeight="1">
      <c r="A46" s="27" t="s">
        <v>481</v>
      </c>
      <c r="B46" s="28" t="s">
        <v>482</v>
      </c>
      <c r="C46" s="280">
        <f t="shared" si="8"/>
        <v>5160000000</v>
      </c>
      <c r="D46" s="280">
        <v>5160000000</v>
      </c>
      <c r="E46" s="280"/>
      <c r="F46" s="280"/>
      <c r="G46" s="281"/>
      <c r="H46" s="281">
        <f t="shared" si="9"/>
        <v>5160000000</v>
      </c>
      <c r="I46" s="280">
        <v>5160000000</v>
      </c>
      <c r="J46" s="280"/>
      <c r="K46" s="280"/>
      <c r="L46" s="281"/>
      <c r="M46" s="157">
        <f t="shared" si="6"/>
        <v>0</v>
      </c>
      <c r="N46" s="157"/>
      <c r="O46" s="157"/>
      <c r="P46" s="157"/>
      <c r="Q46" s="302">
        <f t="shared" si="11"/>
        <v>0</v>
      </c>
      <c r="R46" s="302">
        <f t="shared" si="10"/>
        <v>0</v>
      </c>
    </row>
    <row r="47" spans="1:18" s="247" customFormat="1" ht="29.25" customHeight="1">
      <c r="A47" s="29" t="s">
        <v>392</v>
      </c>
      <c r="B47" s="30" t="s">
        <v>483</v>
      </c>
      <c r="C47" s="278">
        <f>SUM(D47:G47)</f>
        <v>833000000</v>
      </c>
      <c r="D47" s="278">
        <v>833000000</v>
      </c>
      <c r="E47" s="280"/>
      <c r="F47" s="278"/>
      <c r="G47" s="278"/>
      <c r="H47" s="282">
        <f t="shared" si="9"/>
        <v>2420200000</v>
      </c>
      <c r="I47" s="278">
        <v>2420200000</v>
      </c>
      <c r="J47" s="280"/>
      <c r="K47" s="278"/>
      <c r="L47" s="278"/>
      <c r="M47" s="176"/>
      <c r="N47" s="176"/>
      <c r="O47" s="176"/>
      <c r="P47" s="176"/>
      <c r="Q47" s="303"/>
      <c r="R47" s="303"/>
    </row>
    <row r="48" spans="1:18" s="247" customFormat="1" ht="29.25" customHeight="1">
      <c r="A48" s="29" t="s">
        <v>394</v>
      </c>
      <c r="B48" s="30" t="s">
        <v>484</v>
      </c>
      <c r="C48" s="280"/>
      <c r="D48" s="278"/>
      <c r="E48" s="280"/>
      <c r="F48" s="278"/>
      <c r="G48" s="278"/>
      <c r="H48" s="281">
        <f t="shared" si="9"/>
        <v>0</v>
      </c>
      <c r="I48" s="278"/>
      <c r="J48" s="280"/>
      <c r="K48" s="278"/>
      <c r="L48" s="278"/>
      <c r="M48" s="176">
        <f t="shared" si="6"/>
        <v>0</v>
      </c>
      <c r="N48" s="176"/>
      <c r="O48" s="176"/>
      <c r="P48" s="176"/>
      <c r="Q48" s="303"/>
      <c r="R48" s="303"/>
    </row>
    <row r="49" spans="1:18" s="247" customFormat="1" ht="29.25" customHeight="1">
      <c r="A49" s="29" t="s">
        <v>398</v>
      </c>
      <c r="B49" s="30" t="s">
        <v>485</v>
      </c>
      <c r="C49" s="280">
        <f>D49+E49+F49</f>
        <v>0</v>
      </c>
      <c r="D49" s="278"/>
      <c r="E49" s="278"/>
      <c r="F49" s="278"/>
      <c r="G49" s="278"/>
      <c r="H49" s="281">
        <f t="shared" si="9"/>
        <v>0</v>
      </c>
      <c r="I49" s="278"/>
      <c r="J49" s="278"/>
      <c r="K49" s="278"/>
      <c r="L49" s="278"/>
      <c r="M49" s="176">
        <f t="shared" si="6"/>
        <v>66961784948</v>
      </c>
      <c r="N49" s="176"/>
      <c r="O49" s="176">
        <v>61461470930</v>
      </c>
      <c r="P49" s="673">
        <f>5466467083+33846935</f>
        <v>5500314018</v>
      </c>
      <c r="Q49" s="303"/>
      <c r="R49" s="303"/>
    </row>
    <row r="50" spans="1:18" s="247" customFormat="1" ht="29.25" customHeight="1">
      <c r="A50" s="29" t="s">
        <v>298</v>
      </c>
      <c r="B50" s="30" t="s">
        <v>486</v>
      </c>
      <c r="C50" s="278">
        <f>SUM(C51:C54)-C52</f>
        <v>0</v>
      </c>
      <c r="D50" s="278"/>
      <c r="E50" s="278"/>
      <c r="F50" s="278"/>
      <c r="G50" s="278"/>
      <c r="H50" s="282">
        <f t="shared" si="9"/>
        <v>0</v>
      </c>
      <c r="I50" s="278"/>
      <c r="J50" s="278"/>
      <c r="K50" s="278"/>
      <c r="L50" s="278"/>
      <c r="M50" s="176">
        <f>SUM(M51:M54)-M52</f>
        <v>55759316398</v>
      </c>
      <c r="N50" s="176">
        <f>SUM(N51:N54)-N52</f>
        <v>0</v>
      </c>
      <c r="O50" s="176">
        <f>SUM(O51:O54)-O52</f>
        <v>55759316398</v>
      </c>
      <c r="P50" s="176">
        <f>SUM(P51:P54)-P52</f>
        <v>0</v>
      </c>
      <c r="Q50" s="303"/>
      <c r="R50" s="303"/>
    </row>
    <row r="51" spans="1:18" ht="29.25" customHeight="1">
      <c r="A51" s="27">
        <v>1</v>
      </c>
      <c r="B51" s="28" t="s">
        <v>487</v>
      </c>
      <c r="C51" s="280"/>
      <c r="D51" s="280"/>
      <c r="E51" s="280"/>
      <c r="F51" s="280"/>
      <c r="G51" s="280"/>
      <c r="H51" s="281">
        <f t="shared" si="9"/>
        <v>0</v>
      </c>
      <c r="I51" s="280"/>
      <c r="J51" s="280"/>
      <c r="K51" s="280"/>
      <c r="L51" s="280"/>
      <c r="M51" s="157">
        <f>SUM(N51:P51)</f>
        <v>39823811148</v>
      </c>
      <c r="N51" s="157"/>
      <c r="O51" s="157">
        <v>39823811148</v>
      </c>
      <c r="P51" s="157"/>
      <c r="Q51" s="302"/>
      <c r="R51" s="302"/>
    </row>
    <row r="52" spans="1:18" ht="29.25" customHeight="1">
      <c r="A52" s="27">
        <v>2</v>
      </c>
      <c r="B52" s="28" t="s">
        <v>418</v>
      </c>
      <c r="C52" s="280"/>
      <c r="D52" s="280"/>
      <c r="E52" s="280"/>
      <c r="F52" s="280"/>
      <c r="G52" s="280"/>
      <c r="H52" s="281">
        <f t="shared" si="9"/>
        <v>0</v>
      </c>
      <c r="I52" s="280"/>
      <c r="J52" s="280"/>
      <c r="K52" s="280"/>
      <c r="L52" s="280"/>
      <c r="M52" s="157">
        <f>SUM(N52:P52)</f>
        <v>15935505250</v>
      </c>
      <c r="N52" s="157"/>
      <c r="O52" s="531">
        <f>'61-H'!I126</f>
        <v>15935505250</v>
      </c>
      <c r="P52" s="176"/>
      <c r="Q52" s="303"/>
      <c r="R52" s="303"/>
    </row>
    <row r="53" spans="1:18" ht="29.25" customHeight="1">
      <c r="A53" s="738"/>
      <c r="B53" s="182" t="s">
        <v>488</v>
      </c>
      <c r="C53" s="280"/>
      <c r="D53" s="280"/>
      <c r="E53" s="280"/>
      <c r="F53" s="280"/>
      <c r="G53" s="280"/>
      <c r="H53" s="281">
        <f t="shared" si="9"/>
        <v>0</v>
      </c>
      <c r="I53" s="280"/>
      <c r="J53" s="280"/>
      <c r="K53" s="280"/>
      <c r="L53" s="280"/>
      <c r="M53" s="157">
        <f>O53+P53</f>
        <v>15935505250</v>
      </c>
      <c r="N53" s="739"/>
      <c r="O53" s="157">
        <f>'61-H'!I127</f>
        <v>15935505250</v>
      </c>
      <c r="P53" s="157"/>
      <c r="Q53" s="302"/>
      <c r="R53" s="302"/>
    </row>
    <row r="54" spans="1:18" ht="29.25" customHeight="1">
      <c r="A54" s="738"/>
      <c r="B54" s="182" t="s">
        <v>489</v>
      </c>
      <c r="C54" s="280"/>
      <c r="D54" s="280"/>
      <c r="E54" s="280"/>
      <c r="F54" s="280"/>
      <c r="G54" s="280"/>
      <c r="H54" s="281">
        <f t="shared" si="9"/>
        <v>0</v>
      </c>
      <c r="I54" s="280"/>
      <c r="J54" s="280"/>
      <c r="K54" s="280"/>
      <c r="L54" s="280"/>
      <c r="M54" s="295"/>
      <c r="N54" s="739"/>
      <c r="O54" s="295"/>
      <c r="P54" s="295"/>
      <c r="Q54" s="304"/>
      <c r="R54" s="304"/>
    </row>
    <row r="55" spans="1:18" s="247" customFormat="1" ht="35.25" customHeight="1">
      <c r="A55" s="213" t="s">
        <v>412</v>
      </c>
      <c r="B55" s="214" t="s">
        <v>490</v>
      </c>
      <c r="C55" s="280">
        <f>D55+E55+F55</f>
        <v>0</v>
      </c>
      <c r="D55" s="283"/>
      <c r="E55" s="283"/>
      <c r="F55" s="283"/>
      <c r="G55" s="283"/>
      <c r="H55" s="281">
        <f t="shared" si="9"/>
        <v>0</v>
      </c>
      <c r="I55" s="283"/>
      <c r="J55" s="283"/>
      <c r="K55" s="283"/>
      <c r="L55" s="283"/>
      <c r="M55" s="217">
        <f>SUM(N55:P55)</f>
        <v>2563115191</v>
      </c>
      <c r="N55" s="217"/>
      <c r="O55" s="296">
        <f>'61-H'!G129</f>
        <v>1672369184</v>
      </c>
      <c r="P55" s="296">
        <f>'61-H'!H129</f>
        <v>890746007</v>
      </c>
      <c r="Q55" s="305"/>
      <c r="R55" s="305"/>
    </row>
    <row r="56" spans="1:18" s="247" customFormat="1" ht="29.25" customHeight="1">
      <c r="A56" s="29" t="s">
        <v>424</v>
      </c>
      <c r="B56" s="284" t="s">
        <v>491</v>
      </c>
      <c r="C56" s="278">
        <f>SUM(C57:C58)</f>
        <v>0</v>
      </c>
      <c r="D56" s="278"/>
      <c r="E56" s="278"/>
      <c r="F56" s="278"/>
      <c r="G56" s="278"/>
      <c r="H56" s="281">
        <f t="shared" si="9"/>
        <v>0</v>
      </c>
      <c r="I56" s="278"/>
      <c r="J56" s="278"/>
      <c r="K56" s="278"/>
      <c r="L56" s="278"/>
      <c r="M56" s="176">
        <f>SUM(M57:M58)</f>
        <v>0</v>
      </c>
      <c r="N56" s="176">
        <f>SUM(N57:N58)</f>
        <v>0</v>
      </c>
      <c r="O56" s="176">
        <f>SUM(O57:O58)</f>
        <v>0</v>
      </c>
      <c r="P56" s="176">
        <f>SUM(P57:P58)</f>
        <v>0</v>
      </c>
      <c r="Q56" s="303"/>
      <c r="R56" s="303"/>
    </row>
    <row r="57" spans="1:18" s="247" customFormat="1" ht="29.25" customHeight="1">
      <c r="A57" s="27">
        <v>1</v>
      </c>
      <c r="B57" s="285" t="s">
        <v>492</v>
      </c>
      <c r="C57" s="280">
        <f>D57+E57+F57</f>
        <v>0</v>
      </c>
      <c r="D57" s="278"/>
      <c r="E57" s="278"/>
      <c r="F57" s="278"/>
      <c r="G57" s="278"/>
      <c r="H57" s="281"/>
      <c r="I57" s="278"/>
      <c r="J57" s="278"/>
      <c r="K57" s="278"/>
      <c r="L57" s="278"/>
      <c r="M57" s="176">
        <f>O57+P57</f>
        <v>0</v>
      </c>
      <c r="N57" s="176"/>
      <c r="O57" s="176"/>
      <c r="P57" s="176"/>
      <c r="Q57" s="303"/>
      <c r="R57" s="303"/>
    </row>
    <row r="58" spans="1:18" s="247" customFormat="1" ht="29.25" customHeight="1">
      <c r="A58" s="31">
        <v>2</v>
      </c>
      <c r="B58" s="479" t="s">
        <v>493</v>
      </c>
      <c r="C58" s="490">
        <f>D58+E58+F58</f>
        <v>0</v>
      </c>
      <c r="D58" s="491"/>
      <c r="E58" s="491"/>
      <c r="F58" s="491"/>
      <c r="G58" s="491"/>
      <c r="H58" s="492">
        <f t="shared" si="9"/>
        <v>0</v>
      </c>
      <c r="I58" s="491"/>
      <c r="J58" s="491"/>
      <c r="K58" s="491"/>
      <c r="L58" s="491"/>
      <c r="M58" s="315">
        <f>O58+P58</f>
        <v>0</v>
      </c>
      <c r="N58" s="315"/>
      <c r="O58" s="315"/>
      <c r="P58" s="315"/>
      <c r="Q58" s="318"/>
      <c r="R58" s="318"/>
    </row>
    <row r="59" spans="1:18" s="247" customFormat="1" ht="24" customHeight="1" hidden="1">
      <c r="A59" s="286"/>
      <c r="B59" s="287"/>
      <c r="C59" s="288"/>
      <c r="D59" s="289"/>
      <c r="E59" s="289"/>
      <c r="F59" s="289"/>
      <c r="G59" s="289"/>
      <c r="H59" s="290"/>
      <c r="I59" s="297"/>
      <c r="J59" s="297"/>
      <c r="K59" s="297"/>
      <c r="L59" s="297"/>
      <c r="M59" s="298"/>
      <c r="N59" s="298"/>
      <c r="O59" s="298"/>
      <c r="P59" s="298"/>
      <c r="Q59" s="306"/>
      <c r="R59" s="306"/>
    </row>
    <row r="60" spans="1:21" s="147" customFormat="1" ht="3.75" customHeight="1" hidden="1">
      <c r="A60" s="159"/>
      <c r="B60" s="291" t="s">
        <v>280</v>
      </c>
      <c r="C60" s="292">
        <f>294791000000-C13</f>
        <v>-18609000000</v>
      </c>
      <c r="D60" s="292">
        <f>245608000000-D13</f>
        <v>-12929000000</v>
      </c>
      <c r="E60" s="292">
        <f>22894000000-E13</f>
        <v>4669000000</v>
      </c>
      <c r="F60" s="292">
        <f>6390000000-F13</f>
        <v>-1650000000</v>
      </c>
      <c r="G60" s="292">
        <f>19899000000-G12</f>
        <v>-8699000000</v>
      </c>
      <c r="H60" s="292">
        <f>294790960000-H12</f>
        <v>-18609040000</v>
      </c>
      <c r="I60" s="292">
        <f>245607960000-I12</f>
        <v>-12929040000</v>
      </c>
      <c r="J60" s="292">
        <f>22894000000-J12</f>
        <v>4669000000</v>
      </c>
      <c r="K60" s="292">
        <f>6390000000-K12</f>
        <v>-1650000000</v>
      </c>
      <c r="L60" s="292">
        <f>19899000000-L12</f>
        <v>-8699000000</v>
      </c>
      <c r="M60" s="292">
        <f>348542765001+54277015130-M12</f>
        <v>-84670386670</v>
      </c>
      <c r="N60" s="292" t="e">
        <f>239786000000-#REF!</f>
        <v>#REF!</v>
      </c>
      <c r="O60" s="292">
        <f>348542765001-O12</f>
        <v>-74191286651</v>
      </c>
      <c r="P60" s="292">
        <f>54277015130-P12</f>
        <v>-10479100019</v>
      </c>
      <c r="Q60" s="292"/>
      <c r="R60" s="292"/>
      <c r="T60" s="250">
        <v>404048968131</v>
      </c>
      <c r="U60" s="249" t="e">
        <f>#REF!-T60</f>
        <v>#REF!</v>
      </c>
    </row>
    <row r="62" spans="2:18" ht="15">
      <c r="B62" s="149"/>
      <c r="H62" s="724"/>
      <c r="I62" s="724"/>
      <c r="J62" s="724"/>
      <c r="K62" s="724"/>
      <c r="L62" s="724"/>
      <c r="M62" s="724"/>
      <c r="N62" s="724"/>
      <c r="P62" s="740" t="s">
        <v>1001</v>
      </c>
      <c r="Q62" s="740"/>
      <c r="R62" s="740"/>
    </row>
    <row r="63" spans="2:18" ht="12.75">
      <c r="B63" s="21" t="s">
        <v>281</v>
      </c>
      <c r="C63" s="720" t="s">
        <v>282</v>
      </c>
      <c r="D63" s="720"/>
      <c r="E63" s="720"/>
      <c r="F63" s="720"/>
      <c r="G63" s="720"/>
      <c r="H63" s="720"/>
      <c r="I63" s="720"/>
      <c r="J63" s="720"/>
      <c r="K63" s="720"/>
      <c r="L63" s="720"/>
      <c r="M63" s="720"/>
      <c r="N63" s="720"/>
      <c r="P63" s="719" t="s">
        <v>283</v>
      </c>
      <c r="Q63" s="719"/>
      <c r="R63" s="719"/>
    </row>
    <row r="64" spans="2:18" ht="12.75">
      <c r="B64" s="21" t="s">
        <v>284</v>
      </c>
      <c r="C64" s="720" t="s">
        <v>285</v>
      </c>
      <c r="D64" s="720"/>
      <c r="E64" s="720"/>
      <c r="F64" s="720"/>
      <c r="G64" s="720"/>
      <c r="H64" s="720"/>
      <c r="I64" s="720"/>
      <c r="J64" s="720"/>
      <c r="K64" s="720"/>
      <c r="L64" s="720"/>
      <c r="M64" s="720"/>
      <c r="N64" s="720"/>
      <c r="P64" s="719" t="s">
        <v>286</v>
      </c>
      <c r="Q64" s="719"/>
      <c r="R64" s="719"/>
    </row>
    <row r="70" ht="12.75" hidden="1">
      <c r="A70" s="307" t="s">
        <v>495</v>
      </c>
    </row>
    <row r="71" ht="12.75" hidden="1">
      <c r="A71" s="162" t="s">
        <v>496</v>
      </c>
    </row>
    <row r="72" ht="12.75" hidden="1">
      <c r="A72" s="162" t="s">
        <v>497</v>
      </c>
    </row>
    <row r="73" ht="12.75" hidden="1">
      <c r="A73" s="162" t="s">
        <v>498</v>
      </c>
    </row>
    <row r="74" ht="12.75" hidden="1"/>
  </sheetData>
  <sheetProtection/>
  <mergeCells count="18">
    <mergeCell ref="C63:N63"/>
    <mergeCell ref="P63:R63"/>
    <mergeCell ref="C64:N64"/>
    <mergeCell ref="P64:R64"/>
    <mergeCell ref="A3:R3"/>
    <mergeCell ref="A4:R4"/>
    <mergeCell ref="A6:R6"/>
    <mergeCell ref="A7:R7"/>
    <mergeCell ref="C9:L9"/>
    <mergeCell ref="M9:P9"/>
    <mergeCell ref="A5:R5"/>
    <mergeCell ref="A53:A54"/>
    <mergeCell ref="B9:B10"/>
    <mergeCell ref="N53:N54"/>
    <mergeCell ref="H62:N62"/>
    <mergeCell ref="P62:R62"/>
    <mergeCell ref="Q9:R9"/>
    <mergeCell ref="A9:A10"/>
  </mergeCells>
  <printOptions/>
  <pageMargins left="0.48" right="0.2" top="0.78" bottom="0.31" header="0.31" footer="0.2"/>
  <pageSetup blackAndWhite="1" horizontalDpi="600" verticalDpi="600" orientation="landscape" scale="70" r:id="rId4"/>
  <drawing r:id="rId3"/>
  <legacyDrawing r:id="rId2"/>
</worksheet>
</file>

<file path=xl/worksheets/sheet6.xml><?xml version="1.0" encoding="utf-8"?>
<worksheet xmlns="http://schemas.openxmlformats.org/spreadsheetml/2006/main" xmlns:r="http://schemas.openxmlformats.org/officeDocument/2006/relationships">
  <dimension ref="A1:L7"/>
  <sheetViews>
    <sheetView zoomScalePageLayoutView="0" workbookViewId="0" topLeftCell="A1">
      <selection activeCell="C4" sqref="C4"/>
    </sheetView>
  </sheetViews>
  <sheetFormatPr defaultColWidth="9.33203125" defaultRowHeight="12.75"/>
  <cols>
    <col min="1" max="1" width="9.33203125" style="518" customWidth="1"/>
    <col min="2" max="2" width="44.83203125" style="514" customWidth="1"/>
    <col min="3" max="3" width="13" style="514" customWidth="1"/>
    <col min="4" max="12" width="11.66015625" style="514" customWidth="1"/>
    <col min="13" max="16384" width="9.33203125" style="514" customWidth="1"/>
  </cols>
  <sheetData>
    <row r="1" spans="1:12" ht="21" customHeight="1">
      <c r="A1" s="747" t="s">
        <v>3</v>
      </c>
      <c r="B1" s="747" t="s">
        <v>965</v>
      </c>
      <c r="C1" s="745" t="s">
        <v>976</v>
      </c>
      <c r="D1" s="745" t="s">
        <v>970</v>
      </c>
      <c r="E1" s="749" t="s">
        <v>971</v>
      </c>
      <c r="F1" s="751" t="s">
        <v>598</v>
      </c>
      <c r="G1" s="751"/>
      <c r="H1" s="752"/>
      <c r="I1" s="745" t="s">
        <v>972</v>
      </c>
      <c r="J1" s="745" t="s">
        <v>973</v>
      </c>
      <c r="K1" s="745" t="s">
        <v>974</v>
      </c>
      <c r="L1" s="745" t="s">
        <v>975</v>
      </c>
    </row>
    <row r="2" spans="1:12" ht="85.5" customHeight="1">
      <c r="A2" s="748"/>
      <c r="B2" s="748"/>
      <c r="C2" s="746"/>
      <c r="D2" s="746"/>
      <c r="E2" s="750"/>
      <c r="F2" s="519" t="s">
        <v>482</v>
      </c>
      <c r="G2" s="519" t="s">
        <v>977</v>
      </c>
      <c r="H2" s="519"/>
      <c r="I2" s="746"/>
      <c r="J2" s="746"/>
      <c r="K2" s="746"/>
      <c r="L2" s="746"/>
    </row>
    <row r="3" spans="1:12" ht="24.75" customHeight="1">
      <c r="A3" s="177">
        <v>1</v>
      </c>
      <c r="B3" s="515" t="s">
        <v>966</v>
      </c>
      <c r="C3" s="520">
        <v>40</v>
      </c>
      <c r="D3" s="520">
        <v>1067.79</v>
      </c>
      <c r="E3" s="520">
        <f>SUM(F3:H3)</f>
        <v>950</v>
      </c>
      <c r="F3" s="520">
        <v>271</v>
      </c>
      <c r="G3" s="520">
        <f>629+50</f>
        <v>679</v>
      </c>
      <c r="H3" s="520"/>
      <c r="I3" s="520"/>
      <c r="J3" s="520">
        <f>C3+D3+E3+I3</f>
        <v>2057.79</v>
      </c>
      <c r="K3" s="520">
        <v>2017.447231</v>
      </c>
      <c r="L3" s="520">
        <f>K3/J3*100</f>
        <v>98.03950991111824</v>
      </c>
    </row>
    <row r="4" spans="1:12" ht="24.75" customHeight="1">
      <c r="A4" s="177">
        <v>2</v>
      </c>
      <c r="B4" s="515" t="s">
        <v>967</v>
      </c>
      <c r="C4" s="520"/>
      <c r="D4" s="520">
        <v>5964.03</v>
      </c>
      <c r="E4" s="520"/>
      <c r="F4" s="520"/>
      <c r="G4" s="520"/>
      <c r="H4" s="520"/>
      <c r="I4" s="520"/>
      <c r="J4" s="520"/>
      <c r="K4" s="520"/>
      <c r="L4" s="520"/>
    </row>
    <row r="5" spans="1:12" ht="24.75" customHeight="1">
      <c r="A5" s="177">
        <v>3</v>
      </c>
      <c r="B5" s="515" t="s">
        <v>968</v>
      </c>
      <c r="C5" s="520"/>
      <c r="D5" s="520">
        <v>2745.3</v>
      </c>
      <c r="E5" s="520"/>
      <c r="F5" s="520"/>
      <c r="G5" s="520"/>
      <c r="H5" s="520"/>
      <c r="I5" s="520"/>
      <c r="J5" s="520"/>
      <c r="K5" s="520"/>
      <c r="L5" s="520"/>
    </row>
    <row r="6" spans="1:12" ht="24.75" customHeight="1">
      <c r="A6" s="177">
        <v>4</v>
      </c>
      <c r="B6" s="515" t="s">
        <v>671</v>
      </c>
      <c r="C6" s="520"/>
      <c r="D6" s="520">
        <v>2288.5</v>
      </c>
      <c r="E6" s="520"/>
      <c r="F6" s="520"/>
      <c r="G6" s="520"/>
      <c r="H6" s="520"/>
      <c r="I6" s="520"/>
      <c r="J6" s="520"/>
      <c r="K6" s="520"/>
      <c r="L6" s="520"/>
    </row>
    <row r="7" spans="1:12" ht="24.75" customHeight="1">
      <c r="A7" s="516">
        <v>5</v>
      </c>
      <c r="B7" s="517" t="s">
        <v>969</v>
      </c>
      <c r="C7" s="521"/>
      <c r="D7" s="521">
        <v>883.43</v>
      </c>
      <c r="E7" s="521"/>
      <c r="F7" s="521"/>
      <c r="G7" s="521"/>
      <c r="H7" s="521"/>
      <c r="I7" s="521"/>
      <c r="J7" s="521"/>
      <c r="K7" s="521"/>
      <c r="L7" s="521"/>
    </row>
  </sheetData>
  <sheetProtection/>
  <mergeCells count="10">
    <mergeCell ref="I1:I2"/>
    <mergeCell ref="J1:J2"/>
    <mergeCell ref="K1:K2"/>
    <mergeCell ref="L1:L2"/>
    <mergeCell ref="A1:A2"/>
    <mergeCell ref="B1:B2"/>
    <mergeCell ref="C1:C2"/>
    <mergeCell ref="D1:D2"/>
    <mergeCell ref="E1:E2"/>
    <mergeCell ref="F1:H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3"/>
  <sheetViews>
    <sheetView zoomScalePageLayoutView="0" workbookViewId="0" topLeftCell="A1">
      <selection activeCell="I13" sqref="I13"/>
    </sheetView>
  </sheetViews>
  <sheetFormatPr defaultColWidth="9.33203125" defaultRowHeight="12.75"/>
  <cols>
    <col min="1" max="1" width="6.83203125" style="512" customWidth="1"/>
    <col min="2" max="2" width="34.83203125" style="193" customWidth="1"/>
    <col min="3" max="3" width="11.16015625" style="193" customWidth="1"/>
    <col min="4" max="4" width="17.16015625" style="193" customWidth="1"/>
    <col min="5" max="16384" width="9.33203125" style="193" customWidth="1"/>
  </cols>
  <sheetData>
    <row r="1" ht="12.75">
      <c r="C1" s="513"/>
    </row>
    <row r="2" spans="1:4" ht="12.75">
      <c r="A2" s="522" t="s">
        <v>3</v>
      </c>
      <c r="B2" s="523" t="s">
        <v>990</v>
      </c>
      <c r="C2" s="522" t="s">
        <v>993</v>
      </c>
      <c r="D2" s="523" t="s">
        <v>985</v>
      </c>
    </row>
    <row r="3" spans="1:4" ht="37.5" customHeight="1">
      <c r="A3" s="522">
        <v>1</v>
      </c>
      <c r="B3" s="524" t="s">
        <v>992</v>
      </c>
      <c r="C3" s="529">
        <f>3492-914</f>
        <v>2578</v>
      </c>
      <c r="D3" s="753" t="s">
        <v>984</v>
      </c>
    </row>
    <row r="4" spans="1:4" ht="12.75">
      <c r="A4" s="522">
        <v>2</v>
      </c>
      <c r="B4" s="523" t="s">
        <v>978</v>
      </c>
      <c r="C4" s="529">
        <f>5651.53</f>
        <v>5651.53</v>
      </c>
      <c r="D4" s="753"/>
    </row>
    <row r="5" spans="1:4" ht="12.75">
      <c r="A5" s="522">
        <v>3</v>
      </c>
      <c r="B5" s="523" t="s">
        <v>979</v>
      </c>
      <c r="C5" s="529">
        <f>C4-C3</f>
        <v>3073.5299999999997</v>
      </c>
      <c r="D5" s="753"/>
    </row>
    <row r="6" spans="1:4" ht="12.75">
      <c r="A6" s="525" t="s">
        <v>986</v>
      </c>
      <c r="B6" s="523" t="s">
        <v>980</v>
      </c>
      <c r="C6" s="529"/>
      <c r="D6" s="753"/>
    </row>
    <row r="7" spans="1:4" ht="12.75">
      <c r="A7" s="522"/>
      <c r="B7" s="526" t="s">
        <v>981</v>
      </c>
      <c r="C7" s="529">
        <f>9000-6343.9-493.1</f>
        <v>2163.0000000000005</v>
      </c>
      <c r="D7" s="753"/>
    </row>
    <row r="8" spans="1:4" ht="12.75">
      <c r="A8" s="522"/>
      <c r="B8" s="526" t="s">
        <v>982</v>
      </c>
      <c r="C8" s="529">
        <f>1100-866.43-31.8</f>
        <v>201.77000000000004</v>
      </c>
      <c r="D8" s="753"/>
    </row>
    <row r="9" spans="1:4" ht="12.75">
      <c r="A9" s="522"/>
      <c r="B9" s="526" t="s">
        <v>983</v>
      </c>
      <c r="C9" s="529">
        <v>708.76</v>
      </c>
      <c r="D9" s="753"/>
    </row>
    <row r="10" spans="1:4" s="190" customFormat="1" ht="12.75">
      <c r="A10" s="527">
        <v>4</v>
      </c>
      <c r="B10" s="528" t="s">
        <v>987</v>
      </c>
      <c r="C10" s="530">
        <f>SUM(C11:C12)</f>
        <v>364.1</v>
      </c>
      <c r="D10" s="753"/>
    </row>
    <row r="11" spans="1:4" ht="12.75">
      <c r="A11" s="522"/>
      <c r="B11" s="523" t="s">
        <v>988</v>
      </c>
      <c r="C11" s="529">
        <v>144.6</v>
      </c>
      <c r="D11" s="753"/>
    </row>
    <row r="12" spans="1:4" ht="12.75">
      <c r="A12" s="522"/>
      <c r="B12" s="523" t="s">
        <v>989</v>
      </c>
      <c r="C12" s="529">
        <f>183.5+36</f>
        <v>219.5</v>
      </c>
      <c r="D12" s="753"/>
    </row>
    <row r="13" spans="1:4" s="190" customFormat="1" ht="12.75">
      <c r="A13" s="527">
        <v>5</v>
      </c>
      <c r="B13" s="528" t="s">
        <v>991</v>
      </c>
      <c r="C13" s="530">
        <f>C4+C10</f>
        <v>6015.63</v>
      </c>
      <c r="D13" s="753"/>
    </row>
  </sheetData>
  <sheetProtection/>
  <mergeCells count="1">
    <mergeCell ref="D3:D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42"/>
  <sheetViews>
    <sheetView zoomScalePageLayoutView="0" workbookViewId="0" topLeftCell="A1">
      <pane ySplit="6" topLeftCell="A7" activePane="bottomLeft" state="frozen"/>
      <selection pane="topLeft" activeCell="E17" sqref="E17"/>
      <selection pane="bottomLeft" activeCell="E17" sqref="E17"/>
    </sheetView>
  </sheetViews>
  <sheetFormatPr defaultColWidth="9.33203125" defaultRowHeight="12.75"/>
  <cols>
    <col min="1" max="1" width="53" style="0" customWidth="1"/>
    <col min="3" max="3" width="8.33203125" style="0" customWidth="1"/>
    <col min="4" max="4" width="10" style="0" customWidth="1"/>
    <col min="5" max="5" width="15.16015625" style="0" customWidth="1"/>
    <col min="6" max="6" width="14.16015625" style="0" customWidth="1"/>
    <col min="7" max="7" width="14.66015625" style="0" customWidth="1"/>
    <col min="8" max="8" width="13.66015625" style="0" customWidth="1"/>
    <col min="9" max="9" width="13.83203125" style="0" customWidth="1"/>
  </cols>
  <sheetData>
    <row r="1" spans="1:8" ht="12.75">
      <c r="A1" s="17"/>
      <c r="H1" s="20" t="s">
        <v>499</v>
      </c>
    </row>
    <row r="2" ht="12.75">
      <c r="A2" s="17"/>
    </row>
    <row r="3" spans="1:9" ht="12.75">
      <c r="A3" s="719" t="s">
        <v>500</v>
      </c>
      <c r="B3" s="719"/>
      <c r="C3" s="719"/>
      <c r="D3" s="719"/>
      <c r="E3" s="719"/>
      <c r="F3" s="719"/>
      <c r="G3" s="719"/>
      <c r="H3" s="719"/>
      <c r="I3" s="719"/>
    </row>
    <row r="4" spans="1:9" ht="12.75">
      <c r="A4" s="727" t="s">
        <v>501</v>
      </c>
      <c r="B4" s="727"/>
      <c r="C4" s="727"/>
      <c r="D4" s="727"/>
      <c r="E4" s="727"/>
      <c r="F4" s="727"/>
      <c r="G4" s="727"/>
      <c r="H4" s="727"/>
      <c r="I4" s="727"/>
    </row>
    <row r="5" ht="12.75">
      <c r="I5" s="163" t="s">
        <v>247</v>
      </c>
    </row>
    <row r="6" spans="1:9" ht="25.5">
      <c r="A6" s="270" t="s">
        <v>502</v>
      </c>
      <c r="B6" s="270" t="s">
        <v>503</v>
      </c>
      <c r="C6" s="270" t="s">
        <v>504</v>
      </c>
      <c r="D6" s="270" t="s">
        <v>505</v>
      </c>
      <c r="E6" s="270" t="s">
        <v>506</v>
      </c>
      <c r="F6" s="270" t="s">
        <v>507</v>
      </c>
      <c r="G6" s="270" t="s">
        <v>508</v>
      </c>
      <c r="H6" s="270" t="s">
        <v>509</v>
      </c>
      <c r="I6" s="270" t="s">
        <v>510</v>
      </c>
    </row>
    <row r="7" spans="1:9" ht="12.75">
      <c r="A7" s="27"/>
      <c r="B7" s="29"/>
      <c r="C7" s="29"/>
      <c r="D7" s="29"/>
      <c r="E7" s="29"/>
      <c r="F7" s="29"/>
      <c r="G7" s="29"/>
      <c r="H7" s="29"/>
      <c r="I7" s="29"/>
    </row>
    <row r="8" spans="1:9" ht="12.75">
      <c r="A8" s="27"/>
      <c r="B8" s="29"/>
      <c r="C8" s="29"/>
      <c r="D8" s="29"/>
      <c r="E8" s="29"/>
      <c r="F8" s="29"/>
      <c r="G8" s="29"/>
      <c r="H8" s="29"/>
      <c r="I8" s="29"/>
    </row>
    <row r="9" spans="1:9" ht="12.75">
      <c r="A9" s="27"/>
      <c r="B9" s="29"/>
      <c r="C9" s="29"/>
      <c r="D9" s="29"/>
      <c r="E9" s="29"/>
      <c r="F9" s="29"/>
      <c r="G9" s="29"/>
      <c r="H9" s="29"/>
      <c r="I9" s="29"/>
    </row>
    <row r="10" spans="1:9" ht="12.75">
      <c r="A10" s="27"/>
      <c r="B10" s="29"/>
      <c r="C10" s="29"/>
      <c r="D10" s="29"/>
      <c r="E10" s="29"/>
      <c r="F10" s="29"/>
      <c r="G10" s="29"/>
      <c r="H10" s="29"/>
      <c r="I10" s="29"/>
    </row>
    <row r="11" spans="1:9" ht="12.75">
      <c r="A11" s="27"/>
      <c r="B11" s="29"/>
      <c r="C11" s="29"/>
      <c r="D11" s="29"/>
      <c r="E11" s="29"/>
      <c r="F11" s="29"/>
      <c r="G11" s="29"/>
      <c r="H11" s="29"/>
      <c r="I11" s="29"/>
    </row>
    <row r="12" spans="1:9" ht="12.75">
      <c r="A12" s="27"/>
      <c r="B12" s="29"/>
      <c r="C12" s="29"/>
      <c r="D12" s="29"/>
      <c r="E12" s="29"/>
      <c r="F12" s="29"/>
      <c r="G12" s="29"/>
      <c r="H12" s="29"/>
      <c r="I12" s="29"/>
    </row>
    <row r="13" spans="1:9" ht="25.5" customHeight="1">
      <c r="A13" s="267" t="s">
        <v>511</v>
      </c>
      <c r="B13" s="267"/>
      <c r="C13" s="267"/>
      <c r="D13" s="267"/>
      <c r="E13" s="267"/>
      <c r="F13" s="267"/>
      <c r="G13" s="267"/>
      <c r="H13" s="29"/>
      <c r="I13" s="29"/>
    </row>
    <row r="14" spans="1:9" ht="12.75">
      <c r="A14" s="27"/>
      <c r="B14" s="29"/>
      <c r="C14" s="29"/>
      <c r="D14" s="29"/>
      <c r="E14" s="29"/>
      <c r="F14" s="29"/>
      <c r="G14" s="29"/>
      <c r="H14" s="29"/>
      <c r="I14" s="29"/>
    </row>
    <row r="15" spans="1:9" ht="12.75">
      <c r="A15" s="27"/>
      <c r="B15" s="29"/>
      <c r="C15" s="29"/>
      <c r="D15" s="29"/>
      <c r="E15" s="29"/>
      <c r="F15" s="29"/>
      <c r="G15" s="29"/>
      <c r="H15" s="29"/>
      <c r="I15" s="29"/>
    </row>
    <row r="16" spans="1:9" ht="12.75">
      <c r="A16" s="27"/>
      <c r="B16" s="29"/>
      <c r="C16" s="29"/>
      <c r="D16" s="29"/>
      <c r="E16" s="29"/>
      <c r="F16" s="29"/>
      <c r="G16" s="29"/>
      <c r="H16" s="29"/>
      <c r="I16" s="29"/>
    </row>
    <row r="17" spans="1:9" ht="12.75">
      <c r="A17" s="27"/>
      <c r="B17" s="29"/>
      <c r="C17" s="29"/>
      <c r="D17" s="29"/>
      <c r="E17" s="29"/>
      <c r="F17" s="29"/>
      <c r="G17" s="29"/>
      <c r="H17" s="29"/>
      <c r="I17" s="29"/>
    </row>
    <row r="18" spans="1:9" ht="12.75">
      <c r="A18" s="268"/>
      <c r="B18" s="268"/>
      <c r="C18" s="268"/>
      <c r="D18" s="268"/>
      <c r="E18" s="268"/>
      <c r="F18" s="268"/>
      <c r="G18" s="268"/>
      <c r="H18" s="268"/>
      <c r="I18" s="268"/>
    </row>
    <row r="19" spans="1:9" ht="12.75">
      <c r="A19" s="268"/>
      <c r="B19" s="268"/>
      <c r="C19" s="268"/>
      <c r="D19" s="268"/>
      <c r="E19" s="268"/>
      <c r="F19" s="268"/>
      <c r="G19" s="268"/>
      <c r="H19" s="268"/>
      <c r="I19" s="268"/>
    </row>
    <row r="20" spans="1:9" ht="12.75">
      <c r="A20" s="268"/>
      <c r="B20" s="268"/>
      <c r="C20" s="268"/>
      <c r="D20" s="268"/>
      <c r="E20" s="268"/>
      <c r="F20" s="268"/>
      <c r="G20" s="268"/>
      <c r="H20" s="268"/>
      <c r="I20" s="268"/>
    </row>
    <row r="21" spans="1:9" ht="12.75">
      <c r="A21" s="268"/>
      <c r="B21" s="268"/>
      <c r="C21" s="268"/>
      <c r="D21" s="268"/>
      <c r="E21" s="268"/>
      <c r="F21" s="268"/>
      <c r="G21" s="268"/>
      <c r="H21" s="268"/>
      <c r="I21" s="268"/>
    </row>
    <row r="22" spans="1:9" ht="12.75">
      <c r="A22" s="268"/>
      <c r="B22" s="268"/>
      <c r="C22" s="268"/>
      <c r="D22" s="268"/>
      <c r="E22" s="268"/>
      <c r="F22" s="268"/>
      <c r="G22" s="268"/>
      <c r="H22" s="268"/>
      <c r="I22" s="268"/>
    </row>
    <row r="23" spans="1:9" ht="12.75">
      <c r="A23" s="268"/>
      <c r="B23" s="268"/>
      <c r="C23" s="268"/>
      <c r="D23" s="268"/>
      <c r="E23" s="268"/>
      <c r="F23" s="268"/>
      <c r="G23" s="268"/>
      <c r="H23" s="268"/>
      <c r="I23" s="268"/>
    </row>
    <row r="24" spans="1:9" ht="12.75">
      <c r="A24" s="268"/>
      <c r="B24" s="268"/>
      <c r="C24" s="268"/>
      <c r="D24" s="268"/>
      <c r="E24" s="268"/>
      <c r="F24" s="268"/>
      <c r="G24" s="268"/>
      <c r="H24" s="268"/>
      <c r="I24" s="268"/>
    </row>
    <row r="25" spans="1:9" ht="12.75">
      <c r="A25" s="268"/>
      <c r="B25" s="268"/>
      <c r="C25" s="268"/>
      <c r="D25" s="268"/>
      <c r="E25" s="268"/>
      <c r="F25" s="268"/>
      <c r="G25" s="268"/>
      <c r="H25" s="268"/>
      <c r="I25" s="268"/>
    </row>
    <row r="26" spans="1:9" ht="12.75">
      <c r="A26" s="268"/>
      <c r="B26" s="268"/>
      <c r="C26" s="268"/>
      <c r="D26" s="268"/>
      <c r="E26" s="268"/>
      <c r="F26" s="268"/>
      <c r="G26" s="268"/>
      <c r="H26" s="268"/>
      <c r="I26" s="268"/>
    </row>
    <row r="27" spans="1:9" ht="12.75">
      <c r="A27" s="268"/>
      <c r="B27" s="268"/>
      <c r="C27" s="268"/>
      <c r="D27" s="268"/>
      <c r="E27" s="268"/>
      <c r="F27" s="268"/>
      <c r="G27" s="268"/>
      <c r="H27" s="268"/>
      <c r="I27" s="268"/>
    </row>
    <row r="28" spans="1:9" ht="12.75">
      <c r="A28" s="268"/>
      <c r="B28" s="268"/>
      <c r="C28" s="268"/>
      <c r="D28" s="268"/>
      <c r="E28" s="268"/>
      <c r="F28" s="268"/>
      <c r="G28" s="268"/>
      <c r="H28" s="268"/>
      <c r="I28" s="268"/>
    </row>
    <row r="29" spans="1:9" ht="12.75">
      <c r="A29" s="268"/>
      <c r="B29" s="268"/>
      <c r="C29" s="268"/>
      <c r="D29" s="268"/>
      <c r="E29" s="268"/>
      <c r="F29" s="268"/>
      <c r="G29" s="268"/>
      <c r="H29" s="268"/>
      <c r="I29" s="268"/>
    </row>
    <row r="30" spans="1:9" ht="12.75">
      <c r="A30" s="268"/>
      <c r="B30" s="268"/>
      <c r="C30" s="268"/>
      <c r="D30" s="268"/>
      <c r="E30" s="268"/>
      <c r="F30" s="268"/>
      <c r="G30" s="268"/>
      <c r="H30" s="268"/>
      <c r="I30" s="268"/>
    </row>
    <row r="31" spans="1:9" ht="12.75">
      <c r="A31" s="268"/>
      <c r="B31" s="268"/>
      <c r="C31" s="268"/>
      <c r="D31" s="268"/>
      <c r="E31" s="268"/>
      <c r="F31" s="268"/>
      <c r="G31" s="268"/>
      <c r="H31" s="268"/>
      <c r="I31" s="268"/>
    </row>
    <row r="32" spans="1:9" ht="12.75">
      <c r="A32" s="268"/>
      <c r="B32" s="268"/>
      <c r="C32" s="268"/>
      <c r="D32" s="268"/>
      <c r="E32" s="268"/>
      <c r="F32" s="268"/>
      <c r="G32" s="268"/>
      <c r="H32" s="268"/>
      <c r="I32" s="268"/>
    </row>
    <row r="33" spans="1:9" ht="12.75">
      <c r="A33" s="268"/>
      <c r="B33" s="268"/>
      <c r="C33" s="268"/>
      <c r="D33" s="268"/>
      <c r="E33" s="268"/>
      <c r="F33" s="268"/>
      <c r="G33" s="268"/>
      <c r="H33" s="268"/>
      <c r="I33" s="268"/>
    </row>
    <row r="34" spans="1:9" ht="12.75">
      <c r="A34" s="268"/>
      <c r="B34" s="268"/>
      <c r="C34" s="268"/>
      <c r="D34" s="268"/>
      <c r="E34" s="268"/>
      <c r="F34" s="268"/>
      <c r="G34" s="268"/>
      <c r="H34" s="268"/>
      <c r="I34" s="268"/>
    </row>
    <row r="35" spans="1:9" ht="12.75">
      <c r="A35" s="268"/>
      <c r="B35" s="268"/>
      <c r="C35" s="268"/>
      <c r="D35" s="268"/>
      <c r="E35" s="268"/>
      <c r="F35" s="268"/>
      <c r="G35" s="268"/>
      <c r="H35" s="268"/>
      <c r="I35" s="268"/>
    </row>
    <row r="36" spans="1:9" ht="12.75">
      <c r="A36" s="268"/>
      <c r="B36" s="268"/>
      <c r="C36" s="268"/>
      <c r="D36" s="268"/>
      <c r="E36" s="268"/>
      <c r="F36" s="268"/>
      <c r="G36" s="268"/>
      <c r="H36" s="268"/>
      <c r="I36" s="268"/>
    </row>
    <row r="37" spans="1:9" ht="12.75">
      <c r="A37" s="268"/>
      <c r="B37" s="268"/>
      <c r="C37" s="268"/>
      <c r="D37" s="268"/>
      <c r="E37" s="268"/>
      <c r="F37" s="268"/>
      <c r="G37" s="268"/>
      <c r="H37" s="268"/>
      <c r="I37" s="268"/>
    </row>
    <row r="38" spans="1:9" ht="12.75">
      <c r="A38" s="254"/>
      <c r="B38" s="254"/>
      <c r="C38" s="254"/>
      <c r="D38" s="254"/>
      <c r="E38" s="254"/>
      <c r="F38" s="254"/>
      <c r="G38" s="254"/>
      <c r="H38" s="254"/>
      <c r="I38" s="254"/>
    </row>
    <row r="40" spans="1:8" ht="12.75">
      <c r="A40" s="726" t="s">
        <v>512</v>
      </c>
      <c r="B40" s="726"/>
      <c r="F40" s="726" t="s">
        <v>513</v>
      </c>
      <c r="G40" s="726"/>
      <c r="H40" s="726"/>
    </row>
    <row r="41" spans="1:7" ht="12.75">
      <c r="A41" s="719" t="s">
        <v>514</v>
      </c>
      <c r="B41" s="719"/>
      <c r="F41" s="104" t="s">
        <v>515</v>
      </c>
      <c r="G41" s="104"/>
    </row>
    <row r="42" spans="1:7" ht="12.75">
      <c r="A42" s="726" t="s">
        <v>516</v>
      </c>
      <c r="B42" s="726"/>
      <c r="G42" s="269" t="s">
        <v>516</v>
      </c>
    </row>
  </sheetData>
  <sheetProtection/>
  <mergeCells count="6">
    <mergeCell ref="A3:I3"/>
    <mergeCell ref="A4:I4"/>
    <mergeCell ref="A40:B40"/>
    <mergeCell ref="F40:H40"/>
    <mergeCell ref="A41:B41"/>
    <mergeCell ref="A42:B42"/>
  </mergeCells>
  <printOptions/>
  <pageMargins left="0.31" right="0.19" top="0.5" bottom="0.37" header="0.3" footer="0.3"/>
  <pageSetup blackAndWhite="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8"/>
  <sheetViews>
    <sheetView zoomScalePageLayoutView="0" workbookViewId="0" topLeftCell="A1">
      <selection activeCell="E17" sqref="E17"/>
    </sheetView>
  </sheetViews>
  <sheetFormatPr defaultColWidth="9.33203125" defaultRowHeight="12.75"/>
  <cols>
    <col min="1" max="1" width="12.5" style="0" customWidth="1"/>
    <col min="2" max="2" width="12" style="0" customWidth="1"/>
    <col min="3" max="3" width="12.83203125" style="0" customWidth="1"/>
    <col min="4" max="4" width="13.33203125" style="0" customWidth="1"/>
    <col min="5" max="5" width="13.5" style="0" customWidth="1"/>
    <col min="6" max="6" width="14.83203125" style="0" customWidth="1"/>
    <col min="7" max="7" width="24.66015625" style="0" customWidth="1"/>
  </cols>
  <sheetData>
    <row r="1" spans="1:7" ht="12.75">
      <c r="A1" s="17"/>
      <c r="G1" s="21" t="s">
        <v>517</v>
      </c>
    </row>
    <row r="3" spans="1:7" ht="12.75">
      <c r="A3" s="719" t="s">
        <v>518</v>
      </c>
      <c r="B3" s="719"/>
      <c r="C3" s="719"/>
      <c r="D3" s="719"/>
      <c r="E3" s="719"/>
      <c r="F3" s="719"/>
      <c r="G3" s="719"/>
    </row>
    <row r="4" spans="1:7" ht="12.75">
      <c r="A4" s="727" t="s">
        <v>501</v>
      </c>
      <c r="B4" s="727"/>
      <c r="C4" s="727"/>
      <c r="D4" s="727"/>
      <c r="E4" s="727"/>
      <c r="F4" s="727"/>
      <c r="G4" s="727"/>
    </row>
    <row r="5" ht="12.75">
      <c r="G5" s="163" t="s">
        <v>247</v>
      </c>
    </row>
    <row r="6" spans="1:7" ht="20.25" customHeight="1">
      <c r="A6" s="22" t="s">
        <v>502</v>
      </c>
      <c r="B6" s="22" t="s">
        <v>503</v>
      </c>
      <c r="C6" s="22" t="s">
        <v>519</v>
      </c>
      <c r="D6" s="22" t="s">
        <v>520</v>
      </c>
      <c r="E6" s="22" t="s">
        <v>504</v>
      </c>
      <c r="F6" s="22" t="s">
        <v>505</v>
      </c>
      <c r="G6" s="22" t="s">
        <v>521</v>
      </c>
    </row>
    <row r="7" spans="1:7" ht="12.75">
      <c r="A7" s="26"/>
      <c r="B7" s="26"/>
      <c r="C7" s="26"/>
      <c r="D7" s="26"/>
      <c r="E7" s="26"/>
      <c r="F7" s="26"/>
      <c r="G7" s="26"/>
    </row>
    <row r="8" spans="1:7" ht="12.75">
      <c r="A8" s="26"/>
      <c r="B8" s="26"/>
      <c r="C8" s="26"/>
      <c r="D8" s="26"/>
      <c r="E8" s="26"/>
      <c r="F8" s="26"/>
      <c r="G8" s="26"/>
    </row>
    <row r="9" spans="1:7" ht="12.75">
      <c r="A9" s="26"/>
      <c r="B9" s="26"/>
      <c r="C9" s="26"/>
      <c r="D9" s="26"/>
      <c r="E9" s="26"/>
      <c r="F9" s="26"/>
      <c r="G9" s="26"/>
    </row>
    <row r="10" spans="1:7" ht="12.75">
      <c r="A10" s="27"/>
      <c r="B10" s="27"/>
      <c r="C10" s="27"/>
      <c r="D10" s="27"/>
      <c r="E10" s="27"/>
      <c r="F10" s="27"/>
      <c r="G10" s="27"/>
    </row>
    <row r="11" spans="1:7" ht="12.75">
      <c r="A11" s="27"/>
      <c r="B11" s="27"/>
      <c r="C11" s="27"/>
      <c r="D11" s="27"/>
      <c r="E11" s="27"/>
      <c r="F11" s="27"/>
      <c r="G11" s="27"/>
    </row>
    <row r="12" spans="1:7" ht="25.5" customHeight="1">
      <c r="A12" s="754" t="s">
        <v>511</v>
      </c>
      <c r="B12" s="754"/>
      <c r="C12" s="754"/>
      <c r="D12" s="754"/>
      <c r="E12" s="754"/>
      <c r="F12" s="754"/>
      <c r="G12" s="27"/>
    </row>
    <row r="13" spans="1:7" ht="12.75">
      <c r="A13" s="27"/>
      <c r="B13" s="27"/>
      <c r="C13" s="27"/>
      <c r="D13" s="27"/>
      <c r="E13" s="27"/>
      <c r="F13" s="27"/>
      <c r="G13" s="27"/>
    </row>
    <row r="14" spans="1:7" ht="12.75">
      <c r="A14" s="27"/>
      <c r="B14" s="27"/>
      <c r="C14" s="27"/>
      <c r="D14" s="27"/>
      <c r="E14" s="27"/>
      <c r="F14" s="27"/>
      <c r="G14" s="27"/>
    </row>
    <row r="15" spans="1:7" ht="12.75">
      <c r="A15" s="27"/>
      <c r="B15" s="27"/>
      <c r="C15" s="27"/>
      <c r="D15" s="27"/>
      <c r="E15" s="27"/>
      <c r="F15" s="27"/>
      <c r="G15" s="27"/>
    </row>
    <row r="16" spans="1:7" ht="12.75">
      <c r="A16" s="268"/>
      <c r="B16" s="268"/>
      <c r="C16" s="268"/>
      <c r="D16" s="268"/>
      <c r="E16" s="268"/>
      <c r="F16" s="268"/>
      <c r="G16" s="268"/>
    </row>
    <row r="17" spans="1:7" ht="12.75">
      <c r="A17" s="268"/>
      <c r="B17" s="268"/>
      <c r="C17" s="268"/>
      <c r="D17" s="268"/>
      <c r="E17" s="268"/>
      <c r="F17" s="268"/>
      <c r="G17" s="268"/>
    </row>
    <row r="18" spans="1:7" ht="12.75">
      <c r="A18" s="268"/>
      <c r="B18" s="268"/>
      <c r="C18" s="268"/>
      <c r="D18" s="268"/>
      <c r="E18" s="268"/>
      <c r="F18" s="268"/>
      <c r="G18" s="268"/>
    </row>
    <row r="19" spans="1:7" ht="12.75">
      <c r="A19" s="268"/>
      <c r="B19" s="268"/>
      <c r="C19" s="268"/>
      <c r="D19" s="268"/>
      <c r="E19" s="268"/>
      <c r="F19" s="268"/>
      <c r="G19" s="268"/>
    </row>
    <row r="20" spans="1:7" ht="12.75">
      <c r="A20" s="268"/>
      <c r="B20" s="268"/>
      <c r="C20" s="268"/>
      <c r="D20" s="268"/>
      <c r="E20" s="268"/>
      <c r="F20" s="268"/>
      <c r="G20" s="268"/>
    </row>
    <row r="21" spans="1:7" ht="12.75">
      <c r="A21" s="268"/>
      <c r="B21" s="268"/>
      <c r="C21" s="268"/>
      <c r="D21" s="268"/>
      <c r="E21" s="268"/>
      <c r="F21" s="268"/>
      <c r="G21" s="268"/>
    </row>
    <row r="22" spans="1:7" ht="12.75">
      <c r="A22" s="268"/>
      <c r="B22" s="268"/>
      <c r="C22" s="268"/>
      <c r="D22" s="268"/>
      <c r="E22" s="268"/>
      <c r="F22" s="268"/>
      <c r="G22" s="268"/>
    </row>
    <row r="23" spans="1:7" ht="12.75">
      <c r="A23" s="268"/>
      <c r="B23" s="268"/>
      <c r="C23" s="268"/>
      <c r="D23" s="268"/>
      <c r="E23" s="268"/>
      <c r="F23" s="268"/>
      <c r="G23" s="268"/>
    </row>
    <row r="24" spans="1:7" ht="12.75">
      <c r="A24" s="268"/>
      <c r="B24" s="268"/>
      <c r="C24" s="268"/>
      <c r="D24" s="268"/>
      <c r="E24" s="268"/>
      <c r="F24" s="268"/>
      <c r="G24" s="268"/>
    </row>
    <row r="25" spans="1:7" ht="12.75">
      <c r="A25" s="268"/>
      <c r="B25" s="268"/>
      <c r="C25" s="268"/>
      <c r="D25" s="268"/>
      <c r="E25" s="268"/>
      <c r="F25" s="268"/>
      <c r="G25" s="268"/>
    </row>
    <row r="26" spans="1:7" ht="12.75">
      <c r="A26" s="268"/>
      <c r="B26" s="268"/>
      <c r="C26" s="268"/>
      <c r="D26" s="268"/>
      <c r="E26" s="268"/>
      <c r="F26" s="268"/>
      <c r="G26" s="268"/>
    </row>
    <row r="27" spans="1:7" ht="12.75">
      <c r="A27" s="268"/>
      <c r="B27" s="268"/>
      <c r="C27" s="268"/>
      <c r="D27" s="268"/>
      <c r="E27" s="268"/>
      <c r="F27" s="268"/>
      <c r="G27" s="268"/>
    </row>
    <row r="28" spans="1:7" ht="12.75">
      <c r="A28" s="268"/>
      <c r="B28" s="268"/>
      <c r="C28" s="268"/>
      <c r="D28" s="268"/>
      <c r="E28" s="268"/>
      <c r="F28" s="268"/>
      <c r="G28" s="268"/>
    </row>
    <row r="29" spans="1:7" ht="12.75">
      <c r="A29" s="268"/>
      <c r="B29" s="268"/>
      <c r="C29" s="268"/>
      <c r="D29" s="268"/>
      <c r="E29" s="268"/>
      <c r="F29" s="268"/>
      <c r="G29" s="268"/>
    </row>
    <row r="30" spans="1:7" ht="12.75">
      <c r="A30" s="268"/>
      <c r="B30" s="268"/>
      <c r="C30" s="268"/>
      <c r="D30" s="268"/>
      <c r="E30" s="268"/>
      <c r="F30" s="268"/>
      <c r="G30" s="268"/>
    </row>
    <row r="31" spans="1:7" ht="12.75">
      <c r="A31" s="268"/>
      <c r="B31" s="268"/>
      <c r="C31" s="268"/>
      <c r="D31" s="268"/>
      <c r="E31" s="268"/>
      <c r="F31" s="268"/>
      <c r="G31" s="268"/>
    </row>
    <row r="32" spans="1:7" ht="12.75">
      <c r="A32" s="268"/>
      <c r="B32" s="268"/>
      <c r="C32" s="268"/>
      <c r="D32" s="268"/>
      <c r="E32" s="268"/>
      <c r="F32" s="268"/>
      <c r="G32" s="268"/>
    </row>
    <row r="33" spans="1:7" ht="12.75">
      <c r="A33" s="268"/>
      <c r="B33" s="268"/>
      <c r="C33" s="268"/>
      <c r="D33" s="268"/>
      <c r="E33" s="268"/>
      <c r="F33" s="268"/>
      <c r="G33" s="268"/>
    </row>
    <row r="34" spans="1:7" ht="12.75">
      <c r="A34" s="254"/>
      <c r="B34" s="254"/>
      <c r="C34" s="254"/>
      <c r="D34" s="254"/>
      <c r="E34" s="254"/>
      <c r="F34" s="254"/>
      <c r="G34" s="254"/>
    </row>
    <row r="36" spans="1:6" ht="12.75">
      <c r="A36" s="269" t="s">
        <v>512</v>
      </c>
      <c r="F36" s="269" t="s">
        <v>513</v>
      </c>
    </row>
    <row r="37" spans="1:6" ht="12.75">
      <c r="A37" s="20" t="s">
        <v>514</v>
      </c>
      <c r="F37" s="20" t="s">
        <v>515</v>
      </c>
    </row>
    <row r="38" spans="1:6" ht="12.75">
      <c r="A38" s="269" t="s">
        <v>516</v>
      </c>
      <c r="F38" s="269" t="s">
        <v>516</v>
      </c>
    </row>
  </sheetData>
  <sheetProtection/>
  <mergeCells count="3">
    <mergeCell ref="A3:G3"/>
    <mergeCell ref="A4:G4"/>
    <mergeCell ref="A12:F12"/>
  </mergeCells>
  <printOptions/>
  <pageMargins left="0.79" right="0.41" top="0.48" bottom="0.34" header="0.3" footer="0.3"/>
  <pageSetup blackAndWhite="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trangminhtruc</dc:creator>
  <cp:keywords/>
  <dc:description/>
  <cp:lastModifiedBy>Windows User</cp:lastModifiedBy>
  <cp:lastPrinted>2021-07-07T07:32:28Z</cp:lastPrinted>
  <dcterms:created xsi:type="dcterms:W3CDTF">2017-05-11T00:46:56Z</dcterms:created>
  <dcterms:modified xsi:type="dcterms:W3CDTF">2021-07-08T09:12:00Z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1033-10.2.0.7635</vt:lpwstr>
  </property>
</Properties>
</file>