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KINH TẾ XÃ HỘI NĂM 2021\NĂM 2021\Họp HĐND 6 tháng đầu năm\"/>
    </mc:Choice>
  </mc:AlternateContent>
  <bookViews>
    <workbookView xWindow="-15" yWindow="165" windowWidth="9720" windowHeight="5955" tabRatio="797" firstSheet="19" activeTab="19"/>
  </bookViews>
  <sheets>
    <sheet name="Thang 10" sheetId="95" state="hidden" r:id="rId1"/>
    <sheet name="9 thang 2018" sheetId="88" state="hidden" r:id="rId2"/>
    <sheet name="PL01" sheetId="93" state="hidden" r:id="rId3"/>
    <sheet name="PL04" sheetId="94" state="hidden" r:id="rId4"/>
    <sheet name="1. Chi tieu KT" sheetId="78" state="hidden" r:id="rId5"/>
    <sheet name="2. CN NN DV" sheetId="79" state="hidden" r:id="rId6"/>
    <sheet name="2a.NLTS" sheetId="92" state="hidden" r:id="rId7"/>
    <sheet name="3. XH" sheetId="80" state="hidden" r:id="rId8"/>
    <sheet name="4. MT" sheetId="81" state="hidden" r:id="rId9"/>
    <sheet name="5. PTDN" sheetId="82" state="hidden" r:id="rId10"/>
    <sheet name="Thang 7" sheetId="84" state="hidden" r:id="rId11"/>
    <sheet name="Thang 8" sheetId="85" state="hidden" r:id="rId12"/>
    <sheet name="QI.2018" sheetId="73" state="hidden" r:id="rId13"/>
    <sheet name="NQ16" sheetId="104" state="hidden" r:id="rId14"/>
    <sheet name="Theo doi" sheetId="102" state="hidden" r:id="rId15"/>
    <sheet name="Thang 4" sheetId="75" state="hidden" r:id="rId16"/>
    <sheet name="Thang 5" sheetId="77" state="hidden" r:id="rId17"/>
    <sheet name="T5. 2019" sheetId="103" state="hidden" r:id="rId18"/>
    <sheet name="06T- 2018" sheetId="74" state="hidden" r:id="rId19"/>
    <sheet name="6 tháng 2021" sheetId="46" r:id="rId20"/>
    <sheet name="KH 2019 (2)" sheetId="106" state="hidden" r:id="rId21"/>
    <sheet name="T4. 2019" sheetId="101" state="hidden" r:id="rId22"/>
    <sheet name="QI. 2019" sheetId="100" state="hidden" r:id="rId23"/>
    <sheet name="Thang 1" sheetId="98" state="hidden" r:id="rId24"/>
    <sheet name="Thang 2" sheetId="99" state="hidden" r:id="rId25"/>
    <sheet name="B01" sheetId="20" state="hidden" r:id="rId26"/>
    <sheet name="B02" sheetId="3" state="hidden" r:id="rId27"/>
    <sheet name="Sheet2" sheetId="97" state="hidden" r:id="rId28"/>
    <sheet name="Sheet2 (2)" sheetId="105" state="hidden" r:id="rId29"/>
    <sheet name="B04" sheetId="4" state="hidden" r:id="rId30"/>
    <sheet name="B03" sheetId="22" state="hidden" r:id="rId31"/>
    <sheet name="NN-Dien Binh" sheetId="49" state="hidden" r:id="rId32"/>
    <sheet name="NN-Po Ko" sheetId="50" state="hidden" r:id="rId33"/>
    <sheet name="NN-Thi Tran" sheetId="51" state="hidden" r:id="rId34"/>
    <sheet name="NN-Tan Canh" sheetId="52" state="hidden" r:id="rId35"/>
    <sheet name="NN-Kon Dao" sheetId="53" state="hidden" r:id="rId36"/>
    <sheet name="NN-Ngoc Tu" sheetId="55" state="hidden" r:id="rId37"/>
    <sheet name="NN-Dak Ro Nga" sheetId="56" state="hidden" r:id="rId38"/>
    <sheet name="NN-Dak Tram" sheetId="57" state="hidden" r:id="rId39"/>
    <sheet name="NN-Van Lem" sheetId="58" state="hidden" r:id="rId40"/>
    <sheet name="B05" sheetId="23" state="hidden" r:id="rId41"/>
    <sheet name="VHXH- Dien Binh" sheetId="59" state="hidden" r:id="rId42"/>
    <sheet name="VHXH- Po Ko" sheetId="61" state="hidden" r:id="rId43"/>
    <sheet name="VHXH- Thi Tran" sheetId="62" state="hidden" r:id="rId44"/>
    <sheet name="VHXH- Tan Canh" sheetId="63" state="hidden" r:id="rId45"/>
    <sheet name="VHXH- Kon Dao" sheetId="64" state="hidden" r:id="rId46"/>
    <sheet name="VHXH- Ngoc Tu" sheetId="65" state="hidden" r:id="rId47"/>
    <sheet name="VHXH- Dak Ro Nga" sheetId="66" state="hidden" r:id="rId48"/>
    <sheet name="VHXH- Dak Tram" sheetId="67" state="hidden" r:id="rId49"/>
    <sheet name="VHXH- Van Lem" sheetId="68" state="hidden" r:id="rId50"/>
  </sheets>
  <externalReferences>
    <externalReference r:id="rId51"/>
    <externalReference r:id="rId52"/>
    <externalReference r:id="rId53"/>
    <externalReference r:id="rId54"/>
    <externalReference r:id="rId55"/>
  </externalReferences>
  <definedNames>
    <definedName name="æ76" localSheetId="18">[1]chitiet!#REF!</definedName>
    <definedName name="æ76" localSheetId="6">[1]chitiet!#REF!</definedName>
    <definedName name="æ76" localSheetId="1">[1]chitiet!#REF!</definedName>
    <definedName name="æ76" localSheetId="20">[1]chitiet!#REF!</definedName>
    <definedName name="æ76" localSheetId="37">[1]chitiet!#REF!</definedName>
    <definedName name="æ76" localSheetId="38">[1]chitiet!#REF!</definedName>
    <definedName name="æ76" localSheetId="35">[1]chitiet!#REF!</definedName>
    <definedName name="æ76" localSheetId="36">[1]chitiet!#REF!</definedName>
    <definedName name="æ76" localSheetId="32">[1]chitiet!#REF!</definedName>
    <definedName name="æ76" localSheetId="34">[1]chitiet!#REF!</definedName>
    <definedName name="æ76" localSheetId="33">[1]chitiet!#REF!</definedName>
    <definedName name="æ76" localSheetId="39">[1]chitiet!#REF!</definedName>
    <definedName name="æ76" localSheetId="22">[1]chitiet!#REF!</definedName>
    <definedName name="æ76" localSheetId="12">[1]chitiet!#REF!</definedName>
    <definedName name="æ76" localSheetId="28">[1]chitiet!#REF!</definedName>
    <definedName name="æ76" localSheetId="21">[1]chitiet!#REF!</definedName>
    <definedName name="æ76" localSheetId="17">[1]chitiet!#REF!</definedName>
    <definedName name="æ76" localSheetId="23">[1]chitiet!#REF!</definedName>
    <definedName name="æ76" localSheetId="0">[1]chitiet!#REF!</definedName>
    <definedName name="æ76" localSheetId="24">[1]chitiet!#REF!</definedName>
    <definedName name="æ76" localSheetId="15">[1]chitiet!#REF!</definedName>
    <definedName name="æ76" localSheetId="16">[1]chitiet!#REF!</definedName>
    <definedName name="æ76" localSheetId="10">[1]chitiet!#REF!</definedName>
    <definedName name="æ76" localSheetId="11">[1]chitiet!#REF!</definedName>
    <definedName name="æ76" localSheetId="47">[1]chitiet!#REF!</definedName>
    <definedName name="æ76" localSheetId="48">[1]chitiet!#REF!</definedName>
    <definedName name="æ76" localSheetId="45">[1]chitiet!#REF!</definedName>
    <definedName name="æ76" localSheetId="46">[1]chitiet!#REF!</definedName>
    <definedName name="æ76" localSheetId="42">[1]chitiet!#REF!</definedName>
    <definedName name="æ76" localSheetId="44">[1]chitiet!#REF!</definedName>
    <definedName name="æ76" localSheetId="43">[1]chitiet!#REF!</definedName>
    <definedName name="æ76" localSheetId="49">[1]chitiet!#REF!</definedName>
    <definedName name="æ76">[1]chitiet!#REF!</definedName>
    <definedName name="_xlnm.Database" localSheetId="18">#REF!</definedName>
    <definedName name="_xlnm.Database" localSheetId="6">#REF!</definedName>
    <definedName name="_xlnm.Database" localSheetId="1">#REF!</definedName>
    <definedName name="_xlnm.Database" localSheetId="20">#REF!</definedName>
    <definedName name="_xlnm.Database" localSheetId="22">#REF!</definedName>
    <definedName name="_xlnm.Database" localSheetId="12">#REF!</definedName>
    <definedName name="_xlnm.Database" localSheetId="28">#REF!</definedName>
    <definedName name="_xlnm.Database" localSheetId="21">#REF!</definedName>
    <definedName name="_xlnm.Database" localSheetId="17">#REF!</definedName>
    <definedName name="_xlnm.Database" localSheetId="23">#REF!</definedName>
    <definedName name="_xlnm.Database" localSheetId="0">#REF!</definedName>
    <definedName name="_xlnm.Database" localSheetId="24">#REF!</definedName>
    <definedName name="_xlnm.Database" localSheetId="15">#REF!</definedName>
    <definedName name="_xlnm.Database" localSheetId="16">#REF!</definedName>
    <definedName name="_xlnm.Database" localSheetId="10">#REF!</definedName>
    <definedName name="_xlnm.Database" localSheetId="11">#REF!</definedName>
    <definedName name="_xlnm.Database">#REF!</definedName>
    <definedName name="ë" localSheetId="18">[1]chitiet!#REF!</definedName>
    <definedName name="ë" localSheetId="6">[1]chitiet!#REF!</definedName>
    <definedName name="ë" localSheetId="1">[1]chitiet!#REF!</definedName>
    <definedName name="ë" localSheetId="20">[1]chitiet!#REF!</definedName>
    <definedName name="ë" localSheetId="37">[1]chitiet!#REF!</definedName>
    <definedName name="ë" localSheetId="38">[1]chitiet!#REF!</definedName>
    <definedName name="ë" localSheetId="35">[1]chitiet!#REF!</definedName>
    <definedName name="ë" localSheetId="36">[1]chitiet!#REF!</definedName>
    <definedName name="ë" localSheetId="32">[1]chitiet!#REF!</definedName>
    <definedName name="ë" localSheetId="34">[1]chitiet!#REF!</definedName>
    <definedName name="ë" localSheetId="33">[1]chitiet!#REF!</definedName>
    <definedName name="ë" localSheetId="39">[1]chitiet!#REF!</definedName>
    <definedName name="ë" localSheetId="22">[1]chitiet!#REF!</definedName>
    <definedName name="ë" localSheetId="12">[1]chitiet!#REF!</definedName>
    <definedName name="ë" localSheetId="28">[1]chitiet!#REF!</definedName>
    <definedName name="ë" localSheetId="21">[1]chitiet!#REF!</definedName>
    <definedName name="ë" localSheetId="17">[1]chitiet!#REF!</definedName>
    <definedName name="ë" localSheetId="23">[1]chitiet!#REF!</definedName>
    <definedName name="ë" localSheetId="0">[1]chitiet!#REF!</definedName>
    <definedName name="ë" localSheetId="24">[1]chitiet!#REF!</definedName>
    <definedName name="ë" localSheetId="15">[1]chitiet!#REF!</definedName>
    <definedName name="ë" localSheetId="16">[1]chitiet!#REF!</definedName>
    <definedName name="ë" localSheetId="10">[1]chitiet!#REF!</definedName>
    <definedName name="ë" localSheetId="11">[1]chitiet!#REF!</definedName>
    <definedName name="ë" localSheetId="47">[1]chitiet!#REF!</definedName>
    <definedName name="ë" localSheetId="48">[1]chitiet!#REF!</definedName>
    <definedName name="ë" localSheetId="45">[1]chitiet!#REF!</definedName>
    <definedName name="ë" localSheetId="46">[1]chitiet!#REF!</definedName>
    <definedName name="ë" localSheetId="42">[1]chitiet!#REF!</definedName>
    <definedName name="ë" localSheetId="44">[1]chitiet!#REF!</definedName>
    <definedName name="ë" localSheetId="43">[1]chitiet!#REF!</definedName>
    <definedName name="ë" localSheetId="49">[1]chitiet!#REF!</definedName>
    <definedName name="ë">[1]chitiet!#REF!</definedName>
    <definedName name="ë74" localSheetId="18">[1]chitiet!#REF!</definedName>
    <definedName name="ë74" localSheetId="6">[1]chitiet!#REF!</definedName>
    <definedName name="ë74" localSheetId="1">[1]chitiet!#REF!</definedName>
    <definedName name="ë74" localSheetId="20">[1]chitiet!#REF!</definedName>
    <definedName name="ë74" localSheetId="37">[1]chitiet!#REF!</definedName>
    <definedName name="ë74" localSheetId="38">[1]chitiet!#REF!</definedName>
    <definedName name="ë74" localSheetId="35">[1]chitiet!#REF!</definedName>
    <definedName name="ë74" localSheetId="36">[1]chitiet!#REF!</definedName>
    <definedName name="ë74" localSheetId="32">[1]chitiet!#REF!</definedName>
    <definedName name="ë74" localSheetId="34">[1]chitiet!#REF!</definedName>
    <definedName name="ë74" localSheetId="33">[1]chitiet!#REF!</definedName>
    <definedName name="ë74" localSheetId="39">[1]chitiet!#REF!</definedName>
    <definedName name="ë74" localSheetId="22">[1]chitiet!#REF!</definedName>
    <definedName name="ë74" localSheetId="12">[1]chitiet!#REF!</definedName>
    <definedName name="ë74" localSheetId="28">[1]chitiet!#REF!</definedName>
    <definedName name="ë74" localSheetId="21">[1]chitiet!#REF!</definedName>
    <definedName name="ë74" localSheetId="17">[1]chitiet!#REF!</definedName>
    <definedName name="ë74" localSheetId="23">[1]chitiet!#REF!</definedName>
    <definedName name="ë74" localSheetId="0">[1]chitiet!#REF!</definedName>
    <definedName name="ë74" localSheetId="24">[1]chitiet!#REF!</definedName>
    <definedName name="ë74" localSheetId="15">[1]chitiet!#REF!</definedName>
    <definedName name="ë74" localSheetId="16">[1]chitiet!#REF!</definedName>
    <definedName name="ë74" localSheetId="10">[1]chitiet!#REF!</definedName>
    <definedName name="ë74" localSheetId="11">[1]chitiet!#REF!</definedName>
    <definedName name="ë74" localSheetId="47">[1]chitiet!#REF!</definedName>
    <definedName name="ë74" localSheetId="48">[1]chitiet!#REF!</definedName>
    <definedName name="ë74" localSheetId="45">[1]chitiet!#REF!</definedName>
    <definedName name="ë74" localSheetId="46">[1]chitiet!#REF!</definedName>
    <definedName name="ë74" localSheetId="42">[1]chitiet!#REF!</definedName>
    <definedName name="ë74" localSheetId="44">[1]chitiet!#REF!</definedName>
    <definedName name="ë74" localSheetId="43">[1]chitiet!#REF!</definedName>
    <definedName name="ë74" localSheetId="49">[1]chitiet!#REF!</definedName>
    <definedName name="ë74">[1]chitiet!#REF!</definedName>
    <definedName name="_xlnm.Extract" localSheetId="18">[2]SILICATE!#REF!</definedName>
    <definedName name="_xlnm.Extract" localSheetId="6">[2]SILICATE!#REF!</definedName>
    <definedName name="_xlnm.Extract" localSheetId="1">[2]SILICATE!#REF!</definedName>
    <definedName name="_xlnm.Extract" localSheetId="20">[2]SILICATE!#REF!</definedName>
    <definedName name="_xlnm.Extract" localSheetId="22">[2]SILICATE!#REF!</definedName>
    <definedName name="_xlnm.Extract" localSheetId="12">[2]SILICATE!#REF!</definedName>
    <definedName name="_xlnm.Extract" localSheetId="28">[2]SILICATE!#REF!</definedName>
    <definedName name="_xlnm.Extract" localSheetId="21">[2]SILICATE!#REF!</definedName>
    <definedName name="_xlnm.Extract" localSheetId="17">[2]SILICATE!#REF!</definedName>
    <definedName name="_xlnm.Extract" localSheetId="23">[2]SILICATE!#REF!</definedName>
    <definedName name="_xlnm.Extract" localSheetId="0">[2]SILICATE!#REF!</definedName>
    <definedName name="_xlnm.Extract" localSheetId="24">[2]SILICATE!#REF!</definedName>
    <definedName name="_xlnm.Extract" localSheetId="15">[2]SILICATE!#REF!</definedName>
    <definedName name="_xlnm.Extract" localSheetId="16">[2]SILICATE!#REF!</definedName>
    <definedName name="_xlnm.Extract" localSheetId="10">[2]SILICATE!#REF!</definedName>
    <definedName name="_xlnm.Extract" localSheetId="11">[2]SILICATE!#REF!</definedName>
    <definedName name="_xlnm.Extract">[2]SILICATE!#REF!</definedName>
    <definedName name="Heä_soá_laép_xaø_H">1.7</definedName>
    <definedName name="heä_soá_sình_laày" localSheetId="18">#REF!</definedName>
    <definedName name="heä_soá_sình_laày" localSheetId="6">#REF!</definedName>
    <definedName name="heä_soá_sình_laày" localSheetId="1">#REF!</definedName>
    <definedName name="heä_soá_sình_laày" localSheetId="20">#REF!</definedName>
    <definedName name="heä_soá_sình_laày" localSheetId="22">#REF!</definedName>
    <definedName name="heä_soá_sình_laày" localSheetId="12">#REF!</definedName>
    <definedName name="heä_soá_sình_laày" localSheetId="28">#REF!</definedName>
    <definedName name="heä_soá_sình_laày" localSheetId="21">#REF!</definedName>
    <definedName name="heä_soá_sình_laày" localSheetId="17">#REF!</definedName>
    <definedName name="heä_soá_sình_laày" localSheetId="23">#REF!</definedName>
    <definedName name="heä_soá_sình_laày" localSheetId="0">#REF!</definedName>
    <definedName name="heä_soá_sình_laày" localSheetId="24">#REF!</definedName>
    <definedName name="heä_soá_sình_laày" localSheetId="15">#REF!</definedName>
    <definedName name="heä_soá_sình_laày" localSheetId="16">#REF!</definedName>
    <definedName name="heä_soá_sình_laày" localSheetId="10">#REF!</definedName>
    <definedName name="heä_soá_sình_laày" localSheetId="11">#REF!</definedName>
    <definedName name="heä_soá_sình_laày">#REF!</definedName>
    <definedName name="Hoü_vaì_tãn" localSheetId="18">#REF!</definedName>
    <definedName name="Hoü_vaì_tãn" localSheetId="6">#REF!</definedName>
    <definedName name="Hoü_vaì_tãn" localSheetId="1">#REF!</definedName>
    <definedName name="Hoü_vaì_tãn" localSheetId="20">#REF!</definedName>
    <definedName name="Hoü_vaì_tãn" localSheetId="37">#REF!</definedName>
    <definedName name="Hoü_vaì_tãn" localSheetId="38">#REF!</definedName>
    <definedName name="Hoü_vaì_tãn" localSheetId="35">#REF!</definedName>
    <definedName name="Hoü_vaì_tãn" localSheetId="36">#REF!</definedName>
    <definedName name="Hoü_vaì_tãn" localSheetId="32">#REF!</definedName>
    <definedName name="Hoü_vaì_tãn" localSheetId="34">#REF!</definedName>
    <definedName name="Hoü_vaì_tãn" localSheetId="33">#REF!</definedName>
    <definedName name="Hoü_vaì_tãn" localSheetId="39">#REF!</definedName>
    <definedName name="Hoü_vaì_tãn" localSheetId="22">#REF!</definedName>
    <definedName name="Hoü_vaì_tãn" localSheetId="12">#REF!</definedName>
    <definedName name="Hoü_vaì_tãn" localSheetId="28">#REF!</definedName>
    <definedName name="Hoü_vaì_tãn" localSheetId="21">#REF!</definedName>
    <definedName name="Hoü_vaì_tãn" localSheetId="17">#REF!</definedName>
    <definedName name="Hoü_vaì_tãn" localSheetId="23">#REF!</definedName>
    <definedName name="Hoü_vaì_tãn" localSheetId="0">#REF!</definedName>
    <definedName name="Hoü_vaì_tãn" localSheetId="24">#REF!</definedName>
    <definedName name="Hoü_vaì_tãn" localSheetId="15">#REF!</definedName>
    <definedName name="Hoü_vaì_tãn" localSheetId="16">#REF!</definedName>
    <definedName name="Hoü_vaì_tãn" localSheetId="10">#REF!</definedName>
    <definedName name="Hoü_vaì_tãn" localSheetId="11">#REF!</definedName>
    <definedName name="Hoü_vaì_tãn" localSheetId="47">#REF!</definedName>
    <definedName name="Hoü_vaì_tãn" localSheetId="48">#REF!</definedName>
    <definedName name="Hoü_vaì_tãn" localSheetId="45">#REF!</definedName>
    <definedName name="Hoü_vaì_tãn" localSheetId="46">#REF!</definedName>
    <definedName name="Hoü_vaì_tãn" localSheetId="42">#REF!</definedName>
    <definedName name="Hoü_vaì_tãn" localSheetId="44">#REF!</definedName>
    <definedName name="Hoü_vaì_tãn" localSheetId="43">#REF!</definedName>
    <definedName name="Hoü_vaì_tãn" localSheetId="49">#REF!</definedName>
    <definedName name="Hoü_vaì_tãn">#REF!</definedName>
    <definedName name="I2É6" localSheetId="18">[3]chitimc!#REF!</definedName>
    <definedName name="I2É6" localSheetId="6">[3]chitimc!#REF!</definedName>
    <definedName name="I2É6" localSheetId="1">[3]chitimc!#REF!</definedName>
    <definedName name="I2É6" localSheetId="20">[3]chitimc!#REF!</definedName>
    <definedName name="I2É6" localSheetId="37">[3]chitimc!#REF!</definedName>
    <definedName name="I2É6" localSheetId="38">[3]chitimc!#REF!</definedName>
    <definedName name="I2É6" localSheetId="35">[3]chitimc!#REF!</definedName>
    <definedName name="I2É6" localSheetId="36">[3]chitimc!#REF!</definedName>
    <definedName name="I2É6" localSheetId="32">[3]chitimc!#REF!</definedName>
    <definedName name="I2É6" localSheetId="34">[3]chitimc!#REF!</definedName>
    <definedName name="I2É6" localSheetId="33">[3]chitimc!#REF!</definedName>
    <definedName name="I2É6" localSheetId="39">[3]chitimc!#REF!</definedName>
    <definedName name="I2É6" localSheetId="22">[3]chitimc!#REF!</definedName>
    <definedName name="I2É6" localSheetId="12">[3]chitimc!#REF!</definedName>
    <definedName name="I2É6" localSheetId="28">[3]chitimc!#REF!</definedName>
    <definedName name="I2É6" localSheetId="21">[3]chitimc!#REF!</definedName>
    <definedName name="I2É6" localSheetId="17">[3]chitimc!#REF!</definedName>
    <definedName name="I2É6" localSheetId="23">[3]chitimc!#REF!</definedName>
    <definedName name="I2É6" localSheetId="0">[3]chitimc!#REF!</definedName>
    <definedName name="I2É6" localSheetId="24">[3]chitimc!#REF!</definedName>
    <definedName name="I2É6" localSheetId="15">[3]chitimc!#REF!</definedName>
    <definedName name="I2É6" localSheetId="16">[3]chitimc!#REF!</definedName>
    <definedName name="I2É6" localSheetId="10">[3]chitimc!#REF!</definedName>
    <definedName name="I2É6" localSheetId="11">[3]chitimc!#REF!</definedName>
    <definedName name="I2É6" localSheetId="47">[3]chitimc!#REF!</definedName>
    <definedName name="I2É6" localSheetId="48">[3]chitimc!#REF!</definedName>
    <definedName name="I2É6" localSheetId="45">[3]chitimc!#REF!</definedName>
    <definedName name="I2É6" localSheetId="46">[3]chitimc!#REF!</definedName>
    <definedName name="I2É6" localSheetId="42">[3]chitimc!#REF!</definedName>
    <definedName name="I2É6" localSheetId="44">[3]chitimc!#REF!</definedName>
    <definedName name="I2É6" localSheetId="43">[3]chitimc!#REF!</definedName>
    <definedName name="I2É6" localSheetId="49">[3]chitimc!#REF!</definedName>
    <definedName name="I2É6">[3]chitimc!#REF!</definedName>
    <definedName name="Óu75" localSheetId="18">[1]chitiet!#REF!</definedName>
    <definedName name="Óu75" localSheetId="6">[1]chitiet!#REF!</definedName>
    <definedName name="Óu75" localSheetId="1">[1]chitiet!#REF!</definedName>
    <definedName name="Óu75" localSheetId="20">[1]chitiet!#REF!</definedName>
    <definedName name="Óu75" localSheetId="37">[1]chitiet!#REF!</definedName>
    <definedName name="Óu75" localSheetId="38">[1]chitiet!#REF!</definedName>
    <definedName name="Óu75" localSheetId="35">[1]chitiet!#REF!</definedName>
    <definedName name="Óu75" localSheetId="36">[1]chitiet!#REF!</definedName>
    <definedName name="Óu75" localSheetId="32">[1]chitiet!#REF!</definedName>
    <definedName name="Óu75" localSheetId="34">[1]chitiet!#REF!</definedName>
    <definedName name="Óu75" localSheetId="33">[1]chitiet!#REF!</definedName>
    <definedName name="Óu75" localSheetId="39">[1]chitiet!#REF!</definedName>
    <definedName name="Óu75" localSheetId="22">[1]chitiet!#REF!</definedName>
    <definedName name="Óu75" localSheetId="12">[1]chitiet!#REF!</definedName>
    <definedName name="Óu75" localSheetId="28">[1]chitiet!#REF!</definedName>
    <definedName name="Óu75" localSheetId="21">[1]chitiet!#REF!</definedName>
    <definedName name="Óu75" localSheetId="17">[1]chitiet!#REF!</definedName>
    <definedName name="Óu75" localSheetId="23">[1]chitiet!#REF!</definedName>
    <definedName name="Óu75" localSheetId="0">[1]chitiet!#REF!</definedName>
    <definedName name="Óu75" localSheetId="24">[1]chitiet!#REF!</definedName>
    <definedName name="Óu75" localSheetId="15">[1]chitiet!#REF!</definedName>
    <definedName name="Óu75" localSheetId="16">[1]chitiet!#REF!</definedName>
    <definedName name="Óu75" localSheetId="10">[1]chitiet!#REF!</definedName>
    <definedName name="Óu75" localSheetId="11">[1]chitiet!#REF!</definedName>
    <definedName name="Óu75" localSheetId="47">[1]chitiet!#REF!</definedName>
    <definedName name="Óu75" localSheetId="48">[1]chitiet!#REF!</definedName>
    <definedName name="Óu75" localSheetId="45">[1]chitiet!#REF!</definedName>
    <definedName name="Óu75" localSheetId="46">[1]chitiet!#REF!</definedName>
    <definedName name="Óu75" localSheetId="42">[1]chitiet!#REF!</definedName>
    <definedName name="Óu75" localSheetId="44">[1]chitiet!#REF!</definedName>
    <definedName name="Óu75" localSheetId="43">[1]chitiet!#REF!</definedName>
    <definedName name="Óu75" localSheetId="49">[1]chitiet!#REF!</definedName>
    <definedName name="Óu75">[1]chitiet!#REF!</definedName>
    <definedName name="PL_???___P.B.___REST_P.B._????" localSheetId="18">'[4]NEW-PANEL'!#REF!</definedName>
    <definedName name="PL_???___P.B.___REST_P.B._????" localSheetId="6">'[4]NEW-PANEL'!#REF!</definedName>
    <definedName name="PL_???___P.B.___REST_P.B._????" localSheetId="1">'[4]NEW-PANEL'!#REF!</definedName>
    <definedName name="PL_???___P.B.___REST_P.B._????" localSheetId="20">'[4]NEW-PANEL'!#REF!</definedName>
    <definedName name="PL_???___P.B.___REST_P.B._????" localSheetId="37">'[4]NEW-PANEL'!#REF!</definedName>
    <definedName name="PL_???___P.B.___REST_P.B._????" localSheetId="38">'[4]NEW-PANEL'!#REF!</definedName>
    <definedName name="PL_???___P.B.___REST_P.B._????" localSheetId="35">'[4]NEW-PANEL'!#REF!</definedName>
    <definedName name="PL_???___P.B.___REST_P.B._????" localSheetId="36">'[4]NEW-PANEL'!#REF!</definedName>
    <definedName name="PL_???___P.B.___REST_P.B._????" localSheetId="32">'[4]NEW-PANEL'!#REF!</definedName>
    <definedName name="PL_???___P.B.___REST_P.B._????" localSheetId="34">'[4]NEW-PANEL'!#REF!</definedName>
    <definedName name="PL_???___P.B.___REST_P.B._????" localSheetId="33">'[4]NEW-PANEL'!#REF!</definedName>
    <definedName name="PL_???___P.B.___REST_P.B._????" localSheetId="39">'[4]NEW-PANEL'!#REF!</definedName>
    <definedName name="PL_???___P.B.___REST_P.B._????" localSheetId="22">'[4]NEW-PANEL'!#REF!</definedName>
    <definedName name="PL_???___P.B.___REST_P.B._????" localSheetId="12">'[4]NEW-PANEL'!#REF!</definedName>
    <definedName name="PL_???___P.B.___REST_P.B._????" localSheetId="28">'[4]NEW-PANEL'!#REF!</definedName>
    <definedName name="PL_???___P.B.___REST_P.B._????" localSheetId="21">'[4]NEW-PANEL'!#REF!</definedName>
    <definedName name="PL_???___P.B.___REST_P.B._????" localSheetId="17">'[4]NEW-PANEL'!#REF!</definedName>
    <definedName name="PL_???___P.B.___REST_P.B._????" localSheetId="23">'[4]NEW-PANEL'!#REF!</definedName>
    <definedName name="PL_???___P.B.___REST_P.B._????" localSheetId="0">'[4]NEW-PANEL'!#REF!</definedName>
    <definedName name="PL_???___P.B.___REST_P.B._????" localSheetId="24">'[4]NEW-PANEL'!#REF!</definedName>
    <definedName name="PL_???___P.B.___REST_P.B._????" localSheetId="15">'[4]NEW-PANEL'!#REF!</definedName>
    <definedName name="PL_???___P.B.___REST_P.B._????" localSheetId="16">'[4]NEW-PANEL'!#REF!</definedName>
    <definedName name="PL_???___P.B.___REST_P.B._????" localSheetId="10">'[4]NEW-PANEL'!#REF!</definedName>
    <definedName name="PL_???___P.B.___REST_P.B._????" localSheetId="11">'[4]NEW-PANEL'!#REF!</definedName>
    <definedName name="PL_???___P.B.___REST_P.B._????" localSheetId="47">'[4]NEW-PANEL'!#REF!</definedName>
    <definedName name="PL_???___P.B.___REST_P.B._????" localSheetId="48">'[4]NEW-PANEL'!#REF!</definedName>
    <definedName name="PL_???___P.B.___REST_P.B._????" localSheetId="45">'[4]NEW-PANEL'!#REF!</definedName>
    <definedName name="PL_???___P.B.___REST_P.B._????" localSheetId="46">'[4]NEW-PANEL'!#REF!</definedName>
    <definedName name="PL_???___P.B.___REST_P.B._????" localSheetId="42">'[4]NEW-PANEL'!#REF!</definedName>
    <definedName name="PL_???___P.B.___REST_P.B._????" localSheetId="44">'[4]NEW-PANEL'!#REF!</definedName>
    <definedName name="PL_???___P.B.___REST_P.B._????" localSheetId="43">'[4]NEW-PANEL'!#REF!</definedName>
    <definedName name="PL_???___P.B.___REST_P.B._????" localSheetId="49">'[4]NEW-PANEL'!#REF!</definedName>
    <definedName name="PL_???___P.B.___REST_P.B._????">'[4]NEW-PANEL'!#REF!</definedName>
    <definedName name="PL_指示燈___P.B.___REST_P.B._壓扣開關" localSheetId="18">'[5]NEW-PANEL'!#REF!</definedName>
    <definedName name="PL_指示燈___P.B.___REST_P.B._壓扣開關" localSheetId="6">'[5]NEW-PANEL'!#REF!</definedName>
    <definedName name="PL_指示燈___P.B.___REST_P.B._壓扣開關" localSheetId="1">'[5]NEW-PANEL'!#REF!</definedName>
    <definedName name="PL_指示燈___P.B.___REST_P.B._壓扣開關" localSheetId="20">'[5]NEW-PANEL'!#REF!</definedName>
    <definedName name="PL_指示燈___P.B.___REST_P.B._壓扣開關" localSheetId="35">'[5]NEW-PANEL'!#REF!</definedName>
    <definedName name="PL_指示燈___P.B.___REST_P.B._壓扣開關" localSheetId="36">'[5]NEW-PANEL'!#REF!</definedName>
    <definedName name="PL_指示燈___P.B.___REST_P.B._壓扣開關" localSheetId="34">'[5]NEW-PANEL'!#REF!</definedName>
    <definedName name="PL_指示燈___P.B.___REST_P.B._壓扣開關" localSheetId="33">'[5]NEW-PANEL'!#REF!</definedName>
    <definedName name="PL_指示燈___P.B.___REST_P.B._壓扣開關" localSheetId="39">'[5]NEW-PANEL'!#REF!</definedName>
    <definedName name="PL_指示燈___P.B.___REST_P.B._壓扣開關" localSheetId="22">'[5]NEW-PANEL'!#REF!</definedName>
    <definedName name="PL_指示燈___P.B.___REST_P.B._壓扣開關" localSheetId="12">'[5]NEW-PANEL'!#REF!</definedName>
    <definedName name="PL_指示燈___P.B.___REST_P.B._壓扣開關" localSheetId="28">'[5]NEW-PANEL'!#REF!</definedName>
    <definedName name="PL_指示燈___P.B.___REST_P.B._壓扣開關" localSheetId="21">'[5]NEW-PANEL'!#REF!</definedName>
    <definedName name="PL_指示燈___P.B.___REST_P.B._壓扣開關" localSheetId="17">'[5]NEW-PANEL'!#REF!</definedName>
    <definedName name="PL_指示燈___P.B.___REST_P.B._壓扣開關" localSheetId="23">'[5]NEW-PANEL'!#REF!</definedName>
    <definedName name="PL_指示燈___P.B.___REST_P.B._壓扣開關" localSheetId="0">'[5]NEW-PANEL'!#REF!</definedName>
    <definedName name="PL_指示燈___P.B.___REST_P.B._壓扣開關" localSheetId="24">'[5]NEW-PANEL'!#REF!</definedName>
    <definedName name="PL_指示燈___P.B.___REST_P.B._壓扣開關" localSheetId="15">'[5]NEW-PANEL'!#REF!</definedName>
    <definedName name="PL_指示燈___P.B.___REST_P.B._壓扣開關" localSheetId="16">'[5]NEW-PANEL'!#REF!</definedName>
    <definedName name="PL_指示燈___P.B.___REST_P.B._壓扣開關" localSheetId="10">'[5]NEW-PANEL'!#REF!</definedName>
    <definedName name="PL_指示燈___P.B.___REST_P.B._壓扣開關" localSheetId="11">'[5]NEW-PANEL'!#REF!</definedName>
    <definedName name="PL_指示燈___P.B.___REST_P.B._壓扣開關" localSheetId="48">'[5]NEW-PANEL'!#REF!</definedName>
    <definedName name="PL_指示燈___P.B.___REST_P.B._壓扣開關" localSheetId="46">'[5]NEW-PANEL'!#REF!</definedName>
    <definedName name="PL_指示燈___P.B.___REST_P.B._壓扣開關" localSheetId="43">'[5]NEW-PANEL'!#REF!</definedName>
    <definedName name="PL_指示燈___P.B.___REST_P.B._壓扣開關">'[5]NEW-PANEL'!#REF!</definedName>
    <definedName name="_xlnm.Print_Area" localSheetId="20">#REF!</definedName>
    <definedName name="_xlnm.Print_Area" localSheetId="12">#REF!</definedName>
    <definedName name="_xlnm.Print_Area" localSheetId="28">#REF!</definedName>
    <definedName name="_xlnm.Print_Area" localSheetId="21">#REF!</definedName>
    <definedName name="_xlnm.Print_Area" localSheetId="17">#REF!</definedName>
    <definedName name="_xlnm.Print_Area" localSheetId="23">#REF!</definedName>
    <definedName name="_xlnm.Print_Area" localSheetId="0">#REF!</definedName>
    <definedName name="_xlnm.Print_Area" localSheetId="24">#REF!</definedName>
    <definedName name="_xlnm.Print_Area" localSheetId="10">#REF!</definedName>
    <definedName name="_xlnm.Print_Area" localSheetId="11">#REF!</definedName>
    <definedName name="_xlnm.Print_Area">#REF!</definedName>
    <definedName name="_xlnm.Print_Titles" localSheetId="18">'06T- 2018'!$5:$7</definedName>
    <definedName name="_xlnm.Print_Titles" localSheetId="5">'2. CN NN DV'!$5:$7</definedName>
    <definedName name="_xlnm.Print_Titles" localSheetId="6">'2a.NLTS'!$5:$7</definedName>
    <definedName name="_xlnm.Print_Titles" localSheetId="7">'3. XH'!$5:$7</definedName>
    <definedName name="_xlnm.Print_Titles" localSheetId="19">'6 tháng 2021'!$5:$7</definedName>
    <definedName name="_xlnm.Print_Titles" localSheetId="1">'9 thang 2018'!$5:$7</definedName>
    <definedName name="_xlnm.Print_Titles" localSheetId="30">'B03'!$5:$6</definedName>
    <definedName name="_xlnm.Print_Titles" localSheetId="29">'B04'!$5:$6</definedName>
    <definedName name="_xlnm.Print_Titles" localSheetId="40">'B05'!$5:$6</definedName>
    <definedName name="_xlnm.Print_Titles" localSheetId="20">'KH 2019 (2)'!$5:$7</definedName>
    <definedName name="_xlnm.Print_Titles" localSheetId="37">'NN-Dak Ro Nga'!$6:$7</definedName>
    <definedName name="_xlnm.Print_Titles" localSheetId="38">'NN-Dak Tram'!$6:$7</definedName>
    <definedName name="_xlnm.Print_Titles" localSheetId="31">'NN-Dien Binh'!$6:$7</definedName>
    <definedName name="_xlnm.Print_Titles" localSheetId="35">'NN-Kon Dao'!$6:$7</definedName>
    <definedName name="_xlnm.Print_Titles" localSheetId="36">'NN-Ngoc Tu'!$6:$7</definedName>
    <definedName name="_xlnm.Print_Titles" localSheetId="32">'NN-Po Ko'!$6:$7</definedName>
    <definedName name="_xlnm.Print_Titles" localSheetId="34">'NN-Tan Canh'!$6:$7</definedName>
    <definedName name="_xlnm.Print_Titles" localSheetId="33">'NN-Thi Tran'!$6:$7</definedName>
    <definedName name="_xlnm.Print_Titles" localSheetId="39">'NN-Van Lem'!$6:$7</definedName>
    <definedName name="_xlnm.Print_Titles" localSheetId="13">'NQ16'!$5:$7</definedName>
    <definedName name="_xlnm.Print_Titles" localSheetId="2">'PL01'!$5:$8</definedName>
    <definedName name="_xlnm.Print_Titles" localSheetId="3">'PL04'!$5:$8</definedName>
    <definedName name="_xlnm.Print_Titles" localSheetId="22">'QI. 2019'!$5:$7</definedName>
    <definedName name="_xlnm.Print_Titles" localSheetId="12">QI.2018!$5:$7</definedName>
    <definedName name="_xlnm.Print_Titles" localSheetId="28">#REF!</definedName>
    <definedName name="_xlnm.Print_Titles" localSheetId="21">'T4. 2019'!$5:$7</definedName>
    <definedName name="_xlnm.Print_Titles" localSheetId="17">'T5. 2019'!$5:$7</definedName>
    <definedName name="_xlnm.Print_Titles" localSheetId="23">'Thang 1'!$5:$7</definedName>
    <definedName name="_xlnm.Print_Titles" localSheetId="0">'Thang 10'!$5:$7</definedName>
    <definedName name="_xlnm.Print_Titles" localSheetId="24">'Thang 2'!$5:$7</definedName>
    <definedName name="_xlnm.Print_Titles" localSheetId="15">'Thang 4'!$5:$7</definedName>
    <definedName name="_xlnm.Print_Titles" localSheetId="16">'Thang 5'!$5:$7</definedName>
    <definedName name="_xlnm.Print_Titles" localSheetId="10">'Thang 7'!$5:$7</definedName>
    <definedName name="_xlnm.Print_Titles" localSheetId="11">'Thang 8'!$5:$7</definedName>
    <definedName name="_xlnm.Print_Titles">#REF!</definedName>
    <definedName name="VAÄT_LIEÄU">"nhandongia"</definedName>
    <definedName name="wrn.chi._.tiÆt." hidden="1">{#N/A,#N/A,FALSE,"Chi tiÆt"}</definedName>
    <definedName name="wrn.Giáy._.bao._.no." hidden="1">{#N/A,#N/A,FALSE,"BN"}</definedName>
  </definedNames>
  <calcPr calcId="162913"/>
</workbook>
</file>

<file path=xl/calcChain.xml><?xml version="1.0" encoding="utf-8"?>
<calcChain xmlns="http://schemas.openxmlformats.org/spreadsheetml/2006/main">
  <c r="Q91" i="46" l="1"/>
  <c r="Q92" i="46"/>
  <c r="Q93" i="46"/>
  <c r="Q94" i="46"/>
  <c r="Q95" i="46"/>
  <c r="Q96" i="46"/>
  <c r="Q97" i="46"/>
  <c r="Q88" i="46"/>
  <c r="Q89" i="46"/>
  <c r="D31" i="68" l="1"/>
  <c r="D30" i="68"/>
  <c r="D29" i="68"/>
  <c r="D28" i="68"/>
  <c r="D27" i="68"/>
  <c r="D26" i="68"/>
  <c r="D25" i="68"/>
  <c r="D24" i="68"/>
  <c r="D23" i="68"/>
  <c r="D22" i="68"/>
  <c r="D21" i="68"/>
  <c r="D20" i="68"/>
  <c r="D19" i="68"/>
  <c r="D18" i="68"/>
  <c r="D17" i="68"/>
  <c r="D16" i="68"/>
  <c r="D15" i="68"/>
  <c r="D14" i="68"/>
  <c r="D13" i="68"/>
  <c r="D12" i="68"/>
  <c r="D11" i="68"/>
  <c r="D10" i="68"/>
  <c r="D9" i="68"/>
  <c r="A3" i="68"/>
  <c r="D31" i="67"/>
  <c r="D30" i="67"/>
  <c r="D29" i="67"/>
  <c r="D28" i="67"/>
  <c r="D27" i="67"/>
  <c r="D26" i="67"/>
  <c r="D25" i="67"/>
  <c r="D24" i="67"/>
  <c r="D23" i="67"/>
  <c r="D22" i="67"/>
  <c r="D21" i="67"/>
  <c r="D20" i="67"/>
  <c r="D19" i="67"/>
  <c r="D18" i="67"/>
  <c r="D17" i="67"/>
  <c r="D16" i="67"/>
  <c r="D15" i="67"/>
  <c r="D14" i="67"/>
  <c r="D13" i="67"/>
  <c r="D12" i="67"/>
  <c r="D11" i="67"/>
  <c r="D10" i="67"/>
  <c r="D9" i="67"/>
  <c r="A3" i="67"/>
  <c r="D31" i="66"/>
  <c r="D30" i="66"/>
  <c r="D29" i="66"/>
  <c r="D28" i="66"/>
  <c r="D27" i="66"/>
  <c r="D26" i="66"/>
  <c r="D25" i="66"/>
  <c r="D24" i="66"/>
  <c r="D23" i="66"/>
  <c r="D22" i="66"/>
  <c r="D21" i="66"/>
  <c r="D20" i="66"/>
  <c r="D19" i="66"/>
  <c r="D18" i="66"/>
  <c r="D17" i="66"/>
  <c r="D16" i="66"/>
  <c r="D15" i="66"/>
  <c r="D14" i="66"/>
  <c r="D13" i="66"/>
  <c r="D12" i="66"/>
  <c r="D11" i="66"/>
  <c r="D10" i="66"/>
  <c r="D9" i="66"/>
  <c r="A3" i="66"/>
  <c r="D31" i="65"/>
  <c r="D30" i="65"/>
  <c r="D2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9" i="65"/>
  <c r="A3" i="65"/>
  <c r="D31" i="64"/>
  <c r="D30" i="64"/>
  <c r="D29" i="64"/>
  <c r="D28" i="64"/>
  <c r="D27" i="64"/>
  <c r="D26" i="64"/>
  <c r="D25" i="64"/>
  <c r="D24" i="64"/>
  <c r="D23" i="64"/>
  <c r="D22" i="64"/>
  <c r="D21" i="64"/>
  <c r="D20" i="64"/>
  <c r="D19" i="64"/>
  <c r="D18" i="64"/>
  <c r="D17" i="64"/>
  <c r="D16" i="64"/>
  <c r="D15" i="64"/>
  <c r="D14" i="64"/>
  <c r="D13" i="64"/>
  <c r="D12" i="64"/>
  <c r="D11" i="64"/>
  <c r="D10" i="64"/>
  <c r="D9" i="64"/>
  <c r="A3" i="64"/>
  <c r="D31" i="63"/>
  <c r="D30" i="63"/>
  <c r="D29" i="63"/>
  <c r="D28" i="63"/>
  <c r="D27" i="63"/>
  <c r="D26" i="63"/>
  <c r="D25" i="63"/>
  <c r="D24" i="63"/>
  <c r="D23" i="63"/>
  <c r="D22" i="63"/>
  <c r="D21" i="63"/>
  <c r="D20" i="63"/>
  <c r="D19" i="63"/>
  <c r="D18" i="63"/>
  <c r="D17" i="63"/>
  <c r="D16" i="63"/>
  <c r="D15" i="63"/>
  <c r="D14" i="63"/>
  <c r="D13" i="63"/>
  <c r="D12" i="63"/>
  <c r="D11" i="63"/>
  <c r="D10" i="63"/>
  <c r="D9" i="63"/>
  <c r="A3" i="63"/>
  <c r="D31" i="62"/>
  <c r="D30" i="62"/>
  <c r="D29" i="62"/>
  <c r="D28" i="62"/>
  <c r="D27" i="62"/>
  <c r="D26" i="62"/>
  <c r="D25" i="62"/>
  <c r="D24" i="62"/>
  <c r="D23" i="62"/>
  <c r="D22" i="62"/>
  <c r="D21" i="62"/>
  <c r="D20" i="62"/>
  <c r="D19" i="62"/>
  <c r="D18" i="62"/>
  <c r="D17" i="62"/>
  <c r="D16" i="62"/>
  <c r="D15" i="62"/>
  <c r="D14" i="62"/>
  <c r="D13" i="62"/>
  <c r="D12" i="62"/>
  <c r="D11" i="62"/>
  <c r="D10" i="62"/>
  <c r="D9" i="62"/>
  <c r="A3" i="62"/>
  <c r="D31" i="61"/>
  <c r="D30" i="61"/>
  <c r="D29" i="61"/>
  <c r="D28" i="61"/>
  <c r="D27" i="61"/>
  <c r="D26" i="61"/>
  <c r="D25" i="61"/>
  <c r="D24" i="61"/>
  <c r="D23" i="61"/>
  <c r="D22" i="61"/>
  <c r="D21" i="61"/>
  <c r="D20" i="61"/>
  <c r="D19" i="61"/>
  <c r="D18" i="61"/>
  <c r="D17" i="61"/>
  <c r="D16" i="61"/>
  <c r="D15" i="61"/>
  <c r="D14" i="61"/>
  <c r="D13" i="61"/>
  <c r="D12" i="61"/>
  <c r="D11" i="61"/>
  <c r="D10" i="61"/>
  <c r="D9" i="61"/>
  <c r="A3" i="61"/>
  <c r="D31" i="59"/>
  <c r="D30" i="59"/>
  <c r="D29" i="59"/>
  <c r="D28" i="59"/>
  <c r="D27" i="59"/>
  <c r="D26" i="59"/>
  <c r="D25" i="59"/>
  <c r="D24" i="59"/>
  <c r="D23" i="59"/>
  <c r="D22" i="59"/>
  <c r="D21" i="59"/>
  <c r="D20" i="59"/>
  <c r="D19" i="59"/>
  <c r="D18" i="59"/>
  <c r="D17" i="59"/>
  <c r="D16" i="59"/>
  <c r="D15" i="59"/>
  <c r="D14" i="59"/>
  <c r="D13" i="59"/>
  <c r="D12" i="59"/>
  <c r="D11" i="59"/>
  <c r="D10" i="59"/>
  <c r="D9" i="59"/>
  <c r="A3" i="59"/>
  <c r="N48" i="23"/>
  <c r="M48" i="23"/>
  <c r="L48" i="23"/>
  <c r="K48" i="23"/>
  <c r="J48" i="23"/>
  <c r="I48" i="23"/>
  <c r="H48" i="23"/>
  <c r="G48" i="23"/>
  <c r="F48" i="23"/>
  <c r="E48" i="23"/>
  <c r="D48" i="23"/>
  <c r="N47" i="23"/>
  <c r="M47" i="23"/>
  <c r="L47" i="23"/>
  <c r="K47" i="23"/>
  <c r="J47" i="23"/>
  <c r="I47" i="23"/>
  <c r="H47" i="23"/>
  <c r="G47" i="23"/>
  <c r="F47" i="23"/>
  <c r="E47" i="23"/>
  <c r="N46" i="23"/>
  <c r="M46" i="23"/>
  <c r="L46" i="23"/>
  <c r="K46" i="23"/>
  <c r="J46" i="23"/>
  <c r="I46" i="23"/>
  <c r="H46" i="23"/>
  <c r="G46" i="23"/>
  <c r="F46" i="23"/>
  <c r="E46" i="23"/>
  <c r="N45" i="23"/>
  <c r="M45" i="23"/>
  <c r="L45" i="23"/>
  <c r="K45" i="23"/>
  <c r="J45" i="23"/>
  <c r="I45" i="23"/>
  <c r="H45" i="23"/>
  <c r="G45" i="23"/>
  <c r="F45" i="23"/>
  <c r="E45" i="23"/>
  <c r="E44" i="23"/>
  <c r="E43" i="23"/>
  <c r="N41" i="23"/>
  <c r="M41" i="23"/>
  <c r="L41" i="23"/>
  <c r="K41" i="23"/>
  <c r="J41" i="23"/>
  <c r="I41" i="23"/>
  <c r="H41" i="23"/>
  <c r="G41" i="23"/>
  <c r="F41" i="23"/>
  <c r="E41" i="23"/>
  <c r="D41" i="23"/>
  <c r="N40" i="23"/>
  <c r="K40" i="23"/>
  <c r="J40" i="23"/>
  <c r="I40" i="23"/>
  <c r="G40" i="23"/>
  <c r="E40" i="23"/>
  <c r="D40" i="23"/>
  <c r="E39" i="23"/>
  <c r="N38" i="23"/>
  <c r="M38" i="23"/>
  <c r="L38" i="23"/>
  <c r="K38" i="23"/>
  <c r="J38" i="23"/>
  <c r="I38" i="23"/>
  <c r="H38" i="23"/>
  <c r="G38" i="23"/>
  <c r="F38" i="23"/>
  <c r="E38" i="23"/>
  <c r="E37" i="23"/>
  <c r="E35" i="23"/>
  <c r="D35" i="23"/>
  <c r="H34" i="23"/>
  <c r="E34" i="23"/>
  <c r="D34" i="23"/>
  <c r="E33" i="23"/>
  <c r="D33" i="23"/>
  <c r="E32" i="23"/>
  <c r="D32" i="23"/>
  <c r="E31" i="23"/>
  <c r="D31" i="23"/>
  <c r="E30" i="23"/>
  <c r="D30" i="23"/>
  <c r="H29" i="23"/>
  <c r="E29" i="23"/>
  <c r="D29" i="23"/>
  <c r="E28" i="23"/>
  <c r="D28" i="23"/>
  <c r="N27" i="23"/>
  <c r="M27" i="23"/>
  <c r="L27" i="23"/>
  <c r="K27" i="23"/>
  <c r="J27" i="23"/>
  <c r="I27" i="23"/>
  <c r="H27" i="23"/>
  <c r="G27" i="23"/>
  <c r="F27" i="23"/>
  <c r="E27" i="23"/>
  <c r="D27" i="23"/>
  <c r="N26" i="23"/>
  <c r="M26" i="23"/>
  <c r="L26" i="23"/>
  <c r="K26" i="23"/>
  <c r="J26" i="23"/>
  <c r="I26" i="23"/>
  <c r="H26" i="23"/>
  <c r="G26" i="23"/>
  <c r="F26" i="23"/>
  <c r="E26" i="23"/>
  <c r="D26" i="23"/>
  <c r="E24" i="23"/>
  <c r="D24" i="23"/>
  <c r="N23" i="23"/>
  <c r="M23" i="23"/>
  <c r="L23" i="23"/>
  <c r="K23" i="23"/>
  <c r="J23" i="23"/>
  <c r="I23" i="23"/>
  <c r="H23" i="23"/>
  <c r="G23" i="23"/>
  <c r="F23" i="23"/>
  <c r="E23" i="23"/>
  <c r="D23" i="23"/>
  <c r="N22" i="23"/>
  <c r="M22" i="23"/>
  <c r="L22" i="23"/>
  <c r="K22" i="23"/>
  <c r="J22" i="23"/>
  <c r="I22" i="23"/>
  <c r="H22" i="23"/>
  <c r="G22" i="23"/>
  <c r="F22" i="23"/>
  <c r="E22" i="23"/>
  <c r="D22" i="23"/>
  <c r="N21" i="23"/>
  <c r="M21" i="23"/>
  <c r="L21" i="23"/>
  <c r="K21" i="23"/>
  <c r="J21" i="23"/>
  <c r="I21" i="23"/>
  <c r="H21" i="23"/>
  <c r="G21" i="23"/>
  <c r="F21" i="23"/>
  <c r="E21" i="23"/>
  <c r="N20" i="23"/>
  <c r="M20" i="23"/>
  <c r="L20" i="23"/>
  <c r="K20" i="23"/>
  <c r="J20" i="23"/>
  <c r="I20" i="23"/>
  <c r="H20" i="23"/>
  <c r="G20" i="23"/>
  <c r="F20" i="23"/>
  <c r="E20" i="23"/>
  <c r="N19" i="23"/>
  <c r="M19" i="23"/>
  <c r="L19" i="23"/>
  <c r="K19" i="23"/>
  <c r="J19" i="23"/>
  <c r="I19" i="23"/>
  <c r="H19" i="23"/>
  <c r="G19" i="23"/>
  <c r="F19" i="23"/>
  <c r="E19" i="23"/>
  <c r="N18" i="23"/>
  <c r="M18" i="23"/>
  <c r="L18" i="23"/>
  <c r="K18" i="23"/>
  <c r="J18" i="23"/>
  <c r="I18" i="23"/>
  <c r="H18" i="23"/>
  <c r="G18" i="23"/>
  <c r="F18" i="23"/>
  <c r="E18" i="23"/>
  <c r="N17" i="23"/>
  <c r="M17" i="23"/>
  <c r="L17" i="23"/>
  <c r="K17" i="23"/>
  <c r="J17" i="23"/>
  <c r="I17" i="23"/>
  <c r="H17" i="23"/>
  <c r="G17" i="23"/>
  <c r="F17" i="23"/>
  <c r="E17" i="23"/>
  <c r="E16" i="23"/>
  <c r="E15" i="23"/>
  <c r="E14" i="23"/>
  <c r="E13" i="23"/>
  <c r="E12" i="23"/>
  <c r="D12" i="23"/>
  <c r="N11" i="23"/>
  <c r="M11" i="23"/>
  <c r="L11" i="23"/>
  <c r="K11" i="23"/>
  <c r="J11" i="23"/>
  <c r="I11" i="23"/>
  <c r="H11" i="23"/>
  <c r="G11" i="23"/>
  <c r="F11" i="23"/>
  <c r="E11" i="23"/>
  <c r="D11" i="23"/>
  <c r="N10" i="23"/>
  <c r="M10" i="23"/>
  <c r="L10" i="23"/>
  <c r="K10" i="23"/>
  <c r="J10" i="23"/>
  <c r="I10" i="23"/>
  <c r="H10" i="23"/>
  <c r="G10" i="23"/>
  <c r="F10" i="23"/>
  <c r="E10" i="23"/>
  <c r="N9" i="23"/>
  <c r="M9" i="23"/>
  <c r="L9" i="23"/>
  <c r="K9" i="23"/>
  <c r="J9" i="23"/>
  <c r="I9" i="23"/>
  <c r="H9" i="23"/>
  <c r="G9" i="23"/>
  <c r="F9" i="23"/>
  <c r="E8" i="23"/>
  <c r="A3" i="23"/>
  <c r="D105" i="58"/>
  <c r="D104" i="58"/>
  <c r="D103" i="58"/>
  <c r="D102" i="58"/>
  <c r="D101" i="58"/>
  <c r="D100" i="58"/>
  <c r="D99" i="58"/>
  <c r="D98" i="58"/>
  <c r="D97" i="58"/>
  <c r="D96" i="58"/>
  <c r="D95" i="58"/>
  <c r="D94" i="58"/>
  <c r="D93" i="58"/>
  <c r="D92" i="58"/>
  <c r="D91" i="58"/>
  <c r="D90" i="58"/>
  <c r="D89" i="58"/>
  <c r="D88" i="58"/>
  <c r="D87" i="58"/>
  <c r="D86" i="58"/>
  <c r="D85" i="58"/>
  <c r="D84" i="58"/>
  <c r="D83" i="58"/>
  <c r="D82" i="58"/>
  <c r="D81" i="58"/>
  <c r="D80" i="58"/>
  <c r="D79" i="58"/>
  <c r="D78" i="58"/>
  <c r="D77" i="58"/>
  <c r="D76" i="58"/>
  <c r="D75" i="58"/>
  <c r="D74" i="58"/>
  <c r="D73" i="58"/>
  <c r="D72" i="58"/>
  <c r="D71" i="58"/>
  <c r="D70" i="58"/>
  <c r="D69" i="58"/>
  <c r="D68" i="58"/>
  <c r="D67" i="58"/>
  <c r="D66" i="58"/>
  <c r="D65" i="58"/>
  <c r="D64" i="58"/>
  <c r="D63" i="58"/>
  <c r="D62" i="58"/>
  <c r="D61" i="58"/>
  <c r="D60" i="58"/>
  <c r="D59" i="58"/>
  <c r="D58" i="58"/>
  <c r="D57" i="58"/>
  <c r="D56" i="58"/>
  <c r="D55" i="58"/>
  <c r="D54" i="58"/>
  <c r="D53" i="58"/>
  <c r="D52" i="58"/>
  <c r="D51" i="58"/>
  <c r="D50" i="58"/>
  <c r="D49" i="58"/>
  <c r="D48" i="58"/>
  <c r="D47" i="58"/>
  <c r="D46" i="58"/>
  <c r="D45" i="58"/>
  <c r="D44" i="58"/>
  <c r="D43" i="58"/>
  <c r="D42" i="58"/>
  <c r="D41" i="58"/>
  <c r="D40" i="58"/>
  <c r="D39" i="58"/>
  <c r="D38" i="58"/>
  <c r="D37" i="58"/>
  <c r="D36" i="58"/>
  <c r="D35" i="58"/>
  <c r="D34" i="58"/>
  <c r="D33" i="58"/>
  <c r="D32" i="58"/>
  <c r="D31" i="58"/>
  <c r="D30" i="58"/>
  <c r="D29" i="58"/>
  <c r="D28" i="58"/>
  <c r="D27" i="58"/>
  <c r="D26" i="58"/>
  <c r="D25" i="58"/>
  <c r="D24" i="58"/>
  <c r="D23" i="58"/>
  <c r="D22" i="58"/>
  <c r="D21" i="58"/>
  <c r="D20" i="58"/>
  <c r="D19" i="58"/>
  <c r="D18" i="58"/>
  <c r="D17" i="58"/>
  <c r="D16" i="58"/>
  <c r="D15" i="58"/>
  <c r="D14" i="58"/>
  <c r="D13" i="58"/>
  <c r="D12" i="58"/>
  <c r="D11" i="58"/>
  <c r="D10" i="58"/>
  <c r="D9" i="58"/>
  <c r="A3" i="58"/>
  <c r="D105" i="57"/>
  <c r="D104" i="57"/>
  <c r="D103" i="57"/>
  <c r="D102" i="57"/>
  <c r="D101" i="57"/>
  <c r="D100" i="57"/>
  <c r="D99" i="57"/>
  <c r="D98" i="57"/>
  <c r="D97" i="57"/>
  <c r="D96" i="57"/>
  <c r="D95" i="57"/>
  <c r="D94" i="57"/>
  <c r="D93" i="57"/>
  <c r="D92" i="57"/>
  <c r="D91" i="57"/>
  <c r="D90" i="57"/>
  <c r="D89" i="57"/>
  <c r="D88" i="57"/>
  <c r="D87" i="57"/>
  <c r="D86" i="57"/>
  <c r="D85" i="57"/>
  <c r="D84" i="57"/>
  <c r="D83" i="57"/>
  <c r="D82" i="57"/>
  <c r="D81" i="57"/>
  <c r="D80" i="57"/>
  <c r="D79" i="57"/>
  <c r="D78" i="57"/>
  <c r="D77" i="57"/>
  <c r="D76" i="57"/>
  <c r="D75" i="57"/>
  <c r="D74" i="57"/>
  <c r="D73" i="57"/>
  <c r="D72" i="57"/>
  <c r="D71" i="57"/>
  <c r="D70" i="57"/>
  <c r="D69" i="57"/>
  <c r="D68" i="57"/>
  <c r="D67" i="57"/>
  <c r="D66" i="57"/>
  <c r="D65" i="57"/>
  <c r="D64" i="57"/>
  <c r="D63" i="57"/>
  <c r="D62" i="57"/>
  <c r="D61" i="57"/>
  <c r="D60" i="57"/>
  <c r="D59" i="57"/>
  <c r="D58" i="57"/>
  <c r="D57" i="57"/>
  <c r="D56" i="57"/>
  <c r="D55" i="57"/>
  <c r="D54" i="57"/>
  <c r="D53" i="57"/>
  <c r="D52" i="57"/>
  <c r="D51" i="57"/>
  <c r="D50" i="57"/>
  <c r="D49" i="57"/>
  <c r="D48" i="57"/>
  <c r="D47" i="57"/>
  <c r="D46" i="57"/>
  <c r="D45" i="57"/>
  <c r="D44" i="57"/>
  <c r="D43" i="57"/>
  <c r="D42" i="57"/>
  <c r="D41" i="57"/>
  <c r="D40" i="57"/>
  <c r="D39" i="57"/>
  <c r="D38" i="57"/>
  <c r="D37" i="57"/>
  <c r="D36" i="57"/>
  <c r="D35" i="57"/>
  <c r="D34" i="57"/>
  <c r="D33" i="57"/>
  <c r="D32" i="57"/>
  <c r="D31" i="57"/>
  <c r="D30" i="57"/>
  <c r="D29" i="57"/>
  <c r="D28" i="57"/>
  <c r="D27" i="57"/>
  <c r="D26" i="57"/>
  <c r="D25" i="57"/>
  <c r="D24" i="57"/>
  <c r="D23" i="57"/>
  <c r="D22" i="57"/>
  <c r="D21" i="57"/>
  <c r="D20" i="57"/>
  <c r="D19" i="57"/>
  <c r="D18" i="57"/>
  <c r="D17" i="57"/>
  <c r="D16" i="57"/>
  <c r="D15" i="57"/>
  <c r="D14" i="57"/>
  <c r="D13" i="57"/>
  <c r="D12" i="57"/>
  <c r="D11" i="57"/>
  <c r="D10" i="57"/>
  <c r="D9" i="57"/>
  <c r="A3" i="57"/>
  <c r="D105" i="56"/>
  <c r="D104" i="56"/>
  <c r="D103" i="56"/>
  <c r="D102" i="56"/>
  <c r="D101" i="56"/>
  <c r="D100" i="56"/>
  <c r="D99" i="56"/>
  <c r="D98" i="56"/>
  <c r="D97" i="56"/>
  <c r="D96" i="56"/>
  <c r="D95" i="56"/>
  <c r="D94" i="56"/>
  <c r="D93" i="56"/>
  <c r="D92" i="56"/>
  <c r="D91" i="56"/>
  <c r="D90" i="56"/>
  <c r="D89" i="56"/>
  <c r="D88" i="56"/>
  <c r="D87" i="56"/>
  <c r="D86" i="56"/>
  <c r="D85" i="56"/>
  <c r="D84" i="56"/>
  <c r="D83" i="56"/>
  <c r="D82" i="56"/>
  <c r="D81" i="56"/>
  <c r="D80" i="56"/>
  <c r="D79" i="56"/>
  <c r="D78" i="56"/>
  <c r="D77" i="56"/>
  <c r="D76" i="56"/>
  <c r="D75" i="56"/>
  <c r="D74" i="56"/>
  <c r="D73" i="56"/>
  <c r="D72" i="56"/>
  <c r="D71" i="56"/>
  <c r="D70" i="56"/>
  <c r="D69" i="56"/>
  <c r="D68" i="56"/>
  <c r="D67" i="56"/>
  <c r="D66" i="56"/>
  <c r="D65" i="56"/>
  <c r="D64" i="56"/>
  <c r="D63" i="56"/>
  <c r="D62" i="56"/>
  <c r="D61" i="56"/>
  <c r="D60" i="56"/>
  <c r="D59" i="56"/>
  <c r="D58" i="56"/>
  <c r="D57" i="56"/>
  <c r="D56" i="56"/>
  <c r="D55" i="56"/>
  <c r="D54" i="56"/>
  <c r="D53" i="56"/>
  <c r="D52" i="56"/>
  <c r="D51" i="56"/>
  <c r="D50" i="56"/>
  <c r="D49" i="56"/>
  <c r="D48" i="56"/>
  <c r="D47" i="56"/>
  <c r="D46" i="56"/>
  <c r="D45" i="56"/>
  <c r="D44" i="56"/>
  <c r="D43" i="56"/>
  <c r="D42" i="56"/>
  <c r="D41" i="56"/>
  <c r="D40" i="56"/>
  <c r="D39" i="56"/>
  <c r="D38" i="56"/>
  <c r="D37" i="56"/>
  <c r="D36" i="56"/>
  <c r="D35" i="56"/>
  <c r="D34" i="56"/>
  <c r="D33" i="56"/>
  <c r="D32" i="56"/>
  <c r="D31" i="56"/>
  <c r="D30" i="56"/>
  <c r="D29" i="56"/>
  <c r="D28" i="56"/>
  <c r="D27" i="56"/>
  <c r="D26" i="56"/>
  <c r="D25" i="56"/>
  <c r="D24" i="56"/>
  <c r="D23" i="56"/>
  <c r="D22" i="56"/>
  <c r="D21" i="56"/>
  <c r="D20" i="56"/>
  <c r="D19" i="56"/>
  <c r="D18" i="56"/>
  <c r="D17" i="56"/>
  <c r="D16" i="56"/>
  <c r="D15" i="56"/>
  <c r="D14" i="56"/>
  <c r="D13" i="56"/>
  <c r="D12" i="56"/>
  <c r="D11" i="56"/>
  <c r="D10" i="56"/>
  <c r="D9" i="56"/>
  <c r="A3" i="56"/>
  <c r="D105" i="55"/>
  <c r="D104" i="55"/>
  <c r="D103" i="55"/>
  <c r="D102" i="55"/>
  <c r="D101" i="55"/>
  <c r="D100" i="55"/>
  <c r="D99" i="55"/>
  <c r="D98" i="55"/>
  <c r="D97" i="55"/>
  <c r="D96" i="55"/>
  <c r="D95" i="55"/>
  <c r="D94" i="55"/>
  <c r="D93" i="55"/>
  <c r="D92" i="55"/>
  <c r="D91" i="55"/>
  <c r="D90" i="55"/>
  <c r="D89" i="55"/>
  <c r="D88" i="55"/>
  <c r="D87" i="55"/>
  <c r="D86" i="55"/>
  <c r="D85" i="55"/>
  <c r="D84" i="55"/>
  <c r="D83" i="55"/>
  <c r="D82" i="55"/>
  <c r="D81" i="55"/>
  <c r="D80" i="55"/>
  <c r="D79" i="55"/>
  <c r="D78" i="55"/>
  <c r="D77" i="55"/>
  <c r="D76" i="55"/>
  <c r="D75" i="55"/>
  <c r="D74" i="55"/>
  <c r="D73" i="55"/>
  <c r="D72" i="55"/>
  <c r="D71" i="55"/>
  <c r="D70" i="55"/>
  <c r="D69" i="55"/>
  <c r="D68" i="55"/>
  <c r="D67" i="55"/>
  <c r="D66" i="55"/>
  <c r="D65" i="55"/>
  <c r="D64" i="55"/>
  <c r="D63" i="55"/>
  <c r="D62" i="55"/>
  <c r="D61" i="55"/>
  <c r="D60" i="55"/>
  <c r="D59" i="55"/>
  <c r="D58" i="55"/>
  <c r="D57" i="55"/>
  <c r="D56" i="55"/>
  <c r="D55" i="55"/>
  <c r="D54" i="55"/>
  <c r="D53" i="55"/>
  <c r="D52" i="55"/>
  <c r="D51" i="55"/>
  <c r="D50" i="55"/>
  <c r="D49" i="55"/>
  <c r="D48" i="55"/>
  <c r="D47" i="55"/>
  <c r="D46" i="55"/>
  <c r="D45" i="55"/>
  <c r="D44" i="55"/>
  <c r="D43" i="55"/>
  <c r="D42" i="55"/>
  <c r="D41" i="55"/>
  <c r="D40" i="55"/>
  <c r="D39" i="55"/>
  <c r="D38" i="55"/>
  <c r="D37" i="55"/>
  <c r="D36" i="55"/>
  <c r="D35" i="55"/>
  <c r="D34" i="55"/>
  <c r="D33" i="55"/>
  <c r="D32" i="55"/>
  <c r="D31" i="55"/>
  <c r="D30" i="55"/>
  <c r="D29" i="55"/>
  <c r="D28" i="55"/>
  <c r="D27" i="55"/>
  <c r="D26" i="55"/>
  <c r="D25" i="55"/>
  <c r="D24" i="55"/>
  <c r="D23" i="55"/>
  <c r="D22" i="55"/>
  <c r="D21" i="55"/>
  <c r="D20" i="55"/>
  <c r="D19" i="55"/>
  <c r="D18" i="55"/>
  <c r="D17" i="55"/>
  <c r="D16" i="55"/>
  <c r="D15" i="55"/>
  <c r="D14" i="55"/>
  <c r="D13" i="55"/>
  <c r="D12" i="55"/>
  <c r="D11" i="55"/>
  <c r="D10" i="55"/>
  <c r="D9" i="55"/>
  <c r="A3" i="55"/>
  <c r="D105" i="53"/>
  <c r="D104" i="53"/>
  <c r="D103" i="53"/>
  <c r="D102" i="53"/>
  <c r="D101" i="53"/>
  <c r="D100" i="53"/>
  <c r="D99" i="53"/>
  <c r="D98" i="53"/>
  <c r="D97" i="53"/>
  <c r="D96" i="53"/>
  <c r="D95" i="53"/>
  <c r="D94" i="53"/>
  <c r="D93" i="53"/>
  <c r="D92" i="53"/>
  <c r="D91" i="53"/>
  <c r="D90" i="53"/>
  <c r="D89" i="53"/>
  <c r="D88" i="53"/>
  <c r="D87" i="53"/>
  <c r="D86" i="53"/>
  <c r="D85" i="53"/>
  <c r="D84" i="53"/>
  <c r="D83" i="53"/>
  <c r="D82" i="53"/>
  <c r="D81" i="53"/>
  <c r="D80" i="53"/>
  <c r="D79" i="53"/>
  <c r="D78" i="53"/>
  <c r="D77" i="53"/>
  <c r="D76" i="53"/>
  <c r="D75" i="53"/>
  <c r="D74" i="53"/>
  <c r="D73" i="53"/>
  <c r="D72" i="53"/>
  <c r="D71" i="53"/>
  <c r="D70" i="53"/>
  <c r="D69" i="53"/>
  <c r="D68" i="53"/>
  <c r="D67" i="53"/>
  <c r="D66" i="53"/>
  <c r="D65" i="53"/>
  <c r="D64" i="53"/>
  <c r="D63" i="53"/>
  <c r="D62" i="53"/>
  <c r="D61" i="53"/>
  <c r="D60" i="53"/>
  <c r="D59" i="53"/>
  <c r="D58" i="53"/>
  <c r="D57" i="53"/>
  <c r="D56" i="53"/>
  <c r="D55" i="53"/>
  <c r="D54" i="53"/>
  <c r="D53" i="53"/>
  <c r="D52" i="53"/>
  <c r="D51" i="53"/>
  <c r="D50" i="53"/>
  <c r="D49" i="53"/>
  <c r="D48" i="53"/>
  <c r="D47" i="53"/>
  <c r="D46" i="53"/>
  <c r="D45" i="53"/>
  <c r="D44" i="53"/>
  <c r="D43" i="53"/>
  <c r="D42" i="53"/>
  <c r="D41" i="53"/>
  <c r="D40" i="53"/>
  <c r="D39" i="53"/>
  <c r="D38" i="53"/>
  <c r="D37" i="53"/>
  <c r="D36" i="53"/>
  <c r="D35" i="53"/>
  <c r="D34" i="53"/>
  <c r="D33" i="53"/>
  <c r="D32" i="53"/>
  <c r="D31" i="53"/>
  <c r="D30" i="53"/>
  <c r="D29" i="53"/>
  <c r="D28" i="53"/>
  <c r="D27" i="53"/>
  <c r="D26" i="53"/>
  <c r="D25" i="53"/>
  <c r="D24" i="53"/>
  <c r="D23" i="53"/>
  <c r="D22" i="53"/>
  <c r="D21" i="53"/>
  <c r="D20" i="53"/>
  <c r="D19" i="53"/>
  <c r="D18" i="53"/>
  <c r="D17" i="53"/>
  <c r="D16" i="53"/>
  <c r="D15" i="53"/>
  <c r="D14" i="53"/>
  <c r="D13" i="53"/>
  <c r="D12" i="53"/>
  <c r="D11" i="53"/>
  <c r="D10" i="53"/>
  <c r="D9" i="53"/>
  <c r="A3" i="53"/>
  <c r="D105" i="52"/>
  <c r="D104" i="52"/>
  <c r="D103" i="52"/>
  <c r="D102" i="52"/>
  <c r="D101" i="52"/>
  <c r="D100" i="52"/>
  <c r="D99" i="52"/>
  <c r="D98" i="52"/>
  <c r="D97" i="52"/>
  <c r="D96" i="52"/>
  <c r="D95" i="52"/>
  <c r="D94" i="52"/>
  <c r="D93" i="52"/>
  <c r="D92" i="52"/>
  <c r="D91" i="52"/>
  <c r="D90" i="52"/>
  <c r="D89" i="52"/>
  <c r="D88" i="52"/>
  <c r="D87" i="52"/>
  <c r="D86" i="52"/>
  <c r="D85" i="52"/>
  <c r="D84" i="52"/>
  <c r="D83" i="52"/>
  <c r="D82" i="52"/>
  <c r="D81" i="52"/>
  <c r="D80" i="52"/>
  <c r="D79" i="52"/>
  <c r="D78" i="52"/>
  <c r="D77" i="52"/>
  <c r="D76" i="52"/>
  <c r="D75" i="52"/>
  <c r="D74" i="52"/>
  <c r="D73" i="52"/>
  <c r="D72" i="52"/>
  <c r="D71" i="52"/>
  <c r="D70" i="52"/>
  <c r="D69" i="52"/>
  <c r="D68" i="52"/>
  <c r="D67" i="52"/>
  <c r="D66" i="52"/>
  <c r="D65" i="52"/>
  <c r="D64" i="52"/>
  <c r="D63" i="52"/>
  <c r="D62" i="52"/>
  <c r="D61" i="52"/>
  <c r="D60" i="52"/>
  <c r="D59" i="52"/>
  <c r="D58" i="52"/>
  <c r="D57" i="52"/>
  <c r="D56" i="52"/>
  <c r="D55" i="52"/>
  <c r="D54" i="52"/>
  <c r="D53" i="52"/>
  <c r="D52" i="52"/>
  <c r="D51" i="52"/>
  <c r="D50" i="52"/>
  <c r="D49" i="52"/>
  <c r="D48" i="52"/>
  <c r="D47" i="52"/>
  <c r="D46" i="52"/>
  <c r="D45" i="52"/>
  <c r="D44" i="52"/>
  <c r="D43" i="52"/>
  <c r="D42" i="52"/>
  <c r="D41" i="52"/>
  <c r="D40" i="52"/>
  <c r="D39" i="52"/>
  <c r="D38" i="52"/>
  <c r="D37" i="52"/>
  <c r="D36" i="52"/>
  <c r="D35" i="52"/>
  <c r="D34" i="52"/>
  <c r="D33" i="52"/>
  <c r="D32" i="52"/>
  <c r="D31" i="52"/>
  <c r="D30" i="52"/>
  <c r="D29" i="52"/>
  <c r="D28" i="52"/>
  <c r="D27" i="52"/>
  <c r="D26" i="52"/>
  <c r="D25" i="52"/>
  <c r="D24" i="52"/>
  <c r="D23" i="52"/>
  <c r="D22" i="52"/>
  <c r="D21" i="52"/>
  <c r="D20" i="52"/>
  <c r="D19" i="52"/>
  <c r="D18" i="52"/>
  <c r="D17" i="52"/>
  <c r="D16" i="52"/>
  <c r="D15" i="52"/>
  <c r="D14" i="52"/>
  <c r="D13" i="52"/>
  <c r="D12" i="52"/>
  <c r="D11" i="52"/>
  <c r="D10" i="52"/>
  <c r="D9" i="52"/>
  <c r="A3" i="52"/>
  <c r="D105" i="51"/>
  <c r="D104" i="51"/>
  <c r="D103" i="51"/>
  <c r="D102" i="51"/>
  <c r="D101" i="51"/>
  <c r="D100" i="51"/>
  <c r="D99" i="51"/>
  <c r="D98" i="51"/>
  <c r="D97" i="51"/>
  <c r="D96" i="51"/>
  <c r="D95" i="51"/>
  <c r="D94" i="51"/>
  <c r="D93" i="51"/>
  <c r="D92" i="51"/>
  <c r="D91" i="51"/>
  <c r="D90" i="51"/>
  <c r="D89" i="51"/>
  <c r="D88" i="51"/>
  <c r="D87" i="51"/>
  <c r="D86" i="51"/>
  <c r="D85" i="51"/>
  <c r="D84" i="51"/>
  <c r="D83" i="51"/>
  <c r="D82" i="51"/>
  <c r="D81" i="51"/>
  <c r="D80" i="51"/>
  <c r="D79" i="51"/>
  <c r="D78" i="51"/>
  <c r="D77" i="51"/>
  <c r="D76" i="51"/>
  <c r="D75" i="51"/>
  <c r="D74" i="51"/>
  <c r="D73" i="51"/>
  <c r="D72" i="51"/>
  <c r="D71" i="51"/>
  <c r="D70" i="51"/>
  <c r="D69" i="51"/>
  <c r="D68" i="51"/>
  <c r="D67" i="51"/>
  <c r="D66" i="51"/>
  <c r="D65" i="51"/>
  <c r="D64" i="51"/>
  <c r="D63" i="51"/>
  <c r="D62" i="51"/>
  <c r="D61" i="51"/>
  <c r="D60" i="51"/>
  <c r="D59" i="51"/>
  <c r="D58" i="51"/>
  <c r="D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A3" i="51"/>
  <c r="D105" i="50"/>
  <c r="D104" i="50"/>
  <c r="D103" i="50"/>
  <c r="D102" i="50"/>
  <c r="D101" i="50"/>
  <c r="D100" i="50"/>
  <c r="D99" i="50"/>
  <c r="D98" i="50"/>
  <c r="D97" i="50"/>
  <c r="D96" i="50"/>
  <c r="D95" i="50"/>
  <c r="D94" i="50"/>
  <c r="D93" i="50"/>
  <c r="D92" i="50"/>
  <c r="D91" i="50"/>
  <c r="D90" i="50"/>
  <c r="D89" i="50"/>
  <c r="D88" i="50"/>
  <c r="D87" i="50"/>
  <c r="D86" i="50"/>
  <c r="D85" i="50"/>
  <c r="D84" i="50"/>
  <c r="D83" i="50"/>
  <c r="D82" i="50"/>
  <c r="D81" i="50"/>
  <c r="D80" i="50"/>
  <c r="D79" i="50"/>
  <c r="D78" i="50"/>
  <c r="D77" i="50"/>
  <c r="D76" i="50"/>
  <c r="D75" i="50"/>
  <c r="D74" i="50"/>
  <c r="D73" i="50"/>
  <c r="D72" i="50"/>
  <c r="D71" i="50"/>
  <c r="D70" i="50"/>
  <c r="D69" i="50"/>
  <c r="D68" i="50"/>
  <c r="D67" i="50"/>
  <c r="D66" i="50"/>
  <c r="D65" i="50"/>
  <c r="D64" i="50"/>
  <c r="D63" i="50"/>
  <c r="D62" i="50"/>
  <c r="D61" i="50"/>
  <c r="D60" i="50"/>
  <c r="D59" i="50"/>
  <c r="D58" i="50"/>
  <c r="D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A3" i="50"/>
  <c r="D105" i="49"/>
  <c r="D104" i="49"/>
  <c r="D103" i="49"/>
  <c r="D102" i="49"/>
  <c r="D101" i="49"/>
  <c r="D100" i="49"/>
  <c r="D99" i="49"/>
  <c r="D98" i="49"/>
  <c r="D97" i="49"/>
  <c r="D96" i="49"/>
  <c r="D95" i="49"/>
  <c r="D94" i="49"/>
  <c r="D93" i="49"/>
  <c r="D92" i="49"/>
  <c r="D91" i="49"/>
  <c r="D90" i="49"/>
  <c r="D89" i="49"/>
  <c r="D88" i="49"/>
  <c r="D87" i="49"/>
  <c r="D86" i="49"/>
  <c r="D85" i="49"/>
  <c r="D84" i="49"/>
  <c r="D83" i="49"/>
  <c r="D82" i="49"/>
  <c r="D81" i="49"/>
  <c r="D80" i="49"/>
  <c r="D79" i="49"/>
  <c r="D78" i="49"/>
  <c r="D77" i="49"/>
  <c r="D76" i="49"/>
  <c r="D75" i="49"/>
  <c r="D74" i="49"/>
  <c r="D73" i="49"/>
  <c r="D72" i="49"/>
  <c r="D71" i="49"/>
  <c r="D70" i="49"/>
  <c r="D69" i="49"/>
  <c r="D68" i="49"/>
  <c r="D67" i="49"/>
  <c r="D66" i="49"/>
  <c r="D65" i="49"/>
  <c r="D64" i="49"/>
  <c r="D63" i="49"/>
  <c r="D62" i="49"/>
  <c r="D61" i="49"/>
  <c r="D60" i="49"/>
  <c r="D59" i="49"/>
  <c r="D58" i="49"/>
  <c r="D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A3" i="49"/>
  <c r="E89" i="22"/>
  <c r="D89" i="22"/>
  <c r="E87" i="22"/>
  <c r="D87" i="22"/>
  <c r="E86" i="22"/>
  <c r="D86" i="22"/>
  <c r="E85" i="22"/>
  <c r="D85" i="22"/>
  <c r="E84" i="22"/>
  <c r="D84" i="22"/>
  <c r="E82" i="22"/>
  <c r="D82" i="22"/>
  <c r="E81" i="22"/>
  <c r="D81" i="22"/>
  <c r="O80" i="22"/>
  <c r="N80" i="22"/>
  <c r="M80" i="22"/>
  <c r="L80" i="22"/>
  <c r="K80" i="22"/>
  <c r="J80" i="22"/>
  <c r="I80" i="22"/>
  <c r="H80" i="22"/>
  <c r="G80" i="22"/>
  <c r="F80" i="22"/>
  <c r="E80" i="22"/>
  <c r="D80" i="22"/>
  <c r="E79" i="22"/>
  <c r="D79" i="22"/>
  <c r="E78" i="22"/>
  <c r="D78" i="22"/>
  <c r="E77" i="22"/>
  <c r="E76" i="22"/>
  <c r="D76" i="22"/>
  <c r="O75" i="22"/>
  <c r="N75" i="22"/>
  <c r="M75" i="22"/>
  <c r="L75" i="22"/>
  <c r="K75" i="22"/>
  <c r="J75" i="22"/>
  <c r="I75" i="22"/>
  <c r="H75" i="22"/>
  <c r="G75" i="22"/>
  <c r="F75" i="22"/>
  <c r="E75" i="22"/>
  <c r="D75" i="22"/>
  <c r="E74" i="22"/>
  <c r="D74" i="22"/>
  <c r="E73" i="22"/>
  <c r="D73" i="22"/>
  <c r="E72" i="22"/>
  <c r="D72" i="22"/>
  <c r="E71" i="22"/>
  <c r="E70" i="22"/>
  <c r="O69" i="22"/>
  <c r="N69" i="22"/>
  <c r="M69" i="22"/>
  <c r="L69" i="22"/>
  <c r="K69" i="22"/>
  <c r="J69" i="22"/>
  <c r="I69" i="22"/>
  <c r="H69" i="22"/>
  <c r="G69" i="22"/>
  <c r="F69" i="22"/>
  <c r="E69" i="22"/>
  <c r="O68" i="22"/>
  <c r="N68" i="22"/>
  <c r="M68" i="22"/>
  <c r="L68" i="22"/>
  <c r="K68" i="22"/>
  <c r="J68" i="22"/>
  <c r="I68" i="22"/>
  <c r="H68" i="22"/>
  <c r="G68" i="22"/>
  <c r="F68" i="22"/>
  <c r="E68" i="22"/>
  <c r="D68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O66" i="22"/>
  <c r="N66" i="22"/>
  <c r="M66" i="22"/>
  <c r="L66" i="22"/>
  <c r="K66" i="22"/>
  <c r="J66" i="22"/>
  <c r="I66" i="22"/>
  <c r="H66" i="22"/>
  <c r="G66" i="22"/>
  <c r="F66" i="22"/>
  <c r="E66" i="22"/>
  <c r="D66" i="22"/>
  <c r="N65" i="22"/>
  <c r="M65" i="22"/>
  <c r="L65" i="22"/>
  <c r="K65" i="22"/>
  <c r="J65" i="22"/>
  <c r="I65" i="22"/>
  <c r="H65" i="22"/>
  <c r="G65" i="22"/>
  <c r="F65" i="22"/>
  <c r="E65" i="22"/>
  <c r="D65" i="22"/>
  <c r="E64" i="22"/>
  <c r="D64" i="22"/>
  <c r="E63" i="22"/>
  <c r="D63" i="22"/>
  <c r="N61" i="22"/>
  <c r="M61" i="22"/>
  <c r="L61" i="22"/>
  <c r="K61" i="22"/>
  <c r="J61" i="22"/>
  <c r="I61" i="22"/>
  <c r="H61" i="22"/>
  <c r="G61" i="22"/>
  <c r="F61" i="22"/>
  <c r="E61" i="22"/>
  <c r="D61" i="22"/>
  <c r="E60" i="22"/>
  <c r="D60" i="22"/>
  <c r="E59" i="22"/>
  <c r="D59" i="22"/>
  <c r="O57" i="22"/>
  <c r="N57" i="22"/>
  <c r="M57" i="22"/>
  <c r="L57" i="22"/>
  <c r="K57" i="22"/>
  <c r="J57" i="22"/>
  <c r="I57" i="22"/>
  <c r="H57" i="22"/>
  <c r="G57" i="22"/>
  <c r="F57" i="22"/>
  <c r="E57" i="22"/>
  <c r="D57" i="22"/>
  <c r="E56" i="22"/>
  <c r="D56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O53" i="22"/>
  <c r="N53" i="22"/>
  <c r="M53" i="22"/>
  <c r="L53" i="22"/>
  <c r="K53" i="22"/>
  <c r="J53" i="22"/>
  <c r="I53" i="22"/>
  <c r="H53" i="22"/>
  <c r="G53" i="22"/>
  <c r="F53" i="22"/>
  <c r="E53" i="22"/>
  <c r="D53" i="22"/>
  <c r="E52" i="22"/>
  <c r="D52" i="22"/>
  <c r="E51" i="22"/>
  <c r="D51" i="22"/>
  <c r="E50" i="22"/>
  <c r="D50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E48" i="22"/>
  <c r="D48" i="22"/>
  <c r="E47" i="22"/>
  <c r="D47" i="22"/>
  <c r="O45" i="22"/>
  <c r="N45" i="22"/>
  <c r="M45" i="22"/>
  <c r="L45" i="22"/>
  <c r="K45" i="22"/>
  <c r="J45" i="22"/>
  <c r="I45" i="22"/>
  <c r="H45" i="22"/>
  <c r="G45" i="22"/>
  <c r="F45" i="22"/>
  <c r="E45" i="22"/>
  <c r="D45" i="22"/>
  <c r="E44" i="22"/>
  <c r="D44" i="22"/>
  <c r="E43" i="22"/>
  <c r="D43" i="22"/>
  <c r="N41" i="22"/>
  <c r="M41" i="22"/>
  <c r="L41" i="22"/>
  <c r="K41" i="22"/>
  <c r="J41" i="22"/>
  <c r="I41" i="22"/>
  <c r="H41" i="22"/>
  <c r="G41" i="22"/>
  <c r="F41" i="22"/>
  <c r="E41" i="22"/>
  <c r="D41" i="22"/>
  <c r="E40" i="22"/>
  <c r="D40" i="22"/>
  <c r="E39" i="22"/>
  <c r="D39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N36" i="22"/>
  <c r="M36" i="22"/>
  <c r="L36" i="22"/>
  <c r="K36" i="22"/>
  <c r="J36" i="22"/>
  <c r="I36" i="22"/>
  <c r="H36" i="22"/>
  <c r="G36" i="22"/>
  <c r="F36" i="22"/>
  <c r="E36" i="22"/>
  <c r="D36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E32" i="22"/>
  <c r="D32" i="22"/>
  <c r="E31" i="22"/>
  <c r="D31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E28" i="22"/>
  <c r="D28" i="22"/>
  <c r="E27" i="22"/>
  <c r="D27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E24" i="22"/>
  <c r="D24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O21" i="22"/>
  <c r="N21" i="22"/>
  <c r="M21" i="22"/>
  <c r="L21" i="22"/>
  <c r="K21" i="22"/>
  <c r="J21" i="22"/>
  <c r="I21" i="22"/>
  <c r="H21" i="22"/>
  <c r="G21" i="22"/>
  <c r="F21" i="22"/>
  <c r="E21" i="22"/>
  <c r="D21" i="22"/>
  <c r="E20" i="22"/>
  <c r="D20" i="22"/>
  <c r="E19" i="22"/>
  <c r="D19" i="22"/>
  <c r="O17" i="22"/>
  <c r="N17" i="22"/>
  <c r="M17" i="22"/>
  <c r="L17" i="22"/>
  <c r="K17" i="22"/>
  <c r="J17" i="22"/>
  <c r="I17" i="22"/>
  <c r="H17" i="22"/>
  <c r="G17" i="22"/>
  <c r="F17" i="22"/>
  <c r="E17" i="22"/>
  <c r="D17" i="22"/>
  <c r="N16" i="22"/>
  <c r="M16" i="22"/>
  <c r="L16" i="22"/>
  <c r="K16" i="22"/>
  <c r="J16" i="22"/>
  <c r="I16" i="22"/>
  <c r="H16" i="22"/>
  <c r="G16" i="22"/>
  <c r="F16" i="22"/>
  <c r="E16" i="22"/>
  <c r="D16" i="22"/>
  <c r="O15" i="22"/>
  <c r="N15" i="22"/>
  <c r="M15" i="22"/>
  <c r="L15" i="22"/>
  <c r="K15" i="22"/>
  <c r="J15" i="22"/>
  <c r="I15" i="22"/>
  <c r="H15" i="22"/>
  <c r="G15" i="22"/>
  <c r="F15" i="22"/>
  <c r="E15" i="22"/>
  <c r="D15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O11" i="22"/>
  <c r="N11" i="22"/>
  <c r="M11" i="22"/>
  <c r="L11" i="22"/>
  <c r="K11" i="22"/>
  <c r="J11" i="22"/>
  <c r="I11" i="22"/>
  <c r="H11" i="22"/>
  <c r="G11" i="22"/>
  <c r="F11" i="22"/>
  <c r="E11" i="22"/>
  <c r="D11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O8" i="22"/>
  <c r="N8" i="22"/>
  <c r="M8" i="22"/>
  <c r="L8" i="22"/>
  <c r="K8" i="22"/>
  <c r="J8" i="22"/>
  <c r="I8" i="22"/>
  <c r="H8" i="22"/>
  <c r="G8" i="22"/>
  <c r="F8" i="22"/>
  <c r="E8" i="22"/>
  <c r="D8" i="22"/>
  <c r="A3" i="22"/>
  <c r="D81" i="4"/>
  <c r="D75" i="4"/>
  <c r="D74" i="4"/>
  <c r="D73" i="4"/>
  <c r="D72" i="4"/>
  <c r="D71" i="4"/>
  <c r="D70" i="4"/>
  <c r="D69" i="4"/>
  <c r="D68" i="4"/>
  <c r="D67" i="4"/>
  <c r="D66" i="4"/>
  <c r="D65" i="4"/>
  <c r="D60" i="4"/>
  <c r="D59" i="4"/>
  <c r="D58" i="4"/>
  <c r="D57" i="4"/>
  <c r="D56" i="4"/>
  <c r="D55" i="4"/>
  <c r="D53" i="4"/>
  <c r="D52" i="4"/>
  <c r="D44" i="4"/>
  <c r="D42" i="4"/>
  <c r="D41" i="4"/>
  <c r="D39" i="4"/>
  <c r="D34" i="4"/>
  <c r="D17" i="4"/>
  <c r="D15" i="4"/>
  <c r="D14" i="4"/>
  <c r="D12" i="4"/>
  <c r="D11" i="4"/>
  <c r="D10" i="4"/>
  <c r="D9" i="4"/>
  <c r="D8" i="4"/>
  <c r="A3" i="4"/>
  <c r="C13" i="105"/>
  <c r="C10" i="105"/>
  <c r="L11" i="97"/>
  <c r="L10" i="97"/>
  <c r="L9" i="97"/>
  <c r="L8" i="97"/>
  <c r="L7" i="97"/>
  <c r="L6" i="97"/>
  <c r="L5" i="97"/>
  <c r="L4" i="97"/>
  <c r="L3" i="97"/>
  <c r="D66" i="3"/>
  <c r="D63" i="3"/>
  <c r="D62" i="3"/>
  <c r="D61" i="3"/>
  <c r="D60" i="3"/>
  <c r="D56" i="3"/>
  <c r="D55" i="3"/>
  <c r="D54" i="3"/>
  <c r="D53" i="3"/>
  <c r="D44" i="3"/>
  <c r="D41" i="3"/>
  <c r="D40" i="3"/>
  <c r="D39" i="3"/>
  <c r="D38" i="3"/>
  <c r="D37" i="3"/>
  <c r="D36" i="3"/>
  <c r="D35" i="3"/>
  <c r="D34" i="3"/>
  <c r="D33" i="3"/>
  <c r="D29" i="3"/>
  <c r="D28" i="3"/>
  <c r="D27" i="3"/>
  <c r="D26" i="3"/>
  <c r="D24" i="3"/>
  <c r="D23" i="3"/>
  <c r="D21" i="3"/>
  <c r="D14" i="3"/>
  <c r="D13" i="3"/>
  <c r="D12" i="3"/>
  <c r="D11" i="3"/>
  <c r="D10" i="3"/>
  <c r="A3" i="3"/>
  <c r="D26" i="20"/>
  <c r="D25" i="20"/>
  <c r="D24" i="20"/>
  <c r="D22" i="20"/>
  <c r="D21" i="20"/>
  <c r="D20" i="20"/>
  <c r="D19" i="20"/>
  <c r="D16" i="20"/>
  <c r="D15" i="20"/>
  <c r="D14" i="20"/>
  <c r="D13" i="20"/>
  <c r="D12" i="20"/>
  <c r="D11" i="20"/>
  <c r="D10" i="20"/>
  <c r="D9" i="20"/>
  <c r="D8" i="20"/>
  <c r="K191" i="99"/>
  <c r="K190" i="99"/>
  <c r="H190" i="99"/>
  <c r="K189" i="99"/>
  <c r="D189" i="99"/>
  <c r="K188" i="99"/>
  <c r="H188" i="99"/>
  <c r="G188" i="99"/>
  <c r="F188" i="99"/>
  <c r="E188" i="99"/>
  <c r="K187" i="99"/>
  <c r="H187" i="99"/>
  <c r="K186" i="99"/>
  <c r="J186" i="99"/>
  <c r="I186" i="99"/>
  <c r="H186" i="99"/>
  <c r="G186" i="99"/>
  <c r="F186" i="99"/>
  <c r="E186" i="99"/>
  <c r="K185" i="99"/>
  <c r="K184" i="99"/>
  <c r="J184" i="99"/>
  <c r="I184" i="99"/>
  <c r="H184" i="99"/>
  <c r="F184" i="99"/>
  <c r="K183" i="99"/>
  <c r="J183" i="99"/>
  <c r="I183" i="99"/>
  <c r="H183" i="99"/>
  <c r="F183" i="99"/>
  <c r="K182" i="99"/>
  <c r="K181" i="99"/>
  <c r="K180" i="99"/>
  <c r="H180" i="99"/>
  <c r="K179" i="99"/>
  <c r="H179" i="99"/>
  <c r="K178" i="99"/>
  <c r="K177" i="99"/>
  <c r="J177" i="99"/>
  <c r="I177" i="99"/>
  <c r="H177" i="99"/>
  <c r="G177" i="99"/>
  <c r="F177" i="99"/>
  <c r="E177" i="99"/>
  <c r="D177" i="99"/>
  <c r="K176" i="99"/>
  <c r="K175" i="99"/>
  <c r="K174" i="99"/>
  <c r="K173" i="99"/>
  <c r="J173" i="99"/>
  <c r="I173" i="99"/>
  <c r="H173" i="99"/>
  <c r="G173" i="99"/>
  <c r="F173" i="99"/>
  <c r="E173" i="99"/>
  <c r="D173" i="99"/>
  <c r="K172" i="99"/>
  <c r="K171" i="99"/>
  <c r="K170" i="99"/>
  <c r="K169" i="99"/>
  <c r="K168" i="99"/>
  <c r="K167" i="99"/>
  <c r="K166" i="99"/>
  <c r="K165" i="99"/>
  <c r="J165" i="99"/>
  <c r="I165" i="99"/>
  <c r="H165" i="99"/>
  <c r="G165" i="99"/>
  <c r="F165" i="99"/>
  <c r="E165" i="99"/>
  <c r="D165" i="99"/>
  <c r="K164" i="99"/>
  <c r="J164" i="99"/>
  <c r="I164" i="99"/>
  <c r="H164" i="99"/>
  <c r="G164" i="99"/>
  <c r="F164" i="99"/>
  <c r="E164" i="99"/>
  <c r="D164" i="99"/>
  <c r="K163" i="99"/>
  <c r="J163" i="99"/>
  <c r="I163" i="99"/>
  <c r="H163" i="99"/>
  <c r="G163" i="99"/>
  <c r="F163" i="99"/>
  <c r="E163" i="99"/>
  <c r="D163" i="99"/>
  <c r="K162" i="99"/>
  <c r="J162" i="99"/>
  <c r="I162" i="99"/>
  <c r="H162" i="99"/>
  <c r="G162" i="99"/>
  <c r="F162" i="99"/>
  <c r="E162" i="99"/>
  <c r="D162" i="99"/>
  <c r="K161" i="99"/>
  <c r="J161" i="99"/>
  <c r="I161" i="99"/>
  <c r="H161" i="99"/>
  <c r="G161" i="99"/>
  <c r="F161" i="99"/>
  <c r="E161" i="99"/>
  <c r="D161" i="99"/>
  <c r="K160" i="99"/>
  <c r="K159" i="99"/>
  <c r="J159" i="99"/>
  <c r="I159" i="99"/>
  <c r="H159" i="99"/>
  <c r="G159" i="99"/>
  <c r="F159" i="99"/>
  <c r="E159" i="99"/>
  <c r="D159" i="99"/>
  <c r="K158" i="99"/>
  <c r="K157" i="99"/>
  <c r="K156" i="99"/>
  <c r="K155" i="99"/>
  <c r="K154" i="99"/>
  <c r="K153" i="99"/>
  <c r="K152" i="99"/>
  <c r="J152" i="99"/>
  <c r="I152" i="99"/>
  <c r="H152" i="99"/>
  <c r="G152" i="99"/>
  <c r="F152" i="99"/>
  <c r="E152" i="99"/>
  <c r="D152" i="99"/>
  <c r="K151" i="99"/>
  <c r="J151" i="99"/>
  <c r="I151" i="99"/>
  <c r="H151" i="99"/>
  <c r="G151" i="99"/>
  <c r="F151" i="99"/>
  <c r="K150" i="99"/>
  <c r="J150" i="99"/>
  <c r="I150" i="99"/>
  <c r="H150" i="99"/>
  <c r="G150" i="99"/>
  <c r="F150" i="99"/>
  <c r="K149" i="99"/>
  <c r="J149" i="99"/>
  <c r="I149" i="99"/>
  <c r="H149" i="99"/>
  <c r="G149" i="99"/>
  <c r="F149" i="99"/>
  <c r="K148" i="99"/>
  <c r="J148" i="99"/>
  <c r="I148" i="99"/>
  <c r="H148" i="99"/>
  <c r="G148" i="99"/>
  <c r="F148" i="99"/>
  <c r="K147" i="99"/>
  <c r="J147" i="99"/>
  <c r="I147" i="99"/>
  <c r="H147" i="99"/>
  <c r="G147" i="99"/>
  <c r="F147" i="99"/>
  <c r="K146" i="99"/>
  <c r="K145" i="99"/>
  <c r="J145" i="99"/>
  <c r="I145" i="99"/>
  <c r="H145" i="99"/>
  <c r="G145" i="99"/>
  <c r="F145" i="99"/>
  <c r="E145" i="99"/>
  <c r="D145" i="99"/>
  <c r="K144" i="99"/>
  <c r="K142" i="99"/>
  <c r="H142" i="99"/>
  <c r="K141" i="99"/>
  <c r="K140" i="99"/>
  <c r="J140" i="99"/>
  <c r="I140" i="99"/>
  <c r="K139" i="99"/>
  <c r="K138" i="99"/>
  <c r="K137" i="99"/>
  <c r="K136" i="99"/>
  <c r="J136" i="99"/>
  <c r="I136" i="99"/>
  <c r="H136" i="99"/>
  <c r="G136" i="99"/>
  <c r="F136" i="99"/>
  <c r="K135" i="99"/>
  <c r="J135" i="99"/>
  <c r="I135" i="99"/>
  <c r="H135" i="99"/>
  <c r="G135" i="99"/>
  <c r="F135" i="99"/>
  <c r="E135" i="99"/>
  <c r="D135" i="99"/>
  <c r="K134" i="99"/>
  <c r="K133" i="99"/>
  <c r="I133" i="99"/>
  <c r="H133" i="99"/>
  <c r="F133" i="99"/>
  <c r="K132" i="99"/>
  <c r="E132" i="99"/>
  <c r="K131" i="99"/>
  <c r="K130" i="99"/>
  <c r="H130" i="99"/>
  <c r="K129" i="99"/>
  <c r="D129" i="99"/>
  <c r="K128" i="99"/>
  <c r="H128" i="99"/>
  <c r="K127" i="99"/>
  <c r="H127" i="99"/>
  <c r="K126" i="99"/>
  <c r="K125" i="99"/>
  <c r="I125" i="99"/>
  <c r="K124" i="99"/>
  <c r="I124" i="99"/>
  <c r="H124" i="99"/>
  <c r="G124" i="99"/>
  <c r="F124" i="99"/>
  <c r="E124" i="99"/>
  <c r="D124" i="99"/>
  <c r="K123" i="99"/>
  <c r="G123" i="99"/>
  <c r="K122" i="99"/>
  <c r="J122" i="99"/>
  <c r="I122" i="99"/>
  <c r="H122" i="99"/>
  <c r="G122" i="99"/>
  <c r="F122" i="99"/>
  <c r="E122" i="99"/>
  <c r="K121" i="99"/>
  <c r="G121" i="99"/>
  <c r="F121" i="99"/>
  <c r="K120" i="99"/>
  <c r="J120" i="99"/>
  <c r="I120" i="99"/>
  <c r="H120" i="99"/>
  <c r="G120" i="99"/>
  <c r="F120" i="99"/>
  <c r="E120" i="99"/>
  <c r="K119" i="99"/>
  <c r="K118" i="99"/>
  <c r="K117" i="99"/>
  <c r="K116" i="99"/>
  <c r="K115" i="99"/>
  <c r="K114" i="99"/>
  <c r="K113" i="99"/>
  <c r="K112" i="99"/>
  <c r="K111" i="99"/>
  <c r="K110" i="99"/>
  <c r="K109" i="99"/>
  <c r="K108" i="99"/>
  <c r="K107" i="99"/>
  <c r="K105" i="99"/>
  <c r="G105" i="99"/>
  <c r="K104" i="99"/>
  <c r="J104" i="99"/>
  <c r="I104" i="99"/>
  <c r="H104" i="99"/>
  <c r="G104" i="99"/>
  <c r="F104" i="99"/>
  <c r="E104" i="99"/>
  <c r="K103" i="99"/>
  <c r="J103" i="99"/>
  <c r="I103" i="99"/>
  <c r="H103" i="99"/>
  <c r="G103" i="99"/>
  <c r="F103" i="99"/>
  <c r="E103" i="99"/>
  <c r="K102" i="99"/>
  <c r="K101" i="99"/>
  <c r="K100" i="99"/>
  <c r="K99" i="99"/>
  <c r="K98" i="99"/>
  <c r="K97" i="99"/>
  <c r="K96" i="99"/>
  <c r="J96" i="99"/>
  <c r="I96" i="99"/>
  <c r="H96" i="99"/>
  <c r="G96" i="99"/>
  <c r="F96" i="99"/>
  <c r="E96" i="99"/>
  <c r="D96" i="99"/>
  <c r="K95" i="99"/>
  <c r="K94" i="99"/>
  <c r="K93" i="99"/>
  <c r="K92" i="99"/>
  <c r="K91" i="99"/>
  <c r="K90" i="99"/>
  <c r="K89" i="99"/>
  <c r="J89" i="99"/>
  <c r="I89" i="99"/>
  <c r="H89" i="99"/>
  <c r="G89" i="99"/>
  <c r="F89" i="99"/>
  <c r="E89" i="99"/>
  <c r="D89" i="99"/>
  <c r="K88" i="99"/>
  <c r="K82" i="99"/>
  <c r="J82" i="99"/>
  <c r="I82" i="99"/>
  <c r="H82" i="99"/>
  <c r="G82" i="99"/>
  <c r="F82" i="99"/>
  <c r="E82" i="99"/>
  <c r="D82" i="99"/>
  <c r="K81" i="99"/>
  <c r="K80" i="99"/>
  <c r="J80" i="99"/>
  <c r="I80" i="99"/>
  <c r="H80" i="99"/>
  <c r="G80" i="99"/>
  <c r="F80" i="99"/>
  <c r="E80" i="99"/>
  <c r="D80" i="99"/>
  <c r="K79" i="99"/>
  <c r="K78" i="99"/>
  <c r="K77" i="99"/>
  <c r="K76" i="99"/>
  <c r="K75" i="99"/>
  <c r="J75" i="99"/>
  <c r="I75" i="99"/>
  <c r="H75" i="99"/>
  <c r="G75" i="99"/>
  <c r="F75" i="99"/>
  <c r="E75" i="99"/>
  <c r="K74" i="99"/>
  <c r="J74" i="99"/>
  <c r="I74" i="99"/>
  <c r="H74" i="99"/>
  <c r="G74" i="99"/>
  <c r="F74" i="99"/>
  <c r="E74" i="99"/>
  <c r="D74" i="99"/>
  <c r="K73" i="99"/>
  <c r="K72" i="99"/>
  <c r="K70" i="99"/>
  <c r="K69" i="99"/>
  <c r="J69" i="99"/>
  <c r="I69" i="99"/>
  <c r="H69" i="99"/>
  <c r="G69" i="99"/>
  <c r="F69" i="99"/>
  <c r="E69" i="99"/>
  <c r="K68" i="99"/>
  <c r="J68" i="99"/>
  <c r="I68" i="99"/>
  <c r="H68" i="99"/>
  <c r="G68" i="99"/>
  <c r="F68" i="99"/>
  <c r="E68" i="99"/>
  <c r="D68" i="99"/>
  <c r="K67" i="99"/>
  <c r="J67" i="99"/>
  <c r="I67" i="99"/>
  <c r="H67" i="99"/>
  <c r="G67" i="99"/>
  <c r="F67" i="99"/>
  <c r="E67" i="99"/>
  <c r="D67" i="99"/>
  <c r="K63" i="99"/>
  <c r="J63" i="99"/>
  <c r="I63" i="99"/>
  <c r="H63" i="99"/>
  <c r="G63" i="99"/>
  <c r="F63" i="99"/>
  <c r="E63" i="99"/>
  <c r="D63" i="99"/>
  <c r="K59" i="99"/>
  <c r="J59" i="99"/>
  <c r="I59" i="99"/>
  <c r="H59" i="99"/>
  <c r="G59" i="99"/>
  <c r="F59" i="99"/>
  <c r="E59" i="99"/>
  <c r="D59" i="99"/>
  <c r="K58" i="99"/>
  <c r="K57" i="99"/>
  <c r="K56" i="99"/>
  <c r="J56" i="99"/>
  <c r="I56" i="99"/>
  <c r="H56" i="99"/>
  <c r="G56" i="99"/>
  <c r="F56" i="99"/>
  <c r="E56" i="99"/>
  <c r="D56" i="99"/>
  <c r="K55" i="99"/>
  <c r="J55" i="99"/>
  <c r="I55" i="99"/>
  <c r="H55" i="99"/>
  <c r="G55" i="99"/>
  <c r="F55" i="99"/>
  <c r="E55" i="99"/>
  <c r="D55" i="99"/>
  <c r="K54" i="99"/>
  <c r="J54" i="99"/>
  <c r="I54" i="99"/>
  <c r="H54" i="99"/>
  <c r="G54" i="99"/>
  <c r="F54" i="99"/>
  <c r="E54" i="99"/>
  <c r="D54" i="99"/>
  <c r="K53" i="99"/>
  <c r="J53" i="99"/>
  <c r="I53" i="99"/>
  <c r="H53" i="99"/>
  <c r="G53" i="99"/>
  <c r="F53" i="99"/>
  <c r="E53" i="99"/>
  <c r="D53" i="99"/>
  <c r="K52" i="99"/>
  <c r="K51" i="99"/>
  <c r="K50" i="99"/>
  <c r="K49" i="99"/>
  <c r="J49" i="99"/>
  <c r="I49" i="99"/>
  <c r="H49" i="99"/>
  <c r="G49" i="99"/>
  <c r="F49" i="99"/>
  <c r="E49" i="99"/>
  <c r="K48" i="99"/>
  <c r="D48" i="99"/>
  <c r="K47" i="99"/>
  <c r="K43" i="99"/>
  <c r="J43" i="99"/>
  <c r="I43" i="99"/>
  <c r="H43" i="99"/>
  <c r="G43" i="99"/>
  <c r="F43" i="99"/>
  <c r="E43" i="99"/>
  <c r="D43" i="99"/>
  <c r="K42" i="99"/>
  <c r="K41" i="99"/>
  <c r="K40" i="99"/>
  <c r="J40" i="99"/>
  <c r="I40" i="99"/>
  <c r="H40" i="99"/>
  <c r="G40" i="99"/>
  <c r="F40" i="99"/>
  <c r="E40" i="99"/>
  <c r="D40" i="99"/>
  <c r="K39" i="99"/>
  <c r="J39" i="99"/>
  <c r="I39" i="99"/>
  <c r="H39" i="99"/>
  <c r="G39" i="99"/>
  <c r="F39" i="99"/>
  <c r="E39" i="99"/>
  <c r="D39" i="99"/>
  <c r="K38" i="99"/>
  <c r="J38" i="99"/>
  <c r="I38" i="99"/>
  <c r="H38" i="99"/>
  <c r="G38" i="99"/>
  <c r="F38" i="99"/>
  <c r="E38" i="99"/>
  <c r="D38" i="99"/>
  <c r="K28" i="99"/>
  <c r="J28" i="99"/>
  <c r="I28" i="99"/>
  <c r="H28" i="99"/>
  <c r="G28" i="99"/>
  <c r="F28" i="99"/>
  <c r="E28" i="99"/>
  <c r="D28" i="99"/>
  <c r="K27" i="99"/>
  <c r="K26" i="99"/>
  <c r="K25" i="99"/>
  <c r="J25" i="99"/>
  <c r="I25" i="99"/>
  <c r="H25" i="99"/>
  <c r="G25" i="99"/>
  <c r="F25" i="99"/>
  <c r="E25" i="99"/>
  <c r="D25" i="99"/>
  <c r="K24" i="99"/>
  <c r="J24" i="99"/>
  <c r="I24" i="99"/>
  <c r="H24" i="99"/>
  <c r="G24" i="99"/>
  <c r="F24" i="99"/>
  <c r="E24" i="99"/>
  <c r="D24" i="99"/>
  <c r="K23" i="99"/>
  <c r="J23" i="99"/>
  <c r="I23" i="99"/>
  <c r="H23" i="99"/>
  <c r="G23" i="99"/>
  <c r="F23" i="99"/>
  <c r="E23" i="99"/>
  <c r="D23" i="99"/>
  <c r="K22" i="99"/>
  <c r="J22" i="99"/>
  <c r="I22" i="99"/>
  <c r="H22" i="99"/>
  <c r="G22" i="99"/>
  <c r="F22" i="99"/>
  <c r="E22" i="99"/>
  <c r="D22" i="99"/>
  <c r="K21" i="99"/>
  <c r="J21" i="99"/>
  <c r="I21" i="99"/>
  <c r="H21" i="99"/>
  <c r="G21" i="99"/>
  <c r="F21" i="99"/>
  <c r="E21" i="99"/>
  <c r="D21" i="99"/>
  <c r="K20" i="99"/>
  <c r="J20" i="99"/>
  <c r="I20" i="99"/>
  <c r="H20" i="99"/>
  <c r="G20" i="99"/>
  <c r="F20" i="99"/>
  <c r="E20" i="99"/>
  <c r="D20" i="99"/>
  <c r="K19" i="99"/>
  <c r="J19" i="99"/>
  <c r="I19" i="99"/>
  <c r="H19" i="99"/>
  <c r="G19" i="99"/>
  <c r="F19" i="99"/>
  <c r="E19" i="99"/>
  <c r="D19" i="99"/>
  <c r="K18" i="99"/>
  <c r="J18" i="99"/>
  <c r="I18" i="99"/>
  <c r="H18" i="99"/>
  <c r="G18" i="99"/>
  <c r="F18" i="99"/>
  <c r="E18" i="99"/>
  <c r="D18" i="99"/>
  <c r="K17" i="99"/>
  <c r="J17" i="99"/>
  <c r="I17" i="99"/>
  <c r="H17" i="99"/>
  <c r="G17" i="99"/>
  <c r="F17" i="99"/>
  <c r="E17" i="99"/>
  <c r="D17" i="99"/>
  <c r="K16" i="99"/>
  <c r="J16" i="99"/>
  <c r="I16" i="99"/>
  <c r="H16" i="99"/>
  <c r="G16" i="99"/>
  <c r="F16" i="99"/>
  <c r="E16" i="99"/>
  <c r="D16" i="99"/>
  <c r="K15" i="99"/>
  <c r="K14" i="99"/>
  <c r="K13" i="99"/>
  <c r="K12" i="99"/>
  <c r="K11" i="99"/>
  <c r="K10" i="99"/>
  <c r="K191" i="98"/>
  <c r="K190" i="98"/>
  <c r="H190" i="98"/>
  <c r="K189" i="98"/>
  <c r="D189" i="98"/>
  <c r="K188" i="98"/>
  <c r="H188" i="98"/>
  <c r="G188" i="98"/>
  <c r="F188" i="98"/>
  <c r="E188" i="98"/>
  <c r="K187" i="98"/>
  <c r="H187" i="98"/>
  <c r="K186" i="98"/>
  <c r="J186" i="98"/>
  <c r="I186" i="98"/>
  <c r="H186" i="98"/>
  <c r="G186" i="98"/>
  <c r="F186" i="98"/>
  <c r="E186" i="98"/>
  <c r="K185" i="98"/>
  <c r="K184" i="98"/>
  <c r="J184" i="98"/>
  <c r="I184" i="98"/>
  <c r="H184" i="98"/>
  <c r="F184" i="98"/>
  <c r="K183" i="98"/>
  <c r="J183" i="98"/>
  <c r="I183" i="98"/>
  <c r="H183" i="98"/>
  <c r="F183" i="98"/>
  <c r="K182" i="98"/>
  <c r="K181" i="98"/>
  <c r="K180" i="98"/>
  <c r="H180" i="98"/>
  <c r="K179" i="98"/>
  <c r="H179" i="98"/>
  <c r="K178" i="98"/>
  <c r="K177" i="98"/>
  <c r="J177" i="98"/>
  <c r="I177" i="98"/>
  <c r="H177" i="98"/>
  <c r="G177" i="98"/>
  <c r="F177" i="98"/>
  <c r="E177" i="98"/>
  <c r="D177" i="98"/>
  <c r="K176" i="98"/>
  <c r="K175" i="98"/>
  <c r="K174" i="98"/>
  <c r="K173" i="98"/>
  <c r="J173" i="98"/>
  <c r="I173" i="98"/>
  <c r="H173" i="98"/>
  <c r="G173" i="98"/>
  <c r="F173" i="98"/>
  <c r="E173" i="98"/>
  <c r="D173" i="98"/>
  <c r="K172" i="98"/>
  <c r="K171" i="98"/>
  <c r="K170" i="98"/>
  <c r="K169" i="98"/>
  <c r="K168" i="98"/>
  <c r="K167" i="98"/>
  <c r="K166" i="98"/>
  <c r="K165" i="98"/>
  <c r="J165" i="98"/>
  <c r="I165" i="98"/>
  <c r="H165" i="98"/>
  <c r="G165" i="98"/>
  <c r="F165" i="98"/>
  <c r="E165" i="98"/>
  <c r="D165" i="98"/>
  <c r="K164" i="98"/>
  <c r="J164" i="98"/>
  <c r="I164" i="98"/>
  <c r="H164" i="98"/>
  <c r="G164" i="98"/>
  <c r="F164" i="98"/>
  <c r="E164" i="98"/>
  <c r="D164" i="98"/>
  <c r="K163" i="98"/>
  <c r="J163" i="98"/>
  <c r="I163" i="98"/>
  <c r="H163" i="98"/>
  <c r="G163" i="98"/>
  <c r="F163" i="98"/>
  <c r="E163" i="98"/>
  <c r="D163" i="98"/>
  <c r="K162" i="98"/>
  <c r="J162" i="98"/>
  <c r="I162" i="98"/>
  <c r="H162" i="98"/>
  <c r="G162" i="98"/>
  <c r="F162" i="98"/>
  <c r="E162" i="98"/>
  <c r="D162" i="98"/>
  <c r="K161" i="98"/>
  <c r="J161" i="98"/>
  <c r="I161" i="98"/>
  <c r="H161" i="98"/>
  <c r="G161" i="98"/>
  <c r="F161" i="98"/>
  <c r="E161" i="98"/>
  <c r="D161" i="98"/>
  <c r="K160" i="98"/>
  <c r="K159" i="98"/>
  <c r="J159" i="98"/>
  <c r="I159" i="98"/>
  <c r="H159" i="98"/>
  <c r="G159" i="98"/>
  <c r="F159" i="98"/>
  <c r="E159" i="98"/>
  <c r="D159" i="98"/>
  <c r="K158" i="98"/>
  <c r="K157" i="98"/>
  <c r="K156" i="98"/>
  <c r="K155" i="98"/>
  <c r="K154" i="98"/>
  <c r="K153" i="98"/>
  <c r="K152" i="98"/>
  <c r="J152" i="98"/>
  <c r="I152" i="98"/>
  <c r="H152" i="98"/>
  <c r="G152" i="98"/>
  <c r="F152" i="98"/>
  <c r="E152" i="98"/>
  <c r="D152" i="98"/>
  <c r="K151" i="98"/>
  <c r="J151" i="98"/>
  <c r="I151" i="98"/>
  <c r="H151" i="98"/>
  <c r="G151" i="98"/>
  <c r="F151" i="98"/>
  <c r="K150" i="98"/>
  <c r="J150" i="98"/>
  <c r="I150" i="98"/>
  <c r="H150" i="98"/>
  <c r="G150" i="98"/>
  <c r="F150" i="98"/>
  <c r="K149" i="98"/>
  <c r="J149" i="98"/>
  <c r="I149" i="98"/>
  <c r="H149" i="98"/>
  <c r="G149" i="98"/>
  <c r="F149" i="98"/>
  <c r="K148" i="98"/>
  <c r="J148" i="98"/>
  <c r="I148" i="98"/>
  <c r="H148" i="98"/>
  <c r="G148" i="98"/>
  <c r="F148" i="98"/>
  <c r="K147" i="98"/>
  <c r="J147" i="98"/>
  <c r="I147" i="98"/>
  <c r="H147" i="98"/>
  <c r="G147" i="98"/>
  <c r="F147" i="98"/>
  <c r="K146" i="98"/>
  <c r="K145" i="98"/>
  <c r="J145" i="98"/>
  <c r="I145" i="98"/>
  <c r="H145" i="98"/>
  <c r="G145" i="98"/>
  <c r="F145" i="98"/>
  <c r="E145" i="98"/>
  <c r="D145" i="98"/>
  <c r="K144" i="98"/>
  <c r="K142" i="98"/>
  <c r="H142" i="98"/>
  <c r="K141" i="98"/>
  <c r="K140" i="98"/>
  <c r="J140" i="98"/>
  <c r="I140" i="98"/>
  <c r="K139" i="98"/>
  <c r="K138" i="98"/>
  <c r="K137" i="98"/>
  <c r="K136" i="98"/>
  <c r="J136" i="98"/>
  <c r="I136" i="98"/>
  <c r="H136" i="98"/>
  <c r="G136" i="98"/>
  <c r="F136" i="98"/>
  <c r="K135" i="98"/>
  <c r="J135" i="98"/>
  <c r="I135" i="98"/>
  <c r="H135" i="98"/>
  <c r="G135" i="98"/>
  <c r="F135" i="98"/>
  <c r="E135" i="98"/>
  <c r="D135" i="98"/>
  <c r="K134" i="98"/>
  <c r="K133" i="98"/>
  <c r="I133" i="98"/>
  <c r="H133" i="98"/>
  <c r="F133" i="98"/>
  <c r="K132" i="98"/>
  <c r="E132" i="98"/>
  <c r="K131" i="98"/>
  <c r="K130" i="98"/>
  <c r="H130" i="98"/>
  <c r="K129" i="98"/>
  <c r="D129" i="98"/>
  <c r="K128" i="98"/>
  <c r="H128" i="98"/>
  <c r="K127" i="98"/>
  <c r="H127" i="98"/>
  <c r="K126" i="98"/>
  <c r="K125" i="98"/>
  <c r="I125" i="98"/>
  <c r="K124" i="98"/>
  <c r="I124" i="98"/>
  <c r="H124" i="98"/>
  <c r="G124" i="98"/>
  <c r="F124" i="98"/>
  <c r="E124" i="98"/>
  <c r="D124" i="98"/>
  <c r="K123" i="98"/>
  <c r="G123" i="98"/>
  <c r="K122" i="98"/>
  <c r="J122" i="98"/>
  <c r="I122" i="98"/>
  <c r="H122" i="98"/>
  <c r="G122" i="98"/>
  <c r="F122" i="98"/>
  <c r="E122" i="98"/>
  <c r="K121" i="98"/>
  <c r="G121" i="98"/>
  <c r="F121" i="98"/>
  <c r="K120" i="98"/>
  <c r="J120" i="98"/>
  <c r="I120" i="98"/>
  <c r="H120" i="98"/>
  <c r="G120" i="98"/>
  <c r="F120" i="98"/>
  <c r="E120" i="98"/>
  <c r="K119" i="98"/>
  <c r="K118" i="98"/>
  <c r="K117" i="98"/>
  <c r="K116" i="98"/>
  <c r="K115" i="98"/>
  <c r="K114" i="98"/>
  <c r="K113" i="98"/>
  <c r="K112" i="98"/>
  <c r="K111" i="98"/>
  <c r="K110" i="98"/>
  <c r="K109" i="98"/>
  <c r="K108" i="98"/>
  <c r="K107" i="98"/>
  <c r="K105" i="98"/>
  <c r="G105" i="98"/>
  <c r="K104" i="98"/>
  <c r="J104" i="98"/>
  <c r="I104" i="98"/>
  <c r="H104" i="98"/>
  <c r="G104" i="98"/>
  <c r="F104" i="98"/>
  <c r="E104" i="98"/>
  <c r="K103" i="98"/>
  <c r="J103" i="98"/>
  <c r="I103" i="98"/>
  <c r="H103" i="98"/>
  <c r="G103" i="98"/>
  <c r="F103" i="98"/>
  <c r="E103" i="98"/>
  <c r="K102" i="98"/>
  <c r="K101" i="98"/>
  <c r="K100" i="98"/>
  <c r="K99" i="98"/>
  <c r="K98" i="98"/>
  <c r="K97" i="98"/>
  <c r="K96" i="98"/>
  <c r="J96" i="98"/>
  <c r="I96" i="98"/>
  <c r="H96" i="98"/>
  <c r="G96" i="98"/>
  <c r="F96" i="98"/>
  <c r="E96" i="98"/>
  <c r="D96" i="98"/>
  <c r="K95" i="98"/>
  <c r="K94" i="98"/>
  <c r="K93" i="98"/>
  <c r="K92" i="98"/>
  <c r="K91" i="98"/>
  <c r="K90" i="98"/>
  <c r="K89" i="98"/>
  <c r="J89" i="98"/>
  <c r="I89" i="98"/>
  <c r="H89" i="98"/>
  <c r="G89" i="98"/>
  <c r="F89" i="98"/>
  <c r="E89" i="98"/>
  <c r="D89" i="98"/>
  <c r="K88" i="98"/>
  <c r="K82" i="98"/>
  <c r="J82" i="98"/>
  <c r="I82" i="98"/>
  <c r="H82" i="98"/>
  <c r="G82" i="98"/>
  <c r="F82" i="98"/>
  <c r="E82" i="98"/>
  <c r="D82" i="98"/>
  <c r="K81" i="98"/>
  <c r="K80" i="98"/>
  <c r="J80" i="98"/>
  <c r="I80" i="98"/>
  <c r="H80" i="98"/>
  <c r="G80" i="98"/>
  <c r="F80" i="98"/>
  <c r="E80" i="98"/>
  <c r="D80" i="98"/>
  <c r="K79" i="98"/>
  <c r="K78" i="98"/>
  <c r="K77" i="98"/>
  <c r="K76" i="98"/>
  <c r="K75" i="98"/>
  <c r="J75" i="98"/>
  <c r="I75" i="98"/>
  <c r="H75" i="98"/>
  <c r="G75" i="98"/>
  <c r="F75" i="98"/>
  <c r="E75" i="98"/>
  <c r="K74" i="98"/>
  <c r="J74" i="98"/>
  <c r="I74" i="98"/>
  <c r="H74" i="98"/>
  <c r="G74" i="98"/>
  <c r="F74" i="98"/>
  <c r="E74" i="98"/>
  <c r="D74" i="98"/>
  <c r="K73" i="98"/>
  <c r="K72" i="98"/>
  <c r="K70" i="98"/>
  <c r="K69" i="98"/>
  <c r="J69" i="98"/>
  <c r="I69" i="98"/>
  <c r="H69" i="98"/>
  <c r="G69" i="98"/>
  <c r="F69" i="98"/>
  <c r="E69" i="98"/>
  <c r="K68" i="98"/>
  <c r="J68" i="98"/>
  <c r="I68" i="98"/>
  <c r="H68" i="98"/>
  <c r="G68" i="98"/>
  <c r="F68" i="98"/>
  <c r="E68" i="98"/>
  <c r="D68" i="98"/>
  <c r="K67" i="98"/>
  <c r="J67" i="98"/>
  <c r="I67" i="98"/>
  <c r="H67" i="98"/>
  <c r="G67" i="98"/>
  <c r="F67" i="98"/>
  <c r="E67" i="98"/>
  <c r="D67" i="98"/>
  <c r="K63" i="98"/>
  <c r="J63" i="98"/>
  <c r="I63" i="98"/>
  <c r="H63" i="98"/>
  <c r="G63" i="98"/>
  <c r="F63" i="98"/>
  <c r="E63" i="98"/>
  <c r="D63" i="98"/>
  <c r="K59" i="98"/>
  <c r="J59" i="98"/>
  <c r="I59" i="98"/>
  <c r="H59" i="98"/>
  <c r="G59" i="98"/>
  <c r="F59" i="98"/>
  <c r="E59" i="98"/>
  <c r="D59" i="98"/>
  <c r="K58" i="98"/>
  <c r="K57" i="98"/>
  <c r="K56" i="98"/>
  <c r="J56" i="98"/>
  <c r="I56" i="98"/>
  <c r="H56" i="98"/>
  <c r="G56" i="98"/>
  <c r="F56" i="98"/>
  <c r="E56" i="98"/>
  <c r="D56" i="98"/>
  <c r="K55" i="98"/>
  <c r="J55" i="98"/>
  <c r="I55" i="98"/>
  <c r="H55" i="98"/>
  <c r="G55" i="98"/>
  <c r="F55" i="98"/>
  <c r="E55" i="98"/>
  <c r="D55" i="98"/>
  <c r="K54" i="98"/>
  <c r="J54" i="98"/>
  <c r="I54" i="98"/>
  <c r="H54" i="98"/>
  <c r="G54" i="98"/>
  <c r="F54" i="98"/>
  <c r="E54" i="98"/>
  <c r="D54" i="98"/>
  <c r="K53" i="98"/>
  <c r="J53" i="98"/>
  <c r="I53" i="98"/>
  <c r="H53" i="98"/>
  <c r="G53" i="98"/>
  <c r="F53" i="98"/>
  <c r="E53" i="98"/>
  <c r="D53" i="98"/>
  <c r="K52" i="98"/>
  <c r="K51" i="98"/>
  <c r="K50" i="98"/>
  <c r="K49" i="98"/>
  <c r="J49" i="98"/>
  <c r="I49" i="98"/>
  <c r="H49" i="98"/>
  <c r="G49" i="98"/>
  <c r="F49" i="98"/>
  <c r="E49" i="98"/>
  <c r="K48" i="98"/>
  <c r="D48" i="98"/>
  <c r="K47" i="98"/>
  <c r="K43" i="98"/>
  <c r="J43" i="98"/>
  <c r="I43" i="98"/>
  <c r="H43" i="98"/>
  <c r="G43" i="98"/>
  <c r="F43" i="98"/>
  <c r="E43" i="98"/>
  <c r="D43" i="98"/>
  <c r="K42" i="98"/>
  <c r="K41" i="98"/>
  <c r="K40" i="98"/>
  <c r="J40" i="98"/>
  <c r="I40" i="98"/>
  <c r="H40" i="98"/>
  <c r="G40" i="98"/>
  <c r="F40" i="98"/>
  <c r="E40" i="98"/>
  <c r="D40" i="98"/>
  <c r="K39" i="98"/>
  <c r="J39" i="98"/>
  <c r="I39" i="98"/>
  <c r="H39" i="98"/>
  <c r="G39" i="98"/>
  <c r="F39" i="98"/>
  <c r="E39" i="98"/>
  <c r="D39" i="98"/>
  <c r="K38" i="98"/>
  <c r="J38" i="98"/>
  <c r="I38" i="98"/>
  <c r="H38" i="98"/>
  <c r="G38" i="98"/>
  <c r="F38" i="98"/>
  <c r="E38" i="98"/>
  <c r="D38" i="98"/>
  <c r="K28" i="98"/>
  <c r="J28" i="98"/>
  <c r="I28" i="98"/>
  <c r="H28" i="98"/>
  <c r="G28" i="98"/>
  <c r="F28" i="98"/>
  <c r="E28" i="98"/>
  <c r="D28" i="98"/>
  <c r="K27" i="98"/>
  <c r="K26" i="98"/>
  <c r="K25" i="98"/>
  <c r="J25" i="98"/>
  <c r="I25" i="98"/>
  <c r="H25" i="98"/>
  <c r="G25" i="98"/>
  <c r="F25" i="98"/>
  <c r="E25" i="98"/>
  <c r="D25" i="98"/>
  <c r="K24" i="98"/>
  <c r="J24" i="98"/>
  <c r="I24" i="98"/>
  <c r="H24" i="98"/>
  <c r="G24" i="98"/>
  <c r="F24" i="98"/>
  <c r="E24" i="98"/>
  <c r="D24" i="98"/>
  <c r="K23" i="98"/>
  <c r="J23" i="98"/>
  <c r="I23" i="98"/>
  <c r="H23" i="98"/>
  <c r="G23" i="98"/>
  <c r="F23" i="98"/>
  <c r="E23" i="98"/>
  <c r="D23" i="98"/>
  <c r="K22" i="98"/>
  <c r="J22" i="98"/>
  <c r="I22" i="98"/>
  <c r="H22" i="98"/>
  <c r="G22" i="98"/>
  <c r="F22" i="98"/>
  <c r="E22" i="98"/>
  <c r="D22" i="98"/>
  <c r="K21" i="98"/>
  <c r="J21" i="98"/>
  <c r="I21" i="98"/>
  <c r="H21" i="98"/>
  <c r="G21" i="98"/>
  <c r="F21" i="98"/>
  <c r="E21" i="98"/>
  <c r="D21" i="98"/>
  <c r="K20" i="98"/>
  <c r="J20" i="98"/>
  <c r="I20" i="98"/>
  <c r="H20" i="98"/>
  <c r="G20" i="98"/>
  <c r="F20" i="98"/>
  <c r="E20" i="98"/>
  <c r="D20" i="98"/>
  <c r="K19" i="98"/>
  <c r="J19" i="98"/>
  <c r="I19" i="98"/>
  <c r="H19" i="98"/>
  <c r="G19" i="98"/>
  <c r="F19" i="98"/>
  <c r="E19" i="98"/>
  <c r="D19" i="98"/>
  <c r="K18" i="98"/>
  <c r="J18" i="98"/>
  <c r="I18" i="98"/>
  <c r="H18" i="98"/>
  <c r="G18" i="98"/>
  <c r="F18" i="98"/>
  <c r="E18" i="98"/>
  <c r="D18" i="98"/>
  <c r="K17" i="98"/>
  <c r="J17" i="98"/>
  <c r="I17" i="98"/>
  <c r="H17" i="98"/>
  <c r="G17" i="98"/>
  <c r="F17" i="98"/>
  <c r="E17" i="98"/>
  <c r="D17" i="98"/>
  <c r="K16" i="98"/>
  <c r="J16" i="98"/>
  <c r="I16" i="98"/>
  <c r="H16" i="98"/>
  <c r="G16" i="98"/>
  <c r="F16" i="98"/>
  <c r="E16" i="98"/>
  <c r="D16" i="98"/>
  <c r="K15" i="98"/>
  <c r="K14" i="98"/>
  <c r="K13" i="98"/>
  <c r="K12" i="98"/>
  <c r="K11" i="98"/>
  <c r="K10" i="98"/>
  <c r="M191" i="100"/>
  <c r="L191" i="100"/>
  <c r="M190" i="100"/>
  <c r="L190" i="100"/>
  <c r="H190" i="100"/>
  <c r="M189" i="100"/>
  <c r="L189" i="100"/>
  <c r="D189" i="100"/>
  <c r="M188" i="100"/>
  <c r="L188" i="100"/>
  <c r="H188" i="100"/>
  <c r="G188" i="100"/>
  <c r="F188" i="100"/>
  <c r="E188" i="100"/>
  <c r="M187" i="100"/>
  <c r="L187" i="100"/>
  <c r="H187" i="100"/>
  <c r="M186" i="100"/>
  <c r="L186" i="100"/>
  <c r="J186" i="100"/>
  <c r="H186" i="100"/>
  <c r="G186" i="100"/>
  <c r="F186" i="100"/>
  <c r="E186" i="100"/>
  <c r="M185" i="100"/>
  <c r="L185" i="100"/>
  <c r="M184" i="100"/>
  <c r="L184" i="100"/>
  <c r="J184" i="100"/>
  <c r="H184" i="100"/>
  <c r="F184" i="100"/>
  <c r="M183" i="100"/>
  <c r="L183" i="100"/>
  <c r="J183" i="100"/>
  <c r="H183" i="100"/>
  <c r="F183" i="100"/>
  <c r="M182" i="100"/>
  <c r="L182" i="100"/>
  <c r="M181" i="100"/>
  <c r="L181" i="100"/>
  <c r="M180" i="100"/>
  <c r="L180" i="100"/>
  <c r="H180" i="100"/>
  <c r="M179" i="100"/>
  <c r="L179" i="100"/>
  <c r="H179" i="100"/>
  <c r="M178" i="100"/>
  <c r="L178" i="100"/>
  <c r="M177" i="100"/>
  <c r="L177" i="100"/>
  <c r="K177" i="100"/>
  <c r="J177" i="100"/>
  <c r="I177" i="100"/>
  <c r="H177" i="100"/>
  <c r="G177" i="100"/>
  <c r="F177" i="100"/>
  <c r="E177" i="100"/>
  <c r="D177" i="100"/>
  <c r="M176" i="100"/>
  <c r="L176" i="100"/>
  <c r="M175" i="100"/>
  <c r="L175" i="100"/>
  <c r="M174" i="100"/>
  <c r="L174" i="100"/>
  <c r="M173" i="100"/>
  <c r="L173" i="100"/>
  <c r="J173" i="100"/>
  <c r="H173" i="100"/>
  <c r="G173" i="100"/>
  <c r="F173" i="100"/>
  <c r="E173" i="100"/>
  <c r="D173" i="100"/>
  <c r="M172" i="100"/>
  <c r="L172" i="100"/>
  <c r="M171" i="100"/>
  <c r="L171" i="100"/>
  <c r="M170" i="100"/>
  <c r="L170" i="100"/>
  <c r="M169" i="100"/>
  <c r="L169" i="100"/>
  <c r="M168" i="100"/>
  <c r="L168" i="100"/>
  <c r="M167" i="100"/>
  <c r="L167" i="100"/>
  <c r="M166" i="100"/>
  <c r="L166" i="100"/>
  <c r="M165" i="100"/>
  <c r="L165" i="100"/>
  <c r="J165" i="100"/>
  <c r="H165" i="100"/>
  <c r="G165" i="100"/>
  <c r="F165" i="100"/>
  <c r="E165" i="100"/>
  <c r="D165" i="100"/>
  <c r="M164" i="100"/>
  <c r="L164" i="100"/>
  <c r="J164" i="100"/>
  <c r="H164" i="100"/>
  <c r="G164" i="100"/>
  <c r="F164" i="100"/>
  <c r="E164" i="100"/>
  <c r="D164" i="100"/>
  <c r="M163" i="100"/>
  <c r="L163" i="100"/>
  <c r="J163" i="100"/>
  <c r="H163" i="100"/>
  <c r="G163" i="100"/>
  <c r="F163" i="100"/>
  <c r="E163" i="100"/>
  <c r="D163" i="100"/>
  <c r="M162" i="100"/>
  <c r="L162" i="100"/>
  <c r="J162" i="100"/>
  <c r="H162" i="100"/>
  <c r="G162" i="100"/>
  <c r="F162" i="100"/>
  <c r="E162" i="100"/>
  <c r="D162" i="100"/>
  <c r="M161" i="100"/>
  <c r="L161" i="100"/>
  <c r="J161" i="100"/>
  <c r="H161" i="100"/>
  <c r="G161" i="100"/>
  <c r="F161" i="100"/>
  <c r="E161" i="100"/>
  <c r="D161" i="100"/>
  <c r="M160" i="100"/>
  <c r="L160" i="100"/>
  <c r="M159" i="100"/>
  <c r="L159" i="100"/>
  <c r="K159" i="100"/>
  <c r="J159" i="100"/>
  <c r="I159" i="100"/>
  <c r="H159" i="100"/>
  <c r="G159" i="100"/>
  <c r="F159" i="100"/>
  <c r="E159" i="100"/>
  <c r="D159" i="100"/>
  <c r="M158" i="100"/>
  <c r="L158" i="100"/>
  <c r="M157" i="100"/>
  <c r="L157" i="100"/>
  <c r="M156" i="100"/>
  <c r="L156" i="100"/>
  <c r="M155" i="100"/>
  <c r="L155" i="100"/>
  <c r="M154" i="100"/>
  <c r="L154" i="100"/>
  <c r="M153" i="100"/>
  <c r="L153" i="100"/>
  <c r="M152" i="100"/>
  <c r="L152" i="100"/>
  <c r="J152" i="100"/>
  <c r="H152" i="100"/>
  <c r="G152" i="100"/>
  <c r="F152" i="100"/>
  <c r="E152" i="100"/>
  <c r="D152" i="100"/>
  <c r="M151" i="100"/>
  <c r="L151" i="100"/>
  <c r="J151" i="100"/>
  <c r="H151" i="100"/>
  <c r="G151" i="100"/>
  <c r="F151" i="100"/>
  <c r="M150" i="100"/>
  <c r="L150" i="100"/>
  <c r="J150" i="100"/>
  <c r="H150" i="100"/>
  <c r="G150" i="100"/>
  <c r="F150" i="100"/>
  <c r="M149" i="100"/>
  <c r="L149" i="100"/>
  <c r="J149" i="100"/>
  <c r="H149" i="100"/>
  <c r="G149" i="100"/>
  <c r="F149" i="100"/>
  <c r="M148" i="100"/>
  <c r="L148" i="100"/>
  <c r="J148" i="100"/>
  <c r="H148" i="100"/>
  <c r="G148" i="100"/>
  <c r="F148" i="100"/>
  <c r="M147" i="100"/>
  <c r="L147" i="100"/>
  <c r="J147" i="100"/>
  <c r="H147" i="100"/>
  <c r="G147" i="100"/>
  <c r="F147" i="100"/>
  <c r="M146" i="100"/>
  <c r="L146" i="100"/>
  <c r="M145" i="100"/>
  <c r="L145" i="100"/>
  <c r="J145" i="100"/>
  <c r="H145" i="100"/>
  <c r="G145" i="100"/>
  <c r="F145" i="100"/>
  <c r="E145" i="100"/>
  <c r="D145" i="100"/>
  <c r="M144" i="100"/>
  <c r="L144" i="100"/>
  <c r="M142" i="100"/>
  <c r="L142" i="100"/>
  <c r="H142" i="100"/>
  <c r="M141" i="100"/>
  <c r="L141" i="100"/>
  <c r="M140" i="100"/>
  <c r="L140" i="100"/>
  <c r="J140" i="100"/>
  <c r="M139" i="100"/>
  <c r="L139" i="100"/>
  <c r="M138" i="100"/>
  <c r="L138" i="100"/>
  <c r="M137" i="100"/>
  <c r="L137" i="100"/>
  <c r="M136" i="100"/>
  <c r="L136" i="100"/>
  <c r="K136" i="100"/>
  <c r="J136" i="100"/>
  <c r="H136" i="100"/>
  <c r="G136" i="100"/>
  <c r="F136" i="100"/>
  <c r="M135" i="100"/>
  <c r="L135" i="100"/>
  <c r="K135" i="100"/>
  <c r="J135" i="100"/>
  <c r="I135" i="100"/>
  <c r="H135" i="100"/>
  <c r="G135" i="100"/>
  <c r="F135" i="100"/>
  <c r="E135" i="100"/>
  <c r="D135" i="100"/>
  <c r="M134" i="100"/>
  <c r="L134" i="100"/>
  <c r="M133" i="100"/>
  <c r="L133" i="100"/>
  <c r="J133" i="100"/>
  <c r="H133" i="100"/>
  <c r="F133" i="100"/>
  <c r="M132" i="100"/>
  <c r="L132" i="100"/>
  <c r="E132" i="100"/>
  <c r="M131" i="100"/>
  <c r="L131" i="100"/>
  <c r="M130" i="100"/>
  <c r="L130" i="100"/>
  <c r="H130" i="100"/>
  <c r="M129" i="100"/>
  <c r="L129" i="100"/>
  <c r="D129" i="100"/>
  <c r="M128" i="100"/>
  <c r="L128" i="100"/>
  <c r="H128" i="100"/>
  <c r="M127" i="100"/>
  <c r="L127" i="100"/>
  <c r="H127" i="100"/>
  <c r="M126" i="100"/>
  <c r="L126" i="100"/>
  <c r="M125" i="100"/>
  <c r="L125" i="100"/>
  <c r="J125" i="100"/>
  <c r="M124" i="100"/>
  <c r="L124" i="100"/>
  <c r="J124" i="100"/>
  <c r="H124" i="100"/>
  <c r="G124" i="100"/>
  <c r="F124" i="100"/>
  <c r="E124" i="100"/>
  <c r="D124" i="100"/>
  <c r="M123" i="100"/>
  <c r="L123" i="100"/>
  <c r="G123" i="100"/>
  <c r="M122" i="100"/>
  <c r="L122" i="100"/>
  <c r="J122" i="100"/>
  <c r="H122" i="100"/>
  <c r="G122" i="100"/>
  <c r="F122" i="100"/>
  <c r="E122" i="100"/>
  <c r="M121" i="100"/>
  <c r="L121" i="100"/>
  <c r="G121" i="100"/>
  <c r="F121" i="100"/>
  <c r="M120" i="100"/>
  <c r="L120" i="100"/>
  <c r="J120" i="100"/>
  <c r="H120" i="100"/>
  <c r="G120" i="100"/>
  <c r="F120" i="100"/>
  <c r="E120" i="100"/>
  <c r="M119" i="100"/>
  <c r="L119" i="100"/>
  <c r="M118" i="100"/>
  <c r="L118" i="100"/>
  <c r="M117" i="100"/>
  <c r="L117" i="100"/>
  <c r="M116" i="100"/>
  <c r="L116" i="100"/>
  <c r="M115" i="100"/>
  <c r="L115" i="100"/>
  <c r="M114" i="100"/>
  <c r="L114" i="100"/>
  <c r="M113" i="100"/>
  <c r="L113" i="100"/>
  <c r="M112" i="100"/>
  <c r="L112" i="100"/>
  <c r="M111" i="100"/>
  <c r="L111" i="100"/>
  <c r="M110" i="100"/>
  <c r="L110" i="100"/>
  <c r="M109" i="100"/>
  <c r="L109" i="100"/>
  <c r="M108" i="100"/>
  <c r="L108" i="100"/>
  <c r="M107" i="100"/>
  <c r="L107" i="100"/>
  <c r="M105" i="100"/>
  <c r="L105" i="100"/>
  <c r="G105" i="100"/>
  <c r="M104" i="100"/>
  <c r="L104" i="100"/>
  <c r="J104" i="100"/>
  <c r="H104" i="100"/>
  <c r="G104" i="100"/>
  <c r="F104" i="100"/>
  <c r="E104" i="100"/>
  <c r="M103" i="100"/>
  <c r="L103" i="100"/>
  <c r="J103" i="100"/>
  <c r="H103" i="100"/>
  <c r="G103" i="100"/>
  <c r="F103" i="100"/>
  <c r="E103" i="100"/>
  <c r="M102" i="100"/>
  <c r="L102" i="100"/>
  <c r="M101" i="100"/>
  <c r="L101" i="100"/>
  <c r="M100" i="100"/>
  <c r="L100" i="100"/>
  <c r="M99" i="100"/>
  <c r="L99" i="100"/>
  <c r="M98" i="100"/>
  <c r="L98" i="100"/>
  <c r="I98" i="100"/>
  <c r="M97" i="100"/>
  <c r="L97" i="100"/>
  <c r="I97" i="100"/>
  <c r="M96" i="100"/>
  <c r="L96" i="100"/>
  <c r="K96" i="100"/>
  <c r="J96" i="100"/>
  <c r="I96" i="100"/>
  <c r="H96" i="100"/>
  <c r="G96" i="100"/>
  <c r="F96" i="100"/>
  <c r="E96" i="100"/>
  <c r="D96" i="100"/>
  <c r="M95" i="100"/>
  <c r="L95" i="100"/>
  <c r="I95" i="100"/>
  <c r="M94" i="100"/>
  <c r="L94" i="100"/>
  <c r="M93" i="100"/>
  <c r="L93" i="100"/>
  <c r="M92" i="100"/>
  <c r="L92" i="100"/>
  <c r="M91" i="100"/>
  <c r="L91" i="100"/>
  <c r="M90" i="100"/>
  <c r="L90" i="100"/>
  <c r="M89" i="100"/>
  <c r="L89" i="100"/>
  <c r="K89" i="100"/>
  <c r="J89" i="100"/>
  <c r="I89" i="100"/>
  <c r="H89" i="100"/>
  <c r="G89" i="100"/>
  <c r="F89" i="100"/>
  <c r="E89" i="100"/>
  <c r="D89" i="100"/>
  <c r="M88" i="100"/>
  <c r="L88" i="100"/>
  <c r="M87" i="100"/>
  <c r="L87" i="100"/>
  <c r="K87" i="100"/>
  <c r="J87" i="100"/>
  <c r="I87" i="100"/>
  <c r="M86" i="100"/>
  <c r="L86" i="100"/>
  <c r="K86" i="100"/>
  <c r="J86" i="100"/>
  <c r="I86" i="100"/>
  <c r="M85" i="100"/>
  <c r="L85" i="100"/>
  <c r="K85" i="100"/>
  <c r="J85" i="100"/>
  <c r="I85" i="100"/>
  <c r="H85" i="100"/>
  <c r="G85" i="100"/>
  <c r="M84" i="100"/>
  <c r="L84" i="100"/>
  <c r="K84" i="100"/>
  <c r="J84" i="100"/>
  <c r="I84" i="100"/>
  <c r="M83" i="100"/>
  <c r="L83" i="100"/>
  <c r="K83" i="100"/>
  <c r="J83" i="100"/>
  <c r="I83" i="100"/>
  <c r="M82" i="100"/>
  <c r="L82" i="100"/>
  <c r="K82" i="100"/>
  <c r="J82" i="100"/>
  <c r="I82" i="100"/>
  <c r="H82" i="100"/>
  <c r="G82" i="100"/>
  <c r="F82" i="100"/>
  <c r="E82" i="100"/>
  <c r="D82" i="100"/>
  <c r="M81" i="100"/>
  <c r="L81" i="100"/>
  <c r="M80" i="100"/>
  <c r="L80" i="100"/>
  <c r="K80" i="100"/>
  <c r="J80" i="100"/>
  <c r="I80" i="100"/>
  <c r="H80" i="100"/>
  <c r="G80" i="100"/>
  <c r="F80" i="100"/>
  <c r="E80" i="100"/>
  <c r="D80" i="100"/>
  <c r="M79" i="100"/>
  <c r="L79" i="100"/>
  <c r="M78" i="100"/>
  <c r="L78" i="100"/>
  <c r="M77" i="100"/>
  <c r="L77" i="100"/>
  <c r="I77" i="100"/>
  <c r="M76" i="100"/>
  <c r="L76" i="100"/>
  <c r="M75" i="100"/>
  <c r="L75" i="100"/>
  <c r="K75" i="100"/>
  <c r="J75" i="100"/>
  <c r="I75" i="100"/>
  <c r="H75" i="100"/>
  <c r="G75" i="100"/>
  <c r="F75" i="100"/>
  <c r="E75" i="100"/>
  <c r="M74" i="100"/>
  <c r="L74" i="100"/>
  <c r="K74" i="100"/>
  <c r="J74" i="100"/>
  <c r="I74" i="100"/>
  <c r="H74" i="100"/>
  <c r="G74" i="100"/>
  <c r="F74" i="100"/>
  <c r="E74" i="100"/>
  <c r="D74" i="100"/>
  <c r="M73" i="100"/>
  <c r="L73" i="100"/>
  <c r="M72" i="100"/>
  <c r="L72" i="100"/>
  <c r="M70" i="100"/>
  <c r="L70" i="100"/>
  <c r="M69" i="100"/>
  <c r="L69" i="100"/>
  <c r="K69" i="100"/>
  <c r="J69" i="100"/>
  <c r="I69" i="100"/>
  <c r="H69" i="100"/>
  <c r="G69" i="100"/>
  <c r="F69" i="100"/>
  <c r="E69" i="100"/>
  <c r="M68" i="100"/>
  <c r="L68" i="100"/>
  <c r="K68" i="100"/>
  <c r="J68" i="100"/>
  <c r="I68" i="100"/>
  <c r="H68" i="100"/>
  <c r="G68" i="100"/>
  <c r="F68" i="100"/>
  <c r="E68" i="100"/>
  <c r="D68" i="100"/>
  <c r="M67" i="100"/>
  <c r="L67" i="100"/>
  <c r="K67" i="100"/>
  <c r="J67" i="100"/>
  <c r="I67" i="100"/>
  <c r="H67" i="100"/>
  <c r="G67" i="100"/>
  <c r="F67" i="100"/>
  <c r="E67" i="100"/>
  <c r="D67" i="100"/>
  <c r="M57" i="100"/>
  <c r="L57" i="100"/>
  <c r="I57" i="100"/>
  <c r="M56" i="100"/>
  <c r="L56" i="100"/>
  <c r="K56" i="100"/>
  <c r="J56" i="100"/>
  <c r="I56" i="100"/>
  <c r="H56" i="100"/>
  <c r="G56" i="100"/>
  <c r="F56" i="100"/>
  <c r="E56" i="100"/>
  <c r="D56" i="100"/>
  <c r="M55" i="100"/>
  <c r="L55" i="100"/>
  <c r="K55" i="100"/>
  <c r="J55" i="100"/>
  <c r="I55" i="100"/>
  <c r="H55" i="100"/>
  <c r="G55" i="100"/>
  <c r="F55" i="100"/>
  <c r="E55" i="100"/>
  <c r="D55" i="100"/>
  <c r="M54" i="100"/>
  <c r="L54" i="100"/>
  <c r="K54" i="100"/>
  <c r="J54" i="100"/>
  <c r="I54" i="100"/>
  <c r="H54" i="100"/>
  <c r="G54" i="100"/>
  <c r="F54" i="100"/>
  <c r="E54" i="100"/>
  <c r="D54" i="100"/>
  <c r="M50" i="100"/>
  <c r="L50" i="100"/>
  <c r="I50" i="100"/>
  <c r="M41" i="100"/>
  <c r="L41" i="100"/>
  <c r="I41" i="100"/>
  <c r="M40" i="100"/>
  <c r="L40" i="100"/>
  <c r="K40" i="100"/>
  <c r="J40" i="100"/>
  <c r="I40" i="100"/>
  <c r="H40" i="100"/>
  <c r="G40" i="100"/>
  <c r="F40" i="100"/>
  <c r="E40" i="100"/>
  <c r="D40" i="100"/>
  <c r="M39" i="100"/>
  <c r="L39" i="100"/>
  <c r="K39" i="100"/>
  <c r="J39" i="100"/>
  <c r="I39" i="100"/>
  <c r="H39" i="100"/>
  <c r="G39" i="100"/>
  <c r="F39" i="100"/>
  <c r="E39" i="100"/>
  <c r="D39" i="100"/>
  <c r="M38" i="100"/>
  <c r="L38" i="100"/>
  <c r="K38" i="100"/>
  <c r="J38" i="100"/>
  <c r="I38" i="100"/>
  <c r="H38" i="100"/>
  <c r="G38" i="100"/>
  <c r="F38" i="100"/>
  <c r="E38" i="100"/>
  <c r="D38" i="100"/>
  <c r="M26" i="100"/>
  <c r="L26" i="100"/>
  <c r="I26" i="100"/>
  <c r="M25" i="100"/>
  <c r="L25" i="100"/>
  <c r="K25" i="100"/>
  <c r="J25" i="100"/>
  <c r="I25" i="100"/>
  <c r="H25" i="100"/>
  <c r="G25" i="100"/>
  <c r="F25" i="100"/>
  <c r="E25" i="100"/>
  <c r="D25" i="100"/>
  <c r="M24" i="100"/>
  <c r="L24" i="100"/>
  <c r="K24" i="100"/>
  <c r="J24" i="100"/>
  <c r="I24" i="100"/>
  <c r="H24" i="100"/>
  <c r="G24" i="100"/>
  <c r="F24" i="100"/>
  <c r="E24" i="100"/>
  <c r="D24" i="100"/>
  <c r="M23" i="100"/>
  <c r="L23" i="100"/>
  <c r="K23" i="100"/>
  <c r="J23" i="100"/>
  <c r="I23" i="100"/>
  <c r="H23" i="100"/>
  <c r="G23" i="100"/>
  <c r="F23" i="100"/>
  <c r="E23" i="100"/>
  <c r="D23" i="100"/>
  <c r="M18" i="100"/>
  <c r="L18" i="100"/>
  <c r="K18" i="100"/>
  <c r="J18" i="100"/>
  <c r="I18" i="100"/>
  <c r="H18" i="100"/>
  <c r="G18" i="100"/>
  <c r="F18" i="100"/>
  <c r="E18" i="100"/>
  <c r="D18" i="100"/>
  <c r="M17" i="100"/>
  <c r="L17" i="100"/>
  <c r="K17" i="100"/>
  <c r="J17" i="100"/>
  <c r="I17" i="100"/>
  <c r="H17" i="100"/>
  <c r="G17" i="100"/>
  <c r="F17" i="100"/>
  <c r="E17" i="100"/>
  <c r="D17" i="100"/>
  <c r="M16" i="100"/>
  <c r="L16" i="100"/>
  <c r="K16" i="100"/>
  <c r="J16" i="100"/>
  <c r="I16" i="100"/>
  <c r="H16" i="100"/>
  <c r="G16" i="100"/>
  <c r="F16" i="100"/>
  <c r="E16" i="100"/>
  <c r="D16" i="100"/>
  <c r="M15" i="100"/>
  <c r="L15" i="100"/>
  <c r="M14" i="100"/>
  <c r="L14" i="100"/>
  <c r="M13" i="100"/>
  <c r="L13" i="100"/>
  <c r="M12" i="100"/>
  <c r="L12" i="100"/>
  <c r="M11" i="100"/>
  <c r="L11" i="100"/>
  <c r="M10" i="100"/>
  <c r="L10" i="100"/>
  <c r="M191" i="101"/>
  <c r="L191" i="101"/>
  <c r="M190" i="101"/>
  <c r="L190" i="101"/>
  <c r="H190" i="101"/>
  <c r="M189" i="101"/>
  <c r="L189" i="101"/>
  <c r="D189" i="101"/>
  <c r="M188" i="101"/>
  <c r="L188" i="101"/>
  <c r="H188" i="101"/>
  <c r="G188" i="101"/>
  <c r="F188" i="101"/>
  <c r="E188" i="101"/>
  <c r="M187" i="101"/>
  <c r="L187" i="101"/>
  <c r="H187" i="101"/>
  <c r="M186" i="101"/>
  <c r="L186" i="101"/>
  <c r="J186" i="101"/>
  <c r="H186" i="101"/>
  <c r="G186" i="101"/>
  <c r="F186" i="101"/>
  <c r="E186" i="101"/>
  <c r="M185" i="101"/>
  <c r="L185" i="101"/>
  <c r="M184" i="101"/>
  <c r="L184" i="101"/>
  <c r="J184" i="101"/>
  <c r="H184" i="101"/>
  <c r="F184" i="101"/>
  <c r="M183" i="101"/>
  <c r="L183" i="101"/>
  <c r="J183" i="101"/>
  <c r="H183" i="101"/>
  <c r="F183" i="101"/>
  <c r="M182" i="101"/>
  <c r="L182" i="101"/>
  <c r="M181" i="101"/>
  <c r="L181" i="101"/>
  <c r="M180" i="101"/>
  <c r="L180" i="101"/>
  <c r="H180" i="101"/>
  <c r="M179" i="101"/>
  <c r="L179" i="101"/>
  <c r="H179" i="101"/>
  <c r="M178" i="101"/>
  <c r="L178" i="101"/>
  <c r="M177" i="101"/>
  <c r="L177" i="101"/>
  <c r="K177" i="101"/>
  <c r="J177" i="101"/>
  <c r="I177" i="101"/>
  <c r="H177" i="101"/>
  <c r="G177" i="101"/>
  <c r="F177" i="101"/>
  <c r="E177" i="101"/>
  <c r="D177" i="101"/>
  <c r="M176" i="101"/>
  <c r="L176" i="101"/>
  <c r="M175" i="101"/>
  <c r="L175" i="101"/>
  <c r="M174" i="101"/>
  <c r="L174" i="101"/>
  <c r="M173" i="101"/>
  <c r="L173" i="101"/>
  <c r="J173" i="101"/>
  <c r="H173" i="101"/>
  <c r="G173" i="101"/>
  <c r="F173" i="101"/>
  <c r="E173" i="101"/>
  <c r="D173" i="101"/>
  <c r="M172" i="101"/>
  <c r="L172" i="101"/>
  <c r="M171" i="101"/>
  <c r="L171" i="101"/>
  <c r="M170" i="101"/>
  <c r="L170" i="101"/>
  <c r="M169" i="101"/>
  <c r="L169" i="101"/>
  <c r="M168" i="101"/>
  <c r="L168" i="101"/>
  <c r="M167" i="101"/>
  <c r="L167" i="101"/>
  <c r="M166" i="101"/>
  <c r="L166" i="101"/>
  <c r="M165" i="101"/>
  <c r="L165" i="101"/>
  <c r="J165" i="101"/>
  <c r="H165" i="101"/>
  <c r="G165" i="101"/>
  <c r="F165" i="101"/>
  <c r="E165" i="101"/>
  <c r="D165" i="101"/>
  <c r="M164" i="101"/>
  <c r="L164" i="101"/>
  <c r="J164" i="101"/>
  <c r="H164" i="101"/>
  <c r="G164" i="101"/>
  <c r="F164" i="101"/>
  <c r="E164" i="101"/>
  <c r="D164" i="101"/>
  <c r="M163" i="101"/>
  <c r="L163" i="101"/>
  <c r="J163" i="101"/>
  <c r="H163" i="101"/>
  <c r="G163" i="101"/>
  <c r="F163" i="101"/>
  <c r="E163" i="101"/>
  <c r="D163" i="101"/>
  <c r="M162" i="101"/>
  <c r="L162" i="101"/>
  <c r="J162" i="101"/>
  <c r="H162" i="101"/>
  <c r="G162" i="101"/>
  <c r="F162" i="101"/>
  <c r="E162" i="101"/>
  <c r="D162" i="101"/>
  <c r="M161" i="101"/>
  <c r="L161" i="101"/>
  <c r="J161" i="101"/>
  <c r="H161" i="101"/>
  <c r="G161" i="101"/>
  <c r="F161" i="101"/>
  <c r="E161" i="101"/>
  <c r="D161" i="101"/>
  <c r="M160" i="101"/>
  <c r="L160" i="101"/>
  <c r="M159" i="101"/>
  <c r="L159" i="101"/>
  <c r="K159" i="101"/>
  <c r="J159" i="101"/>
  <c r="I159" i="101"/>
  <c r="H159" i="101"/>
  <c r="G159" i="101"/>
  <c r="F159" i="101"/>
  <c r="E159" i="101"/>
  <c r="D159" i="101"/>
  <c r="M158" i="101"/>
  <c r="L158" i="101"/>
  <c r="M157" i="101"/>
  <c r="L157" i="101"/>
  <c r="M156" i="101"/>
  <c r="L156" i="101"/>
  <c r="M155" i="101"/>
  <c r="L155" i="101"/>
  <c r="M154" i="101"/>
  <c r="L154" i="101"/>
  <c r="M153" i="101"/>
  <c r="L153" i="101"/>
  <c r="M152" i="101"/>
  <c r="L152" i="101"/>
  <c r="J152" i="101"/>
  <c r="H152" i="101"/>
  <c r="G152" i="101"/>
  <c r="F152" i="101"/>
  <c r="E152" i="101"/>
  <c r="D152" i="101"/>
  <c r="M151" i="101"/>
  <c r="L151" i="101"/>
  <c r="J151" i="101"/>
  <c r="H151" i="101"/>
  <c r="G151" i="101"/>
  <c r="F151" i="101"/>
  <c r="M150" i="101"/>
  <c r="L150" i="101"/>
  <c r="J150" i="101"/>
  <c r="H150" i="101"/>
  <c r="G150" i="101"/>
  <c r="F150" i="101"/>
  <c r="M149" i="101"/>
  <c r="L149" i="101"/>
  <c r="J149" i="101"/>
  <c r="H149" i="101"/>
  <c r="G149" i="101"/>
  <c r="F149" i="101"/>
  <c r="M148" i="101"/>
  <c r="L148" i="101"/>
  <c r="J148" i="101"/>
  <c r="H148" i="101"/>
  <c r="G148" i="101"/>
  <c r="F148" i="101"/>
  <c r="M147" i="101"/>
  <c r="L147" i="101"/>
  <c r="J147" i="101"/>
  <c r="H147" i="101"/>
  <c r="G147" i="101"/>
  <c r="F147" i="101"/>
  <c r="M146" i="101"/>
  <c r="L146" i="101"/>
  <c r="M145" i="101"/>
  <c r="L145" i="101"/>
  <c r="J145" i="101"/>
  <c r="H145" i="101"/>
  <c r="G145" i="101"/>
  <c r="F145" i="101"/>
  <c r="E145" i="101"/>
  <c r="D145" i="101"/>
  <c r="M144" i="101"/>
  <c r="L144" i="101"/>
  <c r="M142" i="101"/>
  <c r="L142" i="101"/>
  <c r="H142" i="101"/>
  <c r="M141" i="101"/>
  <c r="L141" i="101"/>
  <c r="M140" i="101"/>
  <c r="L140" i="101"/>
  <c r="J140" i="101"/>
  <c r="M139" i="101"/>
  <c r="L139" i="101"/>
  <c r="M138" i="101"/>
  <c r="L138" i="101"/>
  <c r="M137" i="101"/>
  <c r="L137" i="101"/>
  <c r="M136" i="101"/>
  <c r="L136" i="101"/>
  <c r="K136" i="101"/>
  <c r="J136" i="101"/>
  <c r="H136" i="101"/>
  <c r="G136" i="101"/>
  <c r="F136" i="101"/>
  <c r="M135" i="101"/>
  <c r="L135" i="101"/>
  <c r="K135" i="101"/>
  <c r="J135" i="101"/>
  <c r="I135" i="101"/>
  <c r="H135" i="101"/>
  <c r="G135" i="101"/>
  <c r="F135" i="101"/>
  <c r="E135" i="101"/>
  <c r="D135" i="101"/>
  <c r="M134" i="101"/>
  <c r="L134" i="101"/>
  <c r="M133" i="101"/>
  <c r="L133" i="101"/>
  <c r="J133" i="101"/>
  <c r="H133" i="101"/>
  <c r="F133" i="101"/>
  <c r="M132" i="101"/>
  <c r="L132" i="101"/>
  <c r="E132" i="101"/>
  <c r="M131" i="101"/>
  <c r="L131" i="101"/>
  <c r="M130" i="101"/>
  <c r="L130" i="101"/>
  <c r="H130" i="101"/>
  <c r="M129" i="101"/>
  <c r="L129" i="101"/>
  <c r="D129" i="101"/>
  <c r="M128" i="101"/>
  <c r="L128" i="101"/>
  <c r="H128" i="101"/>
  <c r="M127" i="101"/>
  <c r="L127" i="101"/>
  <c r="H127" i="101"/>
  <c r="M126" i="101"/>
  <c r="L126" i="101"/>
  <c r="M125" i="101"/>
  <c r="L125" i="101"/>
  <c r="J125" i="101"/>
  <c r="M124" i="101"/>
  <c r="L124" i="101"/>
  <c r="J124" i="101"/>
  <c r="H124" i="101"/>
  <c r="G124" i="101"/>
  <c r="F124" i="101"/>
  <c r="E124" i="101"/>
  <c r="D124" i="101"/>
  <c r="M123" i="101"/>
  <c r="L123" i="101"/>
  <c r="G123" i="101"/>
  <c r="M122" i="101"/>
  <c r="L122" i="101"/>
  <c r="J122" i="101"/>
  <c r="H122" i="101"/>
  <c r="G122" i="101"/>
  <c r="F122" i="101"/>
  <c r="E122" i="101"/>
  <c r="M121" i="101"/>
  <c r="L121" i="101"/>
  <c r="G121" i="101"/>
  <c r="F121" i="101"/>
  <c r="M120" i="101"/>
  <c r="L120" i="101"/>
  <c r="J120" i="101"/>
  <c r="H120" i="101"/>
  <c r="G120" i="101"/>
  <c r="F120" i="101"/>
  <c r="E120" i="101"/>
  <c r="M119" i="101"/>
  <c r="L119" i="101"/>
  <c r="M118" i="101"/>
  <c r="L118" i="101"/>
  <c r="M117" i="101"/>
  <c r="L117" i="101"/>
  <c r="K117" i="101"/>
  <c r="I117" i="101"/>
  <c r="M116" i="101"/>
  <c r="L116" i="101"/>
  <c r="M115" i="101"/>
  <c r="L115" i="101"/>
  <c r="M114" i="101"/>
  <c r="L114" i="101"/>
  <c r="M113" i="101"/>
  <c r="L113" i="101"/>
  <c r="M112" i="101"/>
  <c r="L112" i="101"/>
  <c r="M111" i="101"/>
  <c r="L111" i="101"/>
  <c r="M110" i="101"/>
  <c r="L110" i="101"/>
  <c r="M109" i="101"/>
  <c r="L109" i="101"/>
  <c r="M108" i="101"/>
  <c r="L108" i="101"/>
  <c r="K108" i="101"/>
  <c r="I108" i="101"/>
  <c r="M107" i="101"/>
  <c r="L107" i="101"/>
  <c r="M105" i="101"/>
  <c r="L105" i="101"/>
  <c r="G105" i="101"/>
  <c r="M104" i="101"/>
  <c r="L104" i="101"/>
  <c r="J104" i="101"/>
  <c r="H104" i="101"/>
  <c r="G104" i="101"/>
  <c r="F104" i="101"/>
  <c r="E104" i="101"/>
  <c r="M103" i="101"/>
  <c r="L103" i="101"/>
  <c r="J103" i="101"/>
  <c r="H103" i="101"/>
  <c r="G103" i="101"/>
  <c r="F103" i="101"/>
  <c r="E103" i="101"/>
  <c r="M102" i="101"/>
  <c r="L102" i="101"/>
  <c r="M101" i="101"/>
  <c r="L101" i="101"/>
  <c r="M100" i="101"/>
  <c r="L100" i="101"/>
  <c r="M99" i="101"/>
  <c r="L99" i="101"/>
  <c r="M98" i="101"/>
  <c r="L98" i="101"/>
  <c r="I98" i="101"/>
  <c r="M97" i="101"/>
  <c r="L97" i="101"/>
  <c r="I97" i="101"/>
  <c r="M96" i="101"/>
  <c r="L96" i="101"/>
  <c r="K96" i="101"/>
  <c r="J96" i="101"/>
  <c r="I96" i="101"/>
  <c r="H96" i="101"/>
  <c r="G96" i="101"/>
  <c r="F96" i="101"/>
  <c r="E96" i="101"/>
  <c r="D96" i="101"/>
  <c r="M95" i="101"/>
  <c r="L95" i="101"/>
  <c r="I95" i="101"/>
  <c r="M94" i="101"/>
  <c r="L94" i="101"/>
  <c r="M93" i="101"/>
  <c r="L93" i="101"/>
  <c r="M92" i="101"/>
  <c r="L92" i="101"/>
  <c r="M91" i="101"/>
  <c r="L91" i="101"/>
  <c r="M90" i="101"/>
  <c r="L90" i="101"/>
  <c r="M89" i="101"/>
  <c r="L89" i="101"/>
  <c r="K89" i="101"/>
  <c r="J89" i="101"/>
  <c r="I89" i="101"/>
  <c r="H89" i="101"/>
  <c r="G89" i="101"/>
  <c r="F89" i="101"/>
  <c r="E89" i="101"/>
  <c r="D89" i="101"/>
  <c r="M88" i="101"/>
  <c r="L88" i="101"/>
  <c r="M87" i="101"/>
  <c r="L87" i="101"/>
  <c r="K87" i="101"/>
  <c r="J87" i="101"/>
  <c r="I87" i="101"/>
  <c r="M86" i="101"/>
  <c r="L86" i="101"/>
  <c r="K86" i="101"/>
  <c r="J86" i="101"/>
  <c r="I86" i="101"/>
  <c r="M85" i="101"/>
  <c r="L85" i="101"/>
  <c r="K85" i="101"/>
  <c r="J85" i="101"/>
  <c r="I85" i="101"/>
  <c r="H85" i="101"/>
  <c r="G85" i="101"/>
  <c r="M84" i="101"/>
  <c r="L84" i="101"/>
  <c r="K84" i="101"/>
  <c r="J84" i="101"/>
  <c r="I84" i="101"/>
  <c r="M83" i="101"/>
  <c r="L83" i="101"/>
  <c r="K83" i="101"/>
  <c r="J83" i="101"/>
  <c r="I83" i="101"/>
  <c r="M82" i="101"/>
  <c r="L82" i="101"/>
  <c r="K82" i="101"/>
  <c r="J82" i="101"/>
  <c r="I82" i="101"/>
  <c r="H82" i="101"/>
  <c r="G82" i="101"/>
  <c r="F82" i="101"/>
  <c r="E82" i="101"/>
  <c r="D82" i="101"/>
  <c r="M81" i="101"/>
  <c r="L81" i="101"/>
  <c r="M80" i="101"/>
  <c r="L80" i="101"/>
  <c r="K80" i="101"/>
  <c r="J80" i="101"/>
  <c r="I80" i="101"/>
  <c r="H80" i="101"/>
  <c r="G80" i="101"/>
  <c r="F80" i="101"/>
  <c r="E80" i="101"/>
  <c r="D80" i="101"/>
  <c r="M79" i="101"/>
  <c r="L79" i="101"/>
  <c r="M78" i="101"/>
  <c r="L78" i="101"/>
  <c r="M77" i="101"/>
  <c r="L77" i="101"/>
  <c r="I77" i="101"/>
  <c r="M76" i="101"/>
  <c r="L76" i="101"/>
  <c r="M75" i="101"/>
  <c r="L75" i="101"/>
  <c r="K75" i="101"/>
  <c r="J75" i="101"/>
  <c r="I75" i="101"/>
  <c r="H75" i="101"/>
  <c r="G75" i="101"/>
  <c r="F75" i="101"/>
  <c r="E75" i="101"/>
  <c r="M74" i="101"/>
  <c r="L74" i="101"/>
  <c r="K74" i="101"/>
  <c r="J74" i="101"/>
  <c r="I74" i="101"/>
  <c r="H74" i="101"/>
  <c r="G74" i="101"/>
  <c r="F74" i="101"/>
  <c r="E74" i="101"/>
  <c r="D74" i="101"/>
  <c r="M73" i="101"/>
  <c r="L73" i="101"/>
  <c r="M72" i="101"/>
  <c r="L72" i="101"/>
  <c r="M70" i="101"/>
  <c r="L70" i="101"/>
  <c r="M69" i="101"/>
  <c r="L69" i="101"/>
  <c r="K69" i="101"/>
  <c r="J69" i="101"/>
  <c r="I69" i="101"/>
  <c r="H69" i="101"/>
  <c r="G69" i="101"/>
  <c r="F69" i="101"/>
  <c r="E69" i="101"/>
  <c r="M68" i="101"/>
  <c r="L68" i="101"/>
  <c r="K68" i="101"/>
  <c r="J68" i="101"/>
  <c r="I68" i="101"/>
  <c r="H68" i="101"/>
  <c r="G68" i="101"/>
  <c r="F68" i="101"/>
  <c r="E68" i="101"/>
  <c r="D68" i="101"/>
  <c r="M67" i="101"/>
  <c r="L67" i="101"/>
  <c r="K67" i="101"/>
  <c r="J67" i="101"/>
  <c r="I67" i="101"/>
  <c r="H67" i="101"/>
  <c r="G67" i="101"/>
  <c r="F67" i="101"/>
  <c r="E67" i="101"/>
  <c r="D67" i="101"/>
  <c r="M57" i="101"/>
  <c r="L57" i="101"/>
  <c r="M56" i="101"/>
  <c r="L56" i="101"/>
  <c r="K56" i="101"/>
  <c r="J56" i="101"/>
  <c r="I56" i="101"/>
  <c r="H56" i="101"/>
  <c r="G56" i="101"/>
  <c r="F56" i="101"/>
  <c r="E56" i="101"/>
  <c r="D56" i="101"/>
  <c r="M55" i="101"/>
  <c r="L55" i="101"/>
  <c r="K55" i="101"/>
  <c r="J55" i="101"/>
  <c r="I55" i="101"/>
  <c r="H55" i="101"/>
  <c r="G55" i="101"/>
  <c r="F55" i="101"/>
  <c r="E55" i="101"/>
  <c r="D55" i="101"/>
  <c r="M54" i="101"/>
  <c r="L54" i="101"/>
  <c r="K54" i="101"/>
  <c r="J54" i="101"/>
  <c r="I54" i="101"/>
  <c r="H54" i="101"/>
  <c r="G54" i="101"/>
  <c r="F54" i="101"/>
  <c r="E54" i="101"/>
  <c r="D54" i="101"/>
  <c r="M50" i="101"/>
  <c r="L50" i="101"/>
  <c r="I50" i="101"/>
  <c r="M49" i="101"/>
  <c r="L49" i="101"/>
  <c r="J49" i="101"/>
  <c r="M48" i="101"/>
  <c r="L48" i="101"/>
  <c r="M47" i="101"/>
  <c r="L47" i="101"/>
  <c r="M46" i="101"/>
  <c r="L46" i="101"/>
  <c r="M45" i="101"/>
  <c r="L45" i="101"/>
  <c r="M44" i="101"/>
  <c r="L44" i="101"/>
  <c r="M43" i="101"/>
  <c r="L43" i="101"/>
  <c r="K43" i="101"/>
  <c r="J43" i="101"/>
  <c r="I43" i="101"/>
  <c r="M42" i="101"/>
  <c r="L42" i="101"/>
  <c r="I42" i="101"/>
  <c r="M41" i="101"/>
  <c r="L41" i="101"/>
  <c r="I41" i="101"/>
  <c r="M40" i="101"/>
  <c r="L40" i="101"/>
  <c r="K40" i="101"/>
  <c r="J40" i="101"/>
  <c r="I40" i="101"/>
  <c r="H40" i="101"/>
  <c r="G40" i="101"/>
  <c r="F40" i="101"/>
  <c r="E40" i="101"/>
  <c r="D40" i="101"/>
  <c r="M39" i="101"/>
  <c r="L39" i="101"/>
  <c r="K39" i="101"/>
  <c r="J39" i="101"/>
  <c r="I39" i="101"/>
  <c r="H39" i="101"/>
  <c r="G39" i="101"/>
  <c r="F39" i="101"/>
  <c r="E39" i="101"/>
  <c r="D39" i="101"/>
  <c r="M38" i="101"/>
  <c r="L38" i="101"/>
  <c r="K38" i="101"/>
  <c r="J38" i="101"/>
  <c r="I38" i="101"/>
  <c r="H38" i="101"/>
  <c r="G38" i="101"/>
  <c r="F38" i="101"/>
  <c r="E38" i="101"/>
  <c r="D38" i="101"/>
  <c r="M37" i="101"/>
  <c r="L37" i="101"/>
  <c r="M36" i="101"/>
  <c r="L36" i="101"/>
  <c r="M35" i="101"/>
  <c r="L35" i="101"/>
  <c r="M34" i="101"/>
  <c r="L34" i="101"/>
  <c r="M33" i="101"/>
  <c r="L33" i="101"/>
  <c r="M32" i="101"/>
  <c r="L32" i="101"/>
  <c r="M31" i="101"/>
  <c r="L31" i="101"/>
  <c r="M30" i="101"/>
  <c r="L30" i="101"/>
  <c r="M29" i="101"/>
  <c r="L29" i="101"/>
  <c r="M28" i="101"/>
  <c r="L28" i="101"/>
  <c r="K28" i="101"/>
  <c r="J28" i="101"/>
  <c r="I28" i="101"/>
  <c r="M27" i="101"/>
  <c r="L27" i="101"/>
  <c r="M26" i="101"/>
  <c r="L26" i="101"/>
  <c r="I26" i="101"/>
  <c r="M25" i="101"/>
  <c r="L25" i="101"/>
  <c r="K25" i="101"/>
  <c r="J25" i="101"/>
  <c r="I25" i="101"/>
  <c r="H25" i="101"/>
  <c r="G25" i="101"/>
  <c r="F25" i="101"/>
  <c r="E25" i="101"/>
  <c r="D25" i="101"/>
  <c r="M24" i="101"/>
  <c r="L24" i="101"/>
  <c r="K24" i="101"/>
  <c r="J24" i="101"/>
  <c r="I24" i="101"/>
  <c r="H24" i="101"/>
  <c r="G24" i="101"/>
  <c r="F24" i="101"/>
  <c r="E24" i="101"/>
  <c r="D24" i="101"/>
  <c r="M23" i="101"/>
  <c r="L23" i="101"/>
  <c r="K23" i="101"/>
  <c r="J23" i="101"/>
  <c r="I23" i="101"/>
  <c r="H23" i="101"/>
  <c r="G23" i="101"/>
  <c r="F23" i="101"/>
  <c r="E23" i="101"/>
  <c r="D23" i="101"/>
  <c r="M18" i="101"/>
  <c r="L18" i="101"/>
  <c r="K18" i="101"/>
  <c r="J18" i="101"/>
  <c r="I18" i="101"/>
  <c r="H18" i="101"/>
  <c r="G18" i="101"/>
  <c r="F18" i="101"/>
  <c r="E18" i="101"/>
  <c r="D18" i="101"/>
  <c r="M17" i="101"/>
  <c r="L17" i="101"/>
  <c r="K17" i="101"/>
  <c r="J17" i="101"/>
  <c r="I17" i="101"/>
  <c r="H17" i="101"/>
  <c r="G17" i="101"/>
  <c r="F17" i="101"/>
  <c r="E17" i="101"/>
  <c r="D17" i="101"/>
  <c r="M16" i="101"/>
  <c r="L16" i="101"/>
  <c r="K16" i="101"/>
  <c r="J16" i="101"/>
  <c r="I16" i="101"/>
  <c r="H16" i="101"/>
  <c r="G16" i="101"/>
  <c r="F16" i="101"/>
  <c r="E16" i="101"/>
  <c r="D16" i="101"/>
  <c r="M15" i="101"/>
  <c r="L15" i="101"/>
  <c r="M14" i="101"/>
  <c r="L14" i="101"/>
  <c r="M13" i="101"/>
  <c r="L13" i="101"/>
  <c r="M12" i="101"/>
  <c r="L12" i="101"/>
  <c r="M11" i="101"/>
  <c r="L11" i="101"/>
  <c r="M10" i="101"/>
  <c r="L10" i="101"/>
  <c r="Q193" i="106"/>
  <c r="P193" i="106"/>
  <c r="O193" i="106"/>
  <c r="N193" i="106"/>
  <c r="M193" i="106"/>
  <c r="Q192" i="106"/>
  <c r="P192" i="106"/>
  <c r="O192" i="106"/>
  <c r="N192" i="106"/>
  <c r="M192" i="106"/>
  <c r="I192" i="106"/>
  <c r="Q191" i="106"/>
  <c r="P191" i="106"/>
  <c r="O191" i="106"/>
  <c r="N191" i="106"/>
  <c r="M191" i="106"/>
  <c r="D191" i="106"/>
  <c r="Q190" i="106"/>
  <c r="P190" i="106"/>
  <c r="O190" i="106"/>
  <c r="N190" i="106"/>
  <c r="M190" i="106"/>
  <c r="I190" i="106"/>
  <c r="H190" i="106"/>
  <c r="F190" i="106"/>
  <c r="E190" i="106"/>
  <c r="Q189" i="106"/>
  <c r="P189" i="106"/>
  <c r="O189" i="106"/>
  <c r="N189" i="106"/>
  <c r="M189" i="106"/>
  <c r="I189" i="106"/>
  <c r="Q188" i="106"/>
  <c r="P188" i="106"/>
  <c r="O188" i="106"/>
  <c r="N188" i="106"/>
  <c r="M188" i="106"/>
  <c r="J188" i="106"/>
  <c r="I188" i="106"/>
  <c r="H188" i="106"/>
  <c r="F188" i="106"/>
  <c r="E188" i="106"/>
  <c r="Q187" i="106"/>
  <c r="P187" i="106"/>
  <c r="O187" i="106"/>
  <c r="N187" i="106"/>
  <c r="M187" i="106"/>
  <c r="Q186" i="106"/>
  <c r="P186" i="106"/>
  <c r="O186" i="106"/>
  <c r="N186" i="106"/>
  <c r="M186" i="106"/>
  <c r="L186" i="106"/>
  <c r="J186" i="106"/>
  <c r="I186" i="106"/>
  <c r="F186" i="106"/>
  <c r="Q185" i="106"/>
  <c r="P185" i="106"/>
  <c r="O185" i="106"/>
  <c r="N185" i="106"/>
  <c r="M185" i="106"/>
  <c r="L185" i="106"/>
  <c r="J185" i="106"/>
  <c r="I185" i="106"/>
  <c r="F185" i="106"/>
  <c r="Q184" i="106"/>
  <c r="P184" i="106"/>
  <c r="O184" i="106"/>
  <c r="N184" i="106"/>
  <c r="M184" i="106"/>
  <c r="Q183" i="106"/>
  <c r="P183" i="106"/>
  <c r="O183" i="106"/>
  <c r="N183" i="106"/>
  <c r="M183" i="106"/>
  <c r="Q182" i="106"/>
  <c r="P182" i="106"/>
  <c r="O182" i="106"/>
  <c r="N182" i="106"/>
  <c r="M182" i="106"/>
  <c r="I182" i="106"/>
  <c r="Q181" i="106"/>
  <c r="P181" i="106"/>
  <c r="O181" i="106"/>
  <c r="N181" i="106"/>
  <c r="M181" i="106"/>
  <c r="I181" i="106"/>
  <c r="Q180" i="106"/>
  <c r="P180" i="106"/>
  <c r="O180" i="106"/>
  <c r="N180" i="106"/>
  <c r="M180" i="106"/>
  <c r="Q179" i="106"/>
  <c r="P179" i="106"/>
  <c r="O179" i="106"/>
  <c r="N179" i="106"/>
  <c r="M179" i="106"/>
  <c r="L179" i="106"/>
  <c r="K179" i="106"/>
  <c r="J179" i="106"/>
  <c r="I179" i="106"/>
  <c r="H179" i="106"/>
  <c r="G179" i="106"/>
  <c r="F179" i="106"/>
  <c r="E179" i="106"/>
  <c r="D179" i="106"/>
  <c r="Q178" i="106"/>
  <c r="P178" i="106"/>
  <c r="O178" i="106"/>
  <c r="N178" i="106"/>
  <c r="M178" i="106"/>
  <c r="Q177" i="106"/>
  <c r="P177" i="106"/>
  <c r="O177" i="106"/>
  <c r="N177" i="106"/>
  <c r="M177" i="106"/>
  <c r="Q176" i="106"/>
  <c r="P176" i="106"/>
  <c r="O176" i="106"/>
  <c r="N176" i="106"/>
  <c r="M176" i="106"/>
  <c r="Q175" i="106"/>
  <c r="P175" i="106"/>
  <c r="O175" i="106"/>
  <c r="N175" i="106"/>
  <c r="M175" i="106"/>
  <c r="J175" i="106"/>
  <c r="I175" i="106"/>
  <c r="H175" i="106"/>
  <c r="F175" i="106"/>
  <c r="E175" i="106"/>
  <c r="D175" i="106"/>
  <c r="Q174" i="106"/>
  <c r="P174" i="106"/>
  <c r="O174" i="106"/>
  <c r="N174" i="106"/>
  <c r="M174" i="106"/>
  <c r="Q173" i="106"/>
  <c r="P173" i="106"/>
  <c r="O173" i="106"/>
  <c r="N173" i="106"/>
  <c r="M173" i="106"/>
  <c r="Q172" i="106"/>
  <c r="P172" i="106"/>
  <c r="O172" i="106"/>
  <c r="N172" i="106"/>
  <c r="M172" i="106"/>
  <c r="Q171" i="106"/>
  <c r="P171" i="106"/>
  <c r="O171" i="106"/>
  <c r="N171" i="106"/>
  <c r="M171" i="106"/>
  <c r="Q170" i="106"/>
  <c r="P170" i="106"/>
  <c r="O170" i="106"/>
  <c r="N170" i="106"/>
  <c r="M170" i="106"/>
  <c r="Q169" i="106"/>
  <c r="P169" i="106"/>
  <c r="O169" i="106"/>
  <c r="N169" i="106"/>
  <c r="M169" i="106"/>
  <c r="Q168" i="106"/>
  <c r="P168" i="106"/>
  <c r="O168" i="106"/>
  <c r="N168" i="106"/>
  <c r="M168" i="106"/>
  <c r="Q167" i="106"/>
  <c r="P167" i="106"/>
  <c r="O167" i="106"/>
  <c r="N167" i="106"/>
  <c r="M167" i="106"/>
  <c r="J167" i="106"/>
  <c r="I167" i="106"/>
  <c r="H167" i="106"/>
  <c r="F167" i="106"/>
  <c r="E167" i="106"/>
  <c r="D167" i="106"/>
  <c r="Q166" i="106"/>
  <c r="P166" i="106"/>
  <c r="O166" i="106"/>
  <c r="N166" i="106"/>
  <c r="M166" i="106"/>
  <c r="J166" i="106"/>
  <c r="I166" i="106"/>
  <c r="H166" i="106"/>
  <c r="F166" i="106"/>
  <c r="E166" i="106"/>
  <c r="D166" i="106"/>
  <c r="Q165" i="106"/>
  <c r="P165" i="106"/>
  <c r="O165" i="106"/>
  <c r="N165" i="106"/>
  <c r="M165" i="106"/>
  <c r="J165" i="106"/>
  <c r="I165" i="106"/>
  <c r="H165" i="106"/>
  <c r="F165" i="106"/>
  <c r="E165" i="106"/>
  <c r="D165" i="106"/>
  <c r="Q164" i="106"/>
  <c r="P164" i="106"/>
  <c r="O164" i="106"/>
  <c r="N164" i="106"/>
  <c r="M164" i="106"/>
  <c r="J164" i="106"/>
  <c r="I164" i="106"/>
  <c r="H164" i="106"/>
  <c r="F164" i="106"/>
  <c r="E164" i="106"/>
  <c r="D164" i="106"/>
  <c r="Q163" i="106"/>
  <c r="P163" i="106"/>
  <c r="O163" i="106"/>
  <c r="N163" i="106"/>
  <c r="M163" i="106"/>
  <c r="J163" i="106"/>
  <c r="I163" i="106"/>
  <c r="H163" i="106"/>
  <c r="F163" i="106"/>
  <c r="E163" i="106"/>
  <c r="D163" i="106"/>
  <c r="Q162" i="106"/>
  <c r="P162" i="106"/>
  <c r="O162" i="106"/>
  <c r="N162" i="106"/>
  <c r="M162" i="106"/>
  <c r="Q161" i="106"/>
  <c r="P161" i="106"/>
  <c r="O161" i="106"/>
  <c r="N161" i="106"/>
  <c r="M161" i="106"/>
  <c r="L161" i="106"/>
  <c r="K161" i="106"/>
  <c r="J161" i="106"/>
  <c r="I161" i="106"/>
  <c r="H161" i="106"/>
  <c r="G161" i="106"/>
  <c r="F161" i="106"/>
  <c r="E161" i="106"/>
  <c r="D161" i="106"/>
  <c r="Q160" i="106"/>
  <c r="P160" i="106"/>
  <c r="O160" i="106"/>
  <c r="N160" i="106"/>
  <c r="M160" i="106"/>
  <c r="Q159" i="106"/>
  <c r="P159" i="106"/>
  <c r="O159" i="106"/>
  <c r="N159" i="106"/>
  <c r="M159" i="106"/>
  <c r="Q158" i="106"/>
  <c r="P158" i="106"/>
  <c r="O158" i="106"/>
  <c r="N158" i="106"/>
  <c r="M158" i="106"/>
  <c r="Q157" i="106"/>
  <c r="P157" i="106"/>
  <c r="O157" i="106"/>
  <c r="N157" i="106"/>
  <c r="M157" i="106"/>
  <c r="Q156" i="106"/>
  <c r="P156" i="106"/>
  <c r="O156" i="106"/>
  <c r="N156" i="106"/>
  <c r="M156" i="106"/>
  <c r="Q155" i="106"/>
  <c r="P155" i="106"/>
  <c r="O155" i="106"/>
  <c r="N155" i="106"/>
  <c r="M155" i="106"/>
  <c r="Q154" i="106"/>
  <c r="P154" i="106"/>
  <c r="O154" i="106"/>
  <c r="N154" i="106"/>
  <c r="M154" i="106"/>
  <c r="L154" i="106"/>
  <c r="K154" i="106"/>
  <c r="J154" i="106"/>
  <c r="I154" i="106"/>
  <c r="H154" i="106"/>
  <c r="G154" i="106"/>
  <c r="F154" i="106"/>
  <c r="E154" i="106"/>
  <c r="D154" i="106"/>
  <c r="Q153" i="106"/>
  <c r="P153" i="106"/>
  <c r="O153" i="106"/>
  <c r="N153" i="106"/>
  <c r="M153" i="106"/>
  <c r="L153" i="106"/>
  <c r="I153" i="106"/>
  <c r="H153" i="106"/>
  <c r="F153" i="106"/>
  <c r="Q152" i="106"/>
  <c r="P152" i="106"/>
  <c r="O152" i="106"/>
  <c r="N152" i="106"/>
  <c r="M152" i="106"/>
  <c r="L152" i="106"/>
  <c r="I152" i="106"/>
  <c r="H152" i="106"/>
  <c r="F152" i="106"/>
  <c r="Q151" i="106"/>
  <c r="P151" i="106"/>
  <c r="O151" i="106"/>
  <c r="N151" i="106"/>
  <c r="M151" i="106"/>
  <c r="L151" i="106"/>
  <c r="I151" i="106"/>
  <c r="H151" i="106"/>
  <c r="F151" i="106"/>
  <c r="Q150" i="106"/>
  <c r="P150" i="106"/>
  <c r="O150" i="106"/>
  <c r="N150" i="106"/>
  <c r="M150" i="106"/>
  <c r="L150" i="106"/>
  <c r="I150" i="106"/>
  <c r="H150" i="106"/>
  <c r="F150" i="106"/>
  <c r="Q149" i="106"/>
  <c r="P149" i="106"/>
  <c r="O149" i="106"/>
  <c r="N149" i="106"/>
  <c r="M149" i="106"/>
  <c r="L149" i="106"/>
  <c r="I149" i="106"/>
  <c r="H149" i="106"/>
  <c r="F149" i="106"/>
  <c r="Q148" i="106"/>
  <c r="P148" i="106"/>
  <c r="O148" i="106"/>
  <c r="N148" i="106"/>
  <c r="M148" i="106"/>
  <c r="Q147" i="106"/>
  <c r="P147" i="106"/>
  <c r="O147" i="106"/>
  <c r="N147" i="106"/>
  <c r="M147" i="106"/>
  <c r="L147" i="106"/>
  <c r="K147" i="106"/>
  <c r="J147" i="106"/>
  <c r="I147" i="106"/>
  <c r="H147" i="106"/>
  <c r="G147" i="106"/>
  <c r="F147" i="106"/>
  <c r="E147" i="106"/>
  <c r="D147" i="106"/>
  <c r="Q146" i="106"/>
  <c r="P146" i="106"/>
  <c r="O146" i="106"/>
  <c r="N146" i="106"/>
  <c r="M146" i="106"/>
  <c r="Q144" i="106"/>
  <c r="P144" i="106"/>
  <c r="O144" i="106"/>
  <c r="N144" i="106"/>
  <c r="M144" i="106"/>
  <c r="I144" i="106"/>
  <c r="Q143" i="106"/>
  <c r="P143" i="106"/>
  <c r="O143" i="106"/>
  <c r="N143" i="106"/>
  <c r="M143" i="106"/>
  <c r="Q142" i="106"/>
  <c r="P142" i="106"/>
  <c r="O142" i="106"/>
  <c r="N142" i="106"/>
  <c r="M142" i="106"/>
  <c r="J142" i="106"/>
  <c r="G142" i="106"/>
  <c r="Q141" i="106"/>
  <c r="P141" i="106"/>
  <c r="O141" i="106"/>
  <c r="N141" i="106"/>
  <c r="M141" i="106"/>
  <c r="Q140" i="106"/>
  <c r="P140" i="106"/>
  <c r="O140" i="106"/>
  <c r="N140" i="106"/>
  <c r="M140" i="106"/>
  <c r="Q139" i="106"/>
  <c r="P139" i="106"/>
  <c r="O139" i="106"/>
  <c r="N139" i="106"/>
  <c r="M139" i="106"/>
  <c r="Q138" i="106"/>
  <c r="P138" i="106"/>
  <c r="O138" i="106"/>
  <c r="N138" i="106"/>
  <c r="M138" i="106"/>
  <c r="L138" i="106"/>
  <c r="K138" i="106"/>
  <c r="J138" i="106"/>
  <c r="I138" i="106"/>
  <c r="H138" i="106"/>
  <c r="G138" i="106"/>
  <c r="F138" i="106"/>
  <c r="Q137" i="106"/>
  <c r="P137" i="106"/>
  <c r="O137" i="106"/>
  <c r="N137" i="106"/>
  <c r="M137" i="106"/>
  <c r="L137" i="106"/>
  <c r="K137" i="106"/>
  <c r="J137" i="106"/>
  <c r="I137" i="106"/>
  <c r="H137" i="106"/>
  <c r="G137" i="106"/>
  <c r="F137" i="106"/>
  <c r="E137" i="106"/>
  <c r="D137" i="106"/>
  <c r="Q136" i="106"/>
  <c r="P136" i="106"/>
  <c r="O136" i="106"/>
  <c r="N136" i="106"/>
  <c r="M136" i="106"/>
  <c r="Q135" i="106"/>
  <c r="P135" i="106"/>
  <c r="O135" i="106"/>
  <c r="N135" i="106"/>
  <c r="M135" i="106"/>
  <c r="L135" i="106"/>
  <c r="J135" i="106"/>
  <c r="I135" i="106"/>
  <c r="G135" i="106"/>
  <c r="F135" i="106"/>
  <c r="Q134" i="106"/>
  <c r="P134" i="106"/>
  <c r="O134" i="106"/>
  <c r="N134" i="106"/>
  <c r="M134" i="106"/>
  <c r="G134" i="106"/>
  <c r="E134" i="106"/>
  <c r="Q133" i="106"/>
  <c r="P133" i="106"/>
  <c r="O133" i="106"/>
  <c r="N133" i="106"/>
  <c r="M133" i="106"/>
  <c r="Q132" i="106"/>
  <c r="P132" i="106"/>
  <c r="O132" i="106"/>
  <c r="N132" i="106"/>
  <c r="M132" i="106"/>
  <c r="I132" i="106"/>
  <c r="Q131" i="106"/>
  <c r="P131" i="106"/>
  <c r="O131" i="106"/>
  <c r="N131" i="106"/>
  <c r="M131" i="106"/>
  <c r="D131" i="106"/>
  <c r="Q130" i="106"/>
  <c r="P130" i="106"/>
  <c r="O130" i="106"/>
  <c r="N130" i="106"/>
  <c r="M130" i="106"/>
  <c r="I130" i="106"/>
  <c r="Q129" i="106"/>
  <c r="P129" i="106"/>
  <c r="O129" i="106"/>
  <c r="N129" i="106"/>
  <c r="M129" i="106"/>
  <c r="I129" i="106"/>
  <c r="Q128" i="106"/>
  <c r="P128" i="106"/>
  <c r="O128" i="106"/>
  <c r="N128" i="106"/>
  <c r="M128" i="106"/>
  <c r="Q127" i="106"/>
  <c r="P127" i="106"/>
  <c r="O127" i="106"/>
  <c r="N127" i="106"/>
  <c r="M127" i="106"/>
  <c r="J127" i="106"/>
  <c r="Q126" i="106"/>
  <c r="P126" i="106"/>
  <c r="O126" i="106"/>
  <c r="N126" i="106"/>
  <c r="M126" i="106"/>
  <c r="J126" i="106"/>
  <c r="I126" i="106"/>
  <c r="H126" i="106"/>
  <c r="F126" i="106"/>
  <c r="E126" i="106"/>
  <c r="D126" i="106"/>
  <c r="Q125" i="106"/>
  <c r="P125" i="106"/>
  <c r="O125" i="106"/>
  <c r="N125" i="106"/>
  <c r="M125" i="106"/>
  <c r="H125" i="106"/>
  <c r="Q124" i="106"/>
  <c r="P124" i="106"/>
  <c r="O124" i="106"/>
  <c r="N124" i="106"/>
  <c r="M124" i="106"/>
  <c r="J124" i="106"/>
  <c r="I124" i="106"/>
  <c r="H124" i="106"/>
  <c r="F124" i="106"/>
  <c r="E124" i="106"/>
  <c r="Q123" i="106"/>
  <c r="P123" i="106"/>
  <c r="O123" i="106"/>
  <c r="N123" i="106"/>
  <c r="M123" i="106"/>
  <c r="H123" i="106"/>
  <c r="F123" i="106"/>
  <c r="Q122" i="106"/>
  <c r="P122" i="106"/>
  <c r="O122" i="106"/>
  <c r="N122" i="106"/>
  <c r="M122" i="106"/>
  <c r="J122" i="106"/>
  <c r="I122" i="106"/>
  <c r="H122" i="106"/>
  <c r="G122" i="106"/>
  <c r="F122" i="106"/>
  <c r="E122" i="106"/>
  <c r="Q121" i="106"/>
  <c r="P121" i="106"/>
  <c r="O121" i="106"/>
  <c r="N121" i="106"/>
  <c r="M121" i="106"/>
  <c r="Q120" i="106"/>
  <c r="P120" i="106"/>
  <c r="O120" i="106"/>
  <c r="N120" i="106"/>
  <c r="M120" i="106"/>
  <c r="Q119" i="106"/>
  <c r="P119" i="106"/>
  <c r="O119" i="106"/>
  <c r="N119" i="106"/>
  <c r="M119" i="106"/>
  <c r="G119" i="106"/>
  <c r="Q118" i="106"/>
  <c r="P118" i="106"/>
  <c r="O118" i="106"/>
  <c r="N118" i="106"/>
  <c r="M118" i="106"/>
  <c r="Q117" i="106"/>
  <c r="P117" i="106"/>
  <c r="O117" i="106"/>
  <c r="N117" i="106"/>
  <c r="M117" i="106"/>
  <c r="G117" i="106"/>
  <c r="Q116" i="106"/>
  <c r="P116" i="106"/>
  <c r="O116" i="106"/>
  <c r="N116" i="106"/>
  <c r="M116" i="106"/>
  <c r="G116" i="106"/>
  <c r="Q115" i="106"/>
  <c r="P115" i="106"/>
  <c r="O115" i="106"/>
  <c r="N115" i="106"/>
  <c r="M115" i="106"/>
  <c r="G115" i="106"/>
  <c r="Q114" i="106"/>
  <c r="P114" i="106"/>
  <c r="O114" i="106"/>
  <c r="N114" i="106"/>
  <c r="M114" i="106"/>
  <c r="G114" i="106"/>
  <c r="Q113" i="106"/>
  <c r="P113" i="106"/>
  <c r="O113" i="106"/>
  <c r="N113" i="106"/>
  <c r="M113" i="106"/>
  <c r="G113" i="106"/>
  <c r="Q112" i="106"/>
  <c r="P112" i="106"/>
  <c r="O112" i="106"/>
  <c r="N112" i="106"/>
  <c r="M112" i="106"/>
  <c r="G112" i="106"/>
  <c r="Q111" i="106"/>
  <c r="P111" i="106"/>
  <c r="O111" i="106"/>
  <c r="N111" i="106"/>
  <c r="M111" i="106"/>
  <c r="Q110" i="106"/>
  <c r="P110" i="106"/>
  <c r="O110" i="106"/>
  <c r="N110" i="106"/>
  <c r="M110" i="106"/>
  <c r="G110" i="106"/>
  <c r="Q109" i="106"/>
  <c r="P109" i="106"/>
  <c r="O109" i="106"/>
  <c r="N109" i="106"/>
  <c r="M109" i="106"/>
  <c r="Q108" i="106"/>
  <c r="P108" i="106"/>
  <c r="O108" i="106"/>
  <c r="Q107" i="106"/>
  <c r="P107" i="106"/>
  <c r="O107" i="106"/>
  <c r="N107" i="106"/>
  <c r="M107" i="106"/>
  <c r="H107" i="106"/>
  <c r="Q106" i="106"/>
  <c r="P106" i="106"/>
  <c r="O106" i="106"/>
  <c r="N106" i="106"/>
  <c r="M106" i="106"/>
  <c r="L106" i="106"/>
  <c r="J106" i="106"/>
  <c r="I106" i="106"/>
  <c r="H106" i="106"/>
  <c r="G106" i="106"/>
  <c r="F106" i="106"/>
  <c r="E106" i="106"/>
  <c r="Q105" i="106"/>
  <c r="P105" i="106"/>
  <c r="O105" i="106"/>
  <c r="N105" i="106"/>
  <c r="M105" i="106"/>
  <c r="J105" i="106"/>
  <c r="I105" i="106"/>
  <c r="H105" i="106"/>
  <c r="F105" i="106"/>
  <c r="E105" i="106"/>
  <c r="Q104" i="106"/>
  <c r="P104" i="106"/>
  <c r="O104" i="106"/>
  <c r="N104" i="106"/>
  <c r="M104" i="106"/>
  <c r="Q103" i="106"/>
  <c r="P103" i="106"/>
  <c r="O103" i="106"/>
  <c r="N103" i="106"/>
  <c r="M103" i="106"/>
  <c r="L103" i="106"/>
  <c r="G103" i="106"/>
  <c r="Q102" i="106"/>
  <c r="P102" i="106"/>
  <c r="O102" i="106"/>
  <c r="N102" i="106"/>
  <c r="M102" i="106"/>
  <c r="Q101" i="106"/>
  <c r="P101" i="106"/>
  <c r="O101" i="106"/>
  <c r="N101" i="106"/>
  <c r="M101" i="106"/>
  <c r="Q100" i="106"/>
  <c r="P100" i="106"/>
  <c r="O100" i="106"/>
  <c r="N100" i="106"/>
  <c r="M100" i="106"/>
  <c r="G100" i="106"/>
  <c r="Q99" i="106"/>
  <c r="P99" i="106"/>
  <c r="O99" i="106"/>
  <c r="N99" i="106"/>
  <c r="M99" i="106"/>
  <c r="G99" i="106"/>
  <c r="Q98" i="106"/>
  <c r="P98" i="106"/>
  <c r="O98" i="106"/>
  <c r="N98" i="106"/>
  <c r="M98" i="106"/>
  <c r="L98" i="106"/>
  <c r="K98" i="106"/>
  <c r="J98" i="106"/>
  <c r="I98" i="106"/>
  <c r="H98" i="106"/>
  <c r="G98" i="106"/>
  <c r="F98" i="106"/>
  <c r="E98" i="106"/>
  <c r="D98" i="106"/>
  <c r="Q97" i="106"/>
  <c r="P97" i="106"/>
  <c r="O97" i="106"/>
  <c r="N97" i="106"/>
  <c r="M97" i="106"/>
  <c r="L97" i="106"/>
  <c r="G97" i="106"/>
  <c r="Q96" i="106"/>
  <c r="P96" i="106"/>
  <c r="O96" i="106"/>
  <c r="N96" i="106"/>
  <c r="M96" i="106"/>
  <c r="Q95" i="106"/>
  <c r="P95" i="106"/>
  <c r="O95" i="106"/>
  <c r="N95" i="106"/>
  <c r="M95" i="106"/>
  <c r="Q94" i="106"/>
  <c r="P94" i="106"/>
  <c r="O94" i="106"/>
  <c r="N94" i="106"/>
  <c r="M94" i="106"/>
  <c r="Q93" i="106"/>
  <c r="P93" i="106"/>
  <c r="O93" i="106"/>
  <c r="N93" i="106"/>
  <c r="M93" i="106"/>
  <c r="Q92" i="106"/>
  <c r="P92" i="106"/>
  <c r="O92" i="106"/>
  <c r="N92" i="106"/>
  <c r="M92" i="106"/>
  <c r="Q91" i="106"/>
  <c r="P91" i="106"/>
  <c r="O91" i="106"/>
  <c r="N91" i="106"/>
  <c r="M91" i="106"/>
  <c r="L91" i="106"/>
  <c r="K91" i="106"/>
  <c r="J91" i="106"/>
  <c r="I91" i="106"/>
  <c r="H91" i="106"/>
  <c r="G91" i="106"/>
  <c r="F91" i="106"/>
  <c r="E91" i="106"/>
  <c r="D91" i="106"/>
  <c r="Q90" i="106"/>
  <c r="P90" i="106"/>
  <c r="O90" i="106"/>
  <c r="N90" i="106"/>
  <c r="M90" i="106"/>
  <c r="Q89" i="106"/>
  <c r="P89" i="106"/>
  <c r="O89" i="106"/>
  <c r="N89" i="106"/>
  <c r="M89" i="106"/>
  <c r="J89" i="106"/>
  <c r="Q88" i="106"/>
  <c r="P88" i="106"/>
  <c r="O88" i="106"/>
  <c r="N88" i="106"/>
  <c r="M88" i="106"/>
  <c r="J88" i="106"/>
  <c r="Q87" i="106"/>
  <c r="P87" i="106"/>
  <c r="O87" i="106"/>
  <c r="N87" i="106"/>
  <c r="M87" i="106"/>
  <c r="J87" i="106"/>
  <c r="I87" i="106"/>
  <c r="H87" i="106"/>
  <c r="Q86" i="106"/>
  <c r="P86" i="106"/>
  <c r="O86" i="106"/>
  <c r="N86" i="106"/>
  <c r="M86" i="106"/>
  <c r="L86" i="106"/>
  <c r="J86" i="106"/>
  <c r="Q85" i="106"/>
  <c r="P85" i="106"/>
  <c r="O85" i="106"/>
  <c r="N85" i="106"/>
  <c r="M85" i="106"/>
  <c r="J85" i="106"/>
  <c r="Q84" i="106"/>
  <c r="P84" i="106"/>
  <c r="O84" i="106"/>
  <c r="N84" i="106"/>
  <c r="M84" i="106"/>
  <c r="L84" i="106"/>
  <c r="K84" i="106"/>
  <c r="J84" i="106"/>
  <c r="I84" i="106"/>
  <c r="H84" i="106"/>
  <c r="G84" i="106"/>
  <c r="F84" i="106"/>
  <c r="E84" i="106"/>
  <c r="D84" i="106"/>
  <c r="Q83" i="106"/>
  <c r="P83" i="106"/>
  <c r="O83" i="106"/>
  <c r="N83" i="106"/>
  <c r="M83" i="106"/>
  <c r="Q82" i="106"/>
  <c r="P82" i="106"/>
  <c r="O82" i="106"/>
  <c r="N82" i="106"/>
  <c r="M82" i="106"/>
  <c r="L82" i="106"/>
  <c r="K82" i="106"/>
  <c r="J82" i="106"/>
  <c r="I82" i="106"/>
  <c r="H82" i="106"/>
  <c r="G82" i="106"/>
  <c r="F82" i="106"/>
  <c r="E82" i="106"/>
  <c r="D82" i="106"/>
  <c r="Q81" i="106"/>
  <c r="P81" i="106"/>
  <c r="O81" i="106"/>
  <c r="N81" i="106"/>
  <c r="M81" i="106"/>
  <c r="Q80" i="106"/>
  <c r="P80" i="106"/>
  <c r="O80" i="106"/>
  <c r="N80" i="106"/>
  <c r="M80" i="106"/>
  <c r="Q79" i="106"/>
  <c r="P79" i="106"/>
  <c r="O79" i="106"/>
  <c r="N79" i="106"/>
  <c r="M79" i="106"/>
  <c r="Q78" i="106"/>
  <c r="P78" i="106"/>
  <c r="O78" i="106"/>
  <c r="N78" i="106"/>
  <c r="M78" i="106"/>
  <c r="Q77" i="106"/>
  <c r="P77" i="106"/>
  <c r="O77" i="106"/>
  <c r="N77" i="106"/>
  <c r="M77" i="106"/>
  <c r="L77" i="106"/>
  <c r="K77" i="106"/>
  <c r="J77" i="106"/>
  <c r="I77" i="106"/>
  <c r="H77" i="106"/>
  <c r="G77" i="106"/>
  <c r="F77" i="106"/>
  <c r="E77" i="106"/>
  <c r="Q76" i="106"/>
  <c r="P76" i="106"/>
  <c r="O76" i="106"/>
  <c r="N76" i="106"/>
  <c r="M76" i="106"/>
  <c r="L76" i="106"/>
  <c r="K76" i="106"/>
  <c r="J76" i="106"/>
  <c r="I76" i="106"/>
  <c r="H76" i="106"/>
  <c r="G76" i="106"/>
  <c r="F76" i="106"/>
  <c r="E76" i="106"/>
  <c r="D76" i="106"/>
  <c r="Q75" i="106"/>
  <c r="P75" i="106"/>
  <c r="O75" i="106"/>
  <c r="N75" i="106"/>
  <c r="M75" i="106"/>
  <c r="Q74" i="106"/>
  <c r="P74" i="106"/>
  <c r="O74" i="106"/>
  <c r="N74" i="106"/>
  <c r="M74" i="106"/>
  <c r="Q72" i="106"/>
  <c r="P72" i="106"/>
  <c r="O72" i="106"/>
  <c r="N72" i="106"/>
  <c r="M72" i="106"/>
  <c r="Q71" i="106"/>
  <c r="P71" i="106"/>
  <c r="O71" i="106"/>
  <c r="N71" i="106"/>
  <c r="M71" i="106"/>
  <c r="L71" i="106"/>
  <c r="K71" i="106"/>
  <c r="J71" i="106"/>
  <c r="I71" i="106"/>
  <c r="H71" i="106"/>
  <c r="G71" i="106"/>
  <c r="F71" i="106"/>
  <c r="E71" i="106"/>
  <c r="Q70" i="106"/>
  <c r="P70" i="106"/>
  <c r="O70" i="106"/>
  <c r="N70" i="106"/>
  <c r="M70" i="106"/>
  <c r="L70" i="106"/>
  <c r="K70" i="106"/>
  <c r="J70" i="106"/>
  <c r="I70" i="106"/>
  <c r="H70" i="106"/>
  <c r="G70" i="106"/>
  <c r="F70" i="106"/>
  <c r="E70" i="106"/>
  <c r="D70" i="106"/>
  <c r="Q69" i="106"/>
  <c r="P69" i="106"/>
  <c r="O69" i="106"/>
  <c r="N69" i="106"/>
  <c r="M69" i="106"/>
  <c r="L69" i="106"/>
  <c r="K69" i="106"/>
  <c r="J69" i="106"/>
  <c r="I69" i="106"/>
  <c r="H69" i="106"/>
  <c r="G69" i="106"/>
  <c r="F69" i="106"/>
  <c r="E69" i="106"/>
  <c r="D69" i="106"/>
  <c r="Q68" i="106"/>
  <c r="P68" i="106"/>
  <c r="O68" i="106"/>
  <c r="N68" i="106"/>
  <c r="M68" i="106"/>
  <c r="J68" i="106"/>
  <c r="H68" i="106"/>
  <c r="G68" i="106"/>
  <c r="Q67" i="106"/>
  <c r="P67" i="106"/>
  <c r="O67" i="106"/>
  <c r="N67" i="106"/>
  <c r="M67" i="106"/>
  <c r="J67" i="106"/>
  <c r="H67" i="106"/>
  <c r="G67" i="106"/>
  <c r="Q66" i="106"/>
  <c r="P66" i="106"/>
  <c r="O66" i="106"/>
  <c r="N66" i="106"/>
  <c r="M66" i="106"/>
  <c r="J66" i="106"/>
  <c r="I66" i="106"/>
  <c r="H66" i="106"/>
  <c r="G66" i="106"/>
  <c r="Q65" i="106"/>
  <c r="P65" i="106"/>
  <c r="O65" i="106"/>
  <c r="N65" i="106"/>
  <c r="M65" i="106"/>
  <c r="J65" i="106"/>
  <c r="I65" i="106"/>
  <c r="H65" i="106"/>
  <c r="G65" i="106"/>
  <c r="F65" i="106"/>
  <c r="E65" i="106"/>
  <c r="D65" i="106"/>
  <c r="Q64" i="106"/>
  <c r="P64" i="106"/>
  <c r="O64" i="106"/>
  <c r="N64" i="106"/>
  <c r="M64" i="106"/>
  <c r="L64" i="106"/>
  <c r="K64" i="106"/>
  <c r="J64" i="106"/>
  <c r="I64" i="106"/>
  <c r="H64" i="106"/>
  <c r="G64" i="106"/>
  <c r="F64" i="106"/>
  <c r="E64" i="106"/>
  <c r="D64" i="106"/>
  <c r="Q63" i="106"/>
  <c r="P63" i="106"/>
  <c r="O63" i="106"/>
  <c r="N63" i="106"/>
  <c r="M63" i="106"/>
  <c r="Q62" i="106"/>
  <c r="P62" i="106"/>
  <c r="O62" i="106"/>
  <c r="N62" i="106"/>
  <c r="M62" i="106"/>
  <c r="G62" i="106"/>
  <c r="Q61" i="106"/>
  <c r="P61" i="106"/>
  <c r="O61" i="106"/>
  <c r="N61" i="106"/>
  <c r="M61" i="106"/>
  <c r="L61" i="106"/>
  <c r="K61" i="106"/>
  <c r="J61" i="106"/>
  <c r="I61" i="106"/>
  <c r="H61" i="106"/>
  <c r="G61" i="106"/>
  <c r="F61" i="106"/>
  <c r="E61" i="106"/>
  <c r="D61" i="106"/>
  <c r="Q60" i="106"/>
  <c r="P60" i="106"/>
  <c r="O60" i="106"/>
  <c r="N60" i="106"/>
  <c r="M60" i="106"/>
  <c r="G60" i="106"/>
  <c r="Q59" i="106"/>
  <c r="P59" i="106"/>
  <c r="O59" i="106"/>
  <c r="N59" i="106"/>
  <c r="M59" i="106"/>
  <c r="G59" i="106"/>
  <c r="Q58" i="106"/>
  <c r="P58" i="106"/>
  <c r="O58" i="106"/>
  <c r="N58" i="106"/>
  <c r="M58" i="106"/>
  <c r="L58" i="106"/>
  <c r="K58" i="106"/>
  <c r="J58" i="106"/>
  <c r="I58" i="106"/>
  <c r="H58" i="106"/>
  <c r="G58" i="106"/>
  <c r="F58" i="106"/>
  <c r="E58" i="106"/>
  <c r="D58" i="106"/>
  <c r="Q57" i="106"/>
  <c r="P57" i="106"/>
  <c r="O57" i="106"/>
  <c r="N57" i="106"/>
  <c r="M57" i="106"/>
  <c r="L57" i="106"/>
  <c r="K57" i="106"/>
  <c r="J57" i="106"/>
  <c r="I57" i="106"/>
  <c r="H57" i="106"/>
  <c r="G57" i="106"/>
  <c r="F57" i="106"/>
  <c r="E57" i="106"/>
  <c r="D57" i="106"/>
  <c r="Q56" i="106"/>
  <c r="P56" i="106"/>
  <c r="O56" i="106"/>
  <c r="N56" i="106"/>
  <c r="M56" i="106"/>
  <c r="L56" i="106"/>
  <c r="K56" i="106"/>
  <c r="J56" i="106"/>
  <c r="I56" i="106"/>
  <c r="H56" i="106"/>
  <c r="G56" i="106"/>
  <c r="F56" i="106"/>
  <c r="E56" i="106"/>
  <c r="D56" i="106"/>
  <c r="Q55" i="106"/>
  <c r="P55" i="106"/>
  <c r="O55" i="106"/>
  <c r="N55" i="106"/>
  <c r="M55" i="106"/>
  <c r="L55" i="106"/>
  <c r="K55" i="106"/>
  <c r="J55" i="106"/>
  <c r="I55" i="106"/>
  <c r="H55" i="106"/>
  <c r="G55" i="106"/>
  <c r="F55" i="106"/>
  <c r="E55" i="106"/>
  <c r="D55" i="106"/>
  <c r="Q54" i="106"/>
  <c r="P54" i="106"/>
  <c r="O54" i="106"/>
  <c r="N54" i="106"/>
  <c r="M54" i="106"/>
  <c r="Q53" i="106"/>
  <c r="P53" i="106"/>
  <c r="O53" i="106"/>
  <c r="N53" i="106"/>
  <c r="M53" i="106"/>
  <c r="G53" i="106"/>
  <c r="Q52" i="106"/>
  <c r="P52" i="106"/>
  <c r="O52" i="106"/>
  <c r="N52" i="106"/>
  <c r="M52" i="106"/>
  <c r="G52" i="106"/>
  <c r="Q51" i="106"/>
  <c r="P51" i="106"/>
  <c r="O51" i="106"/>
  <c r="N51" i="106"/>
  <c r="M51" i="106"/>
  <c r="L51" i="106"/>
  <c r="K51" i="106"/>
  <c r="J51" i="106"/>
  <c r="I51" i="106"/>
  <c r="H51" i="106"/>
  <c r="G51" i="106"/>
  <c r="F51" i="106"/>
  <c r="E51" i="106"/>
  <c r="Q50" i="106"/>
  <c r="P50" i="106"/>
  <c r="O50" i="106"/>
  <c r="N50" i="106"/>
  <c r="M50" i="106"/>
  <c r="D50" i="106"/>
  <c r="Q49" i="106"/>
  <c r="P49" i="106"/>
  <c r="O49" i="106"/>
  <c r="N49" i="106"/>
  <c r="M49" i="106"/>
  <c r="G49" i="106"/>
  <c r="Q48" i="106"/>
  <c r="P48" i="106"/>
  <c r="O48" i="106"/>
  <c r="N48" i="106"/>
  <c r="M48" i="106"/>
  <c r="L48" i="106"/>
  <c r="K48" i="106"/>
  <c r="J48" i="106"/>
  <c r="I48" i="106"/>
  <c r="H48" i="106"/>
  <c r="G48" i="106"/>
  <c r="F48" i="106"/>
  <c r="E48" i="106"/>
  <c r="D48" i="106"/>
  <c r="Q47" i="106"/>
  <c r="P47" i="106"/>
  <c r="O47" i="106"/>
  <c r="N47" i="106"/>
  <c r="M47" i="106"/>
  <c r="Q46" i="106"/>
  <c r="P46" i="106"/>
  <c r="O46" i="106"/>
  <c r="N46" i="106"/>
  <c r="M46" i="106"/>
  <c r="G46" i="106"/>
  <c r="Q45" i="106"/>
  <c r="P45" i="106"/>
  <c r="O45" i="106"/>
  <c r="N45" i="106"/>
  <c r="M45" i="106"/>
  <c r="L45" i="106"/>
  <c r="K45" i="106"/>
  <c r="J45" i="106"/>
  <c r="I45" i="106"/>
  <c r="H45" i="106"/>
  <c r="G45" i="106"/>
  <c r="F45" i="106"/>
  <c r="E45" i="106"/>
  <c r="D45" i="106"/>
  <c r="Q44" i="106"/>
  <c r="P44" i="106"/>
  <c r="O44" i="106"/>
  <c r="N44" i="106"/>
  <c r="M44" i="106"/>
  <c r="G44" i="106"/>
  <c r="Q43" i="106"/>
  <c r="P43" i="106"/>
  <c r="O43" i="106"/>
  <c r="N43" i="106"/>
  <c r="M43" i="106"/>
  <c r="G43" i="106"/>
  <c r="Q42" i="106"/>
  <c r="P42" i="106"/>
  <c r="O42" i="106"/>
  <c r="N42" i="106"/>
  <c r="M42" i="106"/>
  <c r="L42" i="106"/>
  <c r="K42" i="106"/>
  <c r="J42" i="106"/>
  <c r="I42" i="106"/>
  <c r="H42" i="106"/>
  <c r="G42" i="106"/>
  <c r="F42" i="106"/>
  <c r="E42" i="106"/>
  <c r="D42" i="106"/>
  <c r="Q41" i="106"/>
  <c r="P41" i="106"/>
  <c r="O41" i="106"/>
  <c r="N41" i="106"/>
  <c r="M41" i="106"/>
  <c r="L41" i="106"/>
  <c r="K41" i="106"/>
  <c r="J41" i="106"/>
  <c r="I41" i="106"/>
  <c r="H41" i="106"/>
  <c r="G41" i="106"/>
  <c r="F41" i="106"/>
  <c r="E41" i="106"/>
  <c r="D41" i="106"/>
  <c r="Q40" i="106"/>
  <c r="P40" i="106"/>
  <c r="O40" i="106"/>
  <c r="N40" i="106"/>
  <c r="M40" i="106"/>
  <c r="L40" i="106"/>
  <c r="K40" i="106"/>
  <c r="J40" i="106"/>
  <c r="I40" i="106"/>
  <c r="H40" i="106"/>
  <c r="G40" i="106"/>
  <c r="F40" i="106"/>
  <c r="E40" i="106"/>
  <c r="D40" i="106"/>
  <c r="Q39" i="106"/>
  <c r="P39" i="106"/>
  <c r="O39" i="106"/>
  <c r="N39" i="106"/>
  <c r="M39" i="106"/>
  <c r="L39" i="106"/>
  <c r="K39" i="106"/>
  <c r="J39" i="106"/>
  <c r="I39" i="106"/>
  <c r="H39" i="106"/>
  <c r="G39" i="106"/>
  <c r="F39" i="106"/>
  <c r="E39" i="106"/>
  <c r="D39" i="106"/>
  <c r="Q38" i="106"/>
  <c r="P38" i="106"/>
  <c r="O38" i="106"/>
  <c r="N38" i="106"/>
  <c r="M38" i="106"/>
  <c r="Q37" i="106"/>
  <c r="P37" i="106"/>
  <c r="O37" i="106"/>
  <c r="N37" i="106"/>
  <c r="M37" i="106"/>
  <c r="K37" i="106"/>
  <c r="G37" i="106"/>
  <c r="Q36" i="106"/>
  <c r="P36" i="106"/>
  <c r="O36" i="106"/>
  <c r="N36" i="106"/>
  <c r="M36" i="106"/>
  <c r="L36" i="106"/>
  <c r="K36" i="106"/>
  <c r="J36" i="106"/>
  <c r="I36" i="106"/>
  <c r="H36" i="106"/>
  <c r="G36" i="106"/>
  <c r="F36" i="106"/>
  <c r="E36" i="106"/>
  <c r="D36" i="106"/>
  <c r="Q35" i="106"/>
  <c r="P35" i="106"/>
  <c r="O35" i="106"/>
  <c r="N35" i="106"/>
  <c r="M35" i="106"/>
  <c r="Q34" i="106"/>
  <c r="P34" i="106"/>
  <c r="O34" i="106"/>
  <c r="N34" i="106"/>
  <c r="M34" i="106"/>
  <c r="K34" i="106"/>
  <c r="G34" i="106"/>
  <c r="Q33" i="106"/>
  <c r="P33" i="106"/>
  <c r="O33" i="106"/>
  <c r="N33" i="106"/>
  <c r="M33" i="106"/>
  <c r="L33" i="106"/>
  <c r="K33" i="106"/>
  <c r="J33" i="106"/>
  <c r="I33" i="106"/>
  <c r="H33" i="106"/>
  <c r="G33" i="106"/>
  <c r="F33" i="106"/>
  <c r="E33" i="106"/>
  <c r="D33" i="106"/>
  <c r="Q32" i="106"/>
  <c r="P32" i="106"/>
  <c r="O32" i="106"/>
  <c r="N32" i="106"/>
  <c r="M32" i="106"/>
  <c r="L32" i="106"/>
  <c r="K32" i="106"/>
  <c r="J32" i="106"/>
  <c r="I32" i="106"/>
  <c r="H32" i="106"/>
  <c r="G32" i="106"/>
  <c r="F32" i="106"/>
  <c r="E32" i="106"/>
  <c r="D32" i="106"/>
  <c r="Q31" i="106"/>
  <c r="P31" i="106"/>
  <c r="O31" i="106"/>
  <c r="N31" i="106"/>
  <c r="M31" i="106"/>
  <c r="L31" i="106"/>
  <c r="K31" i="106"/>
  <c r="J31" i="106"/>
  <c r="I31" i="106"/>
  <c r="H31" i="106"/>
  <c r="G31" i="106"/>
  <c r="F31" i="106"/>
  <c r="E31" i="106"/>
  <c r="D31" i="106"/>
  <c r="Q30" i="106"/>
  <c r="P30" i="106"/>
  <c r="O30" i="106"/>
  <c r="N30" i="106"/>
  <c r="M30" i="106"/>
  <c r="L30" i="106"/>
  <c r="K30" i="106"/>
  <c r="J30" i="106"/>
  <c r="I30" i="106"/>
  <c r="H30" i="106"/>
  <c r="G30" i="106"/>
  <c r="F30" i="106"/>
  <c r="E30" i="106"/>
  <c r="D30" i="106"/>
  <c r="Q29" i="106"/>
  <c r="P29" i="106"/>
  <c r="O29" i="106"/>
  <c r="N29" i="106"/>
  <c r="M29" i="106"/>
  <c r="K29" i="106"/>
  <c r="G29" i="106"/>
  <c r="Q28" i="106"/>
  <c r="P28" i="106"/>
  <c r="O28" i="106"/>
  <c r="N28" i="106"/>
  <c r="M28" i="106"/>
  <c r="K28" i="106"/>
  <c r="G28" i="106"/>
  <c r="Q27" i="106"/>
  <c r="P27" i="106"/>
  <c r="O27" i="106"/>
  <c r="N27" i="106"/>
  <c r="M27" i="106"/>
  <c r="L27" i="106"/>
  <c r="K27" i="106"/>
  <c r="J27" i="106"/>
  <c r="I27" i="106"/>
  <c r="H27" i="106"/>
  <c r="G27" i="106"/>
  <c r="F27" i="106"/>
  <c r="E27" i="106"/>
  <c r="D27" i="106"/>
  <c r="Q26" i="106"/>
  <c r="P26" i="106"/>
  <c r="O26" i="106"/>
  <c r="N26" i="106"/>
  <c r="M26" i="106"/>
  <c r="L26" i="106"/>
  <c r="K26" i="106"/>
  <c r="J26" i="106"/>
  <c r="I26" i="106"/>
  <c r="H26" i="106"/>
  <c r="G26" i="106"/>
  <c r="F26" i="106"/>
  <c r="E26" i="106"/>
  <c r="D26" i="106"/>
  <c r="Q25" i="106"/>
  <c r="P25" i="106"/>
  <c r="O25" i="106"/>
  <c r="N25" i="106"/>
  <c r="M25" i="106"/>
  <c r="L25" i="106"/>
  <c r="K25" i="106"/>
  <c r="J25" i="106"/>
  <c r="I25" i="106"/>
  <c r="H25" i="106"/>
  <c r="G25" i="106"/>
  <c r="F25" i="106"/>
  <c r="E25" i="106"/>
  <c r="D25" i="106"/>
  <c r="Q24" i="106"/>
  <c r="P24" i="106"/>
  <c r="O24" i="106"/>
  <c r="N24" i="106"/>
  <c r="M24" i="106"/>
  <c r="L24" i="106"/>
  <c r="K24" i="106"/>
  <c r="J24" i="106"/>
  <c r="I24" i="106"/>
  <c r="H24" i="106"/>
  <c r="G24" i="106"/>
  <c r="F24" i="106"/>
  <c r="E24" i="106"/>
  <c r="D24" i="106"/>
  <c r="Q23" i="106"/>
  <c r="P23" i="106"/>
  <c r="O23" i="106"/>
  <c r="N23" i="106"/>
  <c r="M23" i="106"/>
  <c r="L23" i="106"/>
  <c r="K23" i="106"/>
  <c r="J23" i="106"/>
  <c r="I23" i="106"/>
  <c r="H23" i="106"/>
  <c r="G23" i="106"/>
  <c r="F23" i="106"/>
  <c r="E23" i="106"/>
  <c r="D23" i="106"/>
  <c r="Q22" i="106"/>
  <c r="P22" i="106"/>
  <c r="O22" i="106"/>
  <c r="N22" i="106"/>
  <c r="M22" i="106"/>
  <c r="L22" i="106"/>
  <c r="K22" i="106"/>
  <c r="J22" i="106"/>
  <c r="I22" i="106"/>
  <c r="H22" i="106"/>
  <c r="G22" i="106"/>
  <c r="F22" i="106"/>
  <c r="E22" i="106"/>
  <c r="D22" i="106"/>
  <c r="Q21" i="106"/>
  <c r="P21" i="106"/>
  <c r="O21" i="106"/>
  <c r="N21" i="106"/>
  <c r="M21" i="106"/>
  <c r="L21" i="106"/>
  <c r="K21" i="106"/>
  <c r="J21" i="106"/>
  <c r="I21" i="106"/>
  <c r="H21" i="106"/>
  <c r="G21" i="106"/>
  <c r="F21" i="106"/>
  <c r="E21" i="106"/>
  <c r="D21" i="106"/>
  <c r="Q20" i="106"/>
  <c r="P20" i="106"/>
  <c r="O20" i="106"/>
  <c r="N20" i="106"/>
  <c r="M20" i="106"/>
  <c r="L20" i="106"/>
  <c r="K20" i="106"/>
  <c r="J20" i="106"/>
  <c r="I20" i="106"/>
  <c r="H20" i="106"/>
  <c r="G20" i="106"/>
  <c r="F20" i="106"/>
  <c r="E20" i="106"/>
  <c r="D20" i="106"/>
  <c r="Q19" i="106"/>
  <c r="P19" i="106"/>
  <c r="L19" i="106"/>
  <c r="K19" i="106"/>
  <c r="J19" i="106"/>
  <c r="I19" i="106"/>
  <c r="H19" i="106"/>
  <c r="G19" i="106"/>
  <c r="F19" i="106"/>
  <c r="E19" i="106"/>
  <c r="D19" i="106"/>
  <c r="Q18" i="106"/>
  <c r="P18" i="106"/>
  <c r="L18" i="106"/>
  <c r="K18" i="106"/>
  <c r="J18" i="106"/>
  <c r="I18" i="106"/>
  <c r="H18" i="106"/>
  <c r="G18" i="106"/>
  <c r="F18" i="106"/>
  <c r="E18" i="106"/>
  <c r="D18" i="106"/>
  <c r="Q17" i="106"/>
  <c r="P17" i="106"/>
  <c r="O17" i="106"/>
  <c r="N17" i="106"/>
  <c r="M17" i="106"/>
  <c r="L17" i="106"/>
  <c r="K17" i="106"/>
  <c r="J17" i="106"/>
  <c r="I17" i="106"/>
  <c r="H17" i="106"/>
  <c r="G17" i="106"/>
  <c r="F17" i="106"/>
  <c r="E17" i="106"/>
  <c r="D17" i="106"/>
  <c r="Q16" i="106"/>
  <c r="P16" i="106"/>
  <c r="O16" i="106"/>
  <c r="N16" i="106"/>
  <c r="M16" i="106"/>
  <c r="L16" i="106"/>
  <c r="K16" i="106"/>
  <c r="J16" i="106"/>
  <c r="I16" i="106"/>
  <c r="H16" i="106"/>
  <c r="G16" i="106"/>
  <c r="F16" i="106"/>
  <c r="E16" i="106"/>
  <c r="D16" i="106"/>
  <c r="Q15" i="106"/>
  <c r="P15" i="106"/>
  <c r="O15" i="106"/>
  <c r="N15" i="106"/>
  <c r="M15" i="106"/>
  <c r="Q14" i="106"/>
  <c r="P14" i="106"/>
  <c r="O14" i="106"/>
  <c r="N14" i="106"/>
  <c r="M14" i="106"/>
  <c r="Q13" i="106"/>
  <c r="P13" i="106"/>
  <c r="O13" i="106"/>
  <c r="N13" i="106"/>
  <c r="M13" i="106"/>
  <c r="Q12" i="106"/>
  <c r="P12" i="106"/>
  <c r="O12" i="106"/>
  <c r="N12" i="106"/>
  <c r="M12" i="106"/>
  <c r="Q11" i="106"/>
  <c r="P11" i="106"/>
  <c r="O11" i="106"/>
  <c r="N11" i="106"/>
  <c r="M11" i="106"/>
  <c r="Q10" i="106"/>
  <c r="P10" i="106"/>
  <c r="O10" i="106"/>
  <c r="N10" i="106"/>
  <c r="M10" i="106"/>
  <c r="Q193" i="46"/>
  <c r="P193" i="46"/>
  <c r="O193" i="46"/>
  <c r="N193" i="46"/>
  <c r="M193" i="46"/>
  <c r="Q192" i="46"/>
  <c r="P192" i="46"/>
  <c r="O192" i="46"/>
  <c r="N192" i="46"/>
  <c r="M192" i="46"/>
  <c r="D192" i="46"/>
  <c r="Q191" i="46"/>
  <c r="P191" i="46"/>
  <c r="O191" i="46"/>
  <c r="N191" i="46"/>
  <c r="M191" i="46"/>
  <c r="I191" i="46"/>
  <c r="H191" i="46"/>
  <c r="F191" i="46"/>
  <c r="E191" i="46"/>
  <c r="Q190" i="46"/>
  <c r="P190" i="46"/>
  <c r="O190" i="46"/>
  <c r="N190" i="46"/>
  <c r="M190" i="46"/>
  <c r="I190" i="46"/>
  <c r="Q189" i="46"/>
  <c r="P189" i="46"/>
  <c r="O189" i="46"/>
  <c r="N189" i="46"/>
  <c r="M189" i="46"/>
  <c r="J189" i="46"/>
  <c r="I189" i="46"/>
  <c r="H189" i="46"/>
  <c r="F189" i="46"/>
  <c r="E189" i="46"/>
  <c r="Q188" i="46"/>
  <c r="P188" i="46"/>
  <c r="O188" i="46"/>
  <c r="N188" i="46"/>
  <c r="M188" i="46"/>
  <c r="Q187" i="46"/>
  <c r="P187" i="46"/>
  <c r="O187" i="46"/>
  <c r="N187" i="46"/>
  <c r="M187" i="46"/>
  <c r="L187" i="46"/>
  <c r="J187" i="46"/>
  <c r="I187" i="46"/>
  <c r="G187" i="46"/>
  <c r="F187" i="46"/>
  <c r="Q186" i="46"/>
  <c r="P186" i="46"/>
  <c r="O186" i="46"/>
  <c r="N186" i="46"/>
  <c r="M186" i="46"/>
  <c r="L186" i="46"/>
  <c r="J186" i="46"/>
  <c r="I186" i="46"/>
  <c r="G186" i="46"/>
  <c r="F186" i="46"/>
  <c r="Q185" i="46"/>
  <c r="P185" i="46"/>
  <c r="O185" i="46"/>
  <c r="N185" i="46"/>
  <c r="M185" i="46"/>
  <c r="Q184" i="46"/>
  <c r="P184" i="46"/>
  <c r="O184" i="46"/>
  <c r="N184" i="46"/>
  <c r="M184" i="46"/>
  <c r="Q183" i="46"/>
  <c r="P183" i="46"/>
  <c r="O183" i="46"/>
  <c r="N183" i="46"/>
  <c r="M183" i="46"/>
  <c r="I183" i="46"/>
  <c r="Q182" i="46"/>
  <c r="P182" i="46"/>
  <c r="O182" i="46"/>
  <c r="N182" i="46"/>
  <c r="M182" i="46"/>
  <c r="I182" i="46"/>
  <c r="Q181" i="46"/>
  <c r="P181" i="46"/>
  <c r="O181" i="46"/>
  <c r="N181" i="46"/>
  <c r="M181" i="46"/>
  <c r="Q180" i="46"/>
  <c r="P180" i="46"/>
  <c r="O180" i="46"/>
  <c r="N180" i="46"/>
  <c r="M180" i="46"/>
  <c r="L180" i="46"/>
  <c r="K180" i="46"/>
  <c r="J180" i="46"/>
  <c r="I180" i="46"/>
  <c r="H180" i="46"/>
  <c r="G180" i="46"/>
  <c r="F180" i="46"/>
  <c r="E180" i="46"/>
  <c r="D180" i="46"/>
  <c r="Q179" i="46"/>
  <c r="P179" i="46"/>
  <c r="O179" i="46"/>
  <c r="N179" i="46"/>
  <c r="M179" i="46"/>
  <c r="Q178" i="46"/>
  <c r="P178" i="46"/>
  <c r="O178" i="46"/>
  <c r="N178" i="46"/>
  <c r="M178" i="46"/>
  <c r="Q177" i="46"/>
  <c r="P177" i="46"/>
  <c r="O177" i="46"/>
  <c r="N177" i="46"/>
  <c r="M177" i="46"/>
  <c r="Q176" i="46"/>
  <c r="P176" i="46"/>
  <c r="O176" i="46"/>
  <c r="N176" i="46"/>
  <c r="M176" i="46"/>
  <c r="J176" i="46"/>
  <c r="I176" i="46"/>
  <c r="H176" i="46"/>
  <c r="F176" i="46"/>
  <c r="E176" i="46"/>
  <c r="D176" i="46"/>
  <c r="Q175" i="46"/>
  <c r="P175" i="46"/>
  <c r="O175" i="46"/>
  <c r="N175" i="46"/>
  <c r="M175" i="46"/>
  <c r="Q174" i="46"/>
  <c r="P174" i="46"/>
  <c r="O174" i="46"/>
  <c r="N174" i="46"/>
  <c r="M174" i="46"/>
  <c r="Q173" i="46"/>
  <c r="P173" i="46"/>
  <c r="O173" i="46"/>
  <c r="N173" i="46"/>
  <c r="M173" i="46"/>
  <c r="Q172" i="46"/>
  <c r="P172" i="46"/>
  <c r="O172" i="46"/>
  <c r="N172" i="46"/>
  <c r="M172" i="46"/>
  <c r="Q171" i="46"/>
  <c r="P171" i="46"/>
  <c r="O171" i="46"/>
  <c r="N171" i="46"/>
  <c r="M171" i="46"/>
  <c r="Q170" i="46"/>
  <c r="P170" i="46"/>
  <c r="O170" i="46"/>
  <c r="N170" i="46"/>
  <c r="M170" i="46"/>
  <c r="J170" i="46"/>
  <c r="I170" i="46"/>
  <c r="H170" i="46"/>
  <c r="F170" i="46"/>
  <c r="E170" i="46"/>
  <c r="D170" i="46"/>
  <c r="Q169" i="46"/>
  <c r="P169" i="46"/>
  <c r="O169" i="46"/>
  <c r="N169" i="46"/>
  <c r="M169" i="46"/>
  <c r="J169" i="46"/>
  <c r="I169" i="46"/>
  <c r="H169" i="46"/>
  <c r="F169" i="46"/>
  <c r="E169" i="46"/>
  <c r="D169" i="46"/>
  <c r="Q168" i="46"/>
  <c r="P168" i="46"/>
  <c r="O168" i="46"/>
  <c r="N168" i="46"/>
  <c r="M168" i="46"/>
  <c r="J168" i="46"/>
  <c r="I168" i="46"/>
  <c r="H168" i="46"/>
  <c r="F168" i="46"/>
  <c r="E168" i="46"/>
  <c r="D168" i="46"/>
  <c r="Q167" i="46"/>
  <c r="P167" i="46"/>
  <c r="O167" i="46"/>
  <c r="N167" i="46"/>
  <c r="M167" i="46"/>
  <c r="J167" i="46"/>
  <c r="I167" i="46"/>
  <c r="H167" i="46"/>
  <c r="F167" i="46"/>
  <c r="E167" i="46"/>
  <c r="D167" i="46"/>
  <c r="Q166" i="46"/>
  <c r="P166" i="46"/>
  <c r="O166" i="46"/>
  <c r="N166" i="46"/>
  <c r="M166" i="46"/>
  <c r="J166" i="46"/>
  <c r="I166" i="46"/>
  <c r="H166" i="46"/>
  <c r="F166" i="46"/>
  <c r="E166" i="46"/>
  <c r="D166" i="46"/>
  <c r="Q165" i="46"/>
  <c r="P165" i="46"/>
  <c r="O165" i="46"/>
  <c r="N165" i="46"/>
  <c r="M165" i="46"/>
  <c r="Q164" i="46"/>
  <c r="P164" i="46"/>
  <c r="O164" i="46"/>
  <c r="N164" i="46"/>
  <c r="M164" i="46"/>
  <c r="K164" i="46"/>
  <c r="I164" i="46"/>
  <c r="H164" i="46"/>
  <c r="F164" i="46"/>
  <c r="E164" i="46"/>
  <c r="D164" i="46"/>
  <c r="Q163" i="46"/>
  <c r="P163" i="46"/>
  <c r="O163" i="46"/>
  <c r="N163" i="46"/>
  <c r="M163" i="46"/>
  <c r="Q162" i="46"/>
  <c r="P162" i="46"/>
  <c r="O162" i="46"/>
  <c r="N162" i="46"/>
  <c r="M162" i="46"/>
  <c r="Q161" i="46"/>
  <c r="P161" i="46"/>
  <c r="O161" i="46"/>
  <c r="N161" i="46"/>
  <c r="M161" i="46"/>
  <c r="Q160" i="46"/>
  <c r="P160" i="46"/>
  <c r="O160" i="46"/>
  <c r="N160" i="46"/>
  <c r="M160" i="46"/>
  <c r="Q159" i="46"/>
  <c r="P159" i="46"/>
  <c r="O159" i="46"/>
  <c r="N159" i="46"/>
  <c r="M159" i="46"/>
  <c r="Q158" i="46"/>
  <c r="P158" i="46"/>
  <c r="O158" i="46"/>
  <c r="N158" i="46"/>
  <c r="M158" i="46"/>
  <c r="Q157" i="46"/>
  <c r="P157" i="46"/>
  <c r="O157" i="46"/>
  <c r="N157" i="46"/>
  <c r="M157" i="46"/>
  <c r="L157" i="46"/>
  <c r="K157" i="46"/>
  <c r="J157" i="46"/>
  <c r="I157" i="46"/>
  <c r="H157" i="46"/>
  <c r="G157" i="46"/>
  <c r="F157" i="46"/>
  <c r="E157" i="46"/>
  <c r="D157" i="46"/>
  <c r="Q156" i="46"/>
  <c r="P156" i="46"/>
  <c r="O156" i="46"/>
  <c r="N156" i="46"/>
  <c r="M156" i="46"/>
  <c r="L156" i="46"/>
  <c r="I156" i="46"/>
  <c r="H156" i="46"/>
  <c r="G156" i="46"/>
  <c r="F156" i="46"/>
  <c r="Q155" i="46"/>
  <c r="P155" i="46"/>
  <c r="O155" i="46"/>
  <c r="N155" i="46"/>
  <c r="M155" i="46"/>
  <c r="L155" i="46"/>
  <c r="I155" i="46"/>
  <c r="H155" i="46"/>
  <c r="G155" i="46"/>
  <c r="F155" i="46"/>
  <c r="Q154" i="46"/>
  <c r="P154" i="46"/>
  <c r="O154" i="46"/>
  <c r="N154" i="46"/>
  <c r="M154" i="46"/>
  <c r="L154" i="46"/>
  <c r="I154" i="46"/>
  <c r="H154" i="46"/>
  <c r="G154" i="46"/>
  <c r="F154" i="46"/>
  <c r="Q153" i="46"/>
  <c r="P153" i="46"/>
  <c r="O153" i="46"/>
  <c r="N153" i="46"/>
  <c r="M153" i="46"/>
  <c r="L153" i="46"/>
  <c r="I153" i="46"/>
  <c r="H153" i="46"/>
  <c r="G153" i="46"/>
  <c r="F153" i="46"/>
  <c r="Q152" i="46"/>
  <c r="P152" i="46"/>
  <c r="O152" i="46"/>
  <c r="N152" i="46"/>
  <c r="M152" i="46"/>
  <c r="L152" i="46"/>
  <c r="I152" i="46"/>
  <c r="H152" i="46"/>
  <c r="G152" i="46"/>
  <c r="F152" i="46"/>
  <c r="Q151" i="46"/>
  <c r="P151" i="46"/>
  <c r="O151" i="46"/>
  <c r="N151" i="46"/>
  <c r="M151" i="46"/>
  <c r="Q150" i="46"/>
  <c r="P150" i="46"/>
  <c r="O150" i="46"/>
  <c r="N150" i="46"/>
  <c r="M150" i="46"/>
  <c r="L150" i="46"/>
  <c r="K150" i="46"/>
  <c r="J150" i="46"/>
  <c r="I150" i="46"/>
  <c r="H150" i="46"/>
  <c r="G150" i="46"/>
  <c r="F150" i="46"/>
  <c r="E150" i="46"/>
  <c r="D150" i="46"/>
  <c r="Q149" i="46"/>
  <c r="P149" i="46"/>
  <c r="O149" i="46"/>
  <c r="N149" i="46"/>
  <c r="M149" i="46"/>
  <c r="Q148" i="46"/>
  <c r="P148" i="46"/>
  <c r="O148" i="46"/>
  <c r="N148" i="46"/>
  <c r="M148" i="46"/>
  <c r="I148" i="46"/>
  <c r="Q147" i="46"/>
  <c r="P147" i="46"/>
  <c r="O147" i="46"/>
  <c r="N147" i="46"/>
  <c r="M147" i="46"/>
  <c r="Q146" i="46"/>
  <c r="P146" i="46"/>
  <c r="O146" i="46"/>
  <c r="N146" i="46"/>
  <c r="M146" i="46"/>
  <c r="J146" i="46"/>
  <c r="Q145" i="46"/>
  <c r="P145" i="46"/>
  <c r="O145" i="46"/>
  <c r="N145" i="46"/>
  <c r="M145" i="46"/>
  <c r="Q144" i="46"/>
  <c r="P144" i="46"/>
  <c r="O144" i="46"/>
  <c r="N144" i="46"/>
  <c r="M144" i="46"/>
  <c r="Q143" i="46"/>
  <c r="P143" i="46"/>
  <c r="O143" i="46"/>
  <c r="N143" i="46"/>
  <c r="M143" i="46"/>
  <c r="Q142" i="46"/>
  <c r="P142" i="46"/>
  <c r="O142" i="46"/>
  <c r="N142" i="46"/>
  <c r="M142" i="46"/>
  <c r="L142" i="46"/>
  <c r="K142" i="46"/>
  <c r="J142" i="46"/>
  <c r="I142" i="46"/>
  <c r="H142" i="46"/>
  <c r="G142" i="46"/>
  <c r="F142" i="46"/>
  <c r="Q141" i="46"/>
  <c r="P141" i="46"/>
  <c r="O141" i="46"/>
  <c r="N141" i="46"/>
  <c r="M141" i="46"/>
  <c r="L141" i="46"/>
  <c r="K141" i="46"/>
  <c r="J141" i="46"/>
  <c r="I141" i="46"/>
  <c r="H141" i="46"/>
  <c r="G141" i="46"/>
  <c r="F141" i="46"/>
  <c r="E141" i="46"/>
  <c r="D141" i="46"/>
  <c r="Q140" i="46"/>
  <c r="P140" i="46"/>
  <c r="O140" i="46"/>
  <c r="N140" i="46"/>
  <c r="M140" i="46"/>
  <c r="Q139" i="46"/>
  <c r="P139" i="46"/>
  <c r="O139" i="46"/>
  <c r="N139" i="46"/>
  <c r="M139" i="46"/>
  <c r="I139" i="46"/>
  <c r="F139" i="46"/>
  <c r="Q138" i="46"/>
  <c r="P138" i="46"/>
  <c r="O138" i="46"/>
  <c r="N138" i="46"/>
  <c r="M138" i="46"/>
  <c r="E138" i="46"/>
  <c r="Q137" i="46"/>
  <c r="P137" i="46"/>
  <c r="O137" i="46"/>
  <c r="N137" i="46"/>
  <c r="M137" i="46"/>
  <c r="Q136" i="46"/>
  <c r="P136" i="46"/>
  <c r="O136" i="46"/>
  <c r="N136" i="46"/>
  <c r="M136" i="46"/>
  <c r="I136" i="46"/>
  <c r="Q135" i="46"/>
  <c r="P135" i="46"/>
  <c r="O135" i="46"/>
  <c r="N135" i="46"/>
  <c r="M135" i="46"/>
  <c r="D135" i="46"/>
  <c r="Q134" i="46"/>
  <c r="P134" i="46"/>
  <c r="O134" i="46"/>
  <c r="N134" i="46"/>
  <c r="M134" i="46"/>
  <c r="I134" i="46"/>
  <c r="Q133" i="46"/>
  <c r="P133" i="46"/>
  <c r="O133" i="46"/>
  <c r="N133" i="46"/>
  <c r="M133" i="46"/>
  <c r="I133" i="46"/>
  <c r="Q132" i="46"/>
  <c r="P132" i="46"/>
  <c r="O132" i="46"/>
  <c r="N132" i="46"/>
  <c r="M132" i="46"/>
  <c r="Q131" i="46"/>
  <c r="P131" i="46"/>
  <c r="O131" i="46"/>
  <c r="N131" i="46"/>
  <c r="M131" i="46"/>
  <c r="Q130" i="46"/>
  <c r="P130" i="46"/>
  <c r="O130" i="46"/>
  <c r="N130" i="46"/>
  <c r="M130" i="46"/>
  <c r="I130" i="46"/>
  <c r="H130" i="46"/>
  <c r="F130" i="46"/>
  <c r="E130" i="46"/>
  <c r="D130" i="46"/>
  <c r="Q129" i="46"/>
  <c r="P129" i="46"/>
  <c r="O129" i="46"/>
  <c r="N129" i="46"/>
  <c r="M129" i="46"/>
  <c r="H129" i="46"/>
  <c r="Q128" i="46"/>
  <c r="P128" i="46"/>
  <c r="O128" i="46"/>
  <c r="N128" i="46"/>
  <c r="M128" i="46"/>
  <c r="I128" i="46"/>
  <c r="H128" i="46"/>
  <c r="F128" i="46"/>
  <c r="E128" i="46"/>
  <c r="Q127" i="46"/>
  <c r="P127" i="46"/>
  <c r="O127" i="46"/>
  <c r="N127" i="46"/>
  <c r="M127" i="46"/>
  <c r="H127" i="46"/>
  <c r="F127" i="46"/>
  <c r="Q126" i="46"/>
  <c r="P126" i="46"/>
  <c r="O126" i="46"/>
  <c r="N126" i="46"/>
  <c r="M126" i="46"/>
  <c r="J126" i="46"/>
  <c r="I126" i="46"/>
  <c r="H126" i="46"/>
  <c r="F126" i="46"/>
  <c r="E126" i="46"/>
  <c r="Q125" i="46"/>
  <c r="P125" i="46"/>
  <c r="O125" i="46"/>
  <c r="N125" i="46"/>
  <c r="M125" i="46"/>
  <c r="Q124" i="46"/>
  <c r="P124" i="46"/>
  <c r="O124" i="46"/>
  <c r="N124" i="46"/>
  <c r="M124" i="46"/>
  <c r="Q123" i="46"/>
  <c r="P123" i="46"/>
  <c r="O123" i="46"/>
  <c r="N123" i="46"/>
  <c r="M123" i="46"/>
  <c r="Q122" i="46"/>
  <c r="P122" i="46"/>
  <c r="O122" i="46"/>
  <c r="N122" i="46"/>
  <c r="M122" i="46"/>
  <c r="Q121" i="46"/>
  <c r="P121" i="46"/>
  <c r="O121" i="46"/>
  <c r="N121" i="46"/>
  <c r="M121" i="46"/>
  <c r="Q120" i="46"/>
  <c r="P120" i="46"/>
  <c r="O120" i="46"/>
  <c r="N120" i="46"/>
  <c r="M120" i="46"/>
  <c r="Q119" i="46"/>
  <c r="P119" i="46"/>
  <c r="O119" i="46"/>
  <c r="N119" i="46"/>
  <c r="M119" i="46"/>
  <c r="Q118" i="46"/>
  <c r="P118" i="46"/>
  <c r="O118" i="46"/>
  <c r="N118" i="46"/>
  <c r="M118" i="46"/>
  <c r="Q117" i="46"/>
  <c r="P117" i="46"/>
  <c r="O117" i="46"/>
  <c r="N117" i="46"/>
  <c r="M117" i="46"/>
  <c r="Q116" i="46"/>
  <c r="P116" i="46"/>
  <c r="O116" i="46"/>
  <c r="N116" i="46"/>
  <c r="M116" i="46"/>
  <c r="Q115" i="46"/>
  <c r="P115" i="46"/>
  <c r="O115" i="46"/>
  <c r="N115" i="46"/>
  <c r="M115" i="46"/>
  <c r="Q114" i="46"/>
  <c r="P114" i="46"/>
  <c r="O114" i="46"/>
  <c r="N114" i="46"/>
  <c r="M114" i="46"/>
  <c r="I114" i="46"/>
  <c r="H114" i="46"/>
  <c r="F114" i="46"/>
  <c r="E114" i="46"/>
  <c r="Q113" i="46"/>
  <c r="P113" i="46"/>
  <c r="O113" i="46"/>
  <c r="N113" i="46"/>
  <c r="M113" i="46"/>
  <c r="Q112" i="46"/>
  <c r="P112" i="46"/>
  <c r="O112" i="46"/>
  <c r="N112" i="46"/>
  <c r="M112" i="46"/>
  <c r="Q111" i="46"/>
  <c r="P111" i="46"/>
  <c r="O111" i="46"/>
  <c r="N111" i="46"/>
  <c r="M111" i="46"/>
  <c r="L111" i="46"/>
  <c r="G111" i="46"/>
  <c r="Q110" i="46"/>
  <c r="P110" i="46"/>
  <c r="O110" i="46"/>
  <c r="N110" i="46"/>
  <c r="M110" i="46"/>
  <c r="Q109" i="46"/>
  <c r="P109" i="46"/>
  <c r="O109" i="46"/>
  <c r="N109" i="46"/>
  <c r="M109" i="46"/>
  <c r="Q108" i="46"/>
  <c r="P108" i="46"/>
  <c r="O108" i="46"/>
  <c r="N108" i="46"/>
  <c r="M108" i="46"/>
  <c r="Q107" i="46"/>
  <c r="P107" i="46"/>
  <c r="O107" i="46"/>
  <c r="N107" i="46"/>
  <c r="M107" i="46"/>
  <c r="Q106" i="46"/>
  <c r="P106" i="46"/>
  <c r="O106" i="46"/>
  <c r="N106" i="46"/>
  <c r="M106" i="46"/>
  <c r="K106" i="46"/>
  <c r="I106" i="46"/>
  <c r="H106" i="46"/>
  <c r="F106" i="46"/>
  <c r="E106" i="46"/>
  <c r="D106" i="46"/>
  <c r="Q105" i="46"/>
  <c r="P105" i="46"/>
  <c r="O105" i="46"/>
  <c r="N105" i="46"/>
  <c r="M105" i="46"/>
  <c r="Q104" i="46"/>
  <c r="P104" i="46"/>
  <c r="O104" i="46"/>
  <c r="N104" i="46"/>
  <c r="M104" i="46"/>
  <c r="Q103" i="46"/>
  <c r="P103" i="46"/>
  <c r="O103" i="46"/>
  <c r="N103" i="46"/>
  <c r="M103" i="46"/>
  <c r="Q102" i="46"/>
  <c r="P102" i="46"/>
  <c r="O102" i="46"/>
  <c r="N102" i="46"/>
  <c r="M102" i="46"/>
  <c r="Q101" i="46"/>
  <c r="P101" i="46"/>
  <c r="O101" i="46"/>
  <c r="N101" i="46"/>
  <c r="M101" i="46"/>
  <c r="Q100" i="46"/>
  <c r="P100" i="46"/>
  <c r="O100" i="46"/>
  <c r="N100" i="46"/>
  <c r="M100" i="46"/>
  <c r="Q99" i="46"/>
  <c r="P99" i="46"/>
  <c r="O99" i="46"/>
  <c r="N99" i="46"/>
  <c r="M99" i="46"/>
  <c r="L99" i="46"/>
  <c r="K99" i="46"/>
  <c r="J99" i="46"/>
  <c r="I99" i="46"/>
  <c r="H99" i="46"/>
  <c r="G99" i="46"/>
  <c r="F99" i="46"/>
  <c r="E99" i="46"/>
  <c r="D99" i="46"/>
  <c r="Q98" i="46"/>
  <c r="P98" i="46"/>
  <c r="O98" i="46"/>
  <c r="N98" i="46"/>
  <c r="M98" i="46"/>
  <c r="P95" i="46"/>
  <c r="O95" i="46"/>
  <c r="N95" i="46"/>
  <c r="M95" i="46"/>
  <c r="J95" i="46"/>
  <c r="P94" i="46"/>
  <c r="O94" i="46"/>
  <c r="N94" i="46"/>
  <c r="M94" i="46"/>
  <c r="J94" i="46"/>
  <c r="P93" i="46"/>
  <c r="O93" i="46"/>
  <c r="N93" i="46"/>
  <c r="M93" i="46"/>
  <c r="J93" i="46"/>
  <c r="I93" i="46"/>
  <c r="H93" i="46"/>
  <c r="P92" i="46"/>
  <c r="O92" i="46"/>
  <c r="N92" i="46"/>
  <c r="M92" i="46"/>
  <c r="J92" i="46"/>
  <c r="P91" i="46"/>
  <c r="O91" i="46"/>
  <c r="N91" i="46"/>
  <c r="M91" i="46"/>
  <c r="J91" i="46"/>
  <c r="Q90" i="46"/>
  <c r="P90" i="46"/>
  <c r="O90" i="46"/>
  <c r="N90" i="46"/>
  <c r="M90" i="46"/>
  <c r="K90" i="46"/>
  <c r="J90" i="46"/>
  <c r="I90" i="46"/>
  <c r="H90" i="46"/>
  <c r="F90" i="46"/>
  <c r="E90" i="46"/>
  <c r="D90" i="46"/>
  <c r="Q87" i="46"/>
  <c r="P87" i="46"/>
  <c r="O87" i="46"/>
  <c r="N87" i="46"/>
  <c r="M87" i="46"/>
  <c r="K87" i="46"/>
  <c r="J87" i="46"/>
  <c r="I87" i="46"/>
  <c r="H87" i="46"/>
  <c r="F87" i="46"/>
  <c r="E87" i="46"/>
  <c r="D87" i="46"/>
  <c r="Q86" i="46"/>
  <c r="Q85" i="46"/>
  <c r="P85" i="46"/>
  <c r="O85" i="46"/>
  <c r="N85" i="46"/>
  <c r="M85" i="46"/>
  <c r="Q84" i="46"/>
  <c r="P84" i="46"/>
  <c r="O84" i="46"/>
  <c r="N84" i="46"/>
  <c r="M84" i="46"/>
  <c r="K84" i="46"/>
  <c r="J84" i="46"/>
  <c r="I84" i="46"/>
  <c r="H84" i="46"/>
  <c r="F84" i="46"/>
  <c r="E84" i="46"/>
  <c r="D84" i="46"/>
  <c r="Q83" i="46"/>
  <c r="P83" i="46"/>
  <c r="O83" i="46"/>
  <c r="N83" i="46"/>
  <c r="M83" i="46"/>
  <c r="Q82" i="46"/>
  <c r="P82" i="46"/>
  <c r="O82" i="46"/>
  <c r="N82" i="46"/>
  <c r="M82" i="46"/>
  <c r="Q81" i="46"/>
  <c r="P81" i="46"/>
  <c r="O81" i="46"/>
  <c r="N81" i="46"/>
  <c r="M81" i="46"/>
  <c r="Q80" i="46"/>
  <c r="P80" i="46"/>
  <c r="O80" i="46"/>
  <c r="N80" i="46"/>
  <c r="M80" i="46"/>
  <c r="Q79" i="46"/>
  <c r="P79" i="46"/>
  <c r="O79" i="46"/>
  <c r="N79" i="46"/>
  <c r="M79" i="46"/>
  <c r="K79" i="46"/>
  <c r="I79" i="46"/>
  <c r="H79" i="46"/>
  <c r="F79" i="46"/>
  <c r="E79" i="46"/>
  <c r="Q78" i="46"/>
  <c r="P78" i="46"/>
  <c r="O78" i="46"/>
  <c r="N78" i="46"/>
  <c r="M78" i="46"/>
  <c r="L78" i="46"/>
  <c r="K78" i="46"/>
  <c r="J78" i="46"/>
  <c r="I78" i="46"/>
  <c r="H78" i="46"/>
  <c r="G78" i="46"/>
  <c r="F78" i="46"/>
  <c r="E78" i="46"/>
  <c r="D78" i="46"/>
  <c r="Q77" i="46"/>
  <c r="P77" i="46"/>
  <c r="O77" i="46"/>
  <c r="N77" i="46"/>
  <c r="M77" i="46"/>
  <c r="Q76" i="46"/>
  <c r="P76" i="46"/>
  <c r="O76" i="46"/>
  <c r="N76" i="46"/>
  <c r="M76" i="46"/>
  <c r="Q74" i="46"/>
  <c r="P74" i="46"/>
  <c r="O74" i="46"/>
  <c r="N74" i="46"/>
  <c r="M74" i="46"/>
  <c r="Q73" i="46"/>
  <c r="P73" i="46"/>
  <c r="O73" i="46"/>
  <c r="N73" i="46"/>
  <c r="M73" i="46"/>
  <c r="K73" i="46"/>
  <c r="I73" i="46"/>
  <c r="H73" i="46"/>
  <c r="F73" i="46"/>
  <c r="E73" i="46"/>
  <c r="Q72" i="46"/>
  <c r="P72" i="46"/>
  <c r="O72" i="46"/>
  <c r="N72" i="46"/>
  <c r="M72" i="46"/>
  <c r="L72" i="46"/>
  <c r="K72" i="46"/>
  <c r="J72" i="46"/>
  <c r="I72" i="46"/>
  <c r="H72" i="46"/>
  <c r="G72" i="46"/>
  <c r="F72" i="46"/>
  <c r="E72" i="46"/>
  <c r="D72" i="46"/>
  <c r="Q71" i="46"/>
  <c r="P71" i="46"/>
  <c r="O71" i="46"/>
  <c r="N71" i="46"/>
  <c r="M71" i="46"/>
  <c r="L71" i="46"/>
  <c r="K71" i="46"/>
  <c r="J71" i="46"/>
  <c r="I71" i="46"/>
  <c r="H71" i="46"/>
  <c r="G71" i="46"/>
  <c r="F71" i="46"/>
  <c r="E71" i="46"/>
  <c r="D71" i="46"/>
  <c r="Q70" i="46"/>
  <c r="P70" i="46"/>
  <c r="O70" i="46"/>
  <c r="N70" i="46"/>
  <c r="M70" i="46"/>
  <c r="J70" i="46"/>
  <c r="H70" i="46"/>
  <c r="Q69" i="46"/>
  <c r="P69" i="46"/>
  <c r="O69" i="46"/>
  <c r="N69" i="46"/>
  <c r="M69" i="46"/>
  <c r="J69" i="46"/>
  <c r="H69" i="46"/>
  <c r="Q68" i="46"/>
  <c r="P68" i="46"/>
  <c r="O68" i="46"/>
  <c r="N68" i="46"/>
  <c r="M68" i="46"/>
  <c r="J68" i="46"/>
  <c r="I68" i="46"/>
  <c r="H68" i="46"/>
  <c r="Q67" i="46"/>
  <c r="P67" i="46"/>
  <c r="O67" i="46"/>
  <c r="N67" i="46"/>
  <c r="M67" i="46"/>
  <c r="L67" i="46"/>
  <c r="K67" i="46"/>
  <c r="J67" i="46"/>
  <c r="I67" i="46"/>
  <c r="H67" i="46"/>
  <c r="F67" i="46"/>
  <c r="E67" i="46"/>
  <c r="D67" i="46"/>
  <c r="Q66" i="46"/>
  <c r="P66" i="46"/>
  <c r="O66" i="46"/>
  <c r="N66" i="46"/>
  <c r="M66" i="46"/>
  <c r="Q65" i="46"/>
  <c r="P65" i="46"/>
  <c r="O65" i="46"/>
  <c r="N65" i="46"/>
  <c r="M65" i="46"/>
  <c r="Q64" i="46"/>
  <c r="P64" i="46"/>
  <c r="O64" i="46"/>
  <c r="N64" i="46"/>
  <c r="M64" i="46"/>
  <c r="L64" i="46"/>
  <c r="K64" i="46"/>
  <c r="J64" i="46"/>
  <c r="I64" i="46"/>
  <c r="H64" i="46"/>
  <c r="G64" i="46"/>
  <c r="F64" i="46"/>
  <c r="E64" i="46"/>
  <c r="D64" i="46"/>
  <c r="Q63" i="46"/>
  <c r="P63" i="46"/>
  <c r="O63" i="46"/>
  <c r="N63" i="46"/>
  <c r="M63" i="46"/>
  <c r="Q62" i="46"/>
  <c r="P62" i="46"/>
  <c r="O62" i="46"/>
  <c r="N62" i="46"/>
  <c r="M62" i="46"/>
  <c r="Q61" i="46"/>
  <c r="P61" i="46"/>
  <c r="O61" i="46"/>
  <c r="N61" i="46"/>
  <c r="M61" i="46"/>
  <c r="L61" i="46"/>
  <c r="K61" i="46"/>
  <c r="J61" i="46"/>
  <c r="I61" i="46"/>
  <c r="H61" i="46"/>
  <c r="F61" i="46"/>
  <c r="E61" i="46"/>
  <c r="D61" i="46"/>
  <c r="Q60" i="46"/>
  <c r="P60" i="46"/>
  <c r="O60" i="46"/>
  <c r="N60" i="46"/>
  <c r="M60" i="46"/>
  <c r="Q59" i="46"/>
  <c r="P59" i="46"/>
  <c r="O59" i="46"/>
  <c r="N59" i="46"/>
  <c r="M59" i="46"/>
  <c r="Q58" i="46"/>
  <c r="P58" i="46"/>
  <c r="O58" i="46"/>
  <c r="N58" i="46"/>
  <c r="M58" i="46"/>
  <c r="L58" i="46"/>
  <c r="K58" i="46"/>
  <c r="J58" i="46"/>
  <c r="I58" i="46"/>
  <c r="H58" i="46"/>
  <c r="G58" i="46"/>
  <c r="F58" i="46"/>
  <c r="E58" i="46"/>
  <c r="D58" i="46"/>
  <c r="Q57" i="46"/>
  <c r="P57" i="46"/>
  <c r="O57" i="46"/>
  <c r="N57" i="46"/>
  <c r="M57" i="46"/>
  <c r="L57" i="46"/>
  <c r="K57" i="46"/>
  <c r="J57" i="46"/>
  <c r="I57" i="46"/>
  <c r="H57" i="46"/>
  <c r="G57" i="46"/>
  <c r="F57" i="46"/>
  <c r="E57" i="46"/>
  <c r="D57" i="46"/>
  <c r="Q56" i="46"/>
  <c r="P56" i="46"/>
  <c r="O56" i="46"/>
  <c r="N56" i="46"/>
  <c r="M56" i="46"/>
  <c r="L56" i="46"/>
  <c r="K56" i="46"/>
  <c r="J56" i="46"/>
  <c r="I56" i="46"/>
  <c r="H56" i="46"/>
  <c r="G56" i="46"/>
  <c r="F56" i="46"/>
  <c r="E56" i="46"/>
  <c r="D56" i="46"/>
  <c r="Q55" i="46"/>
  <c r="P55" i="46"/>
  <c r="O55" i="46"/>
  <c r="N55" i="46"/>
  <c r="M55" i="46"/>
  <c r="L55" i="46"/>
  <c r="K55" i="46"/>
  <c r="J55" i="46"/>
  <c r="I55" i="46"/>
  <c r="H55" i="46"/>
  <c r="G55" i="46"/>
  <c r="F55" i="46"/>
  <c r="E55" i="46"/>
  <c r="D55" i="46"/>
  <c r="Q54" i="46"/>
  <c r="P54" i="46"/>
  <c r="O54" i="46"/>
  <c r="N54" i="46"/>
  <c r="M54" i="46"/>
  <c r="Q53" i="46"/>
  <c r="P53" i="46"/>
  <c r="O53" i="46"/>
  <c r="N53" i="46"/>
  <c r="M53" i="46"/>
  <c r="Q52" i="46"/>
  <c r="P52" i="46"/>
  <c r="O52" i="46"/>
  <c r="N52" i="46"/>
  <c r="M52" i="46"/>
  <c r="Q51" i="46"/>
  <c r="P51" i="46"/>
  <c r="O51" i="46"/>
  <c r="N51" i="46"/>
  <c r="M51" i="46"/>
  <c r="L51" i="46"/>
  <c r="K51" i="46"/>
  <c r="J51" i="46"/>
  <c r="I51" i="46"/>
  <c r="H51" i="46"/>
  <c r="G51" i="46"/>
  <c r="F51" i="46"/>
  <c r="E51" i="46"/>
  <c r="Q50" i="46"/>
  <c r="P50" i="46"/>
  <c r="O50" i="46"/>
  <c r="N50" i="46"/>
  <c r="M50" i="46"/>
  <c r="D50" i="46"/>
  <c r="Q49" i="46"/>
  <c r="P49" i="46"/>
  <c r="O49" i="46"/>
  <c r="N49" i="46"/>
  <c r="M49" i="46"/>
  <c r="Q48" i="46"/>
  <c r="P48" i="46"/>
  <c r="O48" i="46"/>
  <c r="N48" i="46"/>
  <c r="M48" i="46"/>
  <c r="L48" i="46"/>
  <c r="K48" i="46"/>
  <c r="I48" i="46"/>
  <c r="H48" i="46"/>
  <c r="G48" i="46"/>
  <c r="F48" i="46"/>
  <c r="E48" i="46"/>
  <c r="D48" i="46"/>
  <c r="Q47" i="46"/>
  <c r="P47" i="46"/>
  <c r="O47" i="46"/>
  <c r="N47" i="46"/>
  <c r="M47" i="46"/>
  <c r="Q46" i="46"/>
  <c r="P46" i="46"/>
  <c r="O46" i="46"/>
  <c r="N46" i="46"/>
  <c r="M46" i="46"/>
  <c r="O45" i="46"/>
  <c r="N45" i="46"/>
  <c r="M45" i="46"/>
  <c r="L45" i="46"/>
  <c r="Q45" i="46" s="1"/>
  <c r="K45" i="46"/>
  <c r="I45" i="46"/>
  <c r="H45" i="46"/>
  <c r="G45" i="46"/>
  <c r="F45" i="46"/>
  <c r="E45" i="46"/>
  <c r="D45" i="46"/>
  <c r="Q44" i="46"/>
  <c r="P44" i="46"/>
  <c r="O44" i="46"/>
  <c r="N44" i="46"/>
  <c r="M44" i="46"/>
  <c r="Q43" i="46"/>
  <c r="P43" i="46"/>
  <c r="O43" i="46"/>
  <c r="N43" i="46"/>
  <c r="M43" i="46"/>
  <c r="O42" i="46"/>
  <c r="N42" i="46"/>
  <c r="M42" i="46"/>
  <c r="K42" i="46"/>
  <c r="J42" i="46"/>
  <c r="I42" i="46"/>
  <c r="H42" i="46"/>
  <c r="G42" i="46"/>
  <c r="F42" i="46"/>
  <c r="E42" i="46"/>
  <c r="D42" i="46"/>
  <c r="O41" i="46"/>
  <c r="N41" i="46"/>
  <c r="M41" i="46"/>
  <c r="K41" i="46"/>
  <c r="J41" i="46"/>
  <c r="I41" i="46"/>
  <c r="H41" i="46"/>
  <c r="G41" i="46"/>
  <c r="F41" i="46"/>
  <c r="E41" i="46"/>
  <c r="D41" i="46"/>
  <c r="Q40" i="46"/>
  <c r="O40" i="46"/>
  <c r="N40" i="46"/>
  <c r="M40" i="46"/>
  <c r="L40" i="46"/>
  <c r="P40" i="46" s="1"/>
  <c r="K40" i="46"/>
  <c r="J40" i="46"/>
  <c r="I40" i="46"/>
  <c r="H40" i="46"/>
  <c r="G40" i="46"/>
  <c r="F40" i="46"/>
  <c r="E40" i="46"/>
  <c r="D40" i="46"/>
  <c r="O39" i="46"/>
  <c r="N39" i="46"/>
  <c r="M39" i="46"/>
  <c r="L39" i="46"/>
  <c r="Q39" i="46" s="1"/>
  <c r="K39" i="46"/>
  <c r="J39" i="46"/>
  <c r="I39" i="46"/>
  <c r="H39" i="46"/>
  <c r="G39" i="46"/>
  <c r="F39" i="46"/>
  <c r="E39" i="46"/>
  <c r="D39" i="46"/>
  <c r="Q38" i="46"/>
  <c r="P38" i="46"/>
  <c r="O38" i="46"/>
  <c r="N38" i="46"/>
  <c r="M38" i="46"/>
  <c r="Q37" i="46"/>
  <c r="P37" i="46"/>
  <c r="O37" i="46"/>
  <c r="N37" i="46"/>
  <c r="M37" i="46"/>
  <c r="K37" i="46"/>
  <c r="O36" i="46"/>
  <c r="N36" i="46"/>
  <c r="M36" i="46"/>
  <c r="L36" i="46"/>
  <c r="Q36" i="46" s="1"/>
  <c r="K36" i="46"/>
  <c r="I36" i="46"/>
  <c r="H36" i="46"/>
  <c r="G36" i="46"/>
  <c r="F36" i="46"/>
  <c r="E36" i="46"/>
  <c r="D36" i="46"/>
  <c r="Q35" i="46"/>
  <c r="P35" i="46"/>
  <c r="O35" i="46"/>
  <c r="N35" i="46"/>
  <c r="M35" i="46"/>
  <c r="Q34" i="46"/>
  <c r="P34" i="46"/>
  <c r="O34" i="46"/>
  <c r="N34" i="46"/>
  <c r="M34" i="46"/>
  <c r="K34" i="46"/>
  <c r="O33" i="46"/>
  <c r="N33" i="46"/>
  <c r="M33" i="46"/>
  <c r="K33" i="46"/>
  <c r="I33" i="46"/>
  <c r="H33" i="46"/>
  <c r="G33" i="46"/>
  <c r="F33" i="46"/>
  <c r="E33" i="46"/>
  <c r="D33" i="46"/>
  <c r="Q32" i="46"/>
  <c r="P32" i="46"/>
  <c r="O32" i="46"/>
  <c r="N32" i="46"/>
  <c r="M32" i="46"/>
  <c r="K32" i="46"/>
  <c r="I32" i="46"/>
  <c r="H32" i="46"/>
  <c r="G32" i="46"/>
  <c r="F32" i="46"/>
  <c r="E32" i="46"/>
  <c r="D32" i="46"/>
  <c r="Q31" i="46"/>
  <c r="P31" i="46"/>
  <c r="O31" i="46"/>
  <c r="N31" i="46"/>
  <c r="M31" i="46"/>
  <c r="K31" i="46"/>
  <c r="J31" i="46"/>
  <c r="I31" i="46"/>
  <c r="H31" i="46"/>
  <c r="G31" i="46"/>
  <c r="F31" i="46"/>
  <c r="E31" i="46"/>
  <c r="D31" i="46"/>
  <c r="Q30" i="46"/>
  <c r="P30" i="46"/>
  <c r="O30" i="46"/>
  <c r="N30" i="46"/>
  <c r="M30" i="46"/>
  <c r="L30" i="46"/>
  <c r="K30" i="46"/>
  <c r="I30" i="46"/>
  <c r="H30" i="46"/>
  <c r="G30" i="46"/>
  <c r="F30" i="46"/>
  <c r="E30" i="46"/>
  <c r="D30" i="46"/>
  <c r="Q29" i="46"/>
  <c r="P29" i="46"/>
  <c r="O29" i="46"/>
  <c r="N29" i="46"/>
  <c r="M29" i="46"/>
  <c r="K29" i="46"/>
  <c r="Q28" i="46"/>
  <c r="P28" i="46"/>
  <c r="O28" i="46"/>
  <c r="N28" i="46"/>
  <c r="M28" i="46"/>
  <c r="K28" i="46"/>
  <c r="Q27" i="46"/>
  <c r="P27" i="46"/>
  <c r="O27" i="46"/>
  <c r="N27" i="46"/>
  <c r="M27" i="46"/>
  <c r="K27" i="46"/>
  <c r="I27" i="46"/>
  <c r="H27" i="46"/>
  <c r="F27" i="46"/>
  <c r="E27" i="46"/>
  <c r="D27" i="46"/>
  <c r="Q26" i="46"/>
  <c r="P26" i="46"/>
  <c r="O26" i="46"/>
  <c r="N26" i="46"/>
  <c r="M26" i="46"/>
  <c r="K26" i="46"/>
  <c r="I26" i="46"/>
  <c r="H26" i="46"/>
  <c r="F26" i="46"/>
  <c r="E26" i="46"/>
  <c r="D26" i="46"/>
  <c r="Q25" i="46"/>
  <c r="P25" i="46"/>
  <c r="O25" i="46"/>
  <c r="N25" i="46"/>
  <c r="M25" i="46"/>
  <c r="K25" i="46"/>
  <c r="I25" i="46"/>
  <c r="H25" i="46"/>
  <c r="F25" i="46"/>
  <c r="E25" i="46"/>
  <c r="D25" i="46"/>
  <c r="O24" i="46"/>
  <c r="N24" i="46"/>
  <c r="M24" i="46"/>
  <c r="K24" i="46"/>
  <c r="J24" i="46"/>
  <c r="I24" i="46"/>
  <c r="H24" i="46"/>
  <c r="G24" i="46"/>
  <c r="F24" i="46"/>
  <c r="E24" i="46"/>
  <c r="D24" i="46"/>
  <c r="O23" i="46"/>
  <c r="N23" i="46"/>
  <c r="M23" i="46"/>
  <c r="K23" i="46"/>
  <c r="J23" i="46"/>
  <c r="I23" i="46"/>
  <c r="H23" i="46"/>
  <c r="G23" i="46"/>
  <c r="F23" i="46"/>
  <c r="E23" i="46"/>
  <c r="D23" i="46"/>
  <c r="Q22" i="46"/>
  <c r="P22" i="46"/>
  <c r="O22" i="46"/>
  <c r="N22" i="46"/>
  <c r="M22" i="46"/>
  <c r="L22" i="46"/>
  <c r="K22" i="46"/>
  <c r="J22" i="46"/>
  <c r="I22" i="46"/>
  <c r="H22" i="46"/>
  <c r="G22" i="46"/>
  <c r="F22" i="46"/>
  <c r="E22" i="46"/>
  <c r="D22" i="46"/>
  <c r="O21" i="46"/>
  <c r="N21" i="46"/>
  <c r="M21" i="46"/>
  <c r="K21" i="46"/>
  <c r="J21" i="46"/>
  <c r="I21" i="46"/>
  <c r="H21" i="46"/>
  <c r="G21" i="46"/>
  <c r="F21" i="46"/>
  <c r="E21" i="46"/>
  <c r="D21" i="46"/>
  <c r="O20" i="46"/>
  <c r="N20" i="46"/>
  <c r="M20" i="46"/>
  <c r="L20" i="46"/>
  <c r="P20" i="46" s="1"/>
  <c r="K20" i="46"/>
  <c r="J20" i="46"/>
  <c r="I20" i="46"/>
  <c r="H20" i="46"/>
  <c r="G20" i="46"/>
  <c r="F20" i="46"/>
  <c r="E20" i="46"/>
  <c r="D20" i="46"/>
  <c r="Q19" i="46"/>
  <c r="P19" i="46"/>
  <c r="L19" i="46"/>
  <c r="K19" i="46"/>
  <c r="J19" i="46"/>
  <c r="I19" i="46"/>
  <c r="H19" i="46"/>
  <c r="G19" i="46"/>
  <c r="F19" i="46"/>
  <c r="E19" i="46"/>
  <c r="D19" i="46"/>
  <c r="Q18" i="46"/>
  <c r="L18" i="46"/>
  <c r="P18" i="46" s="1"/>
  <c r="K18" i="46"/>
  <c r="J18" i="46"/>
  <c r="I18" i="46"/>
  <c r="H18" i="46"/>
  <c r="G18" i="46"/>
  <c r="F18" i="46"/>
  <c r="E18" i="46"/>
  <c r="D18" i="46"/>
  <c r="O17" i="46"/>
  <c r="N17" i="46"/>
  <c r="M17" i="46"/>
  <c r="L17" i="46"/>
  <c r="L16" i="46" s="1"/>
  <c r="K17" i="46"/>
  <c r="J17" i="46"/>
  <c r="I17" i="46"/>
  <c r="H17" i="46"/>
  <c r="G17" i="46"/>
  <c r="F17" i="46"/>
  <c r="E17" i="46"/>
  <c r="D17" i="46"/>
  <c r="O16" i="46"/>
  <c r="N16" i="46"/>
  <c r="M16" i="46"/>
  <c r="K16" i="46"/>
  <c r="J16" i="46"/>
  <c r="I16" i="46"/>
  <c r="H16" i="46"/>
  <c r="G16" i="46"/>
  <c r="F16" i="46"/>
  <c r="E16" i="46"/>
  <c r="D16" i="46"/>
  <c r="Q15" i="46"/>
  <c r="P15" i="46"/>
  <c r="O15" i="46"/>
  <c r="N15" i="46"/>
  <c r="M15" i="46"/>
  <c r="Q14" i="46"/>
  <c r="P14" i="46"/>
  <c r="O14" i="46"/>
  <c r="N14" i="46"/>
  <c r="M14" i="46"/>
  <c r="Q13" i="46"/>
  <c r="P13" i="46"/>
  <c r="O13" i="46"/>
  <c r="N13" i="46"/>
  <c r="M13" i="46"/>
  <c r="Q12" i="46"/>
  <c r="P12" i="46"/>
  <c r="O12" i="46"/>
  <c r="N12" i="46"/>
  <c r="M12" i="46"/>
  <c r="Q11" i="46"/>
  <c r="P11" i="46"/>
  <c r="O11" i="46"/>
  <c r="N11" i="46"/>
  <c r="M11" i="46"/>
  <c r="Q10" i="46"/>
  <c r="P10" i="46"/>
  <c r="O10" i="46"/>
  <c r="N10" i="46"/>
  <c r="M10" i="46"/>
  <c r="K204" i="74"/>
  <c r="J204" i="74"/>
  <c r="K203" i="74"/>
  <c r="J203" i="74"/>
  <c r="K202" i="74"/>
  <c r="J202" i="74"/>
  <c r="K201" i="74"/>
  <c r="J201" i="74"/>
  <c r="G201" i="74"/>
  <c r="E201" i="74"/>
  <c r="D201" i="74"/>
  <c r="K200" i="74"/>
  <c r="J200" i="74"/>
  <c r="K199" i="74"/>
  <c r="J199" i="74"/>
  <c r="G199" i="74"/>
  <c r="E199" i="74"/>
  <c r="K198" i="74"/>
  <c r="J198" i="74"/>
  <c r="K197" i="74"/>
  <c r="J197" i="74"/>
  <c r="K196" i="74"/>
  <c r="J196" i="74"/>
  <c r="I196" i="74"/>
  <c r="G196" i="74"/>
  <c r="K195" i="74"/>
  <c r="J195" i="74"/>
  <c r="I195" i="74"/>
  <c r="G195" i="74"/>
  <c r="K194" i="74"/>
  <c r="J194" i="74"/>
  <c r="K193" i="74"/>
  <c r="J193" i="74"/>
  <c r="K191" i="74"/>
  <c r="J191" i="74"/>
  <c r="K190" i="74"/>
  <c r="J190" i="74"/>
  <c r="K189" i="74"/>
  <c r="J189" i="74"/>
  <c r="K188" i="74"/>
  <c r="J188" i="74"/>
  <c r="I188" i="74"/>
  <c r="H188" i="74"/>
  <c r="G188" i="74"/>
  <c r="F188" i="74"/>
  <c r="E188" i="74"/>
  <c r="D188" i="74"/>
  <c r="K187" i="74"/>
  <c r="J187" i="74"/>
  <c r="K186" i="74"/>
  <c r="J186" i="74"/>
  <c r="K185" i="74"/>
  <c r="J185" i="74"/>
  <c r="K184" i="74"/>
  <c r="J184" i="74"/>
  <c r="K183" i="74"/>
  <c r="J183" i="74"/>
  <c r="K182" i="74"/>
  <c r="J182" i="74"/>
  <c r="K181" i="74"/>
  <c r="J181" i="74"/>
  <c r="K180" i="74"/>
  <c r="J180" i="74"/>
  <c r="K179" i="74"/>
  <c r="J179" i="74"/>
  <c r="K178" i="74"/>
  <c r="J178" i="74"/>
  <c r="I178" i="74"/>
  <c r="H178" i="74"/>
  <c r="G178" i="74"/>
  <c r="F178" i="74"/>
  <c r="E178" i="74"/>
  <c r="D178" i="74"/>
  <c r="K177" i="74"/>
  <c r="J177" i="74"/>
  <c r="I177" i="74"/>
  <c r="H177" i="74"/>
  <c r="G177" i="74"/>
  <c r="F177" i="74"/>
  <c r="E177" i="74"/>
  <c r="D177" i="74"/>
  <c r="K176" i="74"/>
  <c r="J176" i="74"/>
  <c r="I176" i="74"/>
  <c r="H176" i="74"/>
  <c r="G176" i="74"/>
  <c r="F176" i="74"/>
  <c r="E176" i="74"/>
  <c r="D176" i="74"/>
  <c r="K175" i="74"/>
  <c r="J175" i="74"/>
  <c r="I175" i="74"/>
  <c r="H175" i="74"/>
  <c r="G175" i="74"/>
  <c r="F175" i="74"/>
  <c r="E175" i="74"/>
  <c r="D175" i="74"/>
  <c r="K174" i="74"/>
  <c r="J174" i="74"/>
  <c r="I174" i="74"/>
  <c r="H174" i="74"/>
  <c r="G174" i="74"/>
  <c r="F174" i="74"/>
  <c r="E174" i="74"/>
  <c r="D174" i="74"/>
  <c r="K173" i="74"/>
  <c r="J173" i="74"/>
  <c r="K172" i="74"/>
  <c r="J172" i="74"/>
  <c r="I172" i="74"/>
  <c r="H172" i="74"/>
  <c r="G172" i="74"/>
  <c r="F172" i="74"/>
  <c r="E172" i="74"/>
  <c r="D172" i="74"/>
  <c r="K171" i="74"/>
  <c r="J171" i="74"/>
  <c r="K170" i="74"/>
  <c r="J170" i="74"/>
  <c r="K169" i="74"/>
  <c r="J169" i="74"/>
  <c r="K168" i="74"/>
  <c r="J168" i="74"/>
  <c r="K167" i="74"/>
  <c r="J167" i="74"/>
  <c r="K166" i="74"/>
  <c r="J166" i="74"/>
  <c r="K165" i="74"/>
  <c r="J165" i="74"/>
  <c r="I165" i="74"/>
  <c r="H165" i="74"/>
  <c r="G165" i="74"/>
  <c r="F165" i="74"/>
  <c r="E165" i="74"/>
  <c r="D165" i="74"/>
  <c r="K164" i="74"/>
  <c r="J164" i="74"/>
  <c r="I164" i="74"/>
  <c r="H164" i="74"/>
  <c r="G164" i="74"/>
  <c r="K163" i="74"/>
  <c r="J163" i="74"/>
  <c r="I163" i="74"/>
  <c r="H163" i="74"/>
  <c r="G163" i="74"/>
  <c r="K162" i="74"/>
  <c r="J162" i="74"/>
  <c r="I162" i="74"/>
  <c r="H162" i="74"/>
  <c r="G162" i="74"/>
  <c r="K161" i="74"/>
  <c r="J161" i="74"/>
  <c r="I161" i="74"/>
  <c r="H161" i="74"/>
  <c r="G161" i="74"/>
  <c r="K160" i="74"/>
  <c r="J160" i="74"/>
  <c r="I160" i="74"/>
  <c r="H160" i="74"/>
  <c r="G160" i="74"/>
  <c r="K159" i="74"/>
  <c r="J159" i="74"/>
  <c r="K158" i="74"/>
  <c r="J158" i="74"/>
  <c r="I158" i="74"/>
  <c r="H158" i="74"/>
  <c r="G158" i="74"/>
  <c r="F158" i="74"/>
  <c r="E158" i="74"/>
  <c r="D158" i="74"/>
  <c r="K157" i="74"/>
  <c r="J157" i="74"/>
  <c r="K156" i="74"/>
  <c r="J156" i="74"/>
  <c r="K154" i="74"/>
  <c r="J154" i="74"/>
  <c r="K153" i="74"/>
  <c r="J153" i="74"/>
  <c r="I153" i="74"/>
  <c r="K152" i="74"/>
  <c r="J152" i="74"/>
  <c r="K151" i="74"/>
  <c r="J151" i="74"/>
  <c r="K150" i="74"/>
  <c r="J150" i="74"/>
  <c r="K149" i="74"/>
  <c r="J149" i="74"/>
  <c r="K148" i="74"/>
  <c r="J148" i="74"/>
  <c r="I148" i="74"/>
  <c r="H148" i="74"/>
  <c r="G148" i="74"/>
  <c r="F148" i="74"/>
  <c r="K147" i="74"/>
  <c r="J147" i="74"/>
  <c r="I147" i="74"/>
  <c r="H147" i="74"/>
  <c r="G147" i="74"/>
  <c r="F147" i="74"/>
  <c r="E147" i="74"/>
  <c r="D147" i="74"/>
  <c r="K146" i="74"/>
  <c r="J146" i="74"/>
  <c r="K145" i="74"/>
  <c r="J145" i="74"/>
  <c r="G145" i="74"/>
  <c r="K144" i="74"/>
  <c r="J144" i="74"/>
  <c r="E144" i="74"/>
  <c r="K143" i="74"/>
  <c r="J143" i="74"/>
  <c r="K142" i="74"/>
  <c r="J142" i="74"/>
  <c r="K141" i="74"/>
  <c r="J141" i="74"/>
  <c r="K139" i="74"/>
  <c r="J139" i="74"/>
  <c r="K138" i="74"/>
  <c r="J138" i="74"/>
  <c r="K137" i="74"/>
  <c r="J137" i="74"/>
  <c r="K136" i="74"/>
  <c r="J136" i="74"/>
  <c r="D136" i="74"/>
  <c r="K135" i="74"/>
  <c r="J135" i="74"/>
  <c r="K134" i="74"/>
  <c r="J134" i="74"/>
  <c r="K133" i="74"/>
  <c r="J133" i="74"/>
  <c r="K132" i="74"/>
  <c r="J132" i="74"/>
  <c r="K131" i="74"/>
  <c r="J131" i="74"/>
  <c r="G131" i="74"/>
  <c r="E131" i="74"/>
  <c r="D131" i="74"/>
  <c r="K130" i="74"/>
  <c r="J130" i="74"/>
  <c r="K129" i="74"/>
  <c r="J129" i="74"/>
  <c r="G129" i="74"/>
  <c r="E129" i="74"/>
  <c r="K128" i="74"/>
  <c r="J128" i="74"/>
  <c r="K127" i="74"/>
  <c r="J127" i="74"/>
  <c r="G127" i="74"/>
  <c r="E127" i="74"/>
  <c r="K126" i="74"/>
  <c r="J126" i="74"/>
  <c r="K125" i="74"/>
  <c r="J125" i="74"/>
  <c r="K124" i="74"/>
  <c r="J124" i="74"/>
  <c r="K123" i="74"/>
  <c r="J123" i="74"/>
  <c r="K122" i="74"/>
  <c r="J122" i="74"/>
  <c r="K121" i="74"/>
  <c r="J121" i="74"/>
  <c r="K119" i="74"/>
  <c r="J119" i="74"/>
  <c r="K118" i="74"/>
  <c r="J118" i="74"/>
  <c r="K117" i="74"/>
  <c r="J117" i="74"/>
  <c r="K116" i="74"/>
  <c r="J116" i="74"/>
  <c r="K115" i="74"/>
  <c r="J115" i="74"/>
  <c r="K114" i="74"/>
  <c r="J114" i="74"/>
  <c r="K113" i="74"/>
  <c r="J113" i="74"/>
  <c r="K112" i="74"/>
  <c r="J112" i="74"/>
  <c r="K111" i="74"/>
  <c r="J111" i="74"/>
  <c r="K110" i="74"/>
  <c r="J110" i="74"/>
  <c r="K109" i="74"/>
  <c r="J109" i="74"/>
  <c r="K108" i="74"/>
  <c r="J108" i="74"/>
  <c r="I108" i="74"/>
  <c r="H108" i="74"/>
  <c r="K107" i="74"/>
  <c r="J107" i="74"/>
  <c r="I107" i="74"/>
  <c r="H107" i="74"/>
  <c r="G107" i="74"/>
  <c r="E107" i="74"/>
  <c r="K104" i="74"/>
  <c r="J104" i="74"/>
  <c r="K103" i="74"/>
  <c r="J103" i="74"/>
  <c r="K102" i="74"/>
  <c r="J102" i="74"/>
  <c r="K101" i="74"/>
  <c r="J101" i="74"/>
  <c r="K100" i="74"/>
  <c r="J100" i="74"/>
  <c r="K99" i="74"/>
  <c r="J99" i="74"/>
  <c r="I99" i="74"/>
  <c r="H99" i="74"/>
  <c r="G99" i="74"/>
  <c r="F99" i="74"/>
  <c r="E99" i="74"/>
  <c r="D99" i="74"/>
  <c r="K98" i="74"/>
  <c r="J98" i="74"/>
  <c r="K97" i="74"/>
  <c r="J97" i="74"/>
  <c r="K96" i="74"/>
  <c r="J96" i="74"/>
  <c r="K95" i="74"/>
  <c r="J95" i="74"/>
  <c r="K94" i="74"/>
  <c r="J94" i="74"/>
  <c r="K93" i="74"/>
  <c r="J93" i="74"/>
  <c r="K92" i="74"/>
  <c r="J92" i="74"/>
  <c r="I92" i="74"/>
  <c r="H92" i="74"/>
  <c r="G92" i="74"/>
  <c r="F92" i="74"/>
  <c r="E92" i="74"/>
  <c r="D92" i="74"/>
  <c r="K91" i="74"/>
  <c r="J91" i="74"/>
  <c r="K89" i="74"/>
  <c r="J89" i="74"/>
  <c r="K88" i="74"/>
  <c r="J88" i="74"/>
  <c r="K87" i="74"/>
  <c r="J87" i="74"/>
  <c r="K86" i="74"/>
  <c r="J86" i="74"/>
  <c r="K85" i="74"/>
  <c r="J85" i="74"/>
  <c r="K84" i="74"/>
  <c r="J84" i="74"/>
  <c r="I84" i="74"/>
  <c r="H84" i="74"/>
  <c r="G84" i="74"/>
  <c r="F84" i="74"/>
  <c r="E84" i="74"/>
  <c r="D84" i="74"/>
  <c r="K83" i="74"/>
  <c r="J83" i="74"/>
  <c r="K82" i="74"/>
  <c r="J82" i="74"/>
  <c r="I82" i="74"/>
  <c r="H82" i="74"/>
  <c r="G82" i="74"/>
  <c r="F82" i="74"/>
  <c r="E82" i="74"/>
  <c r="D82" i="74"/>
  <c r="K81" i="74"/>
  <c r="J81" i="74"/>
  <c r="K80" i="74"/>
  <c r="J80" i="74"/>
  <c r="I80" i="74"/>
  <c r="H80" i="74"/>
  <c r="K79" i="74"/>
  <c r="J79" i="74"/>
  <c r="K78" i="74"/>
  <c r="J78" i="74"/>
  <c r="K77" i="74"/>
  <c r="J77" i="74"/>
  <c r="I77" i="74"/>
  <c r="H77" i="74"/>
  <c r="G77" i="74"/>
  <c r="F77" i="74"/>
  <c r="E77" i="74"/>
  <c r="K76" i="74"/>
  <c r="J76" i="74"/>
  <c r="I76" i="74"/>
  <c r="H76" i="74"/>
  <c r="G76" i="74"/>
  <c r="F76" i="74"/>
  <c r="E76" i="74"/>
  <c r="D76" i="74"/>
  <c r="K75" i="74"/>
  <c r="J75" i="74"/>
  <c r="K74" i="74"/>
  <c r="J74" i="74"/>
  <c r="K73" i="74"/>
  <c r="J73" i="74"/>
  <c r="K72" i="74"/>
  <c r="J72" i="74"/>
  <c r="I72" i="74"/>
  <c r="H72" i="74"/>
  <c r="G72" i="74"/>
  <c r="E72" i="74"/>
  <c r="K71" i="74"/>
  <c r="J71" i="74"/>
  <c r="I71" i="74"/>
  <c r="H71" i="74"/>
  <c r="G71" i="74"/>
  <c r="F71" i="74"/>
  <c r="E71" i="74"/>
  <c r="D71" i="74"/>
  <c r="K70" i="74"/>
  <c r="J70" i="74"/>
  <c r="I70" i="74"/>
  <c r="H70" i="74"/>
  <c r="G70" i="74"/>
  <c r="F70" i="74"/>
  <c r="E70" i="74"/>
  <c r="D70" i="74"/>
  <c r="K69" i="74"/>
  <c r="J69" i="74"/>
  <c r="K68" i="74"/>
  <c r="J68" i="74"/>
  <c r="K67" i="74"/>
  <c r="J67" i="74"/>
  <c r="K66" i="74"/>
  <c r="J66" i="74"/>
  <c r="K65" i="74"/>
  <c r="J65" i="74"/>
  <c r="I65" i="74"/>
  <c r="H65" i="74"/>
  <c r="G65" i="74"/>
  <c r="F65" i="74"/>
  <c r="E65" i="74"/>
  <c r="D65" i="74"/>
  <c r="K64" i="74"/>
  <c r="J64" i="74"/>
  <c r="I64" i="74"/>
  <c r="H64" i="74"/>
  <c r="G64" i="74"/>
  <c r="F64" i="74"/>
  <c r="E64" i="74"/>
  <c r="D64" i="74"/>
  <c r="K63" i="74"/>
  <c r="J63" i="74"/>
  <c r="K62" i="74"/>
  <c r="J62" i="74"/>
  <c r="K61" i="74"/>
  <c r="J61" i="74"/>
  <c r="I61" i="74"/>
  <c r="H61" i="74"/>
  <c r="G61" i="74"/>
  <c r="F61" i="74"/>
  <c r="E61" i="74"/>
  <c r="D61" i="74"/>
  <c r="K60" i="74"/>
  <c r="J60" i="74"/>
  <c r="K59" i="74"/>
  <c r="J59" i="74"/>
  <c r="K58" i="74"/>
  <c r="J58" i="74"/>
  <c r="I58" i="74"/>
  <c r="H58" i="74"/>
  <c r="G58" i="74"/>
  <c r="F58" i="74"/>
  <c r="E58" i="74"/>
  <c r="D58" i="74"/>
  <c r="K57" i="74"/>
  <c r="J57" i="74"/>
  <c r="I57" i="74"/>
  <c r="H57" i="74"/>
  <c r="G57" i="74"/>
  <c r="F57" i="74"/>
  <c r="E57" i="74"/>
  <c r="D57" i="74"/>
  <c r="K56" i="74"/>
  <c r="J56" i="74"/>
  <c r="I56" i="74"/>
  <c r="H56" i="74"/>
  <c r="G56" i="74"/>
  <c r="F56" i="74"/>
  <c r="E56" i="74"/>
  <c r="D56" i="74"/>
  <c r="K55" i="74"/>
  <c r="J55" i="74"/>
  <c r="I55" i="74"/>
  <c r="H55" i="74"/>
  <c r="G55" i="74"/>
  <c r="F55" i="74"/>
  <c r="E55" i="74"/>
  <c r="D55" i="74"/>
  <c r="K54" i="74"/>
  <c r="J54" i="74"/>
  <c r="K53" i="74"/>
  <c r="J53" i="74"/>
  <c r="K52" i="74"/>
  <c r="J52" i="74"/>
  <c r="K51" i="74"/>
  <c r="J51" i="74"/>
  <c r="I51" i="74"/>
  <c r="H51" i="74"/>
  <c r="G51" i="74"/>
  <c r="F51" i="74"/>
  <c r="E51" i="74"/>
  <c r="K50" i="74"/>
  <c r="J50" i="74"/>
  <c r="D50" i="74"/>
  <c r="K49" i="74"/>
  <c r="J49" i="74"/>
  <c r="K48" i="74"/>
  <c r="J48" i="74"/>
  <c r="I48" i="74"/>
  <c r="H48" i="74"/>
  <c r="G48" i="74"/>
  <c r="F48" i="74"/>
  <c r="E48" i="74"/>
  <c r="D48" i="74"/>
  <c r="K47" i="74"/>
  <c r="J47" i="74"/>
  <c r="K46" i="74"/>
  <c r="J46" i="74"/>
  <c r="K45" i="74"/>
  <c r="J45" i="74"/>
  <c r="I45" i="74"/>
  <c r="H45" i="74"/>
  <c r="G45" i="74"/>
  <c r="F45" i="74"/>
  <c r="E45" i="74"/>
  <c r="D45" i="74"/>
  <c r="K44" i="74"/>
  <c r="J44" i="74"/>
  <c r="K43" i="74"/>
  <c r="J43" i="74"/>
  <c r="K42" i="74"/>
  <c r="J42" i="74"/>
  <c r="I42" i="74"/>
  <c r="H42" i="74"/>
  <c r="G42" i="74"/>
  <c r="F42" i="74"/>
  <c r="E42" i="74"/>
  <c r="D42" i="74"/>
  <c r="K41" i="74"/>
  <c r="J41" i="74"/>
  <c r="I41" i="74"/>
  <c r="H41" i="74"/>
  <c r="G41" i="74"/>
  <c r="F41" i="74"/>
  <c r="E41" i="74"/>
  <c r="D41" i="74"/>
  <c r="K40" i="74"/>
  <c r="J40" i="74"/>
  <c r="I40" i="74"/>
  <c r="H40" i="74"/>
  <c r="G40" i="74"/>
  <c r="F40" i="74"/>
  <c r="E40" i="74"/>
  <c r="D40" i="74"/>
  <c r="K39" i="74"/>
  <c r="J39" i="74"/>
  <c r="I39" i="74"/>
  <c r="H39" i="74"/>
  <c r="G39" i="74"/>
  <c r="F39" i="74"/>
  <c r="E39" i="74"/>
  <c r="D39" i="74"/>
  <c r="K38" i="74"/>
  <c r="J38" i="74"/>
  <c r="K37" i="74"/>
  <c r="J37" i="74"/>
  <c r="K36" i="74"/>
  <c r="J36" i="74"/>
  <c r="I36" i="74"/>
  <c r="H36" i="74"/>
  <c r="G36" i="74"/>
  <c r="F36" i="74"/>
  <c r="E36" i="74"/>
  <c r="D36" i="74"/>
  <c r="K35" i="74"/>
  <c r="J35" i="74"/>
  <c r="K34" i="74"/>
  <c r="J34" i="74"/>
  <c r="K33" i="74"/>
  <c r="J33" i="74"/>
  <c r="I33" i="74"/>
  <c r="H33" i="74"/>
  <c r="G33" i="74"/>
  <c r="F33" i="74"/>
  <c r="E33" i="74"/>
  <c r="D33" i="74"/>
  <c r="K32" i="74"/>
  <c r="J32" i="74"/>
  <c r="I32" i="74"/>
  <c r="H32" i="74"/>
  <c r="G32" i="74"/>
  <c r="F32" i="74"/>
  <c r="E32" i="74"/>
  <c r="D32" i="74"/>
  <c r="K31" i="74"/>
  <c r="J31" i="74"/>
  <c r="I31" i="74"/>
  <c r="H31" i="74"/>
  <c r="G31" i="74"/>
  <c r="F31" i="74"/>
  <c r="E31" i="74"/>
  <c r="D31" i="74"/>
  <c r="K30" i="74"/>
  <c r="J30" i="74"/>
  <c r="I30" i="74"/>
  <c r="H30" i="74"/>
  <c r="G30" i="74"/>
  <c r="F30" i="74"/>
  <c r="E30" i="74"/>
  <c r="D30" i="74"/>
  <c r="K29" i="74"/>
  <c r="J29" i="74"/>
  <c r="K28" i="74"/>
  <c r="J28" i="74"/>
  <c r="K27" i="74"/>
  <c r="J27" i="74"/>
  <c r="I27" i="74"/>
  <c r="H27" i="74"/>
  <c r="G27" i="74"/>
  <c r="F27" i="74"/>
  <c r="E27" i="74"/>
  <c r="D27" i="74"/>
  <c r="K26" i="74"/>
  <c r="J26" i="74"/>
  <c r="I26" i="74"/>
  <c r="H26" i="74"/>
  <c r="G26" i="74"/>
  <c r="F26" i="74"/>
  <c r="E26" i="74"/>
  <c r="D26" i="74"/>
  <c r="K25" i="74"/>
  <c r="J25" i="74"/>
  <c r="I25" i="74"/>
  <c r="H25" i="74"/>
  <c r="G25" i="74"/>
  <c r="F25" i="74"/>
  <c r="E25" i="74"/>
  <c r="D25" i="74"/>
  <c r="K24" i="74"/>
  <c r="J24" i="74"/>
  <c r="I24" i="74"/>
  <c r="H24" i="74"/>
  <c r="G24" i="74"/>
  <c r="F24" i="74"/>
  <c r="E24" i="74"/>
  <c r="D24" i="74"/>
  <c r="K23" i="74"/>
  <c r="J23" i="74"/>
  <c r="I23" i="74"/>
  <c r="H23" i="74"/>
  <c r="G23" i="74"/>
  <c r="F23" i="74"/>
  <c r="E23" i="74"/>
  <c r="D23" i="74"/>
  <c r="K22" i="74"/>
  <c r="J22" i="74"/>
  <c r="I22" i="74"/>
  <c r="H22" i="74"/>
  <c r="G22" i="74"/>
  <c r="F22" i="74"/>
  <c r="E22" i="74"/>
  <c r="D22" i="74"/>
  <c r="K21" i="74"/>
  <c r="J21" i="74"/>
  <c r="I21" i="74"/>
  <c r="H21" i="74"/>
  <c r="G21" i="74"/>
  <c r="F21" i="74"/>
  <c r="E21" i="74"/>
  <c r="D21" i="74"/>
  <c r="K20" i="74"/>
  <c r="J20" i="74"/>
  <c r="I20" i="74"/>
  <c r="H20" i="74"/>
  <c r="G20" i="74"/>
  <c r="F20" i="74"/>
  <c r="E20" i="74"/>
  <c r="D20" i="74"/>
  <c r="K19" i="74"/>
  <c r="J19" i="74"/>
  <c r="I19" i="74"/>
  <c r="H19" i="74"/>
  <c r="G19" i="74"/>
  <c r="F19" i="74"/>
  <c r="K18" i="74"/>
  <c r="J18" i="74"/>
  <c r="I18" i="74"/>
  <c r="H18" i="74"/>
  <c r="G18" i="74"/>
  <c r="F18" i="74"/>
  <c r="K17" i="74"/>
  <c r="J17" i="74"/>
  <c r="I17" i="74"/>
  <c r="H17" i="74"/>
  <c r="G17" i="74"/>
  <c r="F17" i="74"/>
  <c r="E17" i="74"/>
  <c r="D17" i="74"/>
  <c r="K16" i="74"/>
  <c r="J16" i="74"/>
  <c r="I16" i="74"/>
  <c r="H16" i="74"/>
  <c r="G16" i="74"/>
  <c r="F16" i="74"/>
  <c r="E16" i="74"/>
  <c r="D16" i="74"/>
  <c r="K15" i="74"/>
  <c r="J15" i="74"/>
  <c r="K14" i="74"/>
  <c r="J14" i="74"/>
  <c r="K13" i="74"/>
  <c r="J13" i="74"/>
  <c r="K12" i="74"/>
  <c r="J12" i="74"/>
  <c r="K11" i="74"/>
  <c r="J11" i="74"/>
  <c r="K10" i="74"/>
  <c r="J10" i="74"/>
  <c r="M191" i="103"/>
  <c r="L191" i="103"/>
  <c r="M190" i="103"/>
  <c r="L190" i="103"/>
  <c r="H190" i="103"/>
  <c r="M189" i="103"/>
  <c r="L189" i="103"/>
  <c r="D189" i="103"/>
  <c r="M188" i="103"/>
  <c r="L188" i="103"/>
  <c r="H188" i="103"/>
  <c r="G188" i="103"/>
  <c r="F188" i="103"/>
  <c r="E188" i="103"/>
  <c r="M187" i="103"/>
  <c r="L187" i="103"/>
  <c r="H187" i="103"/>
  <c r="M186" i="103"/>
  <c r="L186" i="103"/>
  <c r="J186" i="103"/>
  <c r="H186" i="103"/>
  <c r="G186" i="103"/>
  <c r="F186" i="103"/>
  <c r="E186" i="103"/>
  <c r="M185" i="103"/>
  <c r="L185" i="103"/>
  <c r="M184" i="103"/>
  <c r="L184" i="103"/>
  <c r="K184" i="103"/>
  <c r="J184" i="103"/>
  <c r="I184" i="103"/>
  <c r="H184" i="103"/>
  <c r="F184" i="103"/>
  <c r="M183" i="103"/>
  <c r="L183" i="103"/>
  <c r="K183" i="103"/>
  <c r="J183" i="103"/>
  <c r="I183" i="103"/>
  <c r="H183" i="103"/>
  <c r="F183" i="103"/>
  <c r="M182" i="103"/>
  <c r="L182" i="103"/>
  <c r="M181" i="103"/>
  <c r="L181" i="103"/>
  <c r="M180" i="103"/>
  <c r="L180" i="103"/>
  <c r="H180" i="103"/>
  <c r="M179" i="103"/>
  <c r="L179" i="103"/>
  <c r="H179" i="103"/>
  <c r="M178" i="103"/>
  <c r="L178" i="103"/>
  <c r="M177" i="103"/>
  <c r="L177" i="103"/>
  <c r="K177" i="103"/>
  <c r="J177" i="103"/>
  <c r="I177" i="103"/>
  <c r="H177" i="103"/>
  <c r="G177" i="103"/>
  <c r="F177" i="103"/>
  <c r="E177" i="103"/>
  <c r="D177" i="103"/>
  <c r="M176" i="103"/>
  <c r="L176" i="103"/>
  <c r="M175" i="103"/>
  <c r="L175" i="103"/>
  <c r="M174" i="103"/>
  <c r="L174" i="103"/>
  <c r="M173" i="103"/>
  <c r="L173" i="103"/>
  <c r="J173" i="103"/>
  <c r="H173" i="103"/>
  <c r="G173" i="103"/>
  <c r="F173" i="103"/>
  <c r="E173" i="103"/>
  <c r="D173" i="103"/>
  <c r="M172" i="103"/>
  <c r="L172" i="103"/>
  <c r="M171" i="103"/>
  <c r="L171" i="103"/>
  <c r="M170" i="103"/>
  <c r="L170" i="103"/>
  <c r="M169" i="103"/>
  <c r="L169" i="103"/>
  <c r="M168" i="103"/>
  <c r="L168" i="103"/>
  <c r="M167" i="103"/>
  <c r="L167" i="103"/>
  <c r="M166" i="103"/>
  <c r="L166" i="103"/>
  <c r="M165" i="103"/>
  <c r="L165" i="103"/>
  <c r="J165" i="103"/>
  <c r="H165" i="103"/>
  <c r="G165" i="103"/>
  <c r="F165" i="103"/>
  <c r="E165" i="103"/>
  <c r="D165" i="103"/>
  <c r="M164" i="103"/>
  <c r="L164" i="103"/>
  <c r="J164" i="103"/>
  <c r="H164" i="103"/>
  <c r="G164" i="103"/>
  <c r="F164" i="103"/>
  <c r="E164" i="103"/>
  <c r="D164" i="103"/>
  <c r="M163" i="103"/>
  <c r="L163" i="103"/>
  <c r="J163" i="103"/>
  <c r="H163" i="103"/>
  <c r="G163" i="103"/>
  <c r="F163" i="103"/>
  <c r="E163" i="103"/>
  <c r="D163" i="103"/>
  <c r="M162" i="103"/>
  <c r="L162" i="103"/>
  <c r="J162" i="103"/>
  <c r="H162" i="103"/>
  <c r="G162" i="103"/>
  <c r="F162" i="103"/>
  <c r="E162" i="103"/>
  <c r="D162" i="103"/>
  <c r="M161" i="103"/>
  <c r="L161" i="103"/>
  <c r="J161" i="103"/>
  <c r="H161" i="103"/>
  <c r="G161" i="103"/>
  <c r="F161" i="103"/>
  <c r="E161" i="103"/>
  <c r="D161" i="103"/>
  <c r="M160" i="103"/>
  <c r="L160" i="103"/>
  <c r="M159" i="103"/>
  <c r="L159" i="103"/>
  <c r="K159" i="103"/>
  <c r="J159" i="103"/>
  <c r="I159" i="103"/>
  <c r="H159" i="103"/>
  <c r="G159" i="103"/>
  <c r="F159" i="103"/>
  <c r="E159" i="103"/>
  <c r="D159" i="103"/>
  <c r="M158" i="103"/>
  <c r="L158" i="103"/>
  <c r="M157" i="103"/>
  <c r="L157" i="103"/>
  <c r="M156" i="103"/>
  <c r="L156" i="103"/>
  <c r="M155" i="103"/>
  <c r="L155" i="103"/>
  <c r="M154" i="103"/>
  <c r="L154" i="103"/>
  <c r="M153" i="103"/>
  <c r="L153" i="103"/>
  <c r="M152" i="103"/>
  <c r="L152" i="103"/>
  <c r="J152" i="103"/>
  <c r="H152" i="103"/>
  <c r="G152" i="103"/>
  <c r="F152" i="103"/>
  <c r="E152" i="103"/>
  <c r="D152" i="103"/>
  <c r="M151" i="103"/>
  <c r="L151" i="103"/>
  <c r="J151" i="103"/>
  <c r="H151" i="103"/>
  <c r="G151" i="103"/>
  <c r="F151" i="103"/>
  <c r="M150" i="103"/>
  <c r="L150" i="103"/>
  <c r="J150" i="103"/>
  <c r="H150" i="103"/>
  <c r="G150" i="103"/>
  <c r="F150" i="103"/>
  <c r="M149" i="103"/>
  <c r="L149" i="103"/>
  <c r="J149" i="103"/>
  <c r="H149" i="103"/>
  <c r="G149" i="103"/>
  <c r="F149" i="103"/>
  <c r="M148" i="103"/>
  <c r="L148" i="103"/>
  <c r="J148" i="103"/>
  <c r="H148" i="103"/>
  <c r="G148" i="103"/>
  <c r="F148" i="103"/>
  <c r="M147" i="103"/>
  <c r="L147" i="103"/>
  <c r="J147" i="103"/>
  <c r="H147" i="103"/>
  <c r="G147" i="103"/>
  <c r="F147" i="103"/>
  <c r="M146" i="103"/>
  <c r="L146" i="103"/>
  <c r="M145" i="103"/>
  <c r="L145" i="103"/>
  <c r="J145" i="103"/>
  <c r="H145" i="103"/>
  <c r="G145" i="103"/>
  <c r="F145" i="103"/>
  <c r="E145" i="103"/>
  <c r="D145" i="103"/>
  <c r="M144" i="103"/>
  <c r="L144" i="103"/>
  <c r="M142" i="103"/>
  <c r="L142" i="103"/>
  <c r="H142" i="103"/>
  <c r="M141" i="103"/>
  <c r="L141" i="103"/>
  <c r="M140" i="103"/>
  <c r="L140" i="103"/>
  <c r="J140" i="103"/>
  <c r="M139" i="103"/>
  <c r="L139" i="103"/>
  <c r="M138" i="103"/>
  <c r="L138" i="103"/>
  <c r="M137" i="103"/>
  <c r="L137" i="103"/>
  <c r="M136" i="103"/>
  <c r="L136" i="103"/>
  <c r="K136" i="103"/>
  <c r="J136" i="103"/>
  <c r="H136" i="103"/>
  <c r="G136" i="103"/>
  <c r="F136" i="103"/>
  <c r="M135" i="103"/>
  <c r="L135" i="103"/>
  <c r="K135" i="103"/>
  <c r="J135" i="103"/>
  <c r="I135" i="103"/>
  <c r="H135" i="103"/>
  <c r="G135" i="103"/>
  <c r="F135" i="103"/>
  <c r="E135" i="103"/>
  <c r="D135" i="103"/>
  <c r="M134" i="103"/>
  <c r="L134" i="103"/>
  <c r="M133" i="103"/>
  <c r="L133" i="103"/>
  <c r="J133" i="103"/>
  <c r="H133" i="103"/>
  <c r="F133" i="103"/>
  <c r="M132" i="103"/>
  <c r="L132" i="103"/>
  <c r="E132" i="103"/>
  <c r="M131" i="103"/>
  <c r="L131" i="103"/>
  <c r="M130" i="103"/>
  <c r="L130" i="103"/>
  <c r="H130" i="103"/>
  <c r="M129" i="103"/>
  <c r="L129" i="103"/>
  <c r="D129" i="103"/>
  <c r="M128" i="103"/>
  <c r="L128" i="103"/>
  <c r="H128" i="103"/>
  <c r="M127" i="103"/>
  <c r="L127" i="103"/>
  <c r="H127" i="103"/>
  <c r="M126" i="103"/>
  <c r="L126" i="103"/>
  <c r="M125" i="103"/>
  <c r="L125" i="103"/>
  <c r="J125" i="103"/>
  <c r="M124" i="103"/>
  <c r="L124" i="103"/>
  <c r="J124" i="103"/>
  <c r="H124" i="103"/>
  <c r="G124" i="103"/>
  <c r="F124" i="103"/>
  <c r="E124" i="103"/>
  <c r="D124" i="103"/>
  <c r="M123" i="103"/>
  <c r="L123" i="103"/>
  <c r="G123" i="103"/>
  <c r="M122" i="103"/>
  <c r="L122" i="103"/>
  <c r="J122" i="103"/>
  <c r="H122" i="103"/>
  <c r="G122" i="103"/>
  <c r="F122" i="103"/>
  <c r="E122" i="103"/>
  <c r="M121" i="103"/>
  <c r="L121" i="103"/>
  <c r="G121" i="103"/>
  <c r="F121" i="103"/>
  <c r="M120" i="103"/>
  <c r="L120" i="103"/>
  <c r="J120" i="103"/>
  <c r="H120" i="103"/>
  <c r="G120" i="103"/>
  <c r="F120" i="103"/>
  <c r="E120" i="103"/>
  <c r="M119" i="103"/>
  <c r="L119" i="103"/>
  <c r="M118" i="103"/>
  <c r="L118" i="103"/>
  <c r="M117" i="103"/>
  <c r="L117" i="103"/>
  <c r="K117" i="103"/>
  <c r="I117" i="103"/>
  <c r="M116" i="103"/>
  <c r="L116" i="103"/>
  <c r="M115" i="103"/>
  <c r="L115" i="103"/>
  <c r="M114" i="103"/>
  <c r="L114" i="103"/>
  <c r="M113" i="103"/>
  <c r="L113" i="103"/>
  <c r="M112" i="103"/>
  <c r="L112" i="103"/>
  <c r="M111" i="103"/>
  <c r="L111" i="103"/>
  <c r="M110" i="103"/>
  <c r="L110" i="103"/>
  <c r="M109" i="103"/>
  <c r="L109" i="103"/>
  <c r="M108" i="103"/>
  <c r="L108" i="103"/>
  <c r="K108" i="103"/>
  <c r="I108" i="103"/>
  <c r="M107" i="103"/>
  <c r="L107" i="103"/>
  <c r="M105" i="103"/>
  <c r="L105" i="103"/>
  <c r="G105" i="103"/>
  <c r="M104" i="103"/>
  <c r="L104" i="103"/>
  <c r="J104" i="103"/>
  <c r="H104" i="103"/>
  <c r="G104" i="103"/>
  <c r="F104" i="103"/>
  <c r="E104" i="103"/>
  <c r="M103" i="103"/>
  <c r="L103" i="103"/>
  <c r="J103" i="103"/>
  <c r="H103" i="103"/>
  <c r="G103" i="103"/>
  <c r="F103" i="103"/>
  <c r="E103" i="103"/>
  <c r="M102" i="103"/>
  <c r="L102" i="103"/>
  <c r="M101" i="103"/>
  <c r="L101" i="103"/>
  <c r="M100" i="103"/>
  <c r="L100" i="103"/>
  <c r="M99" i="103"/>
  <c r="L99" i="103"/>
  <c r="M98" i="103"/>
  <c r="L98" i="103"/>
  <c r="I98" i="103"/>
  <c r="M97" i="103"/>
  <c r="L97" i="103"/>
  <c r="I97" i="103"/>
  <c r="M96" i="103"/>
  <c r="L96" i="103"/>
  <c r="K96" i="103"/>
  <c r="J96" i="103"/>
  <c r="I96" i="103"/>
  <c r="H96" i="103"/>
  <c r="G96" i="103"/>
  <c r="F96" i="103"/>
  <c r="E96" i="103"/>
  <c r="D96" i="103"/>
  <c r="M95" i="103"/>
  <c r="L95" i="103"/>
  <c r="I95" i="103"/>
  <c r="M94" i="103"/>
  <c r="L94" i="103"/>
  <c r="M93" i="103"/>
  <c r="L93" i="103"/>
  <c r="M92" i="103"/>
  <c r="L92" i="103"/>
  <c r="M91" i="103"/>
  <c r="L91" i="103"/>
  <c r="M90" i="103"/>
  <c r="L90" i="103"/>
  <c r="M89" i="103"/>
  <c r="L89" i="103"/>
  <c r="K89" i="103"/>
  <c r="J89" i="103"/>
  <c r="I89" i="103"/>
  <c r="H89" i="103"/>
  <c r="G89" i="103"/>
  <c r="F89" i="103"/>
  <c r="E89" i="103"/>
  <c r="D89" i="103"/>
  <c r="M88" i="103"/>
  <c r="L88" i="103"/>
  <c r="M87" i="103"/>
  <c r="L87" i="103"/>
  <c r="K87" i="103"/>
  <c r="J87" i="103"/>
  <c r="I87" i="103"/>
  <c r="M86" i="103"/>
  <c r="L86" i="103"/>
  <c r="K86" i="103"/>
  <c r="J86" i="103"/>
  <c r="I86" i="103"/>
  <c r="M85" i="103"/>
  <c r="L85" i="103"/>
  <c r="K85" i="103"/>
  <c r="J85" i="103"/>
  <c r="I85" i="103"/>
  <c r="H85" i="103"/>
  <c r="G85" i="103"/>
  <c r="M84" i="103"/>
  <c r="L84" i="103"/>
  <c r="K84" i="103"/>
  <c r="J84" i="103"/>
  <c r="I84" i="103"/>
  <c r="M83" i="103"/>
  <c r="L83" i="103"/>
  <c r="K83" i="103"/>
  <c r="J83" i="103"/>
  <c r="I83" i="103"/>
  <c r="M82" i="103"/>
  <c r="L82" i="103"/>
  <c r="K82" i="103"/>
  <c r="J82" i="103"/>
  <c r="I82" i="103"/>
  <c r="H82" i="103"/>
  <c r="G82" i="103"/>
  <c r="F82" i="103"/>
  <c r="E82" i="103"/>
  <c r="D82" i="103"/>
  <c r="M81" i="103"/>
  <c r="L81" i="103"/>
  <c r="M80" i="103"/>
  <c r="L80" i="103"/>
  <c r="K80" i="103"/>
  <c r="J80" i="103"/>
  <c r="I80" i="103"/>
  <c r="H80" i="103"/>
  <c r="G80" i="103"/>
  <c r="F80" i="103"/>
  <c r="E80" i="103"/>
  <c r="D80" i="103"/>
  <c r="M79" i="103"/>
  <c r="L79" i="103"/>
  <c r="M78" i="103"/>
  <c r="L78" i="103"/>
  <c r="M77" i="103"/>
  <c r="L77" i="103"/>
  <c r="I77" i="103"/>
  <c r="M76" i="103"/>
  <c r="L76" i="103"/>
  <c r="M75" i="103"/>
  <c r="L75" i="103"/>
  <c r="K75" i="103"/>
  <c r="J75" i="103"/>
  <c r="I75" i="103"/>
  <c r="H75" i="103"/>
  <c r="G75" i="103"/>
  <c r="F75" i="103"/>
  <c r="E75" i="103"/>
  <c r="M74" i="103"/>
  <c r="L74" i="103"/>
  <c r="K74" i="103"/>
  <c r="J74" i="103"/>
  <c r="I74" i="103"/>
  <c r="H74" i="103"/>
  <c r="G74" i="103"/>
  <c r="F74" i="103"/>
  <c r="E74" i="103"/>
  <c r="D74" i="103"/>
  <c r="M73" i="103"/>
  <c r="L73" i="103"/>
  <c r="M72" i="103"/>
  <c r="L72" i="103"/>
  <c r="M70" i="103"/>
  <c r="L70" i="103"/>
  <c r="M69" i="103"/>
  <c r="L69" i="103"/>
  <c r="K69" i="103"/>
  <c r="J69" i="103"/>
  <c r="I69" i="103"/>
  <c r="H69" i="103"/>
  <c r="G69" i="103"/>
  <c r="F69" i="103"/>
  <c r="E69" i="103"/>
  <c r="M68" i="103"/>
  <c r="L68" i="103"/>
  <c r="K68" i="103"/>
  <c r="J68" i="103"/>
  <c r="I68" i="103"/>
  <c r="H68" i="103"/>
  <c r="G68" i="103"/>
  <c r="F68" i="103"/>
  <c r="E68" i="103"/>
  <c r="D68" i="103"/>
  <c r="M67" i="103"/>
  <c r="L67" i="103"/>
  <c r="K67" i="103"/>
  <c r="J67" i="103"/>
  <c r="I67" i="103"/>
  <c r="H67" i="103"/>
  <c r="G67" i="103"/>
  <c r="F67" i="103"/>
  <c r="E67" i="103"/>
  <c r="D67" i="103"/>
  <c r="M62" i="103"/>
  <c r="L62" i="103"/>
  <c r="K62" i="103"/>
  <c r="J62" i="103"/>
  <c r="I62" i="103"/>
  <c r="M61" i="103"/>
  <c r="L61" i="103"/>
  <c r="M60" i="103"/>
  <c r="L60" i="103"/>
  <c r="I60" i="103"/>
  <c r="M59" i="103"/>
  <c r="L59" i="103"/>
  <c r="K59" i="103"/>
  <c r="J59" i="103"/>
  <c r="I59" i="103"/>
  <c r="M58" i="103"/>
  <c r="L58" i="103"/>
  <c r="I58" i="103"/>
  <c r="M57" i="103"/>
  <c r="L57" i="103"/>
  <c r="I57" i="103"/>
  <c r="M56" i="103"/>
  <c r="L56" i="103"/>
  <c r="K56" i="103"/>
  <c r="J56" i="103"/>
  <c r="I56" i="103"/>
  <c r="H56" i="103"/>
  <c r="G56" i="103"/>
  <c r="F56" i="103"/>
  <c r="E56" i="103"/>
  <c r="D56" i="103"/>
  <c r="M55" i="103"/>
  <c r="L55" i="103"/>
  <c r="K55" i="103"/>
  <c r="J55" i="103"/>
  <c r="I55" i="103"/>
  <c r="H55" i="103"/>
  <c r="G55" i="103"/>
  <c r="F55" i="103"/>
  <c r="E55" i="103"/>
  <c r="D55" i="103"/>
  <c r="M54" i="103"/>
  <c r="L54" i="103"/>
  <c r="K54" i="103"/>
  <c r="J54" i="103"/>
  <c r="I54" i="103"/>
  <c r="H54" i="103"/>
  <c r="G54" i="103"/>
  <c r="F54" i="103"/>
  <c r="E54" i="103"/>
  <c r="D54" i="103"/>
  <c r="M50" i="103"/>
  <c r="L50" i="103"/>
  <c r="I50" i="103"/>
  <c r="M49" i="103"/>
  <c r="L49" i="103"/>
  <c r="J49" i="103"/>
  <c r="M48" i="103"/>
  <c r="L48" i="103"/>
  <c r="M47" i="103"/>
  <c r="L47" i="103"/>
  <c r="M46" i="103"/>
  <c r="L46" i="103"/>
  <c r="K46" i="103"/>
  <c r="J46" i="103"/>
  <c r="I46" i="103"/>
  <c r="M45" i="103"/>
  <c r="L45" i="103"/>
  <c r="M44" i="103"/>
  <c r="L44" i="103"/>
  <c r="I44" i="103"/>
  <c r="M43" i="103"/>
  <c r="L43" i="103"/>
  <c r="K43" i="103"/>
  <c r="J43" i="103"/>
  <c r="I43" i="103"/>
  <c r="M42" i="103"/>
  <c r="L42" i="103"/>
  <c r="I42" i="103"/>
  <c r="M41" i="103"/>
  <c r="L41" i="103"/>
  <c r="I41" i="103"/>
  <c r="M40" i="103"/>
  <c r="L40" i="103"/>
  <c r="K40" i="103"/>
  <c r="J40" i="103"/>
  <c r="I40" i="103"/>
  <c r="H40" i="103"/>
  <c r="G40" i="103"/>
  <c r="F40" i="103"/>
  <c r="E40" i="103"/>
  <c r="D40" i="103"/>
  <c r="M39" i="103"/>
  <c r="L39" i="103"/>
  <c r="K39" i="103"/>
  <c r="J39" i="103"/>
  <c r="I39" i="103"/>
  <c r="H39" i="103"/>
  <c r="G39" i="103"/>
  <c r="F39" i="103"/>
  <c r="E39" i="103"/>
  <c r="D39" i="103"/>
  <c r="M38" i="103"/>
  <c r="L38" i="103"/>
  <c r="K38" i="103"/>
  <c r="J38" i="103"/>
  <c r="I38" i="103"/>
  <c r="H38" i="103"/>
  <c r="G38" i="103"/>
  <c r="F38" i="103"/>
  <c r="E38" i="103"/>
  <c r="D38" i="103"/>
  <c r="M37" i="103"/>
  <c r="L37" i="103"/>
  <c r="K37" i="103"/>
  <c r="J37" i="103"/>
  <c r="I37" i="103"/>
  <c r="M36" i="103"/>
  <c r="L36" i="103"/>
  <c r="M35" i="103"/>
  <c r="L35" i="103"/>
  <c r="I35" i="103"/>
  <c r="M34" i="103"/>
  <c r="L34" i="103"/>
  <c r="K34" i="103"/>
  <c r="J34" i="103"/>
  <c r="I34" i="103"/>
  <c r="M33" i="103"/>
  <c r="L33" i="103"/>
  <c r="M32" i="103"/>
  <c r="L32" i="103"/>
  <c r="I32" i="103"/>
  <c r="M31" i="103"/>
  <c r="L31" i="103"/>
  <c r="K31" i="103"/>
  <c r="J31" i="103"/>
  <c r="I31" i="103"/>
  <c r="M30" i="103"/>
  <c r="L30" i="103"/>
  <c r="K30" i="103"/>
  <c r="J30" i="103"/>
  <c r="I30" i="103"/>
  <c r="M29" i="103"/>
  <c r="L29" i="103"/>
  <c r="K29" i="103"/>
  <c r="J29" i="103"/>
  <c r="I29" i="103"/>
  <c r="M28" i="103"/>
  <c r="L28" i="103"/>
  <c r="K28" i="103"/>
  <c r="J28" i="103"/>
  <c r="I28" i="103"/>
  <c r="M27" i="103"/>
  <c r="L27" i="103"/>
  <c r="M26" i="103"/>
  <c r="L26" i="103"/>
  <c r="I26" i="103"/>
  <c r="M25" i="103"/>
  <c r="L25" i="103"/>
  <c r="K25" i="103"/>
  <c r="J25" i="103"/>
  <c r="I25" i="103"/>
  <c r="H25" i="103"/>
  <c r="G25" i="103"/>
  <c r="F25" i="103"/>
  <c r="E25" i="103"/>
  <c r="D25" i="103"/>
  <c r="M24" i="103"/>
  <c r="L24" i="103"/>
  <c r="K24" i="103"/>
  <c r="J24" i="103"/>
  <c r="I24" i="103"/>
  <c r="H24" i="103"/>
  <c r="G24" i="103"/>
  <c r="F24" i="103"/>
  <c r="E24" i="103"/>
  <c r="D24" i="103"/>
  <c r="M23" i="103"/>
  <c r="L23" i="103"/>
  <c r="K23" i="103"/>
  <c r="J23" i="103"/>
  <c r="I23" i="103"/>
  <c r="H23" i="103"/>
  <c r="G23" i="103"/>
  <c r="F23" i="103"/>
  <c r="E23" i="103"/>
  <c r="D23" i="103"/>
  <c r="M20" i="103"/>
  <c r="L20" i="103"/>
  <c r="K20" i="103"/>
  <c r="J20" i="103"/>
  <c r="I20" i="103"/>
  <c r="H20" i="103"/>
  <c r="G20" i="103"/>
  <c r="F20" i="103"/>
  <c r="E20" i="103"/>
  <c r="D20" i="103"/>
  <c r="M19" i="103"/>
  <c r="L19" i="103"/>
  <c r="K19" i="103"/>
  <c r="J19" i="103"/>
  <c r="I19" i="103"/>
  <c r="M18" i="103"/>
  <c r="L18" i="103"/>
  <c r="K18" i="103"/>
  <c r="J18" i="103"/>
  <c r="I18" i="103"/>
  <c r="M17" i="103"/>
  <c r="L17" i="103"/>
  <c r="K17" i="103"/>
  <c r="J17" i="103"/>
  <c r="I17" i="103"/>
  <c r="H17" i="103"/>
  <c r="G17" i="103"/>
  <c r="F17" i="103"/>
  <c r="E17" i="103"/>
  <c r="D17" i="103"/>
  <c r="M16" i="103"/>
  <c r="L16" i="103"/>
  <c r="K16" i="103"/>
  <c r="J16" i="103"/>
  <c r="I16" i="103"/>
  <c r="H16" i="103"/>
  <c r="G16" i="103"/>
  <c r="F16" i="103"/>
  <c r="E16" i="103"/>
  <c r="D16" i="103"/>
  <c r="M15" i="103"/>
  <c r="L15" i="103"/>
  <c r="M14" i="103"/>
  <c r="L14" i="103"/>
  <c r="M13" i="103"/>
  <c r="L13" i="103"/>
  <c r="M12" i="103"/>
  <c r="L12" i="103"/>
  <c r="M11" i="103"/>
  <c r="L11" i="103"/>
  <c r="M10" i="103"/>
  <c r="L10" i="103"/>
  <c r="H190" i="77"/>
  <c r="H189" i="77"/>
  <c r="H188" i="77"/>
  <c r="H187" i="77"/>
  <c r="F187" i="77"/>
  <c r="E187" i="77"/>
  <c r="D187" i="77"/>
  <c r="H186" i="77"/>
  <c r="H185" i="77"/>
  <c r="F185" i="77"/>
  <c r="E185" i="77"/>
  <c r="H184" i="77"/>
  <c r="H183" i="77"/>
  <c r="H182" i="77"/>
  <c r="F182" i="77"/>
  <c r="H181" i="77"/>
  <c r="F181" i="77"/>
  <c r="H180" i="77"/>
  <c r="H179" i="77"/>
  <c r="H178" i="77"/>
  <c r="H177" i="77"/>
  <c r="H176" i="77"/>
  <c r="H175" i="77"/>
  <c r="G175" i="77"/>
  <c r="F175" i="77"/>
  <c r="E175" i="77"/>
  <c r="D175" i="77"/>
  <c r="H174" i="77"/>
  <c r="H173" i="77"/>
  <c r="H172" i="77"/>
  <c r="H171" i="77"/>
  <c r="G171" i="77"/>
  <c r="F171" i="77"/>
  <c r="E171" i="77"/>
  <c r="D171" i="77"/>
  <c r="H170" i="77"/>
  <c r="G170" i="77"/>
  <c r="F170" i="77"/>
  <c r="E170" i="77"/>
  <c r="D170" i="77"/>
  <c r="H169" i="77"/>
  <c r="G169" i="77"/>
  <c r="F169" i="77"/>
  <c r="E169" i="77"/>
  <c r="D169" i="77"/>
  <c r="H168" i="77"/>
  <c r="G168" i="77"/>
  <c r="F168" i="77"/>
  <c r="E168" i="77"/>
  <c r="D168" i="77"/>
  <c r="H167" i="77"/>
  <c r="G167" i="77"/>
  <c r="F167" i="77"/>
  <c r="E167" i="77"/>
  <c r="D167" i="77"/>
  <c r="H166" i="77"/>
  <c r="H165" i="77"/>
  <c r="G165" i="77"/>
  <c r="F165" i="77"/>
  <c r="E165" i="77"/>
  <c r="D165" i="77"/>
  <c r="H164" i="77"/>
  <c r="G164" i="77"/>
  <c r="H163" i="77"/>
  <c r="G163" i="77"/>
  <c r="H162" i="77"/>
  <c r="G162" i="77"/>
  <c r="H161" i="77"/>
  <c r="G161" i="77"/>
  <c r="H160" i="77"/>
  <c r="G160" i="77"/>
  <c r="H159" i="77"/>
  <c r="H158" i="77"/>
  <c r="G158" i="77"/>
  <c r="F158" i="77"/>
  <c r="E158" i="77"/>
  <c r="D158" i="77"/>
  <c r="H157" i="77"/>
  <c r="G157" i="77"/>
  <c r="F157" i="77"/>
  <c r="H156" i="77"/>
  <c r="G156" i="77"/>
  <c r="F156" i="77"/>
  <c r="H155" i="77"/>
  <c r="G155" i="77"/>
  <c r="F155" i="77"/>
  <c r="H154" i="77"/>
  <c r="G154" i="77"/>
  <c r="F154" i="77"/>
  <c r="H153" i="77"/>
  <c r="G153" i="77"/>
  <c r="F153" i="77"/>
  <c r="H152" i="77"/>
  <c r="H151" i="77"/>
  <c r="G151" i="77"/>
  <c r="F151" i="77"/>
  <c r="E151" i="77"/>
  <c r="D151" i="77"/>
  <c r="H150" i="77"/>
  <c r="H149" i="77"/>
  <c r="H147" i="77"/>
  <c r="H146" i="77"/>
  <c r="H145" i="77"/>
  <c r="H144" i="77"/>
  <c r="H143" i="77"/>
  <c r="H142" i="77"/>
  <c r="H141" i="77"/>
  <c r="G141" i="77"/>
  <c r="F141" i="77"/>
  <c r="H140" i="77"/>
  <c r="G140" i="77"/>
  <c r="F140" i="77"/>
  <c r="E140" i="77"/>
  <c r="D140" i="77"/>
  <c r="H139" i="77"/>
  <c r="H138" i="77"/>
  <c r="F138" i="77"/>
  <c r="H137" i="77"/>
  <c r="E137" i="77"/>
  <c r="H136" i="77"/>
  <c r="H135" i="77"/>
  <c r="H134" i="77"/>
  <c r="D134" i="77"/>
  <c r="H133" i="77"/>
  <c r="H132" i="77"/>
  <c r="H131" i="77"/>
  <c r="H130" i="77"/>
  <c r="H129" i="77"/>
  <c r="F129" i="77"/>
  <c r="E129" i="77"/>
  <c r="D129" i="77"/>
  <c r="H128" i="77"/>
  <c r="H127" i="77"/>
  <c r="F127" i="77"/>
  <c r="E127" i="77"/>
  <c r="H126" i="77"/>
  <c r="H125" i="77"/>
  <c r="F125" i="77"/>
  <c r="E125" i="77"/>
  <c r="H124" i="77"/>
  <c r="H123" i="77"/>
  <c r="H122" i="77"/>
  <c r="H121" i="77"/>
  <c r="H120" i="77"/>
  <c r="H119" i="77"/>
  <c r="H117" i="77"/>
  <c r="H116" i="77"/>
  <c r="H115" i="77"/>
  <c r="H114" i="77"/>
  <c r="H113" i="77"/>
  <c r="H112" i="77"/>
  <c r="H111" i="77"/>
  <c r="H110" i="77"/>
  <c r="H109" i="77"/>
  <c r="H108" i="77"/>
  <c r="H107" i="77"/>
  <c r="H106" i="77"/>
  <c r="G106" i="77"/>
  <c r="H105" i="77"/>
  <c r="G105" i="77"/>
  <c r="F105" i="77"/>
  <c r="E105" i="77"/>
  <c r="H104" i="77"/>
  <c r="H103" i="77"/>
  <c r="H102" i="77"/>
  <c r="H101" i="77"/>
  <c r="G101" i="77"/>
  <c r="H100" i="77"/>
  <c r="H99" i="77"/>
  <c r="G99" i="77"/>
  <c r="F99" i="77"/>
  <c r="E99" i="77"/>
  <c r="D99" i="77"/>
  <c r="H98" i="77"/>
  <c r="H97" i="77"/>
  <c r="H96" i="77"/>
  <c r="H95" i="77"/>
  <c r="H94" i="77"/>
  <c r="H93" i="77"/>
  <c r="H92" i="77"/>
  <c r="G92" i="77"/>
  <c r="F92" i="77"/>
  <c r="E92" i="77"/>
  <c r="D92" i="77"/>
  <c r="H91" i="77"/>
  <c r="H89" i="77"/>
  <c r="H88" i="77"/>
  <c r="H87" i="77"/>
  <c r="H86" i="77"/>
  <c r="H85" i="77"/>
  <c r="H84" i="77"/>
  <c r="F84" i="77"/>
  <c r="E84" i="77"/>
  <c r="D84" i="77"/>
  <c r="H83" i="77"/>
  <c r="H82" i="77"/>
  <c r="G82" i="77"/>
  <c r="F82" i="77"/>
  <c r="E82" i="77"/>
  <c r="D82" i="77"/>
  <c r="H81" i="77"/>
  <c r="H80" i="77"/>
  <c r="H79" i="77"/>
  <c r="H78" i="77"/>
  <c r="H77" i="77"/>
  <c r="G77" i="77"/>
  <c r="F77" i="77"/>
  <c r="E77" i="77"/>
  <c r="H76" i="77"/>
  <c r="G76" i="77"/>
  <c r="F76" i="77"/>
  <c r="E76" i="77"/>
  <c r="D76" i="77"/>
  <c r="H75" i="77"/>
  <c r="H74" i="77"/>
  <c r="H73" i="77"/>
  <c r="H72" i="77"/>
  <c r="G72" i="77"/>
  <c r="F72" i="77"/>
  <c r="E72" i="77"/>
  <c r="H71" i="77"/>
  <c r="G71" i="77"/>
  <c r="F71" i="77"/>
  <c r="E71" i="77"/>
  <c r="D71" i="77"/>
  <c r="H70" i="77"/>
  <c r="G70" i="77"/>
  <c r="F70" i="77"/>
  <c r="E70" i="77"/>
  <c r="D70" i="77"/>
  <c r="H69" i="77"/>
  <c r="H68" i="77"/>
  <c r="H67" i="77"/>
  <c r="H66" i="77"/>
  <c r="H65" i="77"/>
  <c r="G65" i="77"/>
  <c r="F65" i="77"/>
  <c r="E65" i="77"/>
  <c r="D65" i="77"/>
  <c r="H64" i="77"/>
  <c r="G64" i="77"/>
  <c r="F64" i="77"/>
  <c r="E64" i="77"/>
  <c r="D64" i="77"/>
  <c r="H63" i="77"/>
  <c r="H62" i="77"/>
  <c r="H61" i="77"/>
  <c r="G61" i="77"/>
  <c r="F61" i="77"/>
  <c r="E61" i="77"/>
  <c r="D61" i="77"/>
  <c r="H60" i="77"/>
  <c r="H59" i="77"/>
  <c r="H58" i="77"/>
  <c r="G58" i="77"/>
  <c r="F58" i="77"/>
  <c r="E58" i="77"/>
  <c r="D58" i="77"/>
  <c r="H57" i="77"/>
  <c r="G57" i="77"/>
  <c r="F57" i="77"/>
  <c r="E57" i="77"/>
  <c r="D57" i="77"/>
  <c r="H56" i="77"/>
  <c r="G56" i="77"/>
  <c r="F56" i="77"/>
  <c r="E56" i="77"/>
  <c r="D56" i="77"/>
  <c r="H55" i="77"/>
  <c r="G55" i="77"/>
  <c r="F55" i="77"/>
  <c r="E55" i="77"/>
  <c r="D55" i="77"/>
  <c r="H54" i="77"/>
  <c r="H53" i="77"/>
  <c r="H52" i="77"/>
  <c r="H51" i="77"/>
  <c r="G51" i="77"/>
  <c r="F51" i="77"/>
  <c r="E51" i="77"/>
  <c r="H50" i="77"/>
  <c r="D50" i="77"/>
  <c r="H49" i="77"/>
  <c r="H48" i="77"/>
  <c r="G48" i="77"/>
  <c r="F48" i="77"/>
  <c r="E48" i="77"/>
  <c r="D48" i="77"/>
  <c r="H47" i="77"/>
  <c r="H46" i="77"/>
  <c r="H45" i="77"/>
  <c r="G45" i="77"/>
  <c r="F45" i="77"/>
  <c r="E45" i="77"/>
  <c r="D45" i="77"/>
  <c r="H44" i="77"/>
  <c r="H43" i="77"/>
  <c r="H42" i="77"/>
  <c r="G42" i="77"/>
  <c r="F42" i="77"/>
  <c r="E42" i="77"/>
  <c r="D42" i="77"/>
  <c r="H41" i="77"/>
  <c r="G41" i="77"/>
  <c r="F41" i="77"/>
  <c r="E41" i="77"/>
  <c r="D41" i="77"/>
  <c r="H40" i="77"/>
  <c r="G40" i="77"/>
  <c r="F40" i="77"/>
  <c r="E40" i="77"/>
  <c r="D40" i="77"/>
  <c r="H39" i="77"/>
  <c r="G39" i="77"/>
  <c r="F39" i="77"/>
  <c r="E39" i="77"/>
  <c r="D39" i="77"/>
  <c r="H38" i="77"/>
  <c r="H37" i="77"/>
  <c r="H36" i="77"/>
  <c r="G36" i="77"/>
  <c r="F36" i="77"/>
  <c r="E36" i="77"/>
  <c r="D36" i="77"/>
  <c r="H35" i="77"/>
  <c r="H34" i="77"/>
  <c r="H33" i="77"/>
  <c r="G33" i="77"/>
  <c r="F33" i="77"/>
  <c r="E33" i="77"/>
  <c r="D33" i="77"/>
  <c r="H32" i="77"/>
  <c r="G32" i="77"/>
  <c r="F32" i="77"/>
  <c r="E32" i="77"/>
  <c r="D32" i="77"/>
  <c r="H31" i="77"/>
  <c r="G31" i="77"/>
  <c r="F31" i="77"/>
  <c r="E31" i="77"/>
  <c r="D31" i="77"/>
  <c r="H30" i="77"/>
  <c r="G30" i="77"/>
  <c r="F30" i="77"/>
  <c r="E30" i="77"/>
  <c r="D30" i="77"/>
  <c r="H29" i="77"/>
  <c r="H28" i="77"/>
  <c r="H27" i="77"/>
  <c r="G27" i="77"/>
  <c r="F27" i="77"/>
  <c r="E27" i="77"/>
  <c r="D27" i="77"/>
  <c r="H26" i="77"/>
  <c r="G26" i="77"/>
  <c r="F26" i="77"/>
  <c r="E26" i="77"/>
  <c r="D26" i="77"/>
  <c r="H25" i="77"/>
  <c r="G25" i="77"/>
  <c r="F25" i="77"/>
  <c r="E25" i="77"/>
  <c r="D25" i="77"/>
  <c r="H24" i="77"/>
  <c r="G24" i="77"/>
  <c r="F24" i="77"/>
  <c r="E24" i="77"/>
  <c r="D24" i="77"/>
  <c r="H23" i="77"/>
  <c r="G23" i="77"/>
  <c r="F23" i="77"/>
  <c r="E23" i="77"/>
  <c r="D23" i="77"/>
  <c r="H22" i="77"/>
  <c r="G22" i="77"/>
  <c r="F22" i="77"/>
  <c r="E22" i="77"/>
  <c r="D22" i="77"/>
  <c r="H21" i="77"/>
  <c r="G21" i="77"/>
  <c r="F21" i="77"/>
  <c r="E21" i="77"/>
  <c r="D21" i="77"/>
  <c r="H20" i="77"/>
  <c r="G20" i="77"/>
  <c r="F20" i="77"/>
  <c r="E20" i="77"/>
  <c r="D20" i="77"/>
  <c r="H19" i="77"/>
  <c r="G19" i="77"/>
  <c r="F19" i="77"/>
  <c r="H18" i="77"/>
  <c r="G18" i="77"/>
  <c r="F18" i="77"/>
  <c r="H17" i="77"/>
  <c r="G17" i="77"/>
  <c r="F17" i="77"/>
  <c r="E17" i="77"/>
  <c r="D17" i="77"/>
  <c r="H16" i="77"/>
  <c r="G16" i="77"/>
  <c r="F16" i="77"/>
  <c r="E16" i="77"/>
  <c r="D16" i="77"/>
  <c r="H15" i="77"/>
  <c r="H14" i="77"/>
  <c r="H13" i="77"/>
  <c r="H12" i="77"/>
  <c r="H11" i="77"/>
  <c r="H10" i="77"/>
  <c r="H182" i="75"/>
  <c r="H181" i="75"/>
  <c r="H180" i="75"/>
  <c r="G180" i="75"/>
  <c r="F180" i="75"/>
  <c r="E180" i="75"/>
  <c r="D180" i="75"/>
  <c r="H179" i="75"/>
  <c r="H178" i="75"/>
  <c r="G178" i="75"/>
  <c r="F178" i="75"/>
  <c r="E178" i="75"/>
  <c r="H177" i="75"/>
  <c r="H176" i="75"/>
  <c r="H175" i="75"/>
  <c r="F175" i="75"/>
  <c r="H174" i="75"/>
  <c r="F174" i="75"/>
  <c r="H173" i="75"/>
  <c r="H172" i="75"/>
  <c r="H171" i="75"/>
  <c r="H170" i="75"/>
  <c r="H169" i="75"/>
  <c r="H168" i="75"/>
  <c r="G168" i="75"/>
  <c r="F168" i="75"/>
  <c r="E168" i="75"/>
  <c r="D168" i="75"/>
  <c r="H167" i="75"/>
  <c r="H166" i="75"/>
  <c r="H165" i="75"/>
  <c r="H164" i="75"/>
  <c r="H163" i="75"/>
  <c r="H162" i="75"/>
  <c r="H161" i="75"/>
  <c r="H160" i="75"/>
  <c r="H159" i="75"/>
  <c r="H158" i="75"/>
  <c r="G158" i="75"/>
  <c r="F158" i="75"/>
  <c r="E158" i="75"/>
  <c r="D158" i="75"/>
  <c r="H157" i="75"/>
  <c r="G157" i="75"/>
  <c r="F157" i="75"/>
  <c r="E157" i="75"/>
  <c r="D157" i="75"/>
  <c r="H156" i="75"/>
  <c r="G156" i="75"/>
  <c r="F156" i="75"/>
  <c r="E156" i="75"/>
  <c r="D156" i="75"/>
  <c r="H155" i="75"/>
  <c r="G155" i="75"/>
  <c r="F155" i="75"/>
  <c r="E155" i="75"/>
  <c r="D155" i="75"/>
  <c r="H154" i="75"/>
  <c r="G154" i="75"/>
  <c r="F154" i="75"/>
  <c r="E154" i="75"/>
  <c r="D154" i="75"/>
  <c r="H153" i="75"/>
  <c r="H152" i="75"/>
  <c r="G152" i="75"/>
  <c r="F152" i="75"/>
  <c r="E152" i="75"/>
  <c r="D152" i="75"/>
  <c r="H151" i="75"/>
  <c r="G151" i="75"/>
  <c r="H150" i="75"/>
  <c r="G150" i="75"/>
  <c r="H149" i="75"/>
  <c r="G149" i="75"/>
  <c r="H148" i="75"/>
  <c r="G148" i="75"/>
  <c r="H147" i="75"/>
  <c r="G147" i="75"/>
  <c r="H146" i="75"/>
  <c r="H145" i="75"/>
  <c r="G145" i="75"/>
  <c r="F145" i="75"/>
  <c r="E145" i="75"/>
  <c r="D145" i="75"/>
  <c r="H144" i="75"/>
  <c r="G144" i="75"/>
  <c r="F144" i="75"/>
  <c r="H143" i="75"/>
  <c r="G143" i="75"/>
  <c r="F143" i="75"/>
  <c r="H142" i="75"/>
  <c r="G142" i="75"/>
  <c r="F142" i="75"/>
  <c r="H141" i="75"/>
  <c r="G141" i="75"/>
  <c r="F141" i="75"/>
  <c r="H140" i="75"/>
  <c r="G140" i="75"/>
  <c r="F140" i="75"/>
  <c r="H139" i="75"/>
  <c r="H138" i="75"/>
  <c r="G138" i="75"/>
  <c r="F138" i="75"/>
  <c r="E138" i="75"/>
  <c r="D138" i="75"/>
  <c r="H137" i="75"/>
  <c r="H136" i="75"/>
  <c r="H135" i="75"/>
  <c r="H134" i="75"/>
  <c r="H133" i="75"/>
  <c r="H132" i="75"/>
  <c r="H131" i="75"/>
  <c r="G131" i="75"/>
  <c r="F131" i="75"/>
  <c r="H130" i="75"/>
  <c r="G130" i="75"/>
  <c r="F130" i="75"/>
  <c r="E130" i="75"/>
  <c r="D130" i="75"/>
  <c r="H129" i="75"/>
  <c r="H128" i="75"/>
  <c r="F128" i="75"/>
  <c r="H127" i="75"/>
  <c r="E127" i="75"/>
  <c r="H126" i="75"/>
  <c r="H125" i="75"/>
  <c r="H124" i="75"/>
  <c r="D124" i="75"/>
  <c r="H123" i="75"/>
  <c r="H122" i="75"/>
  <c r="H121" i="75"/>
  <c r="H120" i="75"/>
  <c r="H119" i="75"/>
  <c r="G119" i="75"/>
  <c r="F119" i="75"/>
  <c r="E119" i="75"/>
  <c r="D119" i="75"/>
  <c r="H118" i="75"/>
  <c r="H117" i="75"/>
  <c r="F117" i="75"/>
  <c r="E117" i="75"/>
  <c r="H116" i="75"/>
  <c r="H115" i="75"/>
  <c r="G115" i="75"/>
  <c r="F115" i="75"/>
  <c r="E115" i="75"/>
  <c r="H114" i="75"/>
  <c r="H113" i="75"/>
  <c r="H112" i="75"/>
  <c r="H111" i="75"/>
  <c r="H110" i="75"/>
  <c r="H109" i="75"/>
  <c r="H108" i="75"/>
  <c r="H107" i="75"/>
  <c r="H106" i="75"/>
  <c r="H105" i="75"/>
  <c r="H104" i="75"/>
  <c r="H103" i="75"/>
  <c r="H102" i="75"/>
  <c r="H101" i="75"/>
  <c r="H100" i="75"/>
  <c r="G100" i="75"/>
  <c r="F100" i="75"/>
  <c r="E100" i="75"/>
  <c r="H99" i="75"/>
  <c r="H98" i="75"/>
  <c r="H97" i="75"/>
  <c r="H96" i="75"/>
  <c r="H95" i="75"/>
  <c r="G95" i="75"/>
  <c r="F95" i="75"/>
  <c r="E95" i="75"/>
  <c r="D95" i="75"/>
  <c r="H94" i="75"/>
  <c r="H93" i="75"/>
  <c r="H92" i="75"/>
  <c r="H91" i="75"/>
  <c r="H90" i="75"/>
  <c r="H89" i="75"/>
  <c r="H88" i="75"/>
  <c r="G88" i="75"/>
  <c r="F88" i="75"/>
  <c r="E88" i="75"/>
  <c r="D88" i="75"/>
  <c r="H87" i="75"/>
  <c r="H86" i="75"/>
  <c r="H85" i="75"/>
  <c r="H84" i="75"/>
  <c r="H83" i="75"/>
  <c r="H82" i="75"/>
  <c r="H81" i="75"/>
  <c r="E81" i="75"/>
  <c r="D81" i="75"/>
  <c r="H80" i="75"/>
  <c r="H79" i="75"/>
  <c r="G79" i="75"/>
  <c r="F79" i="75"/>
  <c r="E79" i="75"/>
  <c r="D79" i="75"/>
  <c r="H78" i="75"/>
  <c r="H77" i="75"/>
  <c r="H76" i="75"/>
  <c r="H75" i="75"/>
  <c r="H74" i="75"/>
  <c r="G74" i="75"/>
  <c r="F74" i="75"/>
  <c r="E74" i="75"/>
  <c r="H73" i="75"/>
  <c r="G73" i="75"/>
  <c r="F73" i="75"/>
  <c r="E73" i="75"/>
  <c r="D73" i="75"/>
  <c r="H72" i="75"/>
  <c r="H71" i="75"/>
  <c r="H70" i="75"/>
  <c r="H69" i="75"/>
  <c r="G69" i="75"/>
  <c r="F69" i="75"/>
  <c r="E69" i="75"/>
  <c r="H68" i="75"/>
  <c r="G68" i="75"/>
  <c r="F68" i="75"/>
  <c r="E68" i="75"/>
  <c r="D68" i="75"/>
  <c r="H67" i="75"/>
  <c r="G67" i="75"/>
  <c r="F67" i="75"/>
  <c r="E67" i="75"/>
  <c r="D67" i="75"/>
  <c r="H66" i="75"/>
  <c r="H65" i="75"/>
  <c r="H64" i="75"/>
  <c r="H63" i="75"/>
  <c r="E63" i="75"/>
  <c r="D63" i="75"/>
  <c r="H59" i="75"/>
  <c r="G59" i="75"/>
  <c r="F59" i="75"/>
  <c r="E59" i="75"/>
  <c r="D59" i="75"/>
  <c r="H58" i="75"/>
  <c r="H57" i="75"/>
  <c r="G57" i="75"/>
  <c r="H56" i="75"/>
  <c r="G56" i="75"/>
  <c r="F56" i="75"/>
  <c r="E56" i="75"/>
  <c r="D56" i="75"/>
  <c r="H55" i="75"/>
  <c r="G55" i="75"/>
  <c r="F55" i="75"/>
  <c r="E55" i="75"/>
  <c r="D55" i="75"/>
  <c r="H54" i="75"/>
  <c r="G54" i="75"/>
  <c r="F54" i="75"/>
  <c r="E54" i="75"/>
  <c r="D54" i="75"/>
  <c r="H53" i="75"/>
  <c r="G53" i="75"/>
  <c r="F53" i="75"/>
  <c r="E53" i="75"/>
  <c r="D53" i="75"/>
  <c r="H52" i="75"/>
  <c r="H51" i="75"/>
  <c r="H50" i="75"/>
  <c r="H49" i="75"/>
  <c r="G49" i="75"/>
  <c r="F49" i="75"/>
  <c r="E49" i="75"/>
  <c r="H48" i="75"/>
  <c r="D48" i="75"/>
  <c r="H47" i="75"/>
  <c r="H43" i="75"/>
  <c r="G43" i="75"/>
  <c r="F43" i="75"/>
  <c r="E43" i="75"/>
  <c r="D43" i="75"/>
  <c r="H42" i="75"/>
  <c r="H41" i="75"/>
  <c r="H40" i="75"/>
  <c r="G40" i="75"/>
  <c r="F40" i="75"/>
  <c r="E40" i="75"/>
  <c r="D40" i="75"/>
  <c r="H39" i="75"/>
  <c r="G39" i="75"/>
  <c r="F39" i="75"/>
  <c r="E39" i="75"/>
  <c r="D39" i="75"/>
  <c r="H38" i="75"/>
  <c r="G38" i="75"/>
  <c r="F38" i="75"/>
  <c r="E38" i="75"/>
  <c r="D38" i="75"/>
  <c r="H28" i="75"/>
  <c r="G28" i="75"/>
  <c r="F28" i="75"/>
  <c r="E28" i="75"/>
  <c r="D28" i="75"/>
  <c r="H27" i="75"/>
  <c r="H26" i="75"/>
  <c r="H25" i="75"/>
  <c r="G25" i="75"/>
  <c r="F25" i="75"/>
  <c r="E25" i="75"/>
  <c r="D25" i="75"/>
  <c r="H24" i="75"/>
  <c r="G24" i="75"/>
  <c r="F24" i="75"/>
  <c r="E24" i="75"/>
  <c r="D24" i="75"/>
  <c r="H23" i="75"/>
  <c r="G23" i="75"/>
  <c r="F23" i="75"/>
  <c r="E23" i="75"/>
  <c r="D23" i="75"/>
  <c r="H22" i="75"/>
  <c r="F22" i="75"/>
  <c r="E22" i="75"/>
  <c r="D22" i="75"/>
  <c r="H21" i="75"/>
  <c r="G21" i="75"/>
  <c r="F21" i="75"/>
  <c r="E21" i="75"/>
  <c r="D21" i="75"/>
  <c r="H20" i="75"/>
  <c r="G20" i="75"/>
  <c r="F20" i="75"/>
  <c r="E20" i="75"/>
  <c r="D20" i="75"/>
  <c r="H19" i="75"/>
  <c r="G19" i="75"/>
  <c r="F19" i="75"/>
  <c r="E19" i="75"/>
  <c r="D19" i="75"/>
  <c r="H18" i="75"/>
  <c r="G18" i="75"/>
  <c r="F18" i="75"/>
  <c r="E18" i="75"/>
  <c r="D18" i="75"/>
  <c r="H17" i="75"/>
  <c r="G17" i="75"/>
  <c r="F17" i="75"/>
  <c r="E17" i="75"/>
  <c r="D17" i="75"/>
  <c r="H16" i="75"/>
  <c r="G16" i="75"/>
  <c r="F16" i="75"/>
  <c r="E16" i="75"/>
  <c r="D16" i="75"/>
  <c r="H15" i="75"/>
  <c r="H14" i="75"/>
  <c r="H13" i="75"/>
  <c r="H12" i="75"/>
  <c r="H11" i="75"/>
  <c r="H10" i="75"/>
  <c r="J5" i="102"/>
  <c r="I5" i="102"/>
  <c r="H5" i="102"/>
  <c r="G5" i="102"/>
  <c r="F5" i="102"/>
  <c r="E5" i="102"/>
  <c r="D5" i="102"/>
  <c r="C5" i="102"/>
  <c r="K95" i="104"/>
  <c r="I95" i="104"/>
  <c r="H95" i="104"/>
  <c r="K94" i="104"/>
  <c r="J94" i="104"/>
  <c r="I94" i="104"/>
  <c r="H94" i="104"/>
  <c r="K93" i="104"/>
  <c r="J93" i="104"/>
  <c r="I93" i="104"/>
  <c r="H93" i="104"/>
  <c r="K92" i="104"/>
  <c r="J92" i="104"/>
  <c r="I92" i="104"/>
  <c r="H92" i="104"/>
  <c r="K91" i="104"/>
  <c r="J91" i="104"/>
  <c r="I91" i="104"/>
  <c r="H91" i="104"/>
  <c r="K90" i="104"/>
  <c r="J90" i="104"/>
  <c r="I90" i="104"/>
  <c r="H90" i="104"/>
  <c r="K89" i="104"/>
  <c r="J89" i="104"/>
  <c r="I89" i="104"/>
  <c r="H89" i="104"/>
  <c r="K88" i="104"/>
  <c r="J88" i="104"/>
  <c r="I88" i="104"/>
  <c r="H88" i="104"/>
  <c r="K87" i="104"/>
  <c r="J87" i="104"/>
  <c r="I87" i="104"/>
  <c r="H87" i="104"/>
  <c r="K86" i="104"/>
  <c r="J86" i="104"/>
  <c r="I86" i="104"/>
  <c r="H86" i="104"/>
  <c r="K85" i="104"/>
  <c r="J85" i="104"/>
  <c r="I85" i="104"/>
  <c r="H85" i="104"/>
  <c r="G85" i="104"/>
  <c r="F85" i="104"/>
  <c r="K84" i="104"/>
  <c r="J84" i="104"/>
  <c r="I84" i="104"/>
  <c r="H84" i="104"/>
  <c r="K83" i="104"/>
  <c r="J83" i="104"/>
  <c r="I83" i="104"/>
  <c r="H83" i="104"/>
  <c r="K82" i="104"/>
  <c r="J82" i="104"/>
  <c r="I82" i="104"/>
  <c r="H82" i="104"/>
  <c r="F82" i="104"/>
  <c r="K81" i="104"/>
  <c r="J81" i="104"/>
  <c r="I81" i="104"/>
  <c r="H81" i="104"/>
  <c r="K80" i="104"/>
  <c r="J80" i="104"/>
  <c r="I80" i="104"/>
  <c r="H80" i="104"/>
  <c r="K79" i="104"/>
  <c r="J79" i="104"/>
  <c r="I79" i="104"/>
  <c r="H79" i="104"/>
  <c r="K78" i="104"/>
  <c r="J78" i="104"/>
  <c r="I78" i="104"/>
  <c r="H78" i="104"/>
  <c r="F78" i="104"/>
  <c r="K77" i="104"/>
  <c r="J77" i="104"/>
  <c r="I77" i="104"/>
  <c r="H77" i="104"/>
  <c r="K76" i="104"/>
  <c r="J76" i="104"/>
  <c r="I76" i="104"/>
  <c r="H76" i="104"/>
  <c r="K75" i="104"/>
  <c r="J75" i="104"/>
  <c r="I75" i="104"/>
  <c r="H75" i="104"/>
  <c r="K74" i="104"/>
  <c r="J74" i="104"/>
  <c r="I74" i="104"/>
  <c r="H74" i="104"/>
  <c r="K73" i="104"/>
  <c r="J73" i="104"/>
  <c r="I73" i="104"/>
  <c r="H73" i="104"/>
  <c r="K72" i="104"/>
  <c r="J72" i="104"/>
  <c r="I72" i="104"/>
  <c r="H72" i="104"/>
  <c r="K71" i="104"/>
  <c r="J71" i="104"/>
  <c r="I71" i="104"/>
  <c r="H71" i="104"/>
  <c r="G71" i="104"/>
  <c r="F71" i="104"/>
  <c r="E71" i="104"/>
  <c r="D71" i="104"/>
  <c r="K70" i="104"/>
  <c r="J70" i="104"/>
  <c r="I70" i="104"/>
  <c r="H70" i="104"/>
  <c r="K69" i="104"/>
  <c r="J69" i="104"/>
  <c r="I69" i="104"/>
  <c r="H69" i="104"/>
  <c r="K68" i="104"/>
  <c r="J68" i="104"/>
  <c r="I68" i="104"/>
  <c r="H68" i="104"/>
  <c r="G68" i="104"/>
  <c r="F68" i="104"/>
  <c r="K67" i="104"/>
  <c r="J67" i="104"/>
  <c r="I67" i="104"/>
  <c r="H67" i="104"/>
  <c r="K66" i="104"/>
  <c r="J66" i="104"/>
  <c r="I66" i="104"/>
  <c r="H66" i="104"/>
  <c r="K65" i="104"/>
  <c r="J65" i="104"/>
  <c r="I65" i="104"/>
  <c r="H65" i="104"/>
  <c r="K64" i="104"/>
  <c r="J64" i="104"/>
  <c r="I64" i="104"/>
  <c r="H64" i="104"/>
  <c r="K63" i="104"/>
  <c r="J63" i="104"/>
  <c r="I63" i="104"/>
  <c r="H63" i="104"/>
  <c r="K62" i="104"/>
  <c r="J62" i="104"/>
  <c r="K61" i="104"/>
  <c r="J61" i="104"/>
  <c r="K60" i="104"/>
  <c r="J60" i="104"/>
  <c r="I60" i="104"/>
  <c r="H60" i="104"/>
  <c r="K59" i="104"/>
  <c r="J59" i="104"/>
  <c r="I59" i="104"/>
  <c r="H59" i="104"/>
  <c r="K53" i="104"/>
  <c r="J53" i="104"/>
  <c r="I53" i="104"/>
  <c r="H53" i="104"/>
  <c r="G53" i="104"/>
  <c r="F53" i="104"/>
  <c r="K47" i="104"/>
  <c r="J47" i="104"/>
  <c r="I47" i="104"/>
  <c r="H47" i="104"/>
  <c r="G47" i="104"/>
  <c r="F47" i="104"/>
  <c r="K46" i="104"/>
  <c r="J46" i="104"/>
  <c r="I46" i="104"/>
  <c r="H46" i="104"/>
  <c r="K45" i="104"/>
  <c r="J45" i="104"/>
  <c r="I45" i="104"/>
  <c r="H45" i="104"/>
  <c r="G45" i="104"/>
  <c r="F45" i="104"/>
  <c r="K44" i="104"/>
  <c r="J44" i="104"/>
  <c r="I44" i="104"/>
  <c r="H44" i="104"/>
  <c r="G44" i="104"/>
  <c r="F44" i="104"/>
  <c r="K43" i="104"/>
  <c r="J43" i="104"/>
  <c r="I43" i="104"/>
  <c r="H43" i="104"/>
  <c r="G43" i="104"/>
  <c r="F43" i="104"/>
  <c r="K42" i="104"/>
  <c r="J42" i="104"/>
  <c r="I42" i="104"/>
  <c r="H42" i="104"/>
  <c r="G42" i="104"/>
  <c r="F42" i="104"/>
  <c r="K41" i="104"/>
  <c r="J41" i="104"/>
  <c r="I41" i="104"/>
  <c r="H41" i="104"/>
  <c r="G41" i="104"/>
  <c r="F41" i="104"/>
  <c r="K40" i="104"/>
  <c r="J40" i="104"/>
  <c r="I40" i="104"/>
  <c r="H40" i="104"/>
  <c r="K39" i="104"/>
  <c r="J39" i="104"/>
  <c r="I39" i="104"/>
  <c r="H39" i="104"/>
  <c r="F39" i="104"/>
  <c r="K38" i="104"/>
  <c r="J38" i="104"/>
  <c r="I38" i="104"/>
  <c r="H38" i="104"/>
  <c r="G38" i="104"/>
  <c r="K37" i="104"/>
  <c r="J37" i="104"/>
  <c r="I37" i="104"/>
  <c r="H37" i="104"/>
  <c r="K36" i="104"/>
  <c r="J36" i="104"/>
  <c r="I36" i="104"/>
  <c r="H36" i="104"/>
  <c r="K35" i="104"/>
  <c r="J35" i="104"/>
  <c r="I35" i="104"/>
  <c r="H35" i="104"/>
  <c r="G35" i="104"/>
  <c r="K34" i="104"/>
  <c r="J34" i="104"/>
  <c r="I34" i="104"/>
  <c r="H34" i="104"/>
  <c r="G34" i="104"/>
  <c r="F34" i="104"/>
  <c r="K33" i="104"/>
  <c r="J33" i="104"/>
  <c r="I33" i="104"/>
  <c r="H33" i="104"/>
  <c r="G33" i="104"/>
  <c r="K32" i="104"/>
  <c r="J32" i="104"/>
  <c r="I32" i="104"/>
  <c r="H32" i="104"/>
  <c r="G32" i="104"/>
  <c r="K31" i="104"/>
  <c r="J31" i="104"/>
  <c r="I31" i="104"/>
  <c r="H31" i="104"/>
  <c r="K30" i="104"/>
  <c r="J30" i="104"/>
  <c r="I30" i="104"/>
  <c r="H30" i="104"/>
  <c r="G30" i="104"/>
  <c r="F30" i="104"/>
  <c r="K29" i="104"/>
  <c r="J29" i="104"/>
  <c r="I29" i="104"/>
  <c r="H29" i="104"/>
  <c r="G29" i="104"/>
  <c r="F29" i="104"/>
  <c r="K28" i="104"/>
  <c r="J28" i="104"/>
  <c r="I28" i="104"/>
  <c r="H28" i="104"/>
  <c r="G28" i="104"/>
  <c r="F28" i="104"/>
  <c r="K27" i="104"/>
  <c r="J27" i="104"/>
  <c r="I27" i="104"/>
  <c r="H27" i="104"/>
  <c r="K26" i="104"/>
  <c r="J26" i="104"/>
  <c r="I26" i="104"/>
  <c r="H26" i="104"/>
  <c r="G26" i="104"/>
  <c r="F26" i="104"/>
  <c r="K25" i="104"/>
  <c r="J25" i="104"/>
  <c r="I25" i="104"/>
  <c r="H25" i="104"/>
  <c r="G25" i="104"/>
  <c r="F25" i="104"/>
  <c r="K24" i="104"/>
  <c r="J24" i="104"/>
  <c r="I24" i="104"/>
  <c r="H24" i="104"/>
  <c r="G24" i="104"/>
  <c r="F24" i="104"/>
  <c r="K23" i="104"/>
  <c r="J23" i="104"/>
  <c r="I23" i="104"/>
  <c r="H23" i="104"/>
  <c r="G23" i="104"/>
  <c r="F23" i="104"/>
  <c r="D23" i="104"/>
  <c r="K22" i="104"/>
  <c r="J22" i="104"/>
  <c r="I22" i="104"/>
  <c r="H22" i="104"/>
  <c r="G22" i="104"/>
  <c r="F22" i="104"/>
  <c r="K21" i="104"/>
  <c r="J21" i="104"/>
  <c r="I21" i="104"/>
  <c r="H21" i="104"/>
  <c r="G21" i="104"/>
  <c r="F21" i="104"/>
  <c r="K20" i="104"/>
  <c r="J20" i="104"/>
  <c r="I20" i="104"/>
  <c r="H20" i="104"/>
  <c r="G20" i="104"/>
  <c r="F20" i="104"/>
  <c r="K19" i="104"/>
  <c r="J19" i="104"/>
  <c r="I19" i="104"/>
  <c r="H19" i="104"/>
  <c r="G19" i="104"/>
  <c r="F19" i="104"/>
  <c r="I18" i="104"/>
  <c r="H18" i="104"/>
  <c r="G18" i="104"/>
  <c r="K18" i="104" s="1"/>
  <c r="F18" i="104"/>
  <c r="K17" i="104"/>
  <c r="J17" i="104"/>
  <c r="I17" i="104"/>
  <c r="H17" i="104"/>
  <c r="G17" i="104"/>
  <c r="F17" i="104"/>
  <c r="I16" i="104"/>
  <c r="H16" i="104"/>
  <c r="G16" i="104"/>
  <c r="K16" i="104" s="1"/>
  <c r="F16" i="104"/>
  <c r="E16" i="104"/>
  <c r="D16" i="104"/>
  <c r="I15" i="104"/>
  <c r="H15" i="104"/>
  <c r="G15" i="104"/>
  <c r="K15" i="104" s="1"/>
  <c r="F15" i="104"/>
  <c r="D15" i="104"/>
  <c r="K14" i="104"/>
  <c r="J14" i="104"/>
  <c r="I14" i="104"/>
  <c r="H14" i="104"/>
  <c r="K13" i="104"/>
  <c r="J13" i="104"/>
  <c r="I13" i="104"/>
  <c r="H13" i="104"/>
  <c r="K12" i="104"/>
  <c r="J12" i="104"/>
  <c r="I12" i="104"/>
  <c r="H12" i="104"/>
  <c r="G12" i="104"/>
  <c r="F12" i="104"/>
  <c r="K11" i="104"/>
  <c r="J11" i="104"/>
  <c r="I11" i="104"/>
  <c r="H11" i="104"/>
  <c r="K10" i="104"/>
  <c r="J10" i="104"/>
  <c r="I10" i="104"/>
  <c r="H10" i="104"/>
  <c r="G10" i="104"/>
  <c r="K9" i="104"/>
  <c r="J9" i="104"/>
  <c r="I9" i="104"/>
  <c r="H9" i="104"/>
  <c r="G9" i="104"/>
  <c r="J175" i="73"/>
  <c r="I175" i="73"/>
  <c r="G175" i="73"/>
  <c r="J174" i="73"/>
  <c r="I174" i="73"/>
  <c r="G174" i="73"/>
  <c r="J173" i="73"/>
  <c r="I173" i="73"/>
  <c r="J172" i="73"/>
  <c r="I172" i="73"/>
  <c r="J171" i="73"/>
  <c r="J170" i="73"/>
  <c r="J169" i="73"/>
  <c r="I169" i="73"/>
  <c r="J168" i="73"/>
  <c r="I168" i="73"/>
  <c r="H168" i="73"/>
  <c r="G168" i="73"/>
  <c r="F168" i="73"/>
  <c r="E168" i="73"/>
  <c r="D168" i="73"/>
  <c r="J167" i="73"/>
  <c r="I167" i="73"/>
  <c r="J166" i="73"/>
  <c r="I166" i="73"/>
  <c r="J165" i="73"/>
  <c r="I165" i="73"/>
  <c r="J164" i="73"/>
  <c r="J163" i="73"/>
  <c r="J162" i="73"/>
  <c r="J161" i="73"/>
  <c r="J160" i="73"/>
  <c r="J159" i="73"/>
  <c r="J158" i="73"/>
  <c r="I158" i="73"/>
  <c r="H158" i="73"/>
  <c r="G158" i="73"/>
  <c r="F158" i="73"/>
  <c r="E158" i="73"/>
  <c r="D158" i="73"/>
  <c r="J157" i="73"/>
  <c r="I157" i="73"/>
  <c r="H157" i="73"/>
  <c r="G157" i="73"/>
  <c r="F157" i="73"/>
  <c r="E157" i="73"/>
  <c r="D157" i="73"/>
  <c r="J156" i="73"/>
  <c r="I156" i="73"/>
  <c r="H156" i="73"/>
  <c r="G156" i="73"/>
  <c r="F156" i="73"/>
  <c r="E156" i="73"/>
  <c r="D156" i="73"/>
  <c r="J155" i="73"/>
  <c r="I155" i="73"/>
  <c r="H155" i="73"/>
  <c r="G155" i="73"/>
  <c r="F155" i="73"/>
  <c r="E155" i="73"/>
  <c r="D155" i="73"/>
  <c r="J154" i="73"/>
  <c r="I154" i="73"/>
  <c r="H154" i="73"/>
  <c r="G154" i="73"/>
  <c r="F154" i="73"/>
  <c r="E154" i="73"/>
  <c r="D154" i="73"/>
  <c r="J153" i="73"/>
  <c r="I153" i="73"/>
  <c r="J152" i="73"/>
  <c r="I152" i="73"/>
  <c r="H152" i="73"/>
  <c r="G152" i="73"/>
  <c r="F152" i="73"/>
  <c r="E152" i="73"/>
  <c r="D152" i="73"/>
  <c r="J151" i="73"/>
  <c r="I151" i="73"/>
  <c r="H151" i="73"/>
  <c r="J150" i="73"/>
  <c r="I150" i="73"/>
  <c r="H150" i="73"/>
  <c r="J149" i="73"/>
  <c r="I149" i="73"/>
  <c r="H149" i="73"/>
  <c r="J148" i="73"/>
  <c r="I148" i="73"/>
  <c r="H148" i="73"/>
  <c r="J147" i="73"/>
  <c r="I147" i="73"/>
  <c r="H147" i="73"/>
  <c r="J146" i="73"/>
  <c r="I146" i="73"/>
  <c r="J145" i="73"/>
  <c r="I145" i="73"/>
  <c r="H145" i="73"/>
  <c r="G145" i="73"/>
  <c r="F145" i="73"/>
  <c r="E145" i="73"/>
  <c r="D145" i="73"/>
  <c r="J144" i="73"/>
  <c r="I144" i="73"/>
  <c r="H144" i="73"/>
  <c r="G144" i="73"/>
  <c r="J143" i="73"/>
  <c r="I143" i="73"/>
  <c r="H143" i="73"/>
  <c r="G143" i="73"/>
  <c r="J142" i="73"/>
  <c r="I142" i="73"/>
  <c r="H142" i="73"/>
  <c r="G142" i="73"/>
  <c r="J141" i="73"/>
  <c r="I141" i="73"/>
  <c r="H141" i="73"/>
  <c r="G141" i="73"/>
  <c r="J140" i="73"/>
  <c r="I140" i="73"/>
  <c r="H140" i="73"/>
  <c r="G140" i="73"/>
  <c r="J139" i="73"/>
  <c r="I139" i="73"/>
  <c r="J138" i="73"/>
  <c r="I138" i="73"/>
  <c r="H138" i="73"/>
  <c r="G138" i="73"/>
  <c r="F138" i="73"/>
  <c r="E138" i="73"/>
  <c r="D138" i="73"/>
  <c r="J137" i="73"/>
  <c r="I137" i="73"/>
  <c r="J136" i="73"/>
  <c r="I136" i="73"/>
  <c r="J135" i="73"/>
  <c r="I135" i="73"/>
  <c r="J134" i="73"/>
  <c r="I134" i="73"/>
  <c r="J133" i="73"/>
  <c r="I133" i="73"/>
  <c r="J132" i="73"/>
  <c r="I132" i="73"/>
  <c r="J131" i="73"/>
  <c r="I131" i="73"/>
  <c r="H131" i="73"/>
  <c r="G131" i="73"/>
  <c r="F131" i="73"/>
  <c r="J130" i="73"/>
  <c r="I130" i="73"/>
  <c r="H130" i="73"/>
  <c r="G130" i="73"/>
  <c r="F130" i="73"/>
  <c r="E130" i="73"/>
  <c r="D130" i="73"/>
  <c r="J129" i="73"/>
  <c r="I129" i="73"/>
  <c r="J128" i="73"/>
  <c r="I128" i="73"/>
  <c r="G128" i="73"/>
  <c r="J127" i="73"/>
  <c r="I127" i="73"/>
  <c r="E127" i="73"/>
  <c r="J126" i="73"/>
  <c r="I126" i="73"/>
  <c r="J125" i="73"/>
  <c r="I125" i="73"/>
  <c r="J124" i="73"/>
  <c r="I124" i="73"/>
  <c r="D124" i="73"/>
  <c r="J123" i="73"/>
  <c r="I123" i="73"/>
  <c r="J122" i="73"/>
  <c r="I122" i="73"/>
  <c r="J121" i="73"/>
  <c r="I121" i="73"/>
  <c r="J120" i="73"/>
  <c r="I120" i="73"/>
  <c r="J119" i="73"/>
  <c r="I119" i="73"/>
  <c r="H119" i="73"/>
  <c r="G119" i="73"/>
  <c r="F119" i="73"/>
  <c r="E119" i="73"/>
  <c r="D119" i="73"/>
  <c r="J118" i="73"/>
  <c r="I118" i="73"/>
  <c r="J117" i="73"/>
  <c r="I117" i="73"/>
  <c r="G117" i="73"/>
  <c r="E117" i="73"/>
  <c r="J116" i="73"/>
  <c r="I116" i="73"/>
  <c r="J115" i="73"/>
  <c r="I115" i="73"/>
  <c r="G115" i="73"/>
  <c r="E115" i="73"/>
  <c r="J114" i="73"/>
  <c r="I114" i="73"/>
  <c r="J113" i="73"/>
  <c r="I113" i="73"/>
  <c r="J112" i="73"/>
  <c r="I112" i="73"/>
  <c r="J111" i="73"/>
  <c r="I111" i="73"/>
  <c r="J110" i="73"/>
  <c r="I110" i="73"/>
  <c r="J109" i="73"/>
  <c r="I109" i="73"/>
  <c r="J108" i="73"/>
  <c r="I108" i="73"/>
  <c r="J107" i="73"/>
  <c r="I107" i="73"/>
  <c r="J106" i="73"/>
  <c r="I106" i="73"/>
  <c r="J105" i="73"/>
  <c r="I105" i="73"/>
  <c r="J104" i="73"/>
  <c r="I104" i="73"/>
  <c r="J103" i="73"/>
  <c r="I103" i="73"/>
  <c r="J102" i="73"/>
  <c r="I102" i="73"/>
  <c r="J101" i="73"/>
  <c r="J100" i="73"/>
  <c r="J99" i="73"/>
  <c r="J98" i="73"/>
  <c r="J97" i="73"/>
  <c r="I97" i="73"/>
  <c r="J96" i="73"/>
  <c r="I96" i="73"/>
  <c r="J95" i="73"/>
  <c r="I95" i="73"/>
  <c r="H95" i="73"/>
  <c r="G95" i="73"/>
  <c r="F95" i="73"/>
  <c r="E95" i="73"/>
  <c r="D95" i="73"/>
  <c r="J94" i="73"/>
  <c r="I94" i="73"/>
  <c r="J93" i="73"/>
  <c r="I93" i="73"/>
  <c r="J92" i="73"/>
  <c r="I92" i="73"/>
  <c r="J91" i="73"/>
  <c r="I91" i="73"/>
  <c r="J90" i="73"/>
  <c r="I90" i="73"/>
  <c r="J89" i="73"/>
  <c r="I89" i="73"/>
  <c r="J88" i="73"/>
  <c r="I88" i="73"/>
  <c r="H88" i="73"/>
  <c r="G88" i="73"/>
  <c r="F88" i="73"/>
  <c r="E88" i="73"/>
  <c r="D88" i="73"/>
  <c r="J87" i="73"/>
  <c r="I87" i="73"/>
  <c r="J86" i="73"/>
  <c r="J85" i="73"/>
  <c r="J84" i="73"/>
  <c r="J83" i="73"/>
  <c r="J82" i="73"/>
  <c r="J81" i="73"/>
  <c r="J80" i="73"/>
  <c r="J79" i="73"/>
  <c r="J78" i="73"/>
  <c r="J77" i="73"/>
  <c r="J76" i="73"/>
  <c r="I76" i="73"/>
  <c r="J75" i="73"/>
  <c r="I75" i="73"/>
  <c r="J74" i="73"/>
  <c r="I74" i="73"/>
  <c r="H74" i="73"/>
  <c r="G74" i="73"/>
  <c r="F74" i="73"/>
  <c r="E74" i="73"/>
  <c r="J73" i="73"/>
  <c r="J72" i="73"/>
  <c r="J71" i="73"/>
  <c r="J70" i="73"/>
  <c r="I70" i="73"/>
  <c r="J69" i="73"/>
  <c r="I69" i="73"/>
  <c r="H69" i="73"/>
  <c r="G69" i="73"/>
  <c r="F69" i="73"/>
  <c r="E69" i="73"/>
  <c r="J68" i="73"/>
  <c r="I68" i="73"/>
  <c r="H68" i="73"/>
  <c r="G68" i="73"/>
  <c r="F68" i="73"/>
  <c r="E68" i="73"/>
  <c r="D68" i="73"/>
  <c r="J67" i="73"/>
  <c r="I67" i="73"/>
  <c r="H67" i="73"/>
  <c r="G67" i="73"/>
  <c r="F67" i="73"/>
  <c r="E67" i="73"/>
  <c r="D67" i="73"/>
  <c r="J66" i="73"/>
  <c r="I66" i="73"/>
  <c r="J65" i="73"/>
  <c r="I65" i="73"/>
  <c r="J64" i="73"/>
  <c r="I64" i="73"/>
  <c r="J63" i="73"/>
  <c r="J62" i="73"/>
  <c r="J61" i="73"/>
  <c r="J60" i="73"/>
  <c r="J59" i="73"/>
  <c r="J58" i="73"/>
  <c r="J57" i="73"/>
  <c r="I57" i="73"/>
  <c r="F57" i="73"/>
  <c r="J56" i="73"/>
  <c r="I56" i="73"/>
  <c r="H56" i="73"/>
  <c r="G56" i="73"/>
  <c r="F56" i="73"/>
  <c r="E56" i="73"/>
  <c r="D56" i="73"/>
  <c r="J55" i="73"/>
  <c r="I55" i="73"/>
  <c r="H55" i="73"/>
  <c r="G55" i="73"/>
  <c r="F55" i="73"/>
  <c r="E55" i="73"/>
  <c r="D55" i="73"/>
  <c r="J54" i="73"/>
  <c r="I54" i="73"/>
  <c r="H54" i="73"/>
  <c r="G54" i="73"/>
  <c r="F54" i="73"/>
  <c r="E54" i="73"/>
  <c r="D54" i="73"/>
  <c r="J53" i="73"/>
  <c r="J52" i="73"/>
  <c r="J51" i="73"/>
  <c r="I51" i="73"/>
  <c r="J50" i="73"/>
  <c r="I50" i="73"/>
  <c r="J49" i="73"/>
  <c r="J48" i="73"/>
  <c r="J47" i="73"/>
  <c r="J46" i="73"/>
  <c r="J45" i="73"/>
  <c r="J44" i="73"/>
  <c r="J43" i="73"/>
  <c r="J42" i="73"/>
  <c r="J41" i="73"/>
  <c r="I41" i="73"/>
  <c r="J40" i="73"/>
  <c r="I40" i="73"/>
  <c r="H40" i="73"/>
  <c r="G40" i="73"/>
  <c r="F40" i="73"/>
  <c r="E40" i="73"/>
  <c r="D40" i="73"/>
  <c r="J39" i="73"/>
  <c r="I39" i="73"/>
  <c r="H39" i="73"/>
  <c r="G39" i="73"/>
  <c r="F39" i="73"/>
  <c r="E39" i="73"/>
  <c r="D39" i="73"/>
  <c r="J38" i="73"/>
  <c r="I38" i="73"/>
  <c r="H38" i="73"/>
  <c r="G38" i="73"/>
  <c r="F38" i="73"/>
  <c r="E38" i="73"/>
  <c r="D38" i="73"/>
  <c r="J37" i="73"/>
  <c r="J36" i="73"/>
  <c r="J35" i="73"/>
  <c r="J34" i="73"/>
  <c r="J33" i="73"/>
  <c r="J32" i="73"/>
  <c r="J31" i="73"/>
  <c r="J30" i="73"/>
  <c r="J29" i="73"/>
  <c r="J28" i="73"/>
  <c r="J27" i="73"/>
  <c r="J26" i="73"/>
  <c r="I26" i="73"/>
  <c r="J25" i="73"/>
  <c r="I25" i="73"/>
  <c r="H25" i="73"/>
  <c r="G25" i="73"/>
  <c r="F25" i="73"/>
  <c r="E25" i="73"/>
  <c r="D25" i="73"/>
  <c r="J24" i="73"/>
  <c r="I24" i="73"/>
  <c r="H24" i="73"/>
  <c r="G24" i="73"/>
  <c r="F24" i="73"/>
  <c r="E24" i="73"/>
  <c r="D24" i="73"/>
  <c r="J23" i="73"/>
  <c r="I23" i="73"/>
  <c r="H23" i="73"/>
  <c r="G23" i="73"/>
  <c r="F23" i="73"/>
  <c r="E23" i="73"/>
  <c r="D23" i="73"/>
  <c r="J22" i="73"/>
  <c r="J21" i="73"/>
  <c r="J20" i="73"/>
  <c r="J19" i="73"/>
  <c r="J18" i="73"/>
  <c r="I18" i="73"/>
  <c r="H18" i="73"/>
  <c r="G18" i="73"/>
  <c r="F18" i="73"/>
  <c r="E18" i="73"/>
  <c r="D18" i="73"/>
  <c r="J17" i="73"/>
  <c r="I17" i="73"/>
  <c r="H17" i="73"/>
  <c r="G17" i="73"/>
  <c r="F17" i="73"/>
  <c r="E17" i="73"/>
  <c r="D17" i="73"/>
  <c r="J16" i="73"/>
  <c r="I16" i="73"/>
  <c r="H16" i="73"/>
  <c r="G16" i="73"/>
  <c r="F16" i="73"/>
  <c r="E16" i="73"/>
  <c r="D16" i="73"/>
  <c r="J15" i="73"/>
  <c r="I15" i="73"/>
  <c r="J14" i="73"/>
  <c r="I14" i="73"/>
  <c r="J13" i="73"/>
  <c r="I13" i="73"/>
  <c r="J12" i="73"/>
  <c r="I12" i="73"/>
  <c r="J11" i="73"/>
  <c r="I11" i="73"/>
  <c r="J10" i="73"/>
  <c r="I10" i="73"/>
  <c r="H196" i="85"/>
  <c r="H195" i="85"/>
  <c r="H194" i="85"/>
  <c r="H193" i="85"/>
  <c r="F193" i="85"/>
  <c r="E193" i="85"/>
  <c r="D193" i="85"/>
  <c r="H192" i="85"/>
  <c r="H191" i="85"/>
  <c r="F191" i="85"/>
  <c r="E191" i="85"/>
  <c r="H190" i="85"/>
  <c r="H189" i="85"/>
  <c r="H188" i="85"/>
  <c r="F188" i="85"/>
  <c r="H187" i="85"/>
  <c r="F187" i="85"/>
  <c r="H186" i="85"/>
  <c r="H185" i="85"/>
  <c r="H184" i="85"/>
  <c r="H183" i="85"/>
  <c r="H182" i="85"/>
  <c r="H181" i="85"/>
  <c r="G181" i="85"/>
  <c r="F181" i="85"/>
  <c r="E181" i="85"/>
  <c r="D181" i="85"/>
  <c r="H180" i="85"/>
  <c r="H179" i="85"/>
  <c r="H178" i="85"/>
  <c r="H177" i="85"/>
  <c r="G177" i="85"/>
  <c r="F177" i="85"/>
  <c r="E177" i="85"/>
  <c r="D177" i="85"/>
  <c r="H176" i="85"/>
  <c r="G176" i="85"/>
  <c r="F176" i="85"/>
  <c r="E176" i="85"/>
  <c r="D176" i="85"/>
  <c r="H175" i="85"/>
  <c r="G175" i="85"/>
  <c r="F175" i="85"/>
  <c r="E175" i="85"/>
  <c r="D175" i="85"/>
  <c r="H174" i="85"/>
  <c r="G174" i="85"/>
  <c r="F174" i="85"/>
  <c r="E174" i="85"/>
  <c r="D174" i="85"/>
  <c r="H173" i="85"/>
  <c r="G173" i="85"/>
  <c r="F173" i="85"/>
  <c r="E173" i="85"/>
  <c r="D173" i="85"/>
  <c r="H172" i="85"/>
  <c r="H171" i="85"/>
  <c r="G171" i="85"/>
  <c r="F171" i="85"/>
  <c r="E171" i="85"/>
  <c r="D171" i="85"/>
  <c r="H170" i="85"/>
  <c r="H169" i="85"/>
  <c r="H168" i="85"/>
  <c r="H167" i="85"/>
  <c r="H166" i="85"/>
  <c r="H165" i="85"/>
  <c r="H164" i="85"/>
  <c r="G164" i="85"/>
  <c r="F164" i="85"/>
  <c r="E164" i="85"/>
  <c r="D164" i="85"/>
  <c r="H163" i="85"/>
  <c r="G163" i="85"/>
  <c r="F163" i="85"/>
  <c r="H162" i="85"/>
  <c r="G162" i="85"/>
  <c r="F162" i="85"/>
  <c r="H161" i="85"/>
  <c r="G161" i="85"/>
  <c r="F161" i="85"/>
  <c r="H160" i="85"/>
  <c r="G160" i="85"/>
  <c r="F160" i="85"/>
  <c r="H159" i="85"/>
  <c r="G159" i="85"/>
  <c r="F159" i="85"/>
  <c r="H158" i="85"/>
  <c r="H157" i="85"/>
  <c r="G157" i="85"/>
  <c r="F157" i="85"/>
  <c r="E157" i="85"/>
  <c r="D157" i="85"/>
  <c r="H156" i="85"/>
  <c r="H155" i="85"/>
  <c r="H153" i="85"/>
  <c r="H152" i="85"/>
  <c r="H151" i="85"/>
  <c r="H150" i="85"/>
  <c r="H149" i="85"/>
  <c r="H148" i="85"/>
  <c r="H147" i="85"/>
  <c r="G147" i="85"/>
  <c r="F147" i="85"/>
  <c r="H146" i="85"/>
  <c r="G146" i="85"/>
  <c r="F146" i="85"/>
  <c r="E146" i="85"/>
  <c r="D146" i="85"/>
  <c r="H145" i="85"/>
  <c r="H144" i="85"/>
  <c r="F144" i="85"/>
  <c r="H143" i="85"/>
  <c r="E143" i="85"/>
  <c r="H142" i="85"/>
  <c r="H141" i="85"/>
  <c r="H140" i="85"/>
  <c r="D140" i="85"/>
  <c r="H139" i="85"/>
  <c r="H138" i="85"/>
  <c r="H137" i="85"/>
  <c r="H136" i="85"/>
  <c r="H135" i="85"/>
  <c r="F135" i="85"/>
  <c r="E135" i="85"/>
  <c r="D135" i="85"/>
  <c r="H134" i="85"/>
  <c r="H133" i="85"/>
  <c r="F133" i="85"/>
  <c r="E133" i="85"/>
  <c r="H132" i="85"/>
  <c r="H131" i="85"/>
  <c r="F131" i="85"/>
  <c r="E131" i="85"/>
  <c r="H130" i="85"/>
  <c r="H129" i="85"/>
  <c r="H128" i="85"/>
  <c r="H127" i="85"/>
  <c r="H126" i="85"/>
  <c r="H125" i="85"/>
  <c r="H123" i="85"/>
  <c r="H122" i="85"/>
  <c r="H121" i="85"/>
  <c r="H120" i="85"/>
  <c r="H119" i="85"/>
  <c r="H118" i="85"/>
  <c r="H117" i="85"/>
  <c r="H116" i="85"/>
  <c r="H115" i="85"/>
  <c r="H114" i="85"/>
  <c r="H113" i="85"/>
  <c r="H111" i="85"/>
  <c r="H110" i="85"/>
  <c r="G110" i="85"/>
  <c r="F110" i="85"/>
  <c r="E110" i="85"/>
  <c r="H109" i="85"/>
  <c r="H108" i="85"/>
  <c r="H107" i="85"/>
  <c r="H106" i="85"/>
  <c r="H105" i="85"/>
  <c r="H104" i="85"/>
  <c r="G104" i="85"/>
  <c r="F104" i="85"/>
  <c r="E104" i="85"/>
  <c r="D104" i="85"/>
  <c r="H103" i="85"/>
  <c r="H102" i="85"/>
  <c r="H101" i="85"/>
  <c r="H100" i="85"/>
  <c r="H99" i="85"/>
  <c r="H98" i="85"/>
  <c r="H97" i="85"/>
  <c r="G97" i="85"/>
  <c r="F97" i="85"/>
  <c r="E97" i="85"/>
  <c r="D97" i="85"/>
  <c r="H96" i="85"/>
  <c r="H94" i="85"/>
  <c r="H93" i="85"/>
  <c r="H92" i="85"/>
  <c r="H91" i="85"/>
  <c r="H90" i="85"/>
  <c r="H89" i="85"/>
  <c r="F89" i="85"/>
  <c r="E89" i="85"/>
  <c r="D89" i="85"/>
  <c r="H88" i="85"/>
  <c r="H83" i="85"/>
  <c r="G83" i="85"/>
  <c r="F83" i="85"/>
  <c r="E83" i="85"/>
  <c r="D83" i="85"/>
  <c r="H82" i="85"/>
  <c r="H81" i="85"/>
  <c r="H80" i="85"/>
  <c r="H79" i="85"/>
  <c r="H78" i="85"/>
  <c r="G78" i="85"/>
  <c r="F78" i="85"/>
  <c r="E78" i="85"/>
  <c r="H77" i="85"/>
  <c r="G77" i="85"/>
  <c r="F77" i="85"/>
  <c r="E77" i="85"/>
  <c r="D77" i="85"/>
  <c r="H76" i="85"/>
  <c r="H75" i="85"/>
  <c r="H73" i="85"/>
  <c r="H72" i="85"/>
  <c r="G72" i="85"/>
  <c r="F72" i="85"/>
  <c r="E72" i="85"/>
  <c r="H71" i="85"/>
  <c r="G71" i="85"/>
  <c r="F71" i="85"/>
  <c r="E71" i="85"/>
  <c r="D71" i="85"/>
  <c r="H70" i="85"/>
  <c r="G70" i="85"/>
  <c r="F70" i="85"/>
  <c r="E70" i="85"/>
  <c r="D70" i="85"/>
  <c r="H69" i="85"/>
  <c r="H68" i="85"/>
  <c r="H67" i="85"/>
  <c r="H66" i="85"/>
  <c r="H65" i="85"/>
  <c r="F65" i="85"/>
  <c r="E65" i="85"/>
  <c r="D65" i="85"/>
  <c r="H64" i="85"/>
  <c r="G64" i="85"/>
  <c r="F64" i="85"/>
  <c r="E64" i="85"/>
  <c r="D64" i="85"/>
  <c r="H63" i="85"/>
  <c r="H62" i="85"/>
  <c r="H61" i="85"/>
  <c r="G61" i="85"/>
  <c r="F61" i="85"/>
  <c r="E61" i="85"/>
  <c r="D61" i="85"/>
  <c r="H60" i="85"/>
  <c r="H59" i="85"/>
  <c r="H58" i="85"/>
  <c r="G58" i="85"/>
  <c r="F58" i="85"/>
  <c r="E58" i="85"/>
  <c r="D58" i="85"/>
  <c r="H57" i="85"/>
  <c r="G57" i="85"/>
  <c r="F57" i="85"/>
  <c r="E57" i="85"/>
  <c r="D57" i="85"/>
  <c r="H56" i="85"/>
  <c r="G56" i="85"/>
  <c r="F56" i="85"/>
  <c r="E56" i="85"/>
  <c r="D56" i="85"/>
  <c r="H55" i="85"/>
  <c r="G55" i="85"/>
  <c r="F55" i="85"/>
  <c r="E55" i="85"/>
  <c r="D55" i="85"/>
  <c r="H54" i="85"/>
  <c r="H53" i="85"/>
  <c r="H52" i="85"/>
  <c r="H51" i="85"/>
  <c r="G51" i="85"/>
  <c r="F51" i="85"/>
  <c r="E51" i="85"/>
  <c r="H50" i="85"/>
  <c r="D50" i="85"/>
  <c r="H49" i="85"/>
  <c r="H48" i="85"/>
  <c r="G48" i="85"/>
  <c r="F48" i="85"/>
  <c r="E48" i="85"/>
  <c r="D48" i="85"/>
  <c r="H47" i="85"/>
  <c r="H46" i="85"/>
  <c r="H45" i="85"/>
  <c r="G45" i="85"/>
  <c r="F45" i="85"/>
  <c r="E45" i="85"/>
  <c r="D45" i="85"/>
  <c r="H44" i="85"/>
  <c r="H43" i="85"/>
  <c r="H42" i="85"/>
  <c r="G42" i="85"/>
  <c r="F42" i="85"/>
  <c r="E42" i="85"/>
  <c r="D42" i="85"/>
  <c r="H41" i="85"/>
  <c r="G41" i="85"/>
  <c r="F41" i="85"/>
  <c r="E41" i="85"/>
  <c r="D41" i="85"/>
  <c r="H40" i="85"/>
  <c r="G40" i="85"/>
  <c r="F40" i="85"/>
  <c r="E40" i="85"/>
  <c r="D40" i="85"/>
  <c r="H39" i="85"/>
  <c r="G39" i="85"/>
  <c r="F39" i="85"/>
  <c r="E39" i="85"/>
  <c r="D39" i="85"/>
  <c r="H38" i="85"/>
  <c r="H37" i="85"/>
  <c r="H36" i="85"/>
  <c r="G36" i="85"/>
  <c r="F36" i="85"/>
  <c r="E36" i="85"/>
  <c r="D36" i="85"/>
  <c r="H35" i="85"/>
  <c r="H34" i="85"/>
  <c r="H33" i="85"/>
  <c r="G33" i="85"/>
  <c r="F33" i="85"/>
  <c r="E33" i="85"/>
  <c r="D33" i="85"/>
  <c r="H32" i="85"/>
  <c r="G32" i="85"/>
  <c r="F32" i="85"/>
  <c r="E32" i="85"/>
  <c r="D32" i="85"/>
  <c r="H31" i="85"/>
  <c r="G31" i="85"/>
  <c r="F31" i="85"/>
  <c r="E31" i="85"/>
  <c r="D31" i="85"/>
  <c r="H30" i="85"/>
  <c r="G30" i="85"/>
  <c r="F30" i="85"/>
  <c r="E30" i="85"/>
  <c r="D30" i="85"/>
  <c r="H29" i="85"/>
  <c r="H28" i="85"/>
  <c r="H27" i="85"/>
  <c r="G27" i="85"/>
  <c r="F27" i="85"/>
  <c r="E27" i="85"/>
  <c r="D27" i="85"/>
  <c r="H26" i="85"/>
  <c r="G26" i="85"/>
  <c r="F26" i="85"/>
  <c r="E26" i="85"/>
  <c r="D26" i="85"/>
  <c r="H25" i="85"/>
  <c r="G25" i="85"/>
  <c r="F25" i="85"/>
  <c r="E25" i="85"/>
  <c r="D25" i="85"/>
  <c r="H24" i="85"/>
  <c r="G24" i="85"/>
  <c r="F24" i="85"/>
  <c r="E24" i="85"/>
  <c r="D24" i="85"/>
  <c r="H23" i="85"/>
  <c r="G23" i="85"/>
  <c r="F23" i="85"/>
  <c r="E23" i="85"/>
  <c r="D23" i="85"/>
  <c r="H22" i="85"/>
  <c r="G22" i="85"/>
  <c r="F22" i="85"/>
  <c r="E22" i="85"/>
  <c r="D22" i="85"/>
  <c r="H21" i="85"/>
  <c r="G21" i="85"/>
  <c r="F21" i="85"/>
  <c r="E21" i="85"/>
  <c r="D21" i="85"/>
  <c r="H20" i="85"/>
  <c r="G20" i="85"/>
  <c r="F20" i="85"/>
  <c r="E20" i="85"/>
  <c r="D20" i="85"/>
  <c r="H19" i="85"/>
  <c r="G19" i="85"/>
  <c r="F19" i="85"/>
  <c r="H18" i="85"/>
  <c r="G18" i="85"/>
  <c r="F18" i="85"/>
  <c r="H17" i="85"/>
  <c r="G17" i="85"/>
  <c r="F17" i="85"/>
  <c r="E17" i="85"/>
  <c r="D17" i="85"/>
  <c r="H16" i="85"/>
  <c r="G16" i="85"/>
  <c r="F16" i="85"/>
  <c r="E16" i="85"/>
  <c r="D16" i="85"/>
  <c r="H15" i="85"/>
  <c r="H14" i="85"/>
  <c r="H13" i="85"/>
  <c r="H12" i="85"/>
  <c r="H11" i="85"/>
  <c r="H10" i="85"/>
  <c r="H191" i="84"/>
  <c r="H190" i="84"/>
  <c r="H189" i="84"/>
  <c r="H188" i="84"/>
  <c r="F188" i="84"/>
  <c r="E188" i="84"/>
  <c r="D188" i="84"/>
  <c r="H187" i="84"/>
  <c r="H186" i="84"/>
  <c r="F186" i="84"/>
  <c r="E186" i="84"/>
  <c r="H185" i="84"/>
  <c r="H184" i="84"/>
  <c r="H183" i="84"/>
  <c r="F183" i="84"/>
  <c r="H182" i="84"/>
  <c r="F182" i="84"/>
  <c r="H181" i="84"/>
  <c r="H180" i="84"/>
  <c r="H179" i="84"/>
  <c r="H178" i="84"/>
  <c r="H177" i="84"/>
  <c r="H176" i="84"/>
  <c r="G176" i="84"/>
  <c r="F176" i="84"/>
  <c r="E176" i="84"/>
  <c r="D176" i="84"/>
  <c r="H175" i="84"/>
  <c r="H174" i="84"/>
  <c r="H173" i="84"/>
  <c r="H172" i="84"/>
  <c r="G172" i="84"/>
  <c r="F172" i="84"/>
  <c r="E172" i="84"/>
  <c r="D172" i="84"/>
  <c r="H171" i="84"/>
  <c r="G171" i="84"/>
  <c r="F171" i="84"/>
  <c r="E171" i="84"/>
  <c r="D171" i="84"/>
  <c r="H170" i="84"/>
  <c r="G170" i="84"/>
  <c r="F170" i="84"/>
  <c r="E170" i="84"/>
  <c r="D170" i="84"/>
  <c r="H169" i="84"/>
  <c r="G169" i="84"/>
  <c r="F169" i="84"/>
  <c r="E169" i="84"/>
  <c r="D169" i="84"/>
  <c r="H168" i="84"/>
  <c r="G168" i="84"/>
  <c r="F168" i="84"/>
  <c r="E168" i="84"/>
  <c r="D168" i="84"/>
  <c r="H167" i="84"/>
  <c r="H166" i="84"/>
  <c r="G166" i="84"/>
  <c r="F166" i="84"/>
  <c r="E166" i="84"/>
  <c r="D166" i="84"/>
  <c r="H165" i="84"/>
  <c r="H164" i="84"/>
  <c r="H163" i="84"/>
  <c r="H162" i="84"/>
  <c r="H161" i="84"/>
  <c r="H160" i="84"/>
  <c r="H159" i="84"/>
  <c r="G159" i="84"/>
  <c r="F159" i="84"/>
  <c r="E159" i="84"/>
  <c r="D159" i="84"/>
  <c r="H158" i="84"/>
  <c r="G158" i="84"/>
  <c r="F158" i="84"/>
  <c r="H157" i="84"/>
  <c r="G157" i="84"/>
  <c r="F157" i="84"/>
  <c r="H156" i="84"/>
  <c r="G156" i="84"/>
  <c r="F156" i="84"/>
  <c r="H155" i="84"/>
  <c r="G155" i="84"/>
  <c r="F155" i="84"/>
  <c r="H154" i="84"/>
  <c r="G154" i="84"/>
  <c r="F154" i="84"/>
  <c r="H153" i="84"/>
  <c r="H152" i="84"/>
  <c r="G152" i="84"/>
  <c r="F152" i="84"/>
  <c r="E152" i="84"/>
  <c r="D152" i="84"/>
  <c r="H151" i="84"/>
  <c r="H150" i="84"/>
  <c r="H148" i="84"/>
  <c r="H147" i="84"/>
  <c r="H146" i="84"/>
  <c r="H145" i="84"/>
  <c r="H144" i="84"/>
  <c r="H143" i="84"/>
  <c r="H142" i="84"/>
  <c r="G142" i="84"/>
  <c r="F142" i="84"/>
  <c r="H141" i="84"/>
  <c r="G141" i="84"/>
  <c r="F141" i="84"/>
  <c r="E141" i="84"/>
  <c r="D141" i="84"/>
  <c r="H140" i="84"/>
  <c r="H139" i="84"/>
  <c r="F139" i="84"/>
  <c r="H138" i="84"/>
  <c r="E138" i="84"/>
  <c r="H137" i="84"/>
  <c r="H136" i="84"/>
  <c r="H135" i="84"/>
  <c r="D135" i="84"/>
  <c r="H134" i="84"/>
  <c r="H133" i="84"/>
  <c r="H132" i="84"/>
  <c r="H131" i="84"/>
  <c r="H130" i="84"/>
  <c r="F130" i="84"/>
  <c r="E130" i="84"/>
  <c r="D130" i="84"/>
  <c r="H129" i="84"/>
  <c r="H128" i="84"/>
  <c r="F128" i="84"/>
  <c r="E128" i="84"/>
  <c r="H127" i="84"/>
  <c r="H126" i="84"/>
  <c r="F126" i="84"/>
  <c r="E126" i="84"/>
  <c r="H125" i="84"/>
  <c r="H124" i="84"/>
  <c r="H123" i="84"/>
  <c r="H122" i="84"/>
  <c r="H121" i="84"/>
  <c r="H120" i="84"/>
  <c r="H118" i="84"/>
  <c r="H117" i="84"/>
  <c r="H116" i="84"/>
  <c r="H115" i="84"/>
  <c r="H114" i="84"/>
  <c r="H113" i="84"/>
  <c r="H112" i="84"/>
  <c r="H111" i="84"/>
  <c r="H110" i="84"/>
  <c r="H109" i="84"/>
  <c r="H108" i="84"/>
  <c r="H107" i="84"/>
  <c r="H106" i="84"/>
  <c r="G106" i="84"/>
  <c r="F106" i="84"/>
  <c r="E106" i="84"/>
  <c r="H105" i="84"/>
  <c r="H104" i="84"/>
  <c r="H103" i="84"/>
  <c r="H102" i="84"/>
  <c r="H101" i="84"/>
  <c r="H100" i="84"/>
  <c r="G100" i="84"/>
  <c r="F100" i="84"/>
  <c r="E100" i="84"/>
  <c r="D100" i="84"/>
  <c r="H99" i="84"/>
  <c r="H98" i="84"/>
  <c r="H97" i="84"/>
  <c r="H96" i="84"/>
  <c r="H95" i="84"/>
  <c r="H94" i="84"/>
  <c r="H93" i="84"/>
  <c r="G93" i="84"/>
  <c r="F93" i="84"/>
  <c r="E93" i="84"/>
  <c r="D93" i="84"/>
  <c r="H92" i="84"/>
  <c r="H90" i="84"/>
  <c r="H89" i="84"/>
  <c r="H88" i="84"/>
  <c r="H87" i="84"/>
  <c r="H86" i="84"/>
  <c r="H85" i="84"/>
  <c r="F85" i="84"/>
  <c r="E85" i="84"/>
  <c r="D85" i="84"/>
  <c r="H84" i="84"/>
  <c r="H83" i="84"/>
  <c r="G83" i="84"/>
  <c r="F83" i="84"/>
  <c r="E83" i="84"/>
  <c r="D83" i="84"/>
  <c r="H82" i="84"/>
  <c r="H81" i="84"/>
  <c r="H80" i="84"/>
  <c r="H79" i="84"/>
  <c r="H78" i="84"/>
  <c r="G78" i="84"/>
  <c r="F78" i="84"/>
  <c r="E78" i="84"/>
  <c r="H77" i="84"/>
  <c r="G77" i="84"/>
  <c r="F77" i="84"/>
  <c r="E77" i="84"/>
  <c r="D77" i="84"/>
  <c r="H76" i="84"/>
  <c r="H75" i="84"/>
  <c r="H73" i="84"/>
  <c r="H72" i="84"/>
  <c r="G72" i="84"/>
  <c r="F72" i="84"/>
  <c r="E72" i="84"/>
  <c r="H71" i="84"/>
  <c r="G71" i="84"/>
  <c r="F71" i="84"/>
  <c r="E71" i="84"/>
  <c r="D71" i="84"/>
  <c r="H70" i="84"/>
  <c r="G70" i="84"/>
  <c r="F70" i="84"/>
  <c r="E70" i="84"/>
  <c r="D70" i="84"/>
  <c r="H69" i="84"/>
  <c r="H68" i="84"/>
  <c r="H67" i="84"/>
  <c r="H66" i="84"/>
  <c r="H65" i="84"/>
  <c r="F65" i="84"/>
  <c r="E65" i="84"/>
  <c r="D65" i="84"/>
  <c r="H64" i="84"/>
  <c r="G64" i="84"/>
  <c r="F64" i="84"/>
  <c r="E64" i="84"/>
  <c r="D64" i="84"/>
  <c r="H63" i="84"/>
  <c r="H62" i="84"/>
  <c r="H61" i="84"/>
  <c r="G61" i="84"/>
  <c r="F61" i="84"/>
  <c r="E61" i="84"/>
  <c r="D61" i="84"/>
  <c r="H60" i="84"/>
  <c r="H59" i="84"/>
  <c r="H58" i="84"/>
  <c r="G58" i="84"/>
  <c r="F58" i="84"/>
  <c r="E58" i="84"/>
  <c r="D58" i="84"/>
  <c r="H57" i="84"/>
  <c r="G57" i="84"/>
  <c r="F57" i="84"/>
  <c r="E57" i="84"/>
  <c r="D57" i="84"/>
  <c r="H56" i="84"/>
  <c r="G56" i="84"/>
  <c r="F56" i="84"/>
  <c r="E56" i="84"/>
  <c r="D56" i="84"/>
  <c r="H55" i="84"/>
  <c r="G55" i="84"/>
  <c r="F55" i="84"/>
  <c r="E55" i="84"/>
  <c r="D55" i="84"/>
  <c r="H54" i="84"/>
  <c r="H53" i="84"/>
  <c r="H52" i="84"/>
  <c r="H51" i="84"/>
  <c r="G51" i="84"/>
  <c r="F51" i="84"/>
  <c r="E51" i="84"/>
  <c r="H50" i="84"/>
  <c r="D50" i="84"/>
  <c r="H49" i="84"/>
  <c r="H48" i="84"/>
  <c r="G48" i="84"/>
  <c r="F48" i="84"/>
  <c r="E48" i="84"/>
  <c r="D48" i="84"/>
  <c r="H47" i="84"/>
  <c r="H46" i="84"/>
  <c r="H45" i="84"/>
  <c r="G45" i="84"/>
  <c r="F45" i="84"/>
  <c r="E45" i="84"/>
  <c r="D45" i="84"/>
  <c r="H44" i="84"/>
  <c r="H43" i="84"/>
  <c r="H42" i="84"/>
  <c r="G42" i="84"/>
  <c r="F42" i="84"/>
  <c r="E42" i="84"/>
  <c r="D42" i="84"/>
  <c r="H41" i="84"/>
  <c r="G41" i="84"/>
  <c r="F41" i="84"/>
  <c r="E41" i="84"/>
  <c r="D41" i="84"/>
  <c r="H40" i="84"/>
  <c r="G40" i="84"/>
  <c r="F40" i="84"/>
  <c r="E40" i="84"/>
  <c r="D40" i="84"/>
  <c r="H39" i="84"/>
  <c r="G39" i="84"/>
  <c r="F39" i="84"/>
  <c r="E39" i="84"/>
  <c r="D39" i="84"/>
  <c r="H38" i="84"/>
  <c r="H37" i="84"/>
  <c r="H36" i="84"/>
  <c r="G36" i="84"/>
  <c r="F36" i="84"/>
  <c r="E36" i="84"/>
  <c r="D36" i="84"/>
  <c r="H35" i="84"/>
  <c r="H34" i="84"/>
  <c r="H33" i="84"/>
  <c r="G33" i="84"/>
  <c r="F33" i="84"/>
  <c r="E33" i="84"/>
  <c r="D33" i="84"/>
  <c r="H32" i="84"/>
  <c r="G32" i="84"/>
  <c r="F32" i="84"/>
  <c r="E32" i="84"/>
  <c r="D32" i="84"/>
  <c r="H31" i="84"/>
  <c r="G31" i="84"/>
  <c r="F31" i="84"/>
  <c r="E31" i="84"/>
  <c r="D31" i="84"/>
  <c r="H30" i="84"/>
  <c r="G30" i="84"/>
  <c r="F30" i="84"/>
  <c r="E30" i="84"/>
  <c r="D30" i="84"/>
  <c r="H29" i="84"/>
  <c r="H28" i="84"/>
  <c r="H27" i="84"/>
  <c r="G27" i="84"/>
  <c r="F27" i="84"/>
  <c r="E27" i="84"/>
  <c r="D27" i="84"/>
  <c r="H26" i="84"/>
  <c r="G26" i="84"/>
  <c r="F26" i="84"/>
  <c r="E26" i="84"/>
  <c r="D26" i="84"/>
  <c r="H25" i="84"/>
  <c r="G25" i="84"/>
  <c r="F25" i="84"/>
  <c r="E25" i="84"/>
  <c r="D25" i="84"/>
  <c r="H24" i="84"/>
  <c r="G24" i="84"/>
  <c r="F24" i="84"/>
  <c r="E24" i="84"/>
  <c r="D24" i="84"/>
  <c r="H23" i="84"/>
  <c r="G23" i="84"/>
  <c r="F23" i="84"/>
  <c r="E23" i="84"/>
  <c r="D23" i="84"/>
  <c r="H22" i="84"/>
  <c r="G22" i="84"/>
  <c r="F22" i="84"/>
  <c r="E22" i="84"/>
  <c r="D22" i="84"/>
  <c r="H21" i="84"/>
  <c r="G21" i="84"/>
  <c r="F21" i="84"/>
  <c r="E21" i="84"/>
  <c r="D21" i="84"/>
  <c r="H20" i="84"/>
  <c r="G20" i="84"/>
  <c r="F20" i="84"/>
  <c r="E20" i="84"/>
  <c r="D20" i="84"/>
  <c r="H19" i="84"/>
  <c r="G19" i="84"/>
  <c r="F19" i="84"/>
  <c r="H18" i="84"/>
  <c r="G18" i="84"/>
  <c r="F18" i="84"/>
  <c r="H17" i="84"/>
  <c r="G17" i="84"/>
  <c r="F17" i="84"/>
  <c r="E17" i="84"/>
  <c r="D17" i="84"/>
  <c r="H16" i="84"/>
  <c r="G16" i="84"/>
  <c r="F16" i="84"/>
  <c r="E16" i="84"/>
  <c r="D16" i="84"/>
  <c r="H15" i="84"/>
  <c r="H14" i="84"/>
  <c r="H13" i="84"/>
  <c r="H12" i="84"/>
  <c r="H11" i="84"/>
  <c r="H10" i="84"/>
  <c r="J56" i="82"/>
  <c r="I56" i="82"/>
  <c r="H56" i="82"/>
  <c r="G56" i="82"/>
  <c r="E56" i="82"/>
  <c r="J55" i="82"/>
  <c r="H55" i="82"/>
  <c r="G55" i="82"/>
  <c r="J54" i="82"/>
  <c r="H54" i="82"/>
  <c r="G54" i="82"/>
  <c r="J44" i="82"/>
  <c r="H44" i="82"/>
  <c r="J42" i="82"/>
  <c r="H42" i="82"/>
  <c r="H41" i="82"/>
  <c r="J40" i="82"/>
  <c r="H40" i="82"/>
  <c r="J12" i="81"/>
  <c r="H12" i="81"/>
  <c r="J11" i="81"/>
  <c r="H11" i="81"/>
  <c r="J10" i="81"/>
  <c r="H10" i="81"/>
  <c r="J9" i="81"/>
  <c r="H9" i="81"/>
  <c r="J8" i="81"/>
  <c r="H8" i="81"/>
  <c r="J79" i="80"/>
  <c r="H79" i="80"/>
  <c r="J78" i="80"/>
  <c r="H78" i="80"/>
  <c r="J77" i="80"/>
  <c r="H77" i="80"/>
  <c r="J76" i="80"/>
  <c r="H76" i="80"/>
  <c r="J75" i="80"/>
  <c r="I75" i="80"/>
  <c r="H75" i="80"/>
  <c r="G75" i="80"/>
  <c r="F75" i="80"/>
  <c r="E75" i="80"/>
  <c r="D75" i="80"/>
  <c r="J74" i="80"/>
  <c r="I74" i="80"/>
  <c r="H74" i="80"/>
  <c r="G74" i="80"/>
  <c r="F74" i="80"/>
  <c r="E74" i="80"/>
  <c r="D74" i="80"/>
  <c r="J73" i="80"/>
  <c r="I73" i="80"/>
  <c r="H73" i="80"/>
  <c r="G73" i="80"/>
  <c r="F73" i="80"/>
  <c r="E73" i="80"/>
  <c r="D73" i="80"/>
  <c r="J72" i="80"/>
  <c r="I72" i="80"/>
  <c r="H72" i="80"/>
  <c r="G72" i="80"/>
  <c r="F72" i="80"/>
  <c r="E72" i="80"/>
  <c r="D72" i="80"/>
  <c r="J71" i="80"/>
  <c r="I71" i="80"/>
  <c r="H71" i="80"/>
  <c r="G71" i="80"/>
  <c r="F71" i="80"/>
  <c r="E71" i="80"/>
  <c r="D71" i="80"/>
  <c r="J70" i="80"/>
  <c r="H70" i="80"/>
  <c r="J69" i="80"/>
  <c r="H69" i="80"/>
  <c r="J68" i="80"/>
  <c r="I68" i="80"/>
  <c r="H68" i="80"/>
  <c r="G68" i="80"/>
  <c r="F68" i="80"/>
  <c r="E68" i="80"/>
  <c r="D68" i="80"/>
  <c r="J67" i="80"/>
  <c r="H67" i="80"/>
  <c r="J66" i="80"/>
  <c r="I66" i="80"/>
  <c r="H66" i="80"/>
  <c r="G66" i="80"/>
  <c r="F66" i="80"/>
  <c r="E66" i="80"/>
  <c r="D66" i="80"/>
  <c r="J65" i="80"/>
  <c r="H65" i="80"/>
  <c r="J64" i="80"/>
  <c r="H64" i="80"/>
  <c r="J63" i="80"/>
  <c r="I63" i="80"/>
  <c r="H63" i="80"/>
  <c r="G63" i="80"/>
  <c r="F63" i="80"/>
  <c r="E63" i="80"/>
  <c r="D63" i="80"/>
  <c r="J62" i="80"/>
  <c r="H62" i="80"/>
  <c r="J61" i="80"/>
  <c r="H61" i="80"/>
  <c r="G61" i="80"/>
  <c r="F61" i="80"/>
  <c r="E61" i="80"/>
  <c r="D61" i="80"/>
  <c r="J60" i="80"/>
  <c r="H60" i="80"/>
  <c r="J59" i="80"/>
  <c r="H59" i="80"/>
  <c r="J58" i="80"/>
  <c r="I58" i="80"/>
  <c r="H58" i="80"/>
  <c r="G58" i="80"/>
  <c r="F58" i="80"/>
  <c r="E58" i="80"/>
  <c r="D58" i="80"/>
  <c r="J57" i="80"/>
  <c r="H57" i="80"/>
  <c r="J56" i="80"/>
  <c r="I56" i="80"/>
  <c r="H56" i="80"/>
  <c r="G56" i="80"/>
  <c r="F56" i="80"/>
  <c r="E56" i="80"/>
  <c r="D56" i="80"/>
  <c r="J55" i="80"/>
  <c r="I55" i="80"/>
  <c r="H55" i="80"/>
  <c r="G55" i="80"/>
  <c r="F55" i="80"/>
  <c r="E55" i="80"/>
  <c r="D55" i="80"/>
  <c r="J54" i="80"/>
  <c r="H54" i="80"/>
  <c r="J53" i="80"/>
  <c r="H53" i="80"/>
  <c r="J52" i="80"/>
  <c r="H52" i="80"/>
  <c r="J51" i="80"/>
  <c r="I51" i="80"/>
  <c r="H51" i="80"/>
  <c r="F51" i="80"/>
  <c r="E51" i="80"/>
  <c r="J50" i="80"/>
  <c r="H50" i="80"/>
  <c r="J49" i="80"/>
  <c r="I49" i="80"/>
  <c r="H49" i="80"/>
  <c r="G49" i="80"/>
  <c r="F49" i="80"/>
  <c r="E49" i="80"/>
  <c r="D49" i="80"/>
  <c r="J48" i="80"/>
  <c r="H48" i="80"/>
  <c r="J47" i="80"/>
  <c r="H47" i="80"/>
  <c r="J46" i="80"/>
  <c r="H46" i="80"/>
  <c r="J45" i="80"/>
  <c r="H45" i="80"/>
  <c r="J44" i="80"/>
  <c r="H44" i="80"/>
  <c r="J43" i="80"/>
  <c r="I43" i="80"/>
  <c r="H43" i="80"/>
  <c r="G43" i="80"/>
  <c r="F43" i="80"/>
  <c r="E43" i="80"/>
  <c r="D43" i="80"/>
  <c r="J42" i="80"/>
  <c r="I42" i="80"/>
  <c r="H42" i="80"/>
  <c r="G42" i="80"/>
  <c r="F42" i="80"/>
  <c r="E42" i="80"/>
  <c r="D42" i="80"/>
  <c r="J41" i="80"/>
  <c r="H41" i="80"/>
  <c r="J40" i="80"/>
  <c r="I40" i="80"/>
  <c r="H40" i="80"/>
  <c r="G40" i="80"/>
  <c r="F40" i="80"/>
  <c r="E40" i="80"/>
  <c r="D40" i="80"/>
  <c r="J39" i="80"/>
  <c r="H39" i="80"/>
  <c r="J38" i="80"/>
  <c r="H38" i="80"/>
  <c r="J37" i="80"/>
  <c r="I37" i="80"/>
  <c r="H37" i="80"/>
  <c r="G37" i="80"/>
  <c r="F37" i="80"/>
  <c r="E37" i="80"/>
  <c r="D37" i="80"/>
  <c r="J36" i="80"/>
  <c r="H36" i="80"/>
  <c r="J35" i="80"/>
  <c r="I35" i="80"/>
  <c r="H35" i="80"/>
  <c r="G35" i="80"/>
  <c r="F35" i="80"/>
  <c r="E35" i="80"/>
  <c r="D35" i="80"/>
  <c r="J34" i="80"/>
  <c r="H34" i="80"/>
  <c r="J33" i="80"/>
  <c r="H33" i="80"/>
  <c r="J32" i="80"/>
  <c r="H32" i="80"/>
  <c r="J31" i="80"/>
  <c r="H31" i="80"/>
  <c r="J30" i="80"/>
  <c r="H30" i="80"/>
  <c r="J29" i="80"/>
  <c r="H29" i="80"/>
  <c r="J28" i="80"/>
  <c r="H28" i="80"/>
  <c r="J27" i="80"/>
  <c r="H27" i="80"/>
  <c r="J26" i="80"/>
  <c r="I26" i="80"/>
  <c r="H26" i="80"/>
  <c r="G26" i="80"/>
  <c r="E26" i="80"/>
  <c r="J25" i="80"/>
  <c r="H25" i="80"/>
  <c r="J24" i="80"/>
  <c r="H24" i="80"/>
  <c r="J23" i="80"/>
  <c r="I23" i="80"/>
  <c r="H23" i="80"/>
  <c r="G23" i="80"/>
  <c r="F23" i="80"/>
  <c r="E23" i="80"/>
  <c r="D23" i="80"/>
  <c r="J22" i="80"/>
  <c r="H22" i="80"/>
  <c r="J21" i="80"/>
  <c r="I21" i="80"/>
  <c r="H21" i="80"/>
  <c r="G21" i="80"/>
  <c r="F21" i="80"/>
  <c r="E21" i="80"/>
  <c r="D21" i="80"/>
  <c r="J20" i="80"/>
  <c r="I20" i="80"/>
  <c r="H20" i="80"/>
  <c r="G20" i="80"/>
  <c r="F20" i="80"/>
  <c r="E20" i="80"/>
  <c r="J19" i="80"/>
  <c r="I19" i="80"/>
  <c r="H19" i="80"/>
  <c r="G19" i="80"/>
  <c r="F19" i="80"/>
  <c r="E19" i="80"/>
  <c r="D19" i="80"/>
  <c r="J18" i="80"/>
  <c r="H18" i="80"/>
  <c r="J17" i="80"/>
  <c r="I17" i="80"/>
  <c r="H17" i="80"/>
  <c r="G17" i="80"/>
  <c r="F17" i="80"/>
  <c r="E17" i="80"/>
  <c r="D17" i="80"/>
  <c r="J16" i="80"/>
  <c r="H16" i="80"/>
  <c r="J15" i="80"/>
  <c r="H15" i="80"/>
  <c r="J14" i="80"/>
  <c r="H14" i="80"/>
  <c r="J13" i="80"/>
  <c r="H13" i="80"/>
  <c r="J12" i="80"/>
  <c r="H12" i="80"/>
  <c r="J11" i="80"/>
  <c r="H11" i="80"/>
  <c r="J10" i="80"/>
  <c r="I10" i="80"/>
  <c r="H10" i="80"/>
  <c r="G10" i="80"/>
  <c r="F10" i="80"/>
  <c r="E10" i="80"/>
  <c r="D10" i="80"/>
  <c r="J9" i="80"/>
  <c r="I9" i="80"/>
  <c r="H9" i="80"/>
  <c r="G9" i="80"/>
  <c r="F9" i="80"/>
  <c r="E9" i="80"/>
  <c r="D9" i="80"/>
  <c r="N179" i="92"/>
  <c r="K179" i="92"/>
  <c r="I179" i="92"/>
  <c r="N178" i="92"/>
  <c r="K178" i="92"/>
  <c r="I178" i="92"/>
  <c r="H178" i="92"/>
  <c r="N177" i="92"/>
  <c r="K177" i="92"/>
  <c r="I177" i="92"/>
  <c r="D177" i="92"/>
  <c r="N176" i="92"/>
  <c r="K176" i="92"/>
  <c r="I176" i="92"/>
  <c r="H176" i="92"/>
  <c r="G176" i="92"/>
  <c r="F176" i="92"/>
  <c r="E176" i="92"/>
  <c r="N175" i="92"/>
  <c r="K175" i="92"/>
  <c r="I175" i="92"/>
  <c r="H175" i="92"/>
  <c r="N174" i="92"/>
  <c r="K174" i="92"/>
  <c r="J174" i="92"/>
  <c r="I174" i="92"/>
  <c r="H174" i="92"/>
  <c r="G174" i="92"/>
  <c r="F174" i="92"/>
  <c r="E174" i="92"/>
  <c r="N173" i="92"/>
  <c r="K173" i="92"/>
  <c r="I173" i="92"/>
  <c r="N172" i="92"/>
  <c r="K172" i="92"/>
  <c r="J172" i="92"/>
  <c r="I172" i="92"/>
  <c r="H172" i="92"/>
  <c r="G172" i="92"/>
  <c r="F172" i="92"/>
  <c r="N171" i="92"/>
  <c r="K171" i="92"/>
  <c r="J171" i="92"/>
  <c r="I171" i="92"/>
  <c r="H171" i="92"/>
  <c r="G171" i="92"/>
  <c r="F171" i="92"/>
  <c r="N170" i="92"/>
  <c r="K170" i="92"/>
  <c r="I170" i="92"/>
  <c r="N169" i="92"/>
  <c r="K169" i="92"/>
  <c r="I169" i="92"/>
  <c r="N168" i="92"/>
  <c r="K168" i="92"/>
  <c r="I168" i="92"/>
  <c r="H168" i="92"/>
  <c r="N167" i="92"/>
  <c r="K167" i="92"/>
  <c r="I167" i="92"/>
  <c r="H167" i="92"/>
  <c r="N166" i="92"/>
  <c r="K166" i="92"/>
  <c r="I166" i="92"/>
  <c r="N165" i="92"/>
  <c r="K165" i="92"/>
  <c r="J165" i="92"/>
  <c r="I165" i="92"/>
  <c r="H165" i="92"/>
  <c r="G165" i="92"/>
  <c r="F165" i="92"/>
  <c r="E165" i="92"/>
  <c r="D165" i="92"/>
  <c r="N164" i="92"/>
  <c r="K164" i="92"/>
  <c r="I164" i="92"/>
  <c r="N163" i="92"/>
  <c r="K163" i="92"/>
  <c r="I163" i="92"/>
  <c r="N162" i="92"/>
  <c r="K162" i="92"/>
  <c r="I162" i="92"/>
  <c r="N161" i="92"/>
  <c r="K161" i="92"/>
  <c r="I161" i="92"/>
  <c r="N160" i="92"/>
  <c r="K160" i="92"/>
  <c r="I160" i="92"/>
  <c r="N159" i="92"/>
  <c r="K159" i="92"/>
  <c r="I159" i="92"/>
  <c r="N158" i="92"/>
  <c r="K158" i="92"/>
  <c r="I158" i="92"/>
  <c r="N157" i="92"/>
  <c r="K157" i="92"/>
  <c r="I157" i="92"/>
  <c r="N156" i="92"/>
  <c r="K156" i="92"/>
  <c r="I156" i="92"/>
  <c r="N155" i="92"/>
  <c r="K155" i="92"/>
  <c r="J155" i="92"/>
  <c r="I155" i="92"/>
  <c r="H155" i="92"/>
  <c r="G155" i="92"/>
  <c r="F155" i="92"/>
  <c r="E155" i="92"/>
  <c r="D155" i="92"/>
  <c r="N154" i="92"/>
  <c r="K154" i="92"/>
  <c r="J154" i="92"/>
  <c r="I154" i="92"/>
  <c r="H154" i="92"/>
  <c r="G154" i="92"/>
  <c r="F154" i="92"/>
  <c r="E154" i="92"/>
  <c r="D154" i="92"/>
  <c r="N153" i="92"/>
  <c r="K153" i="92"/>
  <c r="J153" i="92"/>
  <c r="I153" i="92"/>
  <c r="H153" i="92"/>
  <c r="G153" i="92"/>
  <c r="F153" i="92"/>
  <c r="E153" i="92"/>
  <c r="D153" i="92"/>
  <c r="N152" i="92"/>
  <c r="K152" i="92"/>
  <c r="J152" i="92"/>
  <c r="I152" i="92"/>
  <c r="H152" i="92"/>
  <c r="G152" i="92"/>
  <c r="F152" i="92"/>
  <c r="E152" i="92"/>
  <c r="D152" i="92"/>
  <c r="N151" i="92"/>
  <c r="K151" i="92"/>
  <c r="J151" i="92"/>
  <c r="I151" i="92"/>
  <c r="H151" i="92"/>
  <c r="G151" i="92"/>
  <c r="F151" i="92"/>
  <c r="E151" i="92"/>
  <c r="D151" i="92"/>
  <c r="N150" i="92"/>
  <c r="K150" i="92"/>
  <c r="I150" i="92"/>
  <c r="N149" i="92"/>
  <c r="K149" i="92"/>
  <c r="J149" i="92"/>
  <c r="I149" i="92"/>
  <c r="H149" i="92"/>
  <c r="G149" i="92"/>
  <c r="F149" i="92"/>
  <c r="E149" i="92"/>
  <c r="D149" i="92"/>
  <c r="N148" i="92"/>
  <c r="K148" i="92"/>
  <c r="I148" i="92"/>
  <c r="N147" i="92"/>
  <c r="K147" i="92"/>
  <c r="I147" i="92"/>
  <c r="N146" i="92"/>
  <c r="K146" i="92"/>
  <c r="I146" i="92"/>
  <c r="N145" i="92"/>
  <c r="K145" i="92"/>
  <c r="I145" i="92"/>
  <c r="N144" i="92"/>
  <c r="K144" i="92"/>
  <c r="I144" i="92"/>
  <c r="N143" i="92"/>
  <c r="K143" i="92"/>
  <c r="I143" i="92"/>
  <c r="N142" i="92"/>
  <c r="K142" i="92"/>
  <c r="J142" i="92"/>
  <c r="I142" i="92"/>
  <c r="H142" i="92"/>
  <c r="G142" i="92"/>
  <c r="F142" i="92"/>
  <c r="E142" i="92"/>
  <c r="D142" i="92"/>
  <c r="N141" i="92"/>
  <c r="K141" i="92"/>
  <c r="J141" i="92"/>
  <c r="I141" i="92"/>
  <c r="H141" i="92"/>
  <c r="G141" i="92"/>
  <c r="F141" i="92"/>
  <c r="N140" i="92"/>
  <c r="K140" i="92"/>
  <c r="J140" i="92"/>
  <c r="I140" i="92"/>
  <c r="H140" i="92"/>
  <c r="G140" i="92"/>
  <c r="F140" i="92"/>
  <c r="N139" i="92"/>
  <c r="K139" i="92"/>
  <c r="J139" i="92"/>
  <c r="I139" i="92"/>
  <c r="H139" i="92"/>
  <c r="G139" i="92"/>
  <c r="F139" i="92"/>
  <c r="N138" i="92"/>
  <c r="K138" i="92"/>
  <c r="J138" i="92"/>
  <c r="I138" i="92"/>
  <c r="H138" i="92"/>
  <c r="G138" i="92"/>
  <c r="F138" i="92"/>
  <c r="N137" i="92"/>
  <c r="K137" i="92"/>
  <c r="J137" i="92"/>
  <c r="I137" i="92"/>
  <c r="H137" i="92"/>
  <c r="G137" i="92"/>
  <c r="F137" i="92"/>
  <c r="N136" i="92"/>
  <c r="K136" i="92"/>
  <c r="I136" i="92"/>
  <c r="N135" i="92"/>
  <c r="K135" i="92"/>
  <c r="J135" i="92"/>
  <c r="I135" i="92"/>
  <c r="H135" i="92"/>
  <c r="G135" i="92"/>
  <c r="F135" i="92"/>
  <c r="E135" i="92"/>
  <c r="D135" i="92"/>
  <c r="N134" i="92"/>
  <c r="K134" i="92"/>
  <c r="I134" i="92"/>
  <c r="N133" i="92"/>
  <c r="K133" i="92"/>
  <c r="I133" i="92"/>
  <c r="H133" i="92"/>
  <c r="N132" i="92"/>
  <c r="K132" i="92"/>
  <c r="I132" i="92"/>
  <c r="N131" i="92"/>
  <c r="K131" i="92"/>
  <c r="I131" i="92"/>
  <c r="N130" i="92"/>
  <c r="K130" i="92"/>
  <c r="I130" i="92"/>
  <c r="N129" i="92"/>
  <c r="K129" i="92"/>
  <c r="I129" i="92"/>
  <c r="N128" i="92"/>
  <c r="K128" i="92"/>
  <c r="I128" i="92"/>
  <c r="G128" i="92"/>
  <c r="F128" i="92"/>
  <c r="N127" i="92"/>
  <c r="K127" i="92"/>
  <c r="J127" i="92"/>
  <c r="I127" i="92"/>
  <c r="H127" i="92"/>
  <c r="G127" i="92"/>
  <c r="F127" i="92"/>
  <c r="E127" i="92"/>
  <c r="D127" i="92"/>
  <c r="N126" i="92"/>
  <c r="K126" i="92"/>
  <c r="I126" i="92"/>
  <c r="N125" i="92"/>
  <c r="K125" i="92"/>
  <c r="J125" i="92"/>
  <c r="I125" i="92"/>
  <c r="H125" i="92"/>
  <c r="F125" i="92"/>
  <c r="N124" i="92"/>
  <c r="K124" i="92"/>
  <c r="I124" i="92"/>
  <c r="E124" i="92"/>
  <c r="N123" i="92"/>
  <c r="K123" i="92"/>
  <c r="I123" i="92"/>
  <c r="N122" i="92"/>
  <c r="K122" i="92"/>
  <c r="I122" i="92"/>
  <c r="H122" i="92"/>
  <c r="N121" i="92"/>
  <c r="K121" i="92"/>
  <c r="I121" i="92"/>
  <c r="H121" i="92"/>
  <c r="D121" i="92"/>
  <c r="N120" i="92"/>
  <c r="K120" i="92"/>
  <c r="I120" i="92"/>
  <c r="H120" i="92"/>
  <c r="N119" i="92"/>
  <c r="K119" i="92"/>
  <c r="I119" i="92"/>
  <c r="H119" i="92"/>
  <c r="N118" i="92"/>
  <c r="K118" i="92"/>
  <c r="I118" i="92"/>
  <c r="N117" i="92"/>
  <c r="K117" i="92"/>
  <c r="I117" i="92"/>
  <c r="N116" i="92"/>
  <c r="K116" i="92"/>
  <c r="J116" i="92"/>
  <c r="I116" i="92"/>
  <c r="H116" i="92"/>
  <c r="G116" i="92"/>
  <c r="F116" i="92"/>
  <c r="E116" i="92"/>
  <c r="D116" i="92"/>
  <c r="N115" i="92"/>
  <c r="K115" i="92"/>
  <c r="I115" i="92"/>
  <c r="H115" i="92"/>
  <c r="G115" i="92"/>
  <c r="N114" i="92"/>
  <c r="K114" i="92"/>
  <c r="J114" i="92"/>
  <c r="I114" i="92"/>
  <c r="H114" i="92"/>
  <c r="G114" i="92"/>
  <c r="F114" i="92"/>
  <c r="E114" i="92"/>
  <c r="N113" i="92"/>
  <c r="K113" i="92"/>
  <c r="J113" i="92"/>
  <c r="I113" i="92"/>
  <c r="H113" i="92"/>
  <c r="G113" i="92"/>
  <c r="F113" i="92"/>
  <c r="N112" i="92"/>
  <c r="K112" i="92"/>
  <c r="J112" i="92"/>
  <c r="I112" i="92"/>
  <c r="H112" i="92"/>
  <c r="G112" i="92"/>
  <c r="F112" i="92"/>
  <c r="E112" i="92"/>
  <c r="N111" i="92"/>
  <c r="K111" i="92"/>
  <c r="I111" i="92"/>
  <c r="N110" i="92"/>
  <c r="K110" i="92"/>
  <c r="I110" i="92"/>
  <c r="N109" i="92"/>
  <c r="K109" i="92"/>
  <c r="I109" i="92"/>
  <c r="N108" i="92"/>
  <c r="K108" i="92"/>
  <c r="I108" i="92"/>
  <c r="N107" i="92"/>
  <c r="K107" i="92"/>
  <c r="I107" i="92"/>
  <c r="H107" i="92"/>
  <c r="G107" i="92"/>
  <c r="N106" i="92"/>
  <c r="K106" i="92"/>
  <c r="I106" i="92"/>
  <c r="H106" i="92"/>
  <c r="G106" i="92"/>
  <c r="N105" i="92"/>
  <c r="K105" i="92"/>
  <c r="I105" i="92"/>
  <c r="H105" i="92"/>
  <c r="N104" i="92"/>
  <c r="K104" i="92"/>
  <c r="I104" i="92"/>
  <c r="H104" i="92"/>
  <c r="N103" i="92"/>
  <c r="K103" i="92"/>
  <c r="I103" i="92"/>
  <c r="H103" i="92"/>
  <c r="N102" i="92"/>
  <c r="K102" i="92"/>
  <c r="I102" i="92"/>
  <c r="H102" i="92"/>
  <c r="N101" i="92"/>
  <c r="K101" i="92"/>
  <c r="I101" i="92"/>
  <c r="N100" i="92"/>
  <c r="K100" i="92"/>
  <c r="I100" i="92"/>
  <c r="H100" i="92"/>
  <c r="N99" i="92"/>
  <c r="K99" i="92"/>
  <c r="I99" i="92"/>
  <c r="N98" i="92"/>
  <c r="K98" i="92"/>
  <c r="I98" i="92"/>
  <c r="G98" i="92"/>
  <c r="N97" i="92"/>
  <c r="K97" i="92"/>
  <c r="J97" i="92"/>
  <c r="I97" i="92"/>
  <c r="H97" i="92"/>
  <c r="G97" i="92"/>
  <c r="F97" i="92"/>
  <c r="E97" i="92"/>
  <c r="N96" i="92"/>
  <c r="K96" i="92"/>
  <c r="J96" i="92"/>
  <c r="I96" i="92"/>
  <c r="H96" i="92"/>
  <c r="G96" i="92"/>
  <c r="F96" i="92"/>
  <c r="E96" i="92"/>
  <c r="N95" i="92"/>
  <c r="K95" i="92"/>
  <c r="I95" i="92"/>
  <c r="N94" i="92"/>
  <c r="K94" i="92"/>
  <c r="I94" i="92"/>
  <c r="N93" i="92"/>
  <c r="K93" i="92"/>
  <c r="I93" i="92"/>
  <c r="N92" i="92"/>
  <c r="K92" i="92"/>
  <c r="I92" i="92"/>
  <c r="N91" i="92"/>
  <c r="K91" i="92"/>
  <c r="I91" i="92"/>
  <c r="N90" i="92"/>
  <c r="K90" i="92"/>
  <c r="I90" i="92"/>
  <c r="N89" i="92"/>
  <c r="K89" i="92"/>
  <c r="J89" i="92"/>
  <c r="I89" i="92"/>
  <c r="H89" i="92"/>
  <c r="G89" i="92"/>
  <c r="F89" i="92"/>
  <c r="E89" i="92"/>
  <c r="D89" i="92"/>
  <c r="N88" i="92"/>
  <c r="K88" i="92"/>
  <c r="I88" i="92"/>
  <c r="N87" i="92"/>
  <c r="K87" i="92"/>
  <c r="I87" i="92"/>
  <c r="N86" i="92"/>
  <c r="K86" i="92"/>
  <c r="I86" i="92"/>
  <c r="N85" i="92"/>
  <c r="K85" i="92"/>
  <c r="I85" i="92"/>
  <c r="N84" i="92"/>
  <c r="K84" i="92"/>
  <c r="I84" i="92"/>
  <c r="N83" i="92"/>
  <c r="K83" i="92"/>
  <c r="I83" i="92"/>
  <c r="N82" i="92"/>
  <c r="K82" i="92"/>
  <c r="J82" i="92"/>
  <c r="I82" i="92"/>
  <c r="H82" i="92"/>
  <c r="G82" i="92"/>
  <c r="F82" i="92"/>
  <c r="E82" i="92"/>
  <c r="D82" i="92"/>
  <c r="N81" i="92"/>
  <c r="K81" i="92"/>
  <c r="I81" i="92"/>
  <c r="N80" i="92"/>
  <c r="K80" i="92"/>
  <c r="J80" i="92"/>
  <c r="I80" i="92"/>
  <c r="H80" i="92"/>
  <c r="G80" i="92"/>
  <c r="N79" i="92"/>
  <c r="K79" i="92"/>
  <c r="J79" i="92"/>
  <c r="I79" i="92"/>
  <c r="H79" i="92"/>
  <c r="G79" i="92"/>
  <c r="N78" i="92"/>
  <c r="K78" i="92"/>
  <c r="J78" i="92"/>
  <c r="I78" i="92"/>
  <c r="H78" i="92"/>
  <c r="G78" i="92"/>
  <c r="N77" i="92"/>
  <c r="K77" i="92"/>
  <c r="J77" i="92"/>
  <c r="I77" i="92"/>
  <c r="H77" i="92"/>
  <c r="G77" i="92"/>
  <c r="N76" i="92"/>
  <c r="K76" i="92"/>
  <c r="J76" i="92"/>
  <c r="I76" i="92"/>
  <c r="H76" i="92"/>
  <c r="G76" i="92"/>
  <c r="N75" i="92"/>
  <c r="K75" i="92"/>
  <c r="J75" i="92"/>
  <c r="I75" i="92"/>
  <c r="H75" i="92"/>
  <c r="G75" i="92"/>
  <c r="F75" i="92"/>
  <c r="E75" i="92"/>
  <c r="D75" i="92"/>
  <c r="N74" i="92"/>
  <c r="K74" i="92"/>
  <c r="I74" i="92"/>
  <c r="N73" i="92"/>
  <c r="K73" i="92"/>
  <c r="J73" i="92"/>
  <c r="I73" i="92"/>
  <c r="H73" i="92"/>
  <c r="G73" i="92"/>
  <c r="F73" i="92"/>
  <c r="E73" i="92"/>
  <c r="D73" i="92"/>
  <c r="N72" i="92"/>
  <c r="K72" i="92"/>
  <c r="I72" i="92"/>
  <c r="N71" i="92"/>
  <c r="K71" i="92"/>
  <c r="I71" i="92"/>
  <c r="N70" i="92"/>
  <c r="K70" i="92"/>
  <c r="I70" i="92"/>
  <c r="N69" i="92"/>
  <c r="K69" i="92"/>
  <c r="I69" i="92"/>
  <c r="N68" i="92"/>
  <c r="K68" i="92"/>
  <c r="J68" i="92"/>
  <c r="I68" i="92"/>
  <c r="H68" i="92"/>
  <c r="G68" i="92"/>
  <c r="F68" i="92"/>
  <c r="E68" i="92"/>
  <c r="N67" i="92"/>
  <c r="K67" i="92"/>
  <c r="J67" i="92"/>
  <c r="I67" i="92"/>
  <c r="H67" i="92"/>
  <c r="G67" i="92"/>
  <c r="F67" i="92"/>
  <c r="E67" i="92"/>
  <c r="D67" i="92"/>
  <c r="N66" i="92"/>
  <c r="K66" i="92"/>
  <c r="I66" i="92"/>
  <c r="N65" i="92"/>
  <c r="K65" i="92"/>
  <c r="I65" i="92"/>
  <c r="N63" i="92"/>
  <c r="K63" i="92"/>
  <c r="I63" i="92"/>
  <c r="N62" i="92"/>
  <c r="K62" i="92"/>
  <c r="J62" i="92"/>
  <c r="I62" i="92"/>
  <c r="H62" i="92"/>
  <c r="G62" i="92"/>
  <c r="F62" i="92"/>
  <c r="E62" i="92"/>
  <c r="N61" i="92"/>
  <c r="K61" i="92"/>
  <c r="J61" i="92"/>
  <c r="I61" i="92"/>
  <c r="H61" i="92"/>
  <c r="G61" i="92"/>
  <c r="F61" i="92"/>
  <c r="E61" i="92"/>
  <c r="D61" i="92"/>
  <c r="N60" i="92"/>
  <c r="K60" i="92"/>
  <c r="J60" i="92"/>
  <c r="I60" i="92"/>
  <c r="H60" i="92"/>
  <c r="G60" i="92"/>
  <c r="F60" i="92"/>
  <c r="E60" i="92"/>
  <c r="D60" i="92"/>
  <c r="N59" i="92"/>
  <c r="K59" i="92"/>
  <c r="J59" i="92"/>
  <c r="I59" i="92"/>
  <c r="H59" i="92"/>
  <c r="G59" i="92"/>
  <c r="N58" i="92"/>
  <c r="K58" i="92"/>
  <c r="J58" i="92"/>
  <c r="I58" i="92"/>
  <c r="H58" i="92"/>
  <c r="G58" i="92"/>
  <c r="N57" i="92"/>
  <c r="K57" i="92"/>
  <c r="J57" i="92"/>
  <c r="I57" i="92"/>
  <c r="H57" i="92"/>
  <c r="G57" i="92"/>
  <c r="N56" i="92"/>
  <c r="K56" i="92"/>
  <c r="J56" i="92"/>
  <c r="I56" i="92"/>
  <c r="H56" i="92"/>
  <c r="G56" i="92"/>
  <c r="F56" i="92"/>
  <c r="E56" i="92"/>
  <c r="D56" i="92"/>
  <c r="N55" i="92"/>
  <c r="K55" i="92"/>
  <c r="J55" i="92"/>
  <c r="I55" i="92"/>
  <c r="H55" i="92"/>
  <c r="G55" i="92"/>
  <c r="F55" i="92"/>
  <c r="E55" i="92"/>
  <c r="D55" i="92"/>
  <c r="N54" i="92"/>
  <c r="K54" i="92"/>
  <c r="I54" i="92"/>
  <c r="N53" i="92"/>
  <c r="K53" i="92"/>
  <c r="I53" i="92"/>
  <c r="N52" i="92"/>
  <c r="K52" i="92"/>
  <c r="J52" i="92"/>
  <c r="I52" i="92"/>
  <c r="H52" i="92"/>
  <c r="G52" i="92"/>
  <c r="F52" i="92"/>
  <c r="E52" i="92"/>
  <c r="D52" i="92"/>
  <c r="N51" i="92"/>
  <c r="K51" i="92"/>
  <c r="I51" i="92"/>
  <c r="N50" i="92"/>
  <c r="K50" i="92"/>
  <c r="I50" i="92"/>
  <c r="N49" i="92"/>
  <c r="K49" i="92"/>
  <c r="J49" i="92"/>
  <c r="I49" i="92"/>
  <c r="H49" i="92"/>
  <c r="G49" i="92"/>
  <c r="F49" i="92"/>
  <c r="E49" i="92"/>
  <c r="D49" i="92"/>
  <c r="N48" i="92"/>
  <c r="K48" i="92"/>
  <c r="J48" i="92"/>
  <c r="I48" i="92"/>
  <c r="H48" i="92"/>
  <c r="G48" i="92"/>
  <c r="F48" i="92"/>
  <c r="E48" i="92"/>
  <c r="D48" i="92"/>
  <c r="N47" i="92"/>
  <c r="K47" i="92"/>
  <c r="J47" i="92"/>
  <c r="I47" i="92"/>
  <c r="H47" i="92"/>
  <c r="G47" i="92"/>
  <c r="F47" i="92"/>
  <c r="E47" i="92"/>
  <c r="D47" i="92"/>
  <c r="N46" i="92"/>
  <c r="K46" i="92"/>
  <c r="J46" i="92"/>
  <c r="I46" i="92"/>
  <c r="H46" i="92"/>
  <c r="G46" i="92"/>
  <c r="F46" i="92"/>
  <c r="E46" i="92"/>
  <c r="D46" i="92"/>
  <c r="N45" i="92"/>
  <c r="K45" i="92"/>
  <c r="I45" i="92"/>
  <c r="N44" i="92"/>
  <c r="K44" i="92"/>
  <c r="I44" i="92"/>
  <c r="N43" i="92"/>
  <c r="K43" i="92"/>
  <c r="I43" i="92"/>
  <c r="N42" i="92"/>
  <c r="K42" i="92"/>
  <c r="J42" i="92"/>
  <c r="I42" i="92"/>
  <c r="H42" i="92"/>
  <c r="G42" i="92"/>
  <c r="F42" i="92"/>
  <c r="E42" i="92"/>
  <c r="N41" i="92"/>
  <c r="K41" i="92"/>
  <c r="I41" i="92"/>
  <c r="D41" i="92"/>
  <c r="N40" i="92"/>
  <c r="K40" i="92"/>
  <c r="I40" i="92"/>
  <c r="N39" i="92"/>
  <c r="K39" i="92"/>
  <c r="J39" i="92"/>
  <c r="I39" i="92"/>
  <c r="H39" i="92"/>
  <c r="G39" i="92"/>
  <c r="F39" i="92"/>
  <c r="E39" i="92"/>
  <c r="D39" i="92"/>
  <c r="N38" i="92"/>
  <c r="K38" i="92"/>
  <c r="I38" i="92"/>
  <c r="N37" i="92"/>
  <c r="K37" i="92"/>
  <c r="I37" i="92"/>
  <c r="N36" i="92"/>
  <c r="K36" i="92"/>
  <c r="J36" i="92"/>
  <c r="I36" i="92"/>
  <c r="H36" i="92"/>
  <c r="G36" i="92"/>
  <c r="F36" i="92"/>
  <c r="E36" i="92"/>
  <c r="D36" i="92"/>
  <c r="N35" i="92"/>
  <c r="K35" i="92"/>
  <c r="I35" i="92"/>
  <c r="N34" i="92"/>
  <c r="K34" i="92"/>
  <c r="I34" i="92"/>
  <c r="N33" i="92"/>
  <c r="K33" i="92"/>
  <c r="J33" i="92"/>
  <c r="I33" i="92"/>
  <c r="H33" i="92"/>
  <c r="G33" i="92"/>
  <c r="F33" i="92"/>
  <c r="E33" i="92"/>
  <c r="D33" i="92"/>
  <c r="N32" i="92"/>
  <c r="K32" i="92"/>
  <c r="J32" i="92"/>
  <c r="I32" i="92"/>
  <c r="H32" i="92"/>
  <c r="G32" i="92"/>
  <c r="F32" i="92"/>
  <c r="E32" i="92"/>
  <c r="D32" i="92"/>
  <c r="N31" i="92"/>
  <c r="K31" i="92"/>
  <c r="J31" i="92"/>
  <c r="I31" i="92"/>
  <c r="H31" i="92"/>
  <c r="G31" i="92"/>
  <c r="F31" i="92"/>
  <c r="E31" i="92"/>
  <c r="D31" i="92"/>
  <c r="N30" i="92"/>
  <c r="K30" i="92"/>
  <c r="J30" i="92"/>
  <c r="I30" i="92"/>
  <c r="H30" i="92"/>
  <c r="G30" i="92"/>
  <c r="F30" i="92"/>
  <c r="E30" i="92"/>
  <c r="D30" i="92"/>
  <c r="N29" i="92"/>
  <c r="K29" i="92"/>
  <c r="I29" i="92"/>
  <c r="N28" i="92"/>
  <c r="K28" i="92"/>
  <c r="I28" i="92"/>
  <c r="N27" i="92"/>
  <c r="K27" i="92"/>
  <c r="J27" i="92"/>
  <c r="I27" i="92"/>
  <c r="H27" i="92"/>
  <c r="G27" i="92"/>
  <c r="F27" i="92"/>
  <c r="E27" i="92"/>
  <c r="D27" i="92"/>
  <c r="N26" i="92"/>
  <c r="K26" i="92"/>
  <c r="I26" i="92"/>
  <c r="N25" i="92"/>
  <c r="K25" i="92"/>
  <c r="I25" i="92"/>
  <c r="N24" i="92"/>
  <c r="K24" i="92"/>
  <c r="J24" i="92"/>
  <c r="I24" i="92"/>
  <c r="H24" i="92"/>
  <c r="G24" i="92"/>
  <c r="F24" i="92"/>
  <c r="E24" i="92"/>
  <c r="D24" i="92"/>
  <c r="N23" i="92"/>
  <c r="K23" i="92"/>
  <c r="J23" i="92"/>
  <c r="I23" i="92"/>
  <c r="H23" i="92"/>
  <c r="G23" i="92"/>
  <c r="F23" i="92"/>
  <c r="E23" i="92"/>
  <c r="D23" i="92"/>
  <c r="N22" i="92"/>
  <c r="K22" i="92"/>
  <c r="J22" i="92"/>
  <c r="I22" i="92"/>
  <c r="H22" i="92"/>
  <c r="G22" i="92"/>
  <c r="F22" i="92"/>
  <c r="E22" i="92"/>
  <c r="D22" i="92"/>
  <c r="N21" i="92"/>
  <c r="K21" i="92"/>
  <c r="J21" i="92"/>
  <c r="I21" i="92"/>
  <c r="H21" i="92"/>
  <c r="G21" i="92"/>
  <c r="F21" i="92"/>
  <c r="E21" i="92"/>
  <c r="D21" i="92"/>
  <c r="N20" i="92"/>
  <c r="K20" i="92"/>
  <c r="I20" i="92"/>
  <c r="N19" i="92"/>
  <c r="K19" i="92"/>
  <c r="I19" i="92"/>
  <c r="N18" i="92"/>
  <c r="K18" i="92"/>
  <c r="J18" i="92"/>
  <c r="I18" i="92"/>
  <c r="H18" i="92"/>
  <c r="G18" i="92"/>
  <c r="F18" i="92"/>
  <c r="E18" i="92"/>
  <c r="D18" i="92"/>
  <c r="N17" i="92"/>
  <c r="K17" i="92"/>
  <c r="J17" i="92"/>
  <c r="I17" i="92"/>
  <c r="H17" i="92"/>
  <c r="G17" i="92"/>
  <c r="F17" i="92"/>
  <c r="E17" i="92"/>
  <c r="D17" i="92"/>
  <c r="N16" i="92"/>
  <c r="K16" i="92"/>
  <c r="J16" i="92"/>
  <c r="I16" i="92"/>
  <c r="H16" i="92"/>
  <c r="G16" i="92"/>
  <c r="F16" i="92"/>
  <c r="E16" i="92"/>
  <c r="D16" i="92"/>
  <c r="N15" i="92"/>
  <c r="K15" i="92"/>
  <c r="J15" i="92"/>
  <c r="I15" i="92"/>
  <c r="H15" i="92"/>
  <c r="G15" i="92"/>
  <c r="F15" i="92"/>
  <c r="E15" i="92"/>
  <c r="D15" i="92"/>
  <c r="N14" i="92"/>
  <c r="K14" i="92"/>
  <c r="J14" i="92"/>
  <c r="I14" i="92"/>
  <c r="H14" i="92"/>
  <c r="G14" i="92"/>
  <c r="F14" i="92"/>
  <c r="E14" i="92"/>
  <c r="D14" i="92"/>
  <c r="N13" i="92"/>
  <c r="K13" i="92"/>
  <c r="J13" i="92"/>
  <c r="I13" i="92"/>
  <c r="H13" i="92"/>
  <c r="G13" i="92"/>
  <c r="F13" i="92"/>
  <c r="E13" i="92"/>
  <c r="D13" i="92"/>
  <c r="N12" i="92"/>
  <c r="K12" i="92"/>
  <c r="J12" i="92"/>
  <c r="I12" i="92"/>
  <c r="H12" i="92"/>
  <c r="G12" i="92"/>
  <c r="F12" i="92"/>
  <c r="E12" i="92"/>
  <c r="D12" i="92"/>
  <c r="N11" i="92"/>
  <c r="K11" i="92"/>
  <c r="J11" i="92"/>
  <c r="I11" i="92"/>
  <c r="H11" i="92"/>
  <c r="G11" i="92"/>
  <c r="F11" i="92"/>
  <c r="E11" i="92"/>
  <c r="D11" i="92"/>
  <c r="N10" i="92"/>
  <c r="K10" i="92"/>
  <c r="J10" i="92"/>
  <c r="I10" i="92"/>
  <c r="H10" i="92"/>
  <c r="G10" i="92"/>
  <c r="F10" i="92"/>
  <c r="E10" i="92"/>
  <c r="D10" i="92"/>
  <c r="N9" i="92"/>
  <c r="K9" i="92"/>
  <c r="J9" i="92"/>
  <c r="I9" i="92"/>
  <c r="H9" i="92"/>
  <c r="G9" i="92"/>
  <c r="F9" i="92"/>
  <c r="E9" i="92"/>
  <c r="D9" i="92"/>
  <c r="N8" i="92"/>
  <c r="K8" i="92"/>
  <c r="I8" i="92"/>
  <c r="J47" i="79"/>
  <c r="I47" i="79"/>
  <c r="H47" i="79"/>
  <c r="G47" i="79"/>
  <c r="F47" i="79"/>
  <c r="E47" i="79"/>
  <c r="D47" i="79"/>
  <c r="J46" i="79"/>
  <c r="H46" i="79"/>
  <c r="J45" i="79"/>
  <c r="I45" i="79"/>
  <c r="H45" i="79"/>
  <c r="G45" i="79"/>
  <c r="F45" i="79"/>
  <c r="E45" i="79"/>
  <c r="D45" i="79"/>
  <c r="C45" i="79"/>
  <c r="B45" i="79"/>
  <c r="J44" i="79"/>
  <c r="I44" i="79"/>
  <c r="H44" i="79"/>
  <c r="G44" i="79"/>
  <c r="F44" i="79"/>
  <c r="E44" i="79"/>
  <c r="D44" i="79"/>
  <c r="C44" i="79"/>
  <c r="B44" i="79"/>
  <c r="J43" i="79"/>
  <c r="I43" i="79"/>
  <c r="H43" i="79"/>
  <c r="G43" i="79"/>
  <c r="F43" i="79"/>
  <c r="E43" i="79"/>
  <c r="D43" i="79"/>
  <c r="C43" i="79"/>
  <c r="B43" i="79"/>
  <c r="J42" i="79"/>
  <c r="I42" i="79"/>
  <c r="H42" i="79"/>
  <c r="G42" i="79"/>
  <c r="F42" i="79"/>
  <c r="E42" i="79"/>
  <c r="D42" i="79"/>
  <c r="C42" i="79"/>
  <c r="B42" i="79"/>
  <c r="J41" i="79"/>
  <c r="I41" i="79"/>
  <c r="H41" i="79"/>
  <c r="G41" i="79"/>
  <c r="F41" i="79"/>
  <c r="E41" i="79"/>
  <c r="D41" i="79"/>
  <c r="C41" i="79"/>
  <c r="B41" i="79"/>
  <c r="J40" i="79"/>
  <c r="I40" i="79"/>
  <c r="H40" i="79"/>
  <c r="G40" i="79"/>
  <c r="F40" i="79"/>
  <c r="E40" i="79"/>
  <c r="D40" i="79"/>
  <c r="C40" i="79"/>
  <c r="B40" i="79"/>
  <c r="J39" i="79"/>
  <c r="H39" i="79"/>
  <c r="J38" i="79"/>
  <c r="I38" i="79"/>
  <c r="H38" i="79"/>
  <c r="G38" i="79"/>
  <c r="F38" i="79"/>
  <c r="E38" i="79"/>
  <c r="D38" i="79"/>
  <c r="J37" i="79"/>
  <c r="H37" i="79"/>
  <c r="J36" i="79"/>
  <c r="I36" i="79"/>
  <c r="H36" i="79"/>
  <c r="G36" i="79"/>
  <c r="F36" i="79"/>
  <c r="E36" i="79"/>
  <c r="D36" i="79"/>
  <c r="J35" i="79"/>
  <c r="H35" i="79"/>
  <c r="J34" i="79"/>
  <c r="I34" i="79"/>
  <c r="H34" i="79"/>
  <c r="G34" i="79"/>
  <c r="F34" i="79"/>
  <c r="E34" i="79"/>
  <c r="D34" i="79"/>
  <c r="J33" i="79"/>
  <c r="H33" i="79"/>
  <c r="J32" i="79"/>
  <c r="H32" i="79"/>
  <c r="J31" i="79"/>
  <c r="I31" i="79"/>
  <c r="H31" i="79"/>
  <c r="G31" i="79"/>
  <c r="F31" i="79"/>
  <c r="E31" i="79"/>
  <c r="D31" i="79"/>
  <c r="J30" i="79"/>
  <c r="I30" i="79"/>
  <c r="H30" i="79"/>
  <c r="G30" i="79"/>
  <c r="F30" i="79"/>
  <c r="E30" i="79"/>
  <c r="D30" i="79"/>
  <c r="J29" i="79"/>
  <c r="I29" i="79"/>
  <c r="H29" i="79"/>
  <c r="G29" i="79"/>
  <c r="F29" i="79"/>
  <c r="E29" i="79"/>
  <c r="D29" i="79"/>
  <c r="J28" i="79"/>
  <c r="I28" i="79"/>
  <c r="H28" i="79"/>
  <c r="G28" i="79"/>
  <c r="F28" i="79"/>
  <c r="E28" i="79"/>
  <c r="D28" i="79"/>
  <c r="J27" i="79"/>
  <c r="I27" i="79"/>
  <c r="H27" i="79"/>
  <c r="G27" i="79"/>
  <c r="F27" i="79"/>
  <c r="E27" i="79"/>
  <c r="D27" i="79"/>
  <c r="J26" i="79"/>
  <c r="H26" i="79"/>
  <c r="J25" i="79"/>
  <c r="H25" i="79"/>
  <c r="J24" i="79"/>
  <c r="H24" i="79"/>
  <c r="J23" i="79"/>
  <c r="H23" i="79"/>
  <c r="J22" i="79"/>
  <c r="I22" i="79"/>
  <c r="H22" i="79"/>
  <c r="G22" i="79"/>
  <c r="F22" i="79"/>
  <c r="E22" i="79"/>
  <c r="D22" i="79"/>
  <c r="J21" i="79"/>
  <c r="I21" i="79"/>
  <c r="H21" i="79"/>
  <c r="G21" i="79"/>
  <c r="F21" i="79"/>
  <c r="E21" i="79"/>
  <c r="D21" i="79"/>
  <c r="J20" i="79"/>
  <c r="H20" i="79"/>
  <c r="J19" i="79"/>
  <c r="I19" i="79"/>
  <c r="H19" i="79"/>
  <c r="G19" i="79"/>
  <c r="F19" i="79"/>
  <c r="E19" i="79"/>
  <c r="D19" i="79"/>
  <c r="J18" i="79"/>
  <c r="I18" i="79"/>
  <c r="H18" i="79"/>
  <c r="G18" i="79"/>
  <c r="F18" i="79"/>
  <c r="E18" i="79"/>
  <c r="D18" i="79"/>
  <c r="J17" i="79"/>
  <c r="H17" i="79"/>
  <c r="J16" i="79"/>
  <c r="H16" i="79"/>
  <c r="J15" i="79"/>
  <c r="I15" i="79"/>
  <c r="H15" i="79"/>
  <c r="G15" i="79"/>
  <c r="F15" i="79"/>
  <c r="E15" i="79"/>
  <c r="D15" i="79"/>
  <c r="J14" i="79"/>
  <c r="I14" i="79"/>
  <c r="H14" i="79"/>
  <c r="G14" i="79"/>
  <c r="F14" i="79"/>
  <c r="E14" i="79"/>
  <c r="D14" i="79"/>
  <c r="J13" i="79"/>
  <c r="H13" i="79"/>
  <c r="J12" i="79"/>
  <c r="I12" i="79"/>
  <c r="H12" i="79"/>
  <c r="G12" i="79"/>
  <c r="F12" i="79"/>
  <c r="E12" i="79"/>
  <c r="D12" i="79"/>
  <c r="J11" i="79"/>
  <c r="I11" i="79"/>
  <c r="H11" i="79"/>
  <c r="G11" i="79"/>
  <c r="F11" i="79"/>
  <c r="E11" i="79"/>
  <c r="D11" i="79"/>
  <c r="J30" i="78"/>
  <c r="H30" i="78"/>
  <c r="G30" i="78"/>
  <c r="J29" i="78"/>
  <c r="H29" i="78"/>
  <c r="J28" i="78"/>
  <c r="I28" i="78"/>
  <c r="H28" i="78"/>
  <c r="G28" i="78"/>
  <c r="F28" i="78"/>
  <c r="E28" i="78"/>
  <c r="D28" i="78"/>
  <c r="J27" i="78"/>
  <c r="H27" i="78"/>
  <c r="J26" i="78"/>
  <c r="H26" i="78"/>
  <c r="J25" i="78"/>
  <c r="H25" i="78"/>
  <c r="G25" i="78"/>
  <c r="E25" i="78"/>
  <c r="J24" i="78"/>
  <c r="H24" i="78"/>
  <c r="J23" i="78"/>
  <c r="H23" i="78"/>
  <c r="J22" i="78"/>
  <c r="H22" i="78"/>
  <c r="J21" i="78"/>
  <c r="H21" i="78"/>
  <c r="J20" i="78"/>
  <c r="I20" i="78"/>
  <c r="H20" i="78"/>
  <c r="G20" i="78"/>
  <c r="F20" i="78"/>
  <c r="E20" i="78"/>
  <c r="D20" i="78"/>
  <c r="J19" i="78"/>
  <c r="I19" i="78"/>
  <c r="H19" i="78"/>
  <c r="G19" i="78"/>
  <c r="F19" i="78"/>
  <c r="E19" i="78"/>
  <c r="D19" i="78"/>
  <c r="J18" i="78"/>
  <c r="H18" i="78"/>
  <c r="J17" i="78"/>
  <c r="H17" i="78"/>
  <c r="J16" i="78"/>
  <c r="H16" i="78"/>
  <c r="J15" i="78"/>
  <c r="H15" i="78"/>
  <c r="J13" i="78"/>
  <c r="H13" i="78"/>
  <c r="J12" i="78"/>
  <c r="I12" i="78"/>
  <c r="H12" i="78"/>
  <c r="D12" i="78"/>
  <c r="J11" i="78"/>
  <c r="H11" i="78"/>
  <c r="J10" i="78"/>
  <c r="H10" i="78"/>
  <c r="J9" i="78"/>
  <c r="H9" i="78"/>
  <c r="J8" i="78"/>
  <c r="I8" i="78"/>
  <c r="H8" i="78"/>
  <c r="G8" i="78"/>
  <c r="F8" i="78"/>
  <c r="E8" i="78"/>
  <c r="D8" i="78"/>
  <c r="G66" i="94"/>
  <c r="F66" i="94"/>
  <c r="E66" i="94"/>
  <c r="D66" i="94"/>
  <c r="G65" i="94"/>
  <c r="F65" i="94"/>
  <c r="E65" i="94"/>
  <c r="D65" i="94"/>
  <c r="G64" i="94"/>
  <c r="F64" i="94"/>
  <c r="E64" i="94"/>
  <c r="D64" i="94"/>
  <c r="G60" i="94"/>
  <c r="F60" i="94"/>
  <c r="E60" i="94"/>
  <c r="D60" i="94"/>
  <c r="G58" i="94"/>
  <c r="F58" i="94"/>
  <c r="E58" i="94"/>
  <c r="D58" i="94"/>
  <c r="G57" i="94"/>
  <c r="F57" i="94"/>
  <c r="E57" i="94"/>
  <c r="D57" i="94"/>
  <c r="G56" i="94"/>
  <c r="F56" i="94"/>
  <c r="E56" i="94"/>
  <c r="D56" i="94"/>
  <c r="G54" i="94"/>
  <c r="F54" i="94"/>
  <c r="E54" i="94"/>
  <c r="D54" i="94"/>
  <c r="G53" i="94"/>
  <c r="F53" i="94"/>
  <c r="E53" i="94"/>
  <c r="D53" i="94"/>
  <c r="G52" i="94"/>
  <c r="F52" i="94"/>
  <c r="E52" i="94"/>
  <c r="D52" i="94"/>
  <c r="G51" i="94"/>
  <c r="F51" i="94"/>
  <c r="E51" i="94"/>
  <c r="D51" i="94"/>
  <c r="G50" i="94"/>
  <c r="F50" i="94"/>
  <c r="E50" i="94"/>
  <c r="D50" i="94"/>
  <c r="G49" i="94"/>
  <c r="F49" i="94"/>
  <c r="E49" i="94"/>
  <c r="D49" i="94"/>
  <c r="G48" i="94"/>
  <c r="F48" i="94"/>
  <c r="E48" i="94"/>
  <c r="D48" i="94"/>
  <c r="G47" i="94"/>
  <c r="F47" i="94"/>
  <c r="E47" i="94"/>
  <c r="D47" i="94"/>
  <c r="G46" i="94"/>
  <c r="F46" i="94"/>
  <c r="E46" i="94"/>
  <c r="D46" i="94"/>
  <c r="G45" i="94"/>
  <c r="F45" i="94"/>
  <c r="E45" i="94"/>
  <c r="D45" i="94"/>
  <c r="G44" i="94"/>
  <c r="F44" i="94"/>
  <c r="E44" i="94"/>
  <c r="D44" i="94"/>
  <c r="G43" i="94"/>
  <c r="F43" i="94"/>
  <c r="E43" i="94"/>
  <c r="D43" i="94"/>
  <c r="G42" i="94"/>
  <c r="F42" i="94"/>
  <c r="E42" i="94"/>
  <c r="D42" i="94"/>
  <c r="G41" i="94"/>
  <c r="F41" i="94"/>
  <c r="E41" i="94"/>
  <c r="D41" i="94"/>
  <c r="G40" i="94"/>
  <c r="F40" i="94"/>
  <c r="E40" i="94"/>
  <c r="D40" i="94"/>
  <c r="G39" i="94"/>
  <c r="F39" i="94"/>
  <c r="E39" i="94"/>
  <c r="D39" i="94"/>
  <c r="G38" i="94"/>
  <c r="F38" i="94"/>
  <c r="E38" i="94"/>
  <c r="D38" i="94"/>
  <c r="G37" i="94"/>
  <c r="F37" i="94"/>
  <c r="E37" i="94"/>
  <c r="D37" i="94"/>
  <c r="G36" i="94"/>
  <c r="F36" i="94"/>
  <c r="E36" i="94"/>
  <c r="D36" i="94"/>
  <c r="G35" i="94"/>
  <c r="F35" i="94"/>
  <c r="E35" i="94"/>
  <c r="D35" i="94"/>
  <c r="G34" i="94"/>
  <c r="F34" i="94"/>
  <c r="E34" i="94"/>
  <c r="D34" i="94"/>
  <c r="G33" i="94"/>
  <c r="F33" i="94"/>
  <c r="E33" i="94"/>
  <c r="D33" i="94"/>
  <c r="G32" i="94"/>
  <c r="F32" i="94"/>
  <c r="E32" i="94"/>
  <c r="D32" i="94"/>
  <c r="G31" i="94"/>
  <c r="F31" i="94"/>
  <c r="E31" i="94"/>
  <c r="D31" i="94"/>
  <c r="G30" i="94"/>
  <c r="F30" i="94"/>
  <c r="E30" i="94"/>
  <c r="D30" i="94"/>
  <c r="G29" i="94"/>
  <c r="F29" i="94"/>
  <c r="E29" i="94"/>
  <c r="D29" i="94"/>
  <c r="G28" i="94"/>
  <c r="F28" i="94"/>
  <c r="E28" i="94"/>
  <c r="D28" i="94"/>
  <c r="G27" i="94"/>
  <c r="F27" i="94"/>
  <c r="E27" i="94"/>
  <c r="D27" i="94"/>
  <c r="G26" i="94"/>
  <c r="F26" i="94"/>
  <c r="E26" i="94"/>
  <c r="D26" i="94"/>
  <c r="G25" i="94"/>
  <c r="F25" i="94"/>
  <c r="E25" i="94"/>
  <c r="D25" i="94"/>
  <c r="G24" i="94"/>
  <c r="F24" i="94"/>
  <c r="E24" i="94"/>
  <c r="D24" i="94"/>
  <c r="G23" i="94"/>
  <c r="F23" i="94"/>
  <c r="E23" i="94"/>
  <c r="D23" i="94"/>
  <c r="G22" i="94"/>
  <c r="F22" i="94"/>
  <c r="E22" i="94"/>
  <c r="D22" i="94"/>
  <c r="G21" i="94"/>
  <c r="F21" i="94"/>
  <c r="E21" i="94"/>
  <c r="D21" i="94"/>
  <c r="G20" i="94"/>
  <c r="F20" i="94"/>
  <c r="E20" i="94"/>
  <c r="D20" i="94"/>
  <c r="G19" i="94"/>
  <c r="F19" i="94"/>
  <c r="E19" i="94"/>
  <c r="D19" i="94"/>
  <c r="G18" i="94"/>
  <c r="F18" i="94"/>
  <c r="E18" i="94"/>
  <c r="D18" i="94"/>
  <c r="G17" i="94"/>
  <c r="F17" i="94"/>
  <c r="E17" i="94"/>
  <c r="D17" i="94"/>
  <c r="G16" i="94"/>
  <c r="F16" i="94"/>
  <c r="E16" i="94"/>
  <c r="D16" i="94"/>
  <c r="G15" i="94"/>
  <c r="F15" i="94"/>
  <c r="E15" i="94"/>
  <c r="D15" i="94"/>
  <c r="G14" i="94"/>
  <c r="F14" i="94"/>
  <c r="E14" i="94"/>
  <c r="D14" i="94"/>
  <c r="G12" i="94"/>
  <c r="F12" i="94"/>
  <c r="E12" i="94"/>
  <c r="D12" i="94"/>
  <c r="G11" i="94"/>
  <c r="F11" i="94"/>
  <c r="E11" i="94"/>
  <c r="D11" i="94"/>
  <c r="G10" i="94"/>
  <c r="F10" i="94"/>
  <c r="E10" i="94"/>
  <c r="D10" i="94"/>
  <c r="A3" i="94"/>
  <c r="J71" i="93"/>
  <c r="I71" i="93"/>
  <c r="H71" i="93"/>
  <c r="J70" i="93"/>
  <c r="I70" i="93"/>
  <c r="H70" i="93"/>
  <c r="K69" i="93"/>
  <c r="J69" i="93"/>
  <c r="I69" i="93"/>
  <c r="H69" i="93"/>
  <c r="G69" i="93"/>
  <c r="F69" i="93"/>
  <c r="E69" i="93"/>
  <c r="D69" i="93"/>
  <c r="K68" i="93"/>
  <c r="J68" i="93"/>
  <c r="I68" i="93"/>
  <c r="H68" i="93"/>
  <c r="G68" i="93"/>
  <c r="F68" i="93"/>
  <c r="E68" i="93"/>
  <c r="D68" i="93"/>
  <c r="J67" i="93"/>
  <c r="I67" i="93"/>
  <c r="H67" i="93"/>
  <c r="K66" i="93"/>
  <c r="J66" i="93"/>
  <c r="I66" i="93"/>
  <c r="H66" i="93"/>
  <c r="G66" i="93"/>
  <c r="F66" i="93"/>
  <c r="E66" i="93"/>
  <c r="D66" i="93"/>
  <c r="K65" i="93"/>
  <c r="J65" i="93"/>
  <c r="I65" i="93"/>
  <c r="H65" i="93"/>
  <c r="G65" i="93"/>
  <c r="F65" i="93"/>
  <c r="E65" i="93"/>
  <c r="D65" i="93"/>
  <c r="K64" i="93"/>
  <c r="J64" i="93"/>
  <c r="I64" i="93"/>
  <c r="H64" i="93"/>
  <c r="G64" i="93"/>
  <c r="F64" i="93"/>
  <c r="E64" i="93"/>
  <c r="D64" i="93"/>
  <c r="J63" i="93"/>
  <c r="I63" i="93"/>
  <c r="H63" i="93"/>
  <c r="J62" i="93"/>
  <c r="I62" i="93"/>
  <c r="H62" i="93"/>
  <c r="K61" i="93"/>
  <c r="J61" i="93"/>
  <c r="I61" i="93"/>
  <c r="H61" i="93"/>
  <c r="G61" i="93"/>
  <c r="F61" i="93"/>
  <c r="E61" i="93"/>
  <c r="D61" i="93"/>
  <c r="K60" i="93"/>
  <c r="J60" i="93"/>
  <c r="I60" i="93"/>
  <c r="H60" i="93"/>
  <c r="G60" i="93"/>
  <c r="F60" i="93"/>
  <c r="E60" i="93"/>
  <c r="D60" i="93"/>
  <c r="K59" i="93"/>
  <c r="J59" i="93"/>
  <c r="I59" i="93"/>
  <c r="H59" i="93"/>
  <c r="G59" i="93"/>
  <c r="F59" i="93"/>
  <c r="E59" i="93"/>
  <c r="D59" i="93"/>
  <c r="K58" i="93"/>
  <c r="J58" i="93"/>
  <c r="I58" i="93"/>
  <c r="H58" i="93"/>
  <c r="G58" i="93"/>
  <c r="F58" i="93"/>
  <c r="E58" i="93"/>
  <c r="D58" i="93"/>
  <c r="J57" i="93"/>
  <c r="I57" i="93"/>
  <c r="H57" i="93"/>
  <c r="K56" i="93"/>
  <c r="J56" i="93"/>
  <c r="I56" i="93"/>
  <c r="H56" i="93"/>
  <c r="G56" i="93"/>
  <c r="F56" i="93"/>
  <c r="E56" i="93"/>
  <c r="D56" i="93"/>
  <c r="K55" i="93"/>
  <c r="J55" i="93"/>
  <c r="I55" i="93"/>
  <c r="H55" i="93"/>
  <c r="G55" i="93"/>
  <c r="F55" i="93"/>
  <c r="E55" i="93"/>
  <c r="D55" i="93"/>
  <c r="K54" i="93"/>
  <c r="J54" i="93"/>
  <c r="I54" i="93"/>
  <c r="H54" i="93"/>
  <c r="G54" i="93"/>
  <c r="F54" i="93"/>
  <c r="E54" i="93"/>
  <c r="D54" i="93"/>
  <c r="K53" i="93"/>
  <c r="J53" i="93"/>
  <c r="I53" i="93"/>
  <c r="H53" i="93"/>
  <c r="G53" i="93"/>
  <c r="F53" i="93"/>
  <c r="E53" i="93"/>
  <c r="D53" i="93"/>
  <c r="K52" i="93"/>
  <c r="J52" i="93"/>
  <c r="I52" i="93"/>
  <c r="H52" i="93"/>
  <c r="G52" i="93"/>
  <c r="F52" i="93"/>
  <c r="E52" i="93"/>
  <c r="D52" i="93"/>
  <c r="K50" i="93"/>
  <c r="J50" i="93"/>
  <c r="I50" i="93"/>
  <c r="H50" i="93"/>
  <c r="G50" i="93"/>
  <c r="F50" i="93"/>
  <c r="E50" i="93"/>
  <c r="D50" i="93"/>
  <c r="K49" i="93"/>
  <c r="J49" i="93"/>
  <c r="I49" i="93"/>
  <c r="H49" i="93"/>
  <c r="G49" i="93"/>
  <c r="F49" i="93"/>
  <c r="E49" i="93"/>
  <c r="D49" i="93"/>
  <c r="K48" i="93"/>
  <c r="J48" i="93"/>
  <c r="I48" i="93"/>
  <c r="H48" i="93"/>
  <c r="G48" i="93"/>
  <c r="F48" i="93"/>
  <c r="E48" i="93"/>
  <c r="D48" i="93"/>
  <c r="K47" i="93"/>
  <c r="J47" i="93"/>
  <c r="I47" i="93"/>
  <c r="H47" i="93"/>
  <c r="G47" i="93"/>
  <c r="F47" i="93"/>
  <c r="E47" i="93"/>
  <c r="D47" i="93"/>
  <c r="J46" i="93"/>
  <c r="I46" i="93"/>
  <c r="H46" i="93"/>
  <c r="J45" i="93"/>
  <c r="I45" i="93"/>
  <c r="H45" i="93"/>
  <c r="J44" i="93"/>
  <c r="I44" i="93"/>
  <c r="H44" i="93"/>
  <c r="K43" i="93"/>
  <c r="J43" i="93"/>
  <c r="I43" i="93"/>
  <c r="H43" i="93"/>
  <c r="G43" i="93"/>
  <c r="F43" i="93"/>
  <c r="E43" i="93"/>
  <c r="D43" i="93"/>
  <c r="K42" i="93"/>
  <c r="J42" i="93"/>
  <c r="I42" i="93"/>
  <c r="H42" i="93"/>
  <c r="G42" i="93"/>
  <c r="F42" i="93"/>
  <c r="E42" i="93"/>
  <c r="D42" i="93"/>
  <c r="J41" i="93"/>
  <c r="I41" i="93"/>
  <c r="H41" i="93"/>
  <c r="K40" i="93"/>
  <c r="J40" i="93"/>
  <c r="I40" i="93"/>
  <c r="H40" i="93"/>
  <c r="G40" i="93"/>
  <c r="F40" i="93"/>
  <c r="E40" i="93"/>
  <c r="D40" i="93"/>
  <c r="K39" i="93"/>
  <c r="J39" i="93"/>
  <c r="I39" i="93"/>
  <c r="H39" i="93"/>
  <c r="G39" i="93"/>
  <c r="F39" i="93"/>
  <c r="E39" i="93"/>
  <c r="D39" i="93"/>
  <c r="J38" i="93"/>
  <c r="I38" i="93"/>
  <c r="H38" i="93"/>
  <c r="J37" i="93"/>
  <c r="I37" i="93"/>
  <c r="H37" i="93"/>
  <c r="K36" i="93"/>
  <c r="J36" i="93"/>
  <c r="I36" i="93"/>
  <c r="H36" i="93"/>
  <c r="G36" i="93"/>
  <c r="F36" i="93"/>
  <c r="E36" i="93"/>
  <c r="D36" i="93"/>
  <c r="K35" i="93"/>
  <c r="J35" i="93"/>
  <c r="I35" i="93"/>
  <c r="H35" i="93"/>
  <c r="G35" i="93"/>
  <c r="F35" i="93"/>
  <c r="E35" i="93"/>
  <c r="D35" i="93"/>
  <c r="K34" i="93"/>
  <c r="J34" i="93"/>
  <c r="I34" i="93"/>
  <c r="H34" i="93"/>
  <c r="G34" i="93"/>
  <c r="F34" i="93"/>
  <c r="E34" i="93"/>
  <c r="D34" i="93"/>
  <c r="J33" i="93"/>
  <c r="I33" i="93"/>
  <c r="H33" i="93"/>
  <c r="J32" i="93"/>
  <c r="I32" i="93"/>
  <c r="H32" i="93"/>
  <c r="K31" i="93"/>
  <c r="J31" i="93"/>
  <c r="I31" i="93"/>
  <c r="H31" i="93"/>
  <c r="G31" i="93"/>
  <c r="F31" i="93"/>
  <c r="E31" i="93"/>
  <c r="D31" i="93"/>
  <c r="K30" i="93"/>
  <c r="J30" i="93"/>
  <c r="I30" i="93"/>
  <c r="H30" i="93"/>
  <c r="G30" i="93"/>
  <c r="F30" i="93"/>
  <c r="E30" i="93"/>
  <c r="D30" i="93"/>
  <c r="J29" i="93"/>
  <c r="I29" i="93"/>
  <c r="H29" i="93"/>
  <c r="G29" i="93"/>
  <c r="F29" i="93"/>
  <c r="E29" i="93"/>
  <c r="J28" i="93"/>
  <c r="I28" i="93"/>
  <c r="H28" i="93"/>
  <c r="J27" i="93"/>
  <c r="I27" i="93"/>
  <c r="H27" i="93"/>
  <c r="J26" i="93"/>
  <c r="I26" i="93"/>
  <c r="H26" i="93"/>
  <c r="J25" i="93"/>
  <c r="I25" i="93"/>
  <c r="H25" i="93"/>
  <c r="D25" i="93"/>
  <c r="J24" i="93"/>
  <c r="I24" i="93"/>
  <c r="H24" i="93"/>
  <c r="J23" i="93"/>
  <c r="I23" i="93"/>
  <c r="H23" i="93"/>
  <c r="J22" i="93"/>
  <c r="I22" i="93"/>
  <c r="H22" i="93"/>
  <c r="J21" i="93"/>
  <c r="I21" i="93"/>
  <c r="H21" i="93"/>
  <c r="J20" i="93"/>
  <c r="I20" i="93"/>
  <c r="H20" i="93"/>
  <c r="J19" i="93"/>
  <c r="I19" i="93"/>
  <c r="H19" i="93"/>
  <c r="J18" i="93"/>
  <c r="I18" i="93"/>
  <c r="H18" i="93"/>
  <c r="J17" i="93"/>
  <c r="I17" i="93"/>
  <c r="H17" i="93"/>
  <c r="J16" i="93"/>
  <c r="I16" i="93"/>
  <c r="H16" i="93"/>
  <c r="J15" i="93"/>
  <c r="I15" i="93"/>
  <c r="H15" i="93"/>
  <c r="J14" i="93"/>
  <c r="I14" i="93"/>
  <c r="H14" i="93"/>
  <c r="J13" i="93"/>
  <c r="I13" i="93"/>
  <c r="H13" i="93"/>
  <c r="J12" i="93"/>
  <c r="I12" i="93"/>
  <c r="H12" i="93"/>
  <c r="J11" i="93"/>
  <c r="I11" i="93"/>
  <c r="H11" i="93"/>
  <c r="J10" i="93"/>
  <c r="I10" i="93"/>
  <c r="H10" i="93"/>
  <c r="J199" i="88"/>
  <c r="I199" i="88"/>
  <c r="J198" i="88"/>
  <c r="I198" i="88"/>
  <c r="J197" i="88"/>
  <c r="I197" i="88"/>
  <c r="D197" i="88"/>
  <c r="J196" i="88"/>
  <c r="I196" i="88"/>
  <c r="H196" i="88"/>
  <c r="G196" i="88"/>
  <c r="E196" i="88"/>
  <c r="J195" i="88"/>
  <c r="I195" i="88"/>
  <c r="J194" i="88"/>
  <c r="I194" i="88"/>
  <c r="H194" i="88"/>
  <c r="G194" i="88"/>
  <c r="E194" i="88"/>
  <c r="J193" i="88"/>
  <c r="I193" i="88"/>
  <c r="J192" i="88"/>
  <c r="I192" i="88"/>
  <c r="H192" i="88"/>
  <c r="G192" i="88"/>
  <c r="J191" i="88"/>
  <c r="I191" i="88"/>
  <c r="H191" i="88"/>
  <c r="G191" i="88"/>
  <c r="J190" i="88"/>
  <c r="I190" i="88"/>
  <c r="J189" i="88"/>
  <c r="I189" i="88"/>
  <c r="J188" i="88"/>
  <c r="I188" i="88"/>
  <c r="J187" i="88"/>
  <c r="I187" i="88"/>
  <c r="J186" i="88"/>
  <c r="I186" i="88"/>
  <c r="J185" i="88"/>
  <c r="I185" i="88"/>
  <c r="H185" i="88"/>
  <c r="G185" i="88"/>
  <c r="F185" i="88"/>
  <c r="E185" i="88"/>
  <c r="D185" i="88"/>
  <c r="J184" i="88"/>
  <c r="I184" i="88"/>
  <c r="J183" i="88"/>
  <c r="I183" i="88"/>
  <c r="J182" i="88"/>
  <c r="I182" i="88"/>
  <c r="J181" i="88"/>
  <c r="I181" i="88"/>
  <c r="J180" i="88"/>
  <c r="I180" i="88"/>
  <c r="J179" i="88"/>
  <c r="I179" i="88"/>
  <c r="J178" i="88"/>
  <c r="I178" i="88"/>
  <c r="J177" i="88"/>
  <c r="I177" i="88"/>
  <c r="J176" i="88"/>
  <c r="I176" i="88"/>
  <c r="J175" i="88"/>
  <c r="I175" i="88"/>
  <c r="H175" i="88"/>
  <c r="G175" i="88"/>
  <c r="F175" i="88"/>
  <c r="E175" i="88"/>
  <c r="D175" i="88"/>
  <c r="J174" i="88"/>
  <c r="I174" i="88"/>
  <c r="H174" i="88"/>
  <c r="G174" i="88"/>
  <c r="F174" i="88"/>
  <c r="E174" i="88"/>
  <c r="D174" i="88"/>
  <c r="J173" i="88"/>
  <c r="I173" i="88"/>
  <c r="H173" i="88"/>
  <c r="G173" i="88"/>
  <c r="F173" i="88"/>
  <c r="E173" i="88"/>
  <c r="D173" i="88"/>
  <c r="J172" i="88"/>
  <c r="I172" i="88"/>
  <c r="H172" i="88"/>
  <c r="G172" i="88"/>
  <c r="F172" i="88"/>
  <c r="E172" i="88"/>
  <c r="D172" i="88"/>
  <c r="J171" i="88"/>
  <c r="I171" i="88"/>
  <c r="H171" i="88"/>
  <c r="G171" i="88"/>
  <c r="F171" i="88"/>
  <c r="E171" i="88"/>
  <c r="D171" i="88"/>
  <c r="J170" i="88"/>
  <c r="I170" i="88"/>
  <c r="J169" i="88"/>
  <c r="I169" i="88"/>
  <c r="H169" i="88"/>
  <c r="G169" i="88"/>
  <c r="F169" i="88"/>
  <c r="E169" i="88"/>
  <c r="D169" i="88"/>
  <c r="J168" i="88"/>
  <c r="I168" i="88"/>
  <c r="J167" i="88"/>
  <c r="I167" i="88"/>
  <c r="J166" i="88"/>
  <c r="I166" i="88"/>
  <c r="J165" i="88"/>
  <c r="I165" i="88"/>
  <c r="J164" i="88"/>
  <c r="I164" i="88"/>
  <c r="J163" i="88"/>
  <c r="I163" i="88"/>
  <c r="J162" i="88"/>
  <c r="I162" i="88"/>
  <c r="H162" i="88"/>
  <c r="G162" i="88"/>
  <c r="F162" i="88"/>
  <c r="E162" i="88"/>
  <c r="D162" i="88"/>
  <c r="J161" i="88"/>
  <c r="I161" i="88"/>
  <c r="H161" i="88"/>
  <c r="G161" i="88"/>
  <c r="F161" i="88"/>
  <c r="J160" i="88"/>
  <c r="I160" i="88"/>
  <c r="H160" i="88"/>
  <c r="G160" i="88"/>
  <c r="F160" i="88"/>
  <c r="J159" i="88"/>
  <c r="I159" i="88"/>
  <c r="H159" i="88"/>
  <c r="G159" i="88"/>
  <c r="F159" i="88"/>
  <c r="J158" i="88"/>
  <c r="I158" i="88"/>
  <c r="H158" i="88"/>
  <c r="G158" i="88"/>
  <c r="F158" i="88"/>
  <c r="J157" i="88"/>
  <c r="I157" i="88"/>
  <c r="H157" i="88"/>
  <c r="G157" i="88"/>
  <c r="F157" i="88"/>
  <c r="J156" i="88"/>
  <c r="I156" i="88"/>
  <c r="J155" i="88"/>
  <c r="I155" i="88"/>
  <c r="H155" i="88"/>
  <c r="G155" i="88"/>
  <c r="F155" i="88"/>
  <c r="E155" i="88"/>
  <c r="D155" i="88"/>
  <c r="J154" i="88"/>
  <c r="I154" i="88"/>
  <c r="J153" i="88"/>
  <c r="I153" i="88"/>
  <c r="J152" i="88"/>
  <c r="I152" i="88"/>
  <c r="J151" i="88"/>
  <c r="I151" i="88"/>
  <c r="J150" i="88"/>
  <c r="I150" i="88"/>
  <c r="J149" i="88"/>
  <c r="I149" i="88"/>
  <c r="J148" i="88"/>
  <c r="I148" i="88"/>
  <c r="H148" i="88"/>
  <c r="G148" i="88"/>
  <c r="F148" i="88"/>
  <c r="J147" i="88"/>
  <c r="I147" i="88"/>
  <c r="H147" i="88"/>
  <c r="G147" i="88"/>
  <c r="F147" i="88"/>
  <c r="E147" i="88"/>
  <c r="D147" i="88"/>
  <c r="J146" i="88"/>
  <c r="I146" i="88"/>
  <c r="J145" i="88"/>
  <c r="I145" i="88"/>
  <c r="G145" i="88"/>
  <c r="J144" i="88"/>
  <c r="I144" i="88"/>
  <c r="E144" i="88"/>
  <c r="J143" i="88"/>
  <c r="I143" i="88"/>
  <c r="J142" i="88"/>
  <c r="I142" i="88"/>
  <c r="J141" i="88"/>
  <c r="I141" i="88"/>
  <c r="D141" i="88"/>
  <c r="J140" i="88"/>
  <c r="I140" i="88"/>
  <c r="J139" i="88"/>
  <c r="I139" i="88"/>
  <c r="J138" i="88"/>
  <c r="I138" i="88"/>
  <c r="J137" i="88"/>
  <c r="I137" i="88"/>
  <c r="J136" i="88"/>
  <c r="I136" i="88"/>
  <c r="H136" i="88"/>
  <c r="G136" i="88"/>
  <c r="F136" i="88"/>
  <c r="E136" i="88"/>
  <c r="D136" i="88"/>
  <c r="J135" i="88"/>
  <c r="I135" i="88"/>
  <c r="H135" i="88"/>
  <c r="J134" i="88"/>
  <c r="I134" i="88"/>
  <c r="H134" i="88"/>
  <c r="G134" i="88"/>
  <c r="F134" i="88"/>
  <c r="E134" i="88"/>
  <c r="J133" i="88"/>
  <c r="I133" i="88"/>
  <c r="G133" i="88"/>
  <c r="J132" i="88"/>
  <c r="I132" i="88"/>
  <c r="H132" i="88"/>
  <c r="G132" i="88"/>
  <c r="F132" i="88"/>
  <c r="E132" i="88"/>
  <c r="J131" i="88"/>
  <c r="I131" i="88"/>
  <c r="J130" i="88"/>
  <c r="I130" i="88"/>
  <c r="J129" i="88"/>
  <c r="I129" i="88"/>
  <c r="J128" i="88"/>
  <c r="I128" i="88"/>
  <c r="J127" i="88"/>
  <c r="I127" i="88"/>
  <c r="J126" i="88"/>
  <c r="I126" i="88"/>
  <c r="J125" i="88"/>
  <c r="I125" i="88"/>
  <c r="J124" i="88"/>
  <c r="I124" i="88"/>
  <c r="J123" i="88"/>
  <c r="I123" i="88"/>
  <c r="J122" i="88"/>
  <c r="I122" i="88"/>
  <c r="J121" i="88"/>
  <c r="I121" i="88"/>
  <c r="J120" i="88"/>
  <c r="I120" i="88"/>
  <c r="J119" i="88"/>
  <c r="I119" i="88"/>
  <c r="J117" i="88"/>
  <c r="I117" i="88"/>
  <c r="J116" i="88"/>
  <c r="I116" i="88"/>
  <c r="H116" i="88"/>
  <c r="G116" i="88"/>
  <c r="F116" i="88"/>
  <c r="E116" i="88"/>
  <c r="J115" i="88"/>
  <c r="I115" i="88"/>
  <c r="H115" i="88"/>
  <c r="G115" i="88"/>
  <c r="F115" i="88"/>
  <c r="E115" i="88"/>
  <c r="J114" i="88"/>
  <c r="I114" i="88"/>
  <c r="J113" i="88"/>
  <c r="I113" i="88"/>
  <c r="J112" i="88"/>
  <c r="I112" i="88"/>
  <c r="J111" i="88"/>
  <c r="I111" i="88"/>
  <c r="J110" i="88"/>
  <c r="I110" i="88"/>
  <c r="J109" i="88"/>
  <c r="I109" i="88"/>
  <c r="J108" i="88"/>
  <c r="I108" i="88"/>
  <c r="H108" i="88"/>
  <c r="G108" i="88"/>
  <c r="F108" i="88"/>
  <c r="E108" i="88"/>
  <c r="D108" i="88"/>
  <c r="J107" i="88"/>
  <c r="I107" i="88"/>
  <c r="J106" i="88"/>
  <c r="I106" i="88"/>
  <c r="J105" i="88"/>
  <c r="I105" i="88"/>
  <c r="J104" i="88"/>
  <c r="I104" i="88"/>
  <c r="J103" i="88"/>
  <c r="I103" i="88"/>
  <c r="J102" i="88"/>
  <c r="I102" i="88"/>
  <c r="J101" i="88"/>
  <c r="I101" i="88"/>
  <c r="H101" i="88"/>
  <c r="G101" i="88"/>
  <c r="F101" i="88"/>
  <c r="E101" i="88"/>
  <c r="D101" i="88"/>
  <c r="J100" i="88"/>
  <c r="I100" i="88"/>
  <c r="J99" i="88"/>
  <c r="I99" i="88"/>
  <c r="J98" i="88"/>
  <c r="I98" i="88"/>
  <c r="J97" i="88"/>
  <c r="I97" i="88"/>
  <c r="H97" i="88"/>
  <c r="J96" i="88"/>
  <c r="I96" i="88"/>
  <c r="H96" i="88"/>
  <c r="J95" i="88"/>
  <c r="I95" i="88"/>
  <c r="J94" i="88"/>
  <c r="I94" i="88"/>
  <c r="H94" i="88"/>
  <c r="G94" i="88"/>
  <c r="F94" i="88"/>
  <c r="E94" i="88"/>
  <c r="D94" i="88"/>
  <c r="J93" i="88"/>
  <c r="I93" i="88"/>
  <c r="J92" i="88"/>
  <c r="I92" i="88"/>
  <c r="J91" i="88"/>
  <c r="I91" i="88"/>
  <c r="J90" i="88"/>
  <c r="I90" i="88"/>
  <c r="J89" i="88"/>
  <c r="I89" i="88"/>
  <c r="J88" i="88"/>
  <c r="I88" i="88"/>
  <c r="J87" i="88"/>
  <c r="I87" i="88"/>
  <c r="H87" i="88"/>
  <c r="F87" i="88"/>
  <c r="J86" i="88"/>
  <c r="I86" i="88"/>
  <c r="J85" i="88"/>
  <c r="I85" i="88"/>
  <c r="J84" i="88"/>
  <c r="I84" i="88"/>
  <c r="J83" i="88"/>
  <c r="I83" i="88"/>
  <c r="J82" i="88"/>
  <c r="I82" i="88"/>
  <c r="H82" i="88"/>
  <c r="F82" i="88"/>
  <c r="J81" i="88"/>
  <c r="I81" i="88"/>
  <c r="H81" i="88"/>
  <c r="F81" i="88"/>
  <c r="J80" i="88"/>
  <c r="I80" i="88"/>
  <c r="H80" i="88"/>
  <c r="G80" i="88"/>
  <c r="F80" i="88"/>
  <c r="E80" i="88"/>
  <c r="D80" i="88"/>
  <c r="J79" i="88"/>
  <c r="I79" i="88"/>
  <c r="J78" i="88"/>
  <c r="I78" i="88"/>
  <c r="J77" i="88"/>
  <c r="I77" i="88"/>
  <c r="J76" i="88"/>
  <c r="I76" i="88"/>
  <c r="J75" i="88"/>
  <c r="I75" i="88"/>
  <c r="H75" i="88"/>
  <c r="G75" i="88"/>
  <c r="F75" i="88"/>
  <c r="E75" i="88"/>
  <c r="J74" i="88"/>
  <c r="I74" i="88"/>
  <c r="H74" i="88"/>
  <c r="G74" i="88"/>
  <c r="F74" i="88"/>
  <c r="E74" i="88"/>
  <c r="D74" i="88"/>
  <c r="J73" i="88"/>
  <c r="I73" i="88"/>
  <c r="J72" i="88"/>
  <c r="I72" i="88"/>
  <c r="J70" i="88"/>
  <c r="I70" i="88"/>
  <c r="J69" i="88"/>
  <c r="I69" i="88"/>
  <c r="H69" i="88"/>
  <c r="G69" i="88"/>
  <c r="F69" i="88"/>
  <c r="E69" i="88"/>
  <c r="J68" i="88"/>
  <c r="I68" i="88"/>
  <c r="H68" i="88"/>
  <c r="G68" i="88"/>
  <c r="F68" i="88"/>
  <c r="E68" i="88"/>
  <c r="D68" i="88"/>
  <c r="J67" i="88"/>
  <c r="I67" i="88"/>
  <c r="H67" i="88"/>
  <c r="G67" i="88"/>
  <c r="F67" i="88"/>
  <c r="E67" i="88"/>
  <c r="D67" i="88"/>
  <c r="J66" i="88"/>
  <c r="I66" i="88"/>
  <c r="J65" i="88"/>
  <c r="I65" i="88"/>
  <c r="J64" i="88"/>
  <c r="I64" i="88"/>
  <c r="J63" i="88"/>
  <c r="I63" i="88"/>
  <c r="H63" i="88"/>
  <c r="G63" i="88"/>
  <c r="F63" i="88"/>
  <c r="E63" i="88"/>
  <c r="D63" i="88"/>
  <c r="J62" i="88"/>
  <c r="I62" i="88"/>
  <c r="H62" i="88"/>
  <c r="G62" i="88"/>
  <c r="F62" i="88"/>
  <c r="E62" i="88"/>
  <c r="D62" i="88"/>
  <c r="J61" i="88"/>
  <c r="I61" i="88"/>
  <c r="J60" i="88"/>
  <c r="I60" i="88"/>
  <c r="H60" i="88"/>
  <c r="F60" i="88"/>
  <c r="J59" i="88"/>
  <c r="I59" i="88"/>
  <c r="H59" i="88"/>
  <c r="G59" i="88"/>
  <c r="F59" i="88"/>
  <c r="E59" i="88"/>
  <c r="D59" i="88"/>
  <c r="J58" i="88"/>
  <c r="I58" i="88"/>
  <c r="J57" i="88"/>
  <c r="I57" i="88"/>
  <c r="J56" i="88"/>
  <c r="I56" i="88"/>
  <c r="H56" i="88"/>
  <c r="G56" i="88"/>
  <c r="F56" i="88"/>
  <c r="E56" i="88"/>
  <c r="D56" i="88"/>
  <c r="J55" i="88"/>
  <c r="I55" i="88"/>
  <c r="H55" i="88"/>
  <c r="G55" i="88"/>
  <c r="F55" i="88"/>
  <c r="E55" i="88"/>
  <c r="D55" i="88"/>
  <c r="J54" i="88"/>
  <c r="I54" i="88"/>
  <c r="H54" i="88"/>
  <c r="G54" i="88"/>
  <c r="F54" i="88"/>
  <c r="E54" i="88"/>
  <c r="D54" i="88"/>
  <c r="J53" i="88"/>
  <c r="I53" i="88"/>
  <c r="H53" i="88"/>
  <c r="G53" i="88"/>
  <c r="F53" i="88"/>
  <c r="E53" i="88"/>
  <c r="D53" i="88"/>
  <c r="J52" i="88"/>
  <c r="I52" i="88"/>
  <c r="J51" i="88"/>
  <c r="I51" i="88"/>
  <c r="J50" i="88"/>
  <c r="I50" i="88"/>
  <c r="J49" i="88"/>
  <c r="I49" i="88"/>
  <c r="H49" i="88"/>
  <c r="G49" i="88"/>
  <c r="F49" i="88"/>
  <c r="E49" i="88"/>
  <c r="J48" i="88"/>
  <c r="I48" i="88"/>
  <c r="D48" i="88"/>
  <c r="J47" i="88"/>
  <c r="I47" i="88"/>
  <c r="J46" i="88"/>
  <c r="I46" i="88"/>
  <c r="H46" i="88"/>
  <c r="G46" i="88"/>
  <c r="F46" i="88"/>
  <c r="E46" i="88"/>
  <c r="D46" i="88"/>
  <c r="J45" i="88"/>
  <c r="I45" i="88"/>
  <c r="J44" i="88"/>
  <c r="I44" i="88"/>
  <c r="J43" i="88"/>
  <c r="I43" i="88"/>
  <c r="H43" i="88"/>
  <c r="G43" i="88"/>
  <c r="F43" i="88"/>
  <c r="E43" i="88"/>
  <c r="D43" i="88"/>
  <c r="J42" i="88"/>
  <c r="I42" i="88"/>
  <c r="J41" i="88"/>
  <c r="I41" i="88"/>
  <c r="J40" i="88"/>
  <c r="I40" i="88"/>
  <c r="H40" i="88"/>
  <c r="G40" i="88"/>
  <c r="F40" i="88"/>
  <c r="E40" i="88"/>
  <c r="D40" i="88"/>
  <c r="J39" i="88"/>
  <c r="I39" i="88"/>
  <c r="H39" i="88"/>
  <c r="G39" i="88"/>
  <c r="F39" i="88"/>
  <c r="E39" i="88"/>
  <c r="D39" i="88"/>
  <c r="J38" i="88"/>
  <c r="I38" i="88"/>
  <c r="H38" i="88"/>
  <c r="G38" i="88"/>
  <c r="F38" i="88"/>
  <c r="E38" i="88"/>
  <c r="D38" i="88"/>
  <c r="J37" i="88"/>
  <c r="I37" i="88"/>
  <c r="H37" i="88"/>
  <c r="G37" i="88"/>
  <c r="F37" i="88"/>
  <c r="E37" i="88"/>
  <c r="D37" i="88"/>
  <c r="J36" i="88"/>
  <c r="I36" i="88"/>
  <c r="J35" i="88"/>
  <c r="I35" i="88"/>
  <c r="J34" i="88"/>
  <c r="I34" i="88"/>
  <c r="H34" i="88"/>
  <c r="G34" i="88"/>
  <c r="F34" i="88"/>
  <c r="E34" i="88"/>
  <c r="D34" i="88"/>
  <c r="J33" i="88"/>
  <c r="I33" i="88"/>
  <c r="J32" i="88"/>
  <c r="I32" i="88"/>
  <c r="J31" i="88"/>
  <c r="I31" i="88"/>
  <c r="H31" i="88"/>
  <c r="G31" i="88"/>
  <c r="F31" i="88"/>
  <c r="E31" i="88"/>
  <c r="D31" i="88"/>
  <c r="J30" i="88"/>
  <c r="I30" i="88"/>
  <c r="H30" i="88"/>
  <c r="G30" i="88"/>
  <c r="F30" i="88"/>
  <c r="E30" i="88"/>
  <c r="D30" i="88"/>
  <c r="J29" i="88"/>
  <c r="I29" i="88"/>
  <c r="H29" i="88"/>
  <c r="G29" i="88"/>
  <c r="F29" i="88"/>
  <c r="E29" i="88"/>
  <c r="D29" i="88"/>
  <c r="J28" i="88"/>
  <c r="I28" i="88"/>
  <c r="H28" i="88"/>
  <c r="G28" i="88"/>
  <c r="F28" i="88"/>
  <c r="E28" i="88"/>
  <c r="D28" i="88"/>
  <c r="J27" i="88"/>
  <c r="I27" i="88"/>
  <c r="J26" i="88"/>
  <c r="I26" i="88"/>
  <c r="J25" i="88"/>
  <c r="I25" i="88"/>
  <c r="H25" i="88"/>
  <c r="G25" i="88"/>
  <c r="F25" i="88"/>
  <c r="E25" i="88"/>
  <c r="D25" i="88"/>
  <c r="J24" i="88"/>
  <c r="I24" i="88"/>
  <c r="H24" i="88"/>
  <c r="G24" i="88"/>
  <c r="F24" i="88"/>
  <c r="E24" i="88"/>
  <c r="D24" i="88"/>
  <c r="J23" i="88"/>
  <c r="I23" i="88"/>
  <c r="H23" i="88"/>
  <c r="G23" i="88"/>
  <c r="F23" i="88"/>
  <c r="E23" i="88"/>
  <c r="D23" i="88"/>
  <c r="J22" i="88"/>
  <c r="I22" i="88"/>
  <c r="H22" i="88"/>
  <c r="G22" i="88"/>
  <c r="F22" i="88"/>
  <c r="E22" i="88"/>
  <c r="D22" i="88"/>
  <c r="J21" i="88"/>
  <c r="I21" i="88"/>
  <c r="H21" i="88"/>
  <c r="G21" i="88"/>
  <c r="F21" i="88"/>
  <c r="E21" i="88"/>
  <c r="D21" i="88"/>
  <c r="J20" i="88"/>
  <c r="I20" i="88"/>
  <c r="H20" i="88"/>
  <c r="G20" i="88"/>
  <c r="F20" i="88"/>
  <c r="E20" i="88"/>
  <c r="D20" i="88"/>
  <c r="J19" i="88"/>
  <c r="I19" i="88"/>
  <c r="H19" i="88"/>
  <c r="G19" i="88"/>
  <c r="F19" i="88"/>
  <c r="E19" i="88"/>
  <c r="D19" i="88"/>
  <c r="J18" i="88"/>
  <c r="I18" i="88"/>
  <c r="H18" i="88"/>
  <c r="G18" i="88"/>
  <c r="F18" i="88"/>
  <c r="E18" i="88"/>
  <c r="D18" i="88"/>
  <c r="J17" i="88"/>
  <c r="I17" i="88"/>
  <c r="H17" i="88"/>
  <c r="G17" i="88"/>
  <c r="F17" i="88"/>
  <c r="E17" i="88"/>
  <c r="D17" i="88"/>
  <c r="J16" i="88"/>
  <c r="I16" i="88"/>
  <c r="H16" i="88"/>
  <c r="G16" i="88"/>
  <c r="F16" i="88"/>
  <c r="E16" i="88"/>
  <c r="D16" i="88"/>
  <c r="J15" i="88"/>
  <c r="I15" i="88"/>
  <c r="J14" i="88"/>
  <c r="I14" i="88"/>
  <c r="J13" i="88"/>
  <c r="I13" i="88"/>
  <c r="J12" i="88"/>
  <c r="I12" i="88"/>
  <c r="J11" i="88"/>
  <c r="I11" i="88"/>
  <c r="J10" i="88"/>
  <c r="I10" i="88"/>
  <c r="H199" i="95"/>
  <c r="H198" i="95"/>
  <c r="H197" i="95"/>
  <c r="D197" i="95"/>
  <c r="H196" i="95"/>
  <c r="G196" i="95"/>
  <c r="F196" i="95"/>
  <c r="E196" i="95"/>
  <c r="H195" i="95"/>
  <c r="H194" i="95"/>
  <c r="G194" i="95"/>
  <c r="F194" i="95"/>
  <c r="E194" i="95"/>
  <c r="H193" i="95"/>
  <c r="H192" i="95"/>
  <c r="F192" i="95"/>
  <c r="H191" i="95"/>
  <c r="F191" i="95"/>
  <c r="H190" i="95"/>
  <c r="H189" i="95"/>
  <c r="H188" i="95"/>
  <c r="H187" i="95"/>
  <c r="H186" i="95"/>
  <c r="H185" i="95"/>
  <c r="G185" i="95"/>
  <c r="F185" i="95"/>
  <c r="E185" i="95"/>
  <c r="D185" i="95"/>
  <c r="H184" i="95"/>
  <c r="H183" i="95"/>
  <c r="H182" i="95"/>
  <c r="H181" i="95"/>
  <c r="H180" i="95"/>
  <c r="H179" i="95"/>
  <c r="H178" i="95"/>
  <c r="H177" i="95"/>
  <c r="H176" i="95"/>
  <c r="H175" i="95"/>
  <c r="G175" i="95"/>
  <c r="F175" i="95"/>
  <c r="E175" i="95"/>
  <c r="D175" i="95"/>
  <c r="H174" i="95"/>
  <c r="G174" i="95"/>
  <c r="F174" i="95"/>
  <c r="E174" i="95"/>
  <c r="D174" i="95"/>
  <c r="H173" i="95"/>
  <c r="G173" i="95"/>
  <c r="F173" i="95"/>
  <c r="E173" i="95"/>
  <c r="D173" i="95"/>
  <c r="H172" i="95"/>
  <c r="G172" i="95"/>
  <c r="F172" i="95"/>
  <c r="E172" i="95"/>
  <c r="D172" i="95"/>
  <c r="H171" i="95"/>
  <c r="G171" i="95"/>
  <c r="F171" i="95"/>
  <c r="E171" i="95"/>
  <c r="D171" i="95"/>
  <c r="H170" i="95"/>
  <c r="H169" i="95"/>
  <c r="G169" i="95"/>
  <c r="F169" i="95"/>
  <c r="E169" i="95"/>
  <c r="D169" i="95"/>
  <c r="H168" i="95"/>
  <c r="H167" i="95"/>
  <c r="H166" i="95"/>
  <c r="H165" i="95"/>
  <c r="H164" i="95"/>
  <c r="H163" i="95"/>
  <c r="H162" i="95"/>
  <c r="G162" i="95"/>
  <c r="F162" i="95"/>
  <c r="E162" i="95"/>
  <c r="D162" i="95"/>
  <c r="H161" i="95"/>
  <c r="G161" i="95"/>
  <c r="F161" i="95"/>
  <c r="H160" i="95"/>
  <c r="G160" i="95"/>
  <c r="F160" i="95"/>
  <c r="H159" i="95"/>
  <c r="G159" i="95"/>
  <c r="F159" i="95"/>
  <c r="H158" i="95"/>
  <c r="G158" i="95"/>
  <c r="F158" i="95"/>
  <c r="H157" i="95"/>
  <c r="G157" i="95"/>
  <c r="F157" i="95"/>
  <c r="H156" i="95"/>
  <c r="H155" i="95"/>
  <c r="G155" i="95"/>
  <c r="F155" i="95"/>
  <c r="E155" i="95"/>
  <c r="D155" i="95"/>
  <c r="H154" i="95"/>
  <c r="H153" i="95"/>
  <c r="H152" i="95"/>
  <c r="H151" i="95"/>
  <c r="H150" i="95"/>
  <c r="H149" i="95"/>
  <c r="H148" i="95"/>
  <c r="G148" i="95"/>
  <c r="F148" i="95"/>
  <c r="H147" i="95"/>
  <c r="G147" i="95"/>
  <c r="F147" i="95"/>
  <c r="E147" i="95"/>
  <c r="D147" i="95"/>
  <c r="H146" i="95"/>
  <c r="H145" i="95"/>
  <c r="F145" i="95"/>
  <c r="H144" i="95"/>
  <c r="E144" i="95"/>
  <c r="H143" i="95"/>
  <c r="H142" i="95"/>
  <c r="H141" i="95"/>
  <c r="D141" i="95"/>
  <c r="H140" i="95"/>
  <c r="H139" i="95"/>
  <c r="H138" i="95"/>
  <c r="H137" i="95"/>
  <c r="H136" i="95"/>
  <c r="G136" i="95"/>
  <c r="F136" i="95"/>
  <c r="E136" i="95"/>
  <c r="D136" i="95"/>
  <c r="H135" i="95"/>
  <c r="G135" i="95"/>
  <c r="H134" i="95"/>
  <c r="G134" i="95"/>
  <c r="F134" i="95"/>
  <c r="E134" i="95"/>
  <c r="H133" i="95"/>
  <c r="F133" i="95"/>
  <c r="H132" i="95"/>
  <c r="G132" i="95"/>
  <c r="F132" i="95"/>
  <c r="E132" i="95"/>
  <c r="H131" i="95"/>
  <c r="H130" i="95"/>
  <c r="H129" i="95"/>
  <c r="H128" i="95"/>
  <c r="H127" i="95"/>
  <c r="H126" i="95"/>
  <c r="H125" i="95"/>
  <c r="H124" i="95"/>
  <c r="H123" i="95"/>
  <c r="H122" i="95"/>
  <c r="H121" i="95"/>
  <c r="H120" i="95"/>
  <c r="H119" i="95"/>
  <c r="H117" i="95"/>
  <c r="H116" i="95"/>
  <c r="G116" i="95"/>
  <c r="F116" i="95"/>
  <c r="E116" i="95"/>
  <c r="H115" i="95"/>
  <c r="G115" i="95"/>
  <c r="F115" i="95"/>
  <c r="E115" i="95"/>
  <c r="H114" i="95"/>
  <c r="H113" i="95"/>
  <c r="H112" i="95"/>
  <c r="H111" i="95"/>
  <c r="H110" i="95"/>
  <c r="H109" i="95"/>
  <c r="H108" i="95"/>
  <c r="G108" i="95"/>
  <c r="F108" i="95"/>
  <c r="E108" i="95"/>
  <c r="D108" i="95"/>
  <c r="H107" i="95"/>
  <c r="H106" i="95"/>
  <c r="H105" i="95"/>
  <c r="H104" i="95"/>
  <c r="H103" i="95"/>
  <c r="H102" i="95"/>
  <c r="H101" i="95"/>
  <c r="G101" i="95"/>
  <c r="F101" i="95"/>
  <c r="E101" i="95"/>
  <c r="D101" i="95"/>
  <c r="H100" i="95"/>
  <c r="H99" i="95"/>
  <c r="H98" i="95"/>
  <c r="H97" i="95"/>
  <c r="G97" i="95"/>
  <c r="H96" i="95"/>
  <c r="G96" i="95"/>
  <c r="H95" i="95"/>
  <c r="H94" i="95"/>
  <c r="G94" i="95"/>
  <c r="F94" i="95"/>
  <c r="E94" i="95"/>
  <c r="D94" i="95"/>
  <c r="H93" i="95"/>
  <c r="H92" i="95"/>
  <c r="H91" i="95"/>
  <c r="H90" i="95"/>
  <c r="H89" i="95"/>
  <c r="H88" i="95"/>
  <c r="H87" i="95"/>
  <c r="G87" i="95"/>
  <c r="H86" i="95"/>
  <c r="H85" i="95"/>
  <c r="H84" i="95"/>
  <c r="H83" i="95"/>
  <c r="H82" i="95"/>
  <c r="G82" i="95"/>
  <c r="H81" i="95"/>
  <c r="G81" i="95"/>
  <c r="H80" i="95"/>
  <c r="G80" i="95"/>
  <c r="F80" i="95"/>
  <c r="E80" i="95"/>
  <c r="D80" i="95"/>
  <c r="H79" i="95"/>
  <c r="H78" i="95"/>
  <c r="H77" i="95"/>
  <c r="H76" i="95"/>
  <c r="H75" i="95"/>
  <c r="G75" i="95"/>
  <c r="F75" i="95"/>
  <c r="E75" i="95"/>
  <c r="H74" i="95"/>
  <c r="G74" i="95"/>
  <c r="F74" i="95"/>
  <c r="E74" i="95"/>
  <c r="D74" i="95"/>
  <c r="H73" i="95"/>
  <c r="H72" i="95"/>
  <c r="H70" i="95"/>
  <c r="H69" i="95"/>
  <c r="G69" i="95"/>
  <c r="F69" i="95"/>
  <c r="E69" i="95"/>
  <c r="H68" i="95"/>
  <c r="G68" i="95"/>
  <c r="F68" i="95"/>
  <c r="E68" i="95"/>
  <c r="D68" i="95"/>
  <c r="H67" i="95"/>
  <c r="G67" i="95"/>
  <c r="F67" i="95"/>
  <c r="E67" i="95"/>
  <c r="D67" i="95"/>
  <c r="H66" i="95"/>
  <c r="H65" i="95"/>
  <c r="H64" i="95"/>
  <c r="H63" i="95"/>
  <c r="G63" i="95"/>
  <c r="F63" i="95"/>
  <c r="E63" i="95"/>
  <c r="D63" i="95"/>
  <c r="H62" i="95"/>
  <c r="G62" i="95"/>
  <c r="F62" i="95"/>
  <c r="E62" i="95"/>
  <c r="D62" i="95"/>
  <c r="H61" i="95"/>
  <c r="H60" i="95"/>
  <c r="G60" i="95"/>
  <c r="H59" i="95"/>
  <c r="G59" i="95"/>
  <c r="F59" i="95"/>
  <c r="E59" i="95"/>
  <c r="D59" i="95"/>
  <c r="H58" i="95"/>
  <c r="H57" i="95"/>
  <c r="H56" i="95"/>
  <c r="G56" i="95"/>
  <c r="F56" i="95"/>
  <c r="E56" i="95"/>
  <c r="D56" i="95"/>
  <c r="H55" i="95"/>
  <c r="G55" i="95"/>
  <c r="F55" i="95"/>
  <c r="E55" i="95"/>
  <c r="D55" i="95"/>
  <c r="H54" i="95"/>
  <c r="G54" i="95"/>
  <c r="F54" i="95"/>
  <c r="E54" i="95"/>
  <c r="D54" i="95"/>
  <c r="H53" i="95"/>
  <c r="G53" i="95"/>
  <c r="F53" i="95"/>
  <c r="E53" i="95"/>
  <c r="D53" i="95"/>
  <c r="H52" i="95"/>
  <c r="H51" i="95"/>
  <c r="H50" i="95"/>
  <c r="H49" i="95"/>
  <c r="G49" i="95"/>
  <c r="F49" i="95"/>
  <c r="E49" i="95"/>
  <c r="H48" i="95"/>
  <c r="D48" i="95"/>
  <c r="H47" i="95"/>
  <c r="H46" i="95"/>
  <c r="G46" i="95"/>
  <c r="F46" i="95"/>
  <c r="E46" i="95"/>
  <c r="D46" i="95"/>
  <c r="H45" i="95"/>
  <c r="H44" i="95"/>
  <c r="H43" i="95"/>
  <c r="G43" i="95"/>
  <c r="F43" i="95"/>
  <c r="E43" i="95"/>
  <c r="D43" i="95"/>
  <c r="H42" i="95"/>
  <c r="H41" i="95"/>
  <c r="H40" i="95"/>
  <c r="G40" i="95"/>
  <c r="F40" i="95"/>
  <c r="E40" i="95"/>
  <c r="D40" i="95"/>
  <c r="H39" i="95"/>
  <c r="G39" i="95"/>
  <c r="F39" i="95"/>
  <c r="E39" i="95"/>
  <c r="D39" i="95"/>
  <c r="H38" i="95"/>
  <c r="G38" i="95"/>
  <c r="F38" i="95"/>
  <c r="E38" i="95"/>
  <c r="D38" i="95"/>
  <c r="H37" i="95"/>
  <c r="G37" i="95"/>
  <c r="F37" i="95"/>
  <c r="E37" i="95"/>
  <c r="D37" i="95"/>
  <c r="H36" i="95"/>
  <c r="H35" i="95"/>
  <c r="H34" i="95"/>
  <c r="G34" i="95"/>
  <c r="F34" i="95"/>
  <c r="E34" i="95"/>
  <c r="D34" i="95"/>
  <c r="H33" i="95"/>
  <c r="H32" i="95"/>
  <c r="H31" i="95"/>
  <c r="G31" i="95"/>
  <c r="F31" i="95"/>
  <c r="E31" i="95"/>
  <c r="D31" i="95"/>
  <c r="H30" i="95"/>
  <c r="G30" i="95"/>
  <c r="F30" i="95"/>
  <c r="E30" i="95"/>
  <c r="D30" i="95"/>
  <c r="H29" i="95"/>
  <c r="G29" i="95"/>
  <c r="F29" i="95"/>
  <c r="E29" i="95"/>
  <c r="D29" i="95"/>
  <c r="H28" i="95"/>
  <c r="G28" i="95"/>
  <c r="F28" i="95"/>
  <c r="E28" i="95"/>
  <c r="D28" i="95"/>
  <c r="H27" i="95"/>
  <c r="H26" i="95"/>
  <c r="H25" i="95"/>
  <c r="G25" i="95"/>
  <c r="F25" i="95"/>
  <c r="E25" i="95"/>
  <c r="D25" i="95"/>
  <c r="H24" i="95"/>
  <c r="G24" i="95"/>
  <c r="F24" i="95"/>
  <c r="E24" i="95"/>
  <c r="D24" i="95"/>
  <c r="H23" i="95"/>
  <c r="G23" i="95"/>
  <c r="F23" i="95"/>
  <c r="E23" i="95"/>
  <c r="D23" i="95"/>
  <c r="H22" i="95"/>
  <c r="G22" i="95"/>
  <c r="F22" i="95"/>
  <c r="E22" i="95"/>
  <c r="D22" i="95"/>
  <c r="H21" i="95"/>
  <c r="G21" i="95"/>
  <c r="F21" i="95"/>
  <c r="E21" i="95"/>
  <c r="D21" i="95"/>
  <c r="H20" i="95"/>
  <c r="G20" i="95"/>
  <c r="F20" i="95"/>
  <c r="E20" i="95"/>
  <c r="D20" i="95"/>
  <c r="H19" i="95"/>
  <c r="G19" i="95"/>
  <c r="F19" i="95"/>
  <c r="E19" i="95"/>
  <c r="D19" i="95"/>
  <c r="H18" i="95"/>
  <c r="G18" i="95"/>
  <c r="F18" i="95"/>
  <c r="E18" i="95"/>
  <c r="D18" i="95"/>
  <c r="H17" i="95"/>
  <c r="G17" i="95"/>
  <c r="F17" i="95"/>
  <c r="E17" i="95"/>
  <c r="D17" i="95"/>
  <c r="H16" i="95"/>
  <c r="G16" i="95"/>
  <c r="F16" i="95"/>
  <c r="E16" i="95"/>
  <c r="D16" i="95"/>
  <c r="H15" i="95"/>
  <c r="H14" i="95"/>
  <c r="H13" i="95"/>
  <c r="H12" i="95"/>
  <c r="H11" i="95"/>
  <c r="H10" i="95"/>
  <c r="L33" i="46" l="1"/>
  <c r="Q33" i="46" s="1"/>
  <c r="P39" i="46"/>
  <c r="P36" i="46"/>
  <c r="Q16" i="46"/>
  <c r="P16" i="46"/>
  <c r="Q17" i="46"/>
  <c r="Q20" i="46"/>
  <c r="P17" i="46"/>
  <c r="J15" i="104"/>
  <c r="J16" i="104"/>
  <c r="J18" i="104"/>
  <c r="P45" i="46"/>
  <c r="L42" i="46"/>
  <c r="P33" i="46" l="1"/>
  <c r="P42" i="46"/>
  <c r="Q42" i="46"/>
  <c r="L23" i="46"/>
  <c r="L41" i="46"/>
  <c r="Q41" i="46" l="1"/>
  <c r="P41" i="46"/>
  <c r="Q23" i="46"/>
  <c r="P23" i="46"/>
  <c r="L21" i="46"/>
  <c r="Q21" i="46" l="1"/>
  <c r="P21" i="46"/>
  <c r="L24" i="46"/>
  <c r="P24" i="46" l="1"/>
  <c r="Q24" i="46"/>
</calcChain>
</file>

<file path=xl/comments1.xml><?xml version="1.0" encoding="utf-8"?>
<comments xmlns="http://schemas.openxmlformats.org/spreadsheetml/2006/main">
  <authors>
    <author>VNN.R9</author>
  </authors>
  <commentList>
    <comment ref="D85" authorId="0" shapeId="0">
      <text>
        <r>
          <rPr>
            <b/>
            <sz val="8"/>
            <color indexed="81"/>
            <rFont val="Tahoma"/>
            <family val="2"/>
          </rPr>
          <t>VNN.R9:</t>
        </r>
        <r>
          <rPr>
            <sz val="8"/>
            <color indexed="81"/>
            <rFont val="Tahoma"/>
            <family val="2"/>
          </rPr>
          <t xml:space="preserve">
cao su kinh doanh</t>
        </r>
      </text>
    </comment>
  </commentList>
</comments>
</file>

<file path=xl/sharedStrings.xml><?xml version="1.0" encoding="utf-8"?>
<sst xmlns="http://schemas.openxmlformats.org/spreadsheetml/2006/main" count="10132" uniqueCount="1076">
  <si>
    <t>- Nhà trẻ</t>
  </si>
  <si>
    <t>- Lớp mẫu giáo</t>
  </si>
  <si>
    <t>- Trường Tiểu học</t>
  </si>
  <si>
    <t>- Trường THCS</t>
  </si>
  <si>
    <t>- Tỷ lệ hộ được sử dụng điện</t>
  </si>
  <si>
    <t>Số xã có chợ xã, liên xã</t>
  </si>
  <si>
    <t>Giáo dục</t>
  </si>
  <si>
    <t>Tổng số học sinh có mặt đầu năm</t>
  </si>
  <si>
    <t>Học sinh</t>
  </si>
  <si>
    <t xml:space="preserve">               - Tiểu học</t>
  </si>
  <si>
    <t xml:space="preserve">               - Trung học cơ sở</t>
  </si>
  <si>
    <t xml:space="preserve">               - Phổ thông trung học</t>
  </si>
  <si>
    <t>Cháu</t>
  </si>
  <si>
    <t>Tỷ lệ học sinh đi học đúng tuổi</t>
  </si>
  <si>
    <t>Số xã có nhà văn hoá</t>
  </si>
  <si>
    <t>Tổng số giờ phát thanh trên địa bàn</t>
  </si>
  <si>
    <t>Giờ</t>
  </si>
  <si>
    <t>Tổng số giờ truyền hình trên địa bàn</t>
  </si>
  <si>
    <t>ĐVT</t>
  </si>
  <si>
    <t>Biểu số: 04</t>
  </si>
  <si>
    <t xml:space="preserve">Tấn </t>
  </si>
  <si>
    <t>Tạ/ha</t>
  </si>
  <si>
    <t>Cây lương thực</t>
  </si>
  <si>
    <t>Tổng sản lượng lương thực (Có hạt)</t>
  </si>
  <si>
    <r>
      <t xml:space="preserve">Trong đó </t>
    </r>
    <r>
      <rPr>
        <sz val="12"/>
        <rFont val="Times New Roman"/>
        <family val="1"/>
      </rPr>
      <t>: + Thóc</t>
    </r>
  </si>
  <si>
    <t>Lương thực bq đầu người</t>
  </si>
  <si>
    <t xml:space="preserve">Diện tích </t>
  </si>
  <si>
    <t>Năng suất</t>
  </si>
  <si>
    <t>Sản lượng</t>
  </si>
  <si>
    <t>Cây sắn</t>
  </si>
  <si>
    <t>Cây bời lời</t>
  </si>
  <si>
    <t>Tổng đàn gia cầm</t>
  </si>
  <si>
    <t>Tr. đồng</t>
  </si>
  <si>
    <t>%</t>
  </si>
  <si>
    <t>a</t>
  </si>
  <si>
    <t>b</t>
  </si>
  <si>
    <t>c</t>
  </si>
  <si>
    <t>Ha</t>
  </si>
  <si>
    <t>I</t>
  </si>
  <si>
    <t>II</t>
  </si>
  <si>
    <t>A</t>
  </si>
  <si>
    <t xml:space="preserve"> - Cao su</t>
  </si>
  <si>
    <t>1.000 con</t>
  </si>
  <si>
    <t>B</t>
  </si>
  <si>
    <t>1.000kwh</t>
  </si>
  <si>
    <t>1.000m3</t>
  </si>
  <si>
    <t xml:space="preserve"> m3 </t>
  </si>
  <si>
    <t>III</t>
  </si>
  <si>
    <t>IV</t>
  </si>
  <si>
    <t>"</t>
  </si>
  <si>
    <t>V</t>
  </si>
  <si>
    <t>VI</t>
  </si>
  <si>
    <t xml:space="preserve"> </t>
  </si>
  <si>
    <t>d</t>
  </si>
  <si>
    <t>Con</t>
  </si>
  <si>
    <t>STT</t>
  </si>
  <si>
    <t>*</t>
  </si>
  <si>
    <t>Kg</t>
  </si>
  <si>
    <t xml:space="preserve"> - Tiểu học</t>
  </si>
  <si>
    <t xml:space="preserve"> - Trung học cơ sở</t>
  </si>
  <si>
    <t xml:space="preserve"> - Trung học phổ thông</t>
  </si>
  <si>
    <t>Xã</t>
  </si>
  <si>
    <t>Hộ</t>
  </si>
  <si>
    <t>VII</t>
  </si>
  <si>
    <t>VIII</t>
  </si>
  <si>
    <t>1000m3</t>
  </si>
  <si>
    <t>Đơn vị tính</t>
  </si>
  <si>
    <t>Biểu số: 01</t>
  </si>
  <si>
    <t>Số TT</t>
  </si>
  <si>
    <t>Chỉ tiêu</t>
  </si>
  <si>
    <t>Trong đó:</t>
  </si>
  <si>
    <t>Tổng mức hàng hoá bán lẻ trên địa bàn</t>
  </si>
  <si>
    <t>Dân số trung bình</t>
  </si>
  <si>
    <t>Người</t>
  </si>
  <si>
    <t>Biểu số: 02</t>
  </si>
  <si>
    <t>Ghi chú</t>
  </si>
  <si>
    <t>Tấn</t>
  </si>
  <si>
    <t xml:space="preserve"> đôi</t>
  </si>
  <si>
    <t>NÔNG, LÂM, THỦY SẢN</t>
  </si>
  <si>
    <t>Nông nghiệp</t>
  </si>
  <si>
    <t xml:space="preserve"> Sản phẩm nông nghiệp chủ yếu</t>
  </si>
  <si>
    <t xml:space="preserve"> - Sản lượng lương thực có hạt</t>
  </si>
  <si>
    <t xml:space="preserve">                Ngô</t>
  </si>
  <si>
    <t xml:space="preserve"> - Sắn</t>
  </si>
  <si>
    <t xml:space="preserve"> - Cà phê nhân</t>
  </si>
  <si>
    <t xml:space="preserve"> - Mía cây</t>
  </si>
  <si>
    <t xml:space="preserve"> - Tiêu</t>
  </si>
  <si>
    <t xml:space="preserve"> - Lạc vỏ</t>
  </si>
  <si>
    <t xml:space="preserve"> - Chè </t>
  </si>
  <si>
    <t xml:space="preserve"> - Cao su mủ khô</t>
  </si>
  <si>
    <t xml:space="preserve"> - Lúa cả năm</t>
  </si>
  <si>
    <t xml:space="preserve"> - Ngô</t>
  </si>
  <si>
    <t xml:space="preserve"> - Mía</t>
  </si>
  <si>
    <t xml:space="preserve">Trong đó: trồng mới </t>
  </si>
  <si>
    <t xml:space="preserve"> - Cà phê</t>
  </si>
  <si>
    <t xml:space="preserve"> Trong đó: trồng mới</t>
  </si>
  <si>
    <t>Chăn nuôi</t>
  </si>
  <si>
    <t xml:space="preserve"> - Đàn Trâu</t>
  </si>
  <si>
    <t xml:space="preserve"> - Đàn Bò</t>
  </si>
  <si>
    <t xml:space="preserve"> - Đàn Lợn</t>
  </si>
  <si>
    <t xml:space="preserve">                  Lợn hơi</t>
  </si>
  <si>
    <t xml:space="preserve">                  Gia cầm</t>
  </si>
  <si>
    <t xml:space="preserve">                  Gia súc khác</t>
  </si>
  <si>
    <t xml:space="preserve"> - Đàn gia cầm</t>
  </si>
  <si>
    <t>Lâm nghiệp</t>
  </si>
  <si>
    <t>Giao khoán quản lý BVR</t>
  </si>
  <si>
    <t xml:space="preserve"> - Dự án 5 triệu ha rừng</t>
  </si>
  <si>
    <t xml:space="preserve"> - Dự án định canh định cư</t>
  </si>
  <si>
    <t xml:space="preserve"> - Dự án BVR và PTNT</t>
  </si>
  <si>
    <t xml:space="preserve"> - Các dự án khác</t>
  </si>
  <si>
    <t>Khoanh nuôi tái sinh rừng</t>
  </si>
  <si>
    <t>CÔNG NGHIỆP</t>
  </si>
  <si>
    <t>Một số sản phẩm chủ yếu</t>
  </si>
  <si>
    <t xml:space="preserve"> - Giày, dép da </t>
  </si>
  <si>
    <t xml:space="preserve"> - Gỗ xẻ XDCB</t>
  </si>
  <si>
    <t>Nước sạch &amp; vệ sinh môi trường</t>
  </si>
  <si>
    <t xml:space="preserve"> - Cấp nước sinh hoạt</t>
  </si>
  <si>
    <t xml:space="preserve"> - Tổng số hộ dùng nước</t>
  </si>
  <si>
    <t xml:space="preserve"> - Doanh thu từ nước</t>
  </si>
  <si>
    <t xml:space="preserve"> - Doanh thu từ thu phí vệ sinh</t>
  </si>
  <si>
    <t>LĐ</t>
  </si>
  <si>
    <t xml:space="preserve">Tổng số hộ </t>
  </si>
  <si>
    <t>Cây lâu năm</t>
  </si>
  <si>
    <t>Trong đó: Trồng mới</t>
  </si>
  <si>
    <t xml:space="preserve">                DT cho sản phẩm</t>
  </si>
  <si>
    <t xml:space="preserve">                Năng suất (nhân)</t>
  </si>
  <si>
    <t xml:space="preserve">                Năng suất</t>
  </si>
  <si>
    <t xml:space="preserve"> - Tổng số hộ tham gia dịch vụ VSMT</t>
  </si>
  <si>
    <t xml:space="preserve">Học sinh phổ thông </t>
  </si>
  <si>
    <t>Thôn</t>
  </si>
  <si>
    <t>Tr.đồng</t>
  </si>
  <si>
    <t>Dân số có mặt đầu năm</t>
  </si>
  <si>
    <t>Dân số có mặt cuối năm</t>
  </si>
  <si>
    <t>Dân số trung bình năm</t>
  </si>
  <si>
    <t xml:space="preserve">              - Mẫu giáo</t>
  </si>
  <si>
    <t xml:space="preserve">              - Nhà trẻ</t>
  </si>
  <si>
    <t>Cây thực phẩm (rau, đậu các loại)</t>
  </si>
  <si>
    <t xml:space="preserve">                  + Ngô</t>
  </si>
  <si>
    <t>Tỷ lệ trẻ em trong độ tuổi (3 - 5) đi  học mẫu giáo</t>
  </si>
  <si>
    <t xml:space="preserve">Giao khoán, hưởng lợi từ rừng theo QuyÕt ®Þnh 178 cña ChÝnh phñ. </t>
  </si>
  <si>
    <t>Học sinh mầm non</t>
  </si>
  <si>
    <t xml:space="preserve"> - Mầm non</t>
  </si>
  <si>
    <t xml:space="preserve"> - Phổ thông trung học</t>
  </si>
  <si>
    <t>Trường</t>
  </si>
  <si>
    <t>Tỷ lệ trường đạt chuẩn quốc gia</t>
  </si>
  <si>
    <t>Giường</t>
  </si>
  <si>
    <t>Tỷ lệ hộ được xem truyền hình trên địa bàn</t>
  </si>
  <si>
    <t>Tỷ lệ hộ được nghe đài phát thanh trên địa bàn</t>
  </si>
  <si>
    <t>Số xã, thị trấn có trạm y tế xã</t>
  </si>
  <si>
    <t xml:space="preserve">Số xã, thị trấn có đường ô tô đến trung tâm </t>
  </si>
  <si>
    <t>Xã, TT</t>
  </si>
  <si>
    <t xml:space="preserve"> - Tỷ lệ xã, thị trấn có đường ô tô đến trung tâm xã, thị trấn.</t>
  </si>
  <si>
    <t xml:space="preserve"> - Tỷ lệ xã, thị trấn có trạm y tế</t>
  </si>
  <si>
    <t>Số xã, thị trấn có:</t>
  </si>
  <si>
    <t>Số xã, thị trấn có điện lưới</t>
  </si>
  <si>
    <t>-</t>
  </si>
  <si>
    <t>Tỷ lệ hộ được công nhận gia đình văn hóa</t>
  </si>
  <si>
    <t>Tỷ lệ thôn làng, khối phố văn hóa</t>
  </si>
  <si>
    <t>Số xã, thị trấn có bưu điện văn hoá</t>
  </si>
  <si>
    <t>Tỷ lệ xã, thị trấn có bưu điện văn hóa</t>
  </si>
  <si>
    <t>Văn hoá - Phát thanh- Truyền hình</t>
  </si>
  <si>
    <t>Dân số</t>
  </si>
  <si>
    <t xml:space="preserve"> - Trong đó: Tỷ lệ tăng tự nhiên</t>
  </si>
  <si>
    <t>Lao động và việc làm</t>
  </si>
  <si>
    <t xml:space="preserve"> - Số giường bệnh</t>
  </si>
  <si>
    <t>Y tế - Xã hội</t>
  </si>
  <si>
    <t>PHỤ LỤC</t>
  </si>
  <si>
    <t>PHẦN THỨ NHẤT: KINH TẾ</t>
  </si>
  <si>
    <t>Tổng sản lượng lương thực có hạt</t>
  </si>
  <si>
    <t>kg</t>
  </si>
  <si>
    <t>%o</t>
  </si>
  <si>
    <t>Tỷ lệ thôn, khối phố văn hoá</t>
  </si>
  <si>
    <t>Tổng thu ngân sách nhà nước</t>
  </si>
  <si>
    <t>Trong đó: Thu NSNN trên địa bàn</t>
  </si>
  <si>
    <t>Tổng chi ngân sách nhà nước</t>
  </si>
  <si>
    <t>Trong đó: Chi cân đối ngân sách huyện</t>
  </si>
  <si>
    <t>C</t>
  </si>
  <si>
    <t>Tình hình sản xuất NLTS</t>
  </si>
  <si>
    <t xml:space="preserve"> - Diện tích</t>
  </si>
  <si>
    <t xml:space="preserve"> - Năng suất</t>
  </si>
  <si>
    <t xml:space="preserve"> - Sản lượng</t>
  </si>
  <si>
    <t>Cây ăn quả</t>
  </si>
  <si>
    <t>D</t>
  </si>
  <si>
    <t>Công nghiệp</t>
  </si>
  <si>
    <t>Tổng mức bán lẻ hàng hoá và DVXH</t>
  </si>
  <si>
    <t>Trạm y tế</t>
  </si>
  <si>
    <t>Tỷ lệ trạm y tế xã đạt chuẩn quốc gia</t>
  </si>
  <si>
    <t>Tỷ lệ bao phủ bảo hiểm y tế</t>
  </si>
  <si>
    <t>Mầm non</t>
  </si>
  <si>
    <t>Nhà trẻ</t>
  </si>
  <si>
    <t>Mẫu giáo</t>
  </si>
  <si>
    <t>Hsinh</t>
  </si>
  <si>
    <t>Văn hoá, thông tin, truyền thanh, truyền hình</t>
  </si>
  <si>
    <t>Phát thanh truyền hình</t>
  </si>
  <si>
    <t>Tổng số giờ phát thanh</t>
  </si>
  <si>
    <t>Tổng số giờ phát hình</t>
  </si>
  <si>
    <t>Văn hóa thông tin</t>
  </si>
  <si>
    <t>2.1</t>
  </si>
  <si>
    <t xml:space="preserve"> Hộ gia đình được công nhận GĐVH</t>
  </si>
  <si>
    <t>Gia đình</t>
  </si>
  <si>
    <t>Tỷ lệ hộ đạt gia đình văn hóa</t>
  </si>
  <si>
    <t>2.2</t>
  </si>
  <si>
    <t>Thôn, khối phố văn hoá</t>
  </si>
  <si>
    <t>Thôn, KP</t>
  </si>
  <si>
    <t>2.3</t>
  </si>
  <si>
    <t xml:space="preserve">Cơ quan, đơn vị văn hoá </t>
  </si>
  <si>
    <t>Cq, Đv</t>
  </si>
  <si>
    <t>Tổng số hộ cuối năm</t>
  </si>
  <si>
    <t xml:space="preserve">Trồng rừng tập trung </t>
  </si>
  <si>
    <t>* Diện tích rừng trồng mới</t>
  </si>
  <si>
    <t>Nuôi trồng</t>
  </si>
  <si>
    <t>Khai thác</t>
  </si>
  <si>
    <t>Sản lượng thuỷ sản, trong đó:</t>
  </si>
  <si>
    <t>Biểu số 03</t>
  </si>
  <si>
    <t xml:space="preserve">Xã, thị trấn </t>
  </si>
  <si>
    <t>Diên Bình</t>
  </si>
  <si>
    <t>Pô Kô</t>
  </si>
  <si>
    <t>TT Đ.Tô</t>
  </si>
  <si>
    <t>Tân cảnh</t>
  </si>
  <si>
    <t>Kon Đào</t>
  </si>
  <si>
    <t>Ngọc Tụ</t>
  </si>
  <si>
    <t>Đăk Rơ Nga</t>
  </si>
  <si>
    <t>Đăk Trăm</t>
  </si>
  <si>
    <t>Văn Lem</t>
  </si>
  <si>
    <t>Tổ chức khác</t>
  </si>
  <si>
    <t>TRỒNG TRỌT</t>
  </si>
  <si>
    <t xml:space="preserve">         </t>
  </si>
  <si>
    <t>Cây lương thực</t>
  </si>
  <si>
    <t>Tổng diện tích gieo trồng</t>
  </si>
  <si>
    <t>Tổng sản lựơng lương thực (Có hạt)</t>
  </si>
  <si>
    <t>Tấn</t>
  </si>
  <si>
    <t>Trong đó: Thóc</t>
  </si>
  <si>
    <t xml:space="preserve">                Ngô:</t>
  </si>
  <si>
    <t>Cây lúa cả năm</t>
  </si>
  <si>
    <t>Diện tích</t>
  </si>
  <si>
    <t>Năng suất</t>
  </si>
  <si>
    <t>Tạ/ha</t>
  </si>
  <si>
    <t xml:space="preserve">                  * Lúa Đông xuân</t>
  </si>
  <si>
    <t xml:space="preserve">                     Diện tích</t>
  </si>
  <si>
    <t xml:space="preserve">                     Năng suất</t>
  </si>
  <si>
    <t xml:space="preserve">                    * Lúa mùa</t>
  </si>
  <si>
    <t xml:space="preserve">                           - Lúa ruộng vụ mùa</t>
  </si>
  <si>
    <t xml:space="preserve">                            - Lúa nà, rẫy</t>
  </si>
  <si>
    <t>Cây Ngô cả năm</t>
  </si>
  <si>
    <t xml:space="preserve">                  * Ngô vụ xuân</t>
  </si>
  <si>
    <t xml:space="preserve">                 *  Ngô vụ mùa</t>
  </si>
  <si>
    <t>Cây chất bột lấy củ (Cây sắn)</t>
  </si>
  <si>
    <t>CÂY LÂU NĂM</t>
  </si>
  <si>
    <t>Cây công nghiệp lâu năm</t>
  </si>
  <si>
    <t xml:space="preserve">Cây Cà phê </t>
  </si>
  <si>
    <t xml:space="preserve"> + Trong đó: Trồng mới</t>
  </si>
  <si>
    <t xml:space="preserve">                  DT cho sản phẩm</t>
  </si>
  <si>
    <t xml:space="preserve">                  Năng suất</t>
  </si>
  <si>
    <t xml:space="preserve">Cây Cao su </t>
  </si>
  <si>
    <t>Cây bời lời</t>
  </si>
  <si>
    <t xml:space="preserve"> + Trong đó: Trồng mới</t>
  </si>
  <si>
    <t>CHĂN NUÔI</t>
  </si>
  <si>
    <t>Đàn trâu</t>
  </si>
  <si>
    <t>Đàn bò</t>
  </si>
  <si>
    <t>Đàn lợn</t>
  </si>
  <si>
    <t>Tổng đàn gia cầm</t>
  </si>
  <si>
    <t>Biểu số 05</t>
  </si>
  <si>
    <t>Xã, thị trấn</t>
  </si>
  <si>
    <t xml:space="preserve"> Thị trấn Đăk Tô</t>
  </si>
  <si>
    <t>Tân Cảnh</t>
  </si>
  <si>
    <t>Hộ</t>
  </si>
  <si>
    <t>Người</t>
  </si>
  <si>
    <t>Tỷ lệ hộ nghèo giảm trong năm</t>
  </si>
  <si>
    <t>GIÁO DỤC</t>
  </si>
  <si>
    <t xml:space="preserve">Mầm non </t>
  </si>
  <si>
    <t xml:space="preserve"> +</t>
  </si>
  <si>
    <t>Cháu</t>
  </si>
  <si>
    <t>Tiểu học</t>
  </si>
  <si>
    <t>Trung học cơ sở</t>
  </si>
  <si>
    <t>Phổ thông trung học</t>
  </si>
  <si>
    <t>VĂN HOÁ THỂ THAO</t>
  </si>
  <si>
    <t>Số thôn, làng đăng ký XD thôn, làng VH</t>
  </si>
  <si>
    <t>Thôn, làng</t>
  </si>
  <si>
    <t>Số hộ đăng ký xây dựng gia đình văn hoá</t>
  </si>
  <si>
    <t>Số hộ đạt gia đình văn hoá</t>
  </si>
  <si>
    <t>Tỷ lệ hộ đạt tiêu chuẩn GĐVH</t>
  </si>
  <si>
    <t>Trạm y tế đạt chuẩn quốc gia theo bộ tiêu chí quốc gia về y tế xã</t>
  </si>
  <si>
    <t>THỦY SẢN</t>
  </si>
  <si>
    <t>Diện tích ao cá</t>
  </si>
  <si>
    <t>Số thôn được xem truyền hình trên địa bàn</t>
  </si>
  <si>
    <t>Trong đó</t>
  </si>
  <si>
    <t>- Bệnh viện</t>
  </si>
  <si>
    <t>- Trạm y tế</t>
  </si>
  <si>
    <t>Giảm nghèo</t>
  </si>
  <si>
    <t>Bảo vệ và chăm sóc trẻ em</t>
  </si>
  <si>
    <t xml:space="preserve">                     Sản lượng</t>
  </si>
  <si>
    <t xml:space="preserve">                     Diện tích</t>
  </si>
  <si>
    <t xml:space="preserve"> + Trong đó: Trồng mới</t>
  </si>
  <si>
    <t>Sản lượng</t>
  </si>
  <si>
    <t>Giá trị sản xuất công nghiệp và TTCN (giá ss năm 2010)</t>
  </si>
  <si>
    <t>Các chỉ tiêu kinh tế</t>
  </si>
  <si>
    <t>Bình quân sản lượng lương thực có hạt/người/năm</t>
  </si>
  <si>
    <t>Các chỉ tiêu xã hội</t>
  </si>
  <si>
    <t>Tỷ lệ xã có nhà văn hóa</t>
  </si>
  <si>
    <t>Tỷ lệ tuyển quân đạt chỉ tiêu giao</t>
  </si>
  <si>
    <t>TỔNG DT GIEO TRỒNG CÂY HÀNG NĂM</t>
  </si>
  <si>
    <t xml:space="preserve">                  Sản lượng</t>
  </si>
  <si>
    <t>Đơn vị: UBND xã Diên Bình</t>
  </si>
  <si>
    <t>Đơn vị: UBND xã Pô Kô</t>
  </si>
  <si>
    <t>Đơn vị: UBND Thị trấn Đăk Tô</t>
  </si>
  <si>
    <t>Đơn vị: UBND xã Tân Cảnh</t>
  </si>
  <si>
    <t>Đơn vị: UBND xã Kon Đào</t>
  </si>
  <si>
    <t>Đơn vị: UBND xã Ngọc Tụ</t>
  </si>
  <si>
    <t>Đơn vị: UBND xã Đăk Rơ Nga</t>
  </si>
  <si>
    <t>Đơn vị: UBND xã Đăk Trăm</t>
  </si>
  <si>
    <t>Đơn vị: UBND xã Văn Lem</t>
  </si>
  <si>
    <t>Tỷ lệ lao động được đào tạo so với tổng số lao động</t>
  </si>
  <si>
    <t>Diện tích một số cây trồng chủ yếu</t>
  </si>
  <si>
    <t>Đánh bắt, nuôi trồng Thủy sản</t>
  </si>
  <si>
    <t>Tỷ lệ trạm y tế đạt chuẩn quốc gia theo bộ tiêu chí quốc gia về y tế xã</t>
  </si>
  <si>
    <t>- Năng suất</t>
  </si>
  <si>
    <t>- Sản lượng</t>
  </si>
  <si>
    <t>Cây mía tổng số</t>
  </si>
  <si>
    <t xml:space="preserve">  Trong đó: Rau đậu vụ đông xuân</t>
  </si>
  <si>
    <t xml:space="preserve">   * Rau đậu vụ mùa</t>
  </si>
  <si>
    <t xml:space="preserve">                Sản  lượng</t>
  </si>
  <si>
    <t xml:space="preserve">                DT phá bỏ</t>
  </si>
  <si>
    <t>Đàn trâu</t>
  </si>
  <si>
    <t>Đàn bò</t>
  </si>
  <si>
    <t>Đàn heo</t>
  </si>
  <si>
    <t>Thủy sản</t>
  </si>
  <si>
    <t>Diện tích thủy sản</t>
  </si>
  <si>
    <t>Sản lượng thủy sản</t>
  </si>
  <si>
    <t xml:space="preserve"> - Sản lượng nuôi trồng</t>
  </si>
  <si>
    <t xml:space="preserve"> - Sản lượng khai thác</t>
  </si>
  <si>
    <t>- Trồng rừng tập trung (trồng mới)</t>
  </si>
  <si>
    <t>Triệu đồng</t>
  </si>
  <si>
    <t>Thu chi ngân sách nhà nước</t>
  </si>
  <si>
    <t>Sản phẩm công nghiệp chủ yếu</t>
  </si>
  <si>
    <t>Đá xây dựng</t>
  </si>
  <si>
    <t>Tinh bột sắn</t>
  </si>
  <si>
    <t>Cồn công nghiệp</t>
  </si>
  <si>
    <t>Điện sản xuất</t>
  </si>
  <si>
    <t xml:space="preserve">Điện thương phẩm </t>
  </si>
  <si>
    <t>Dân số trung bình trong năm</t>
  </si>
  <si>
    <t>Cát, sỏi</t>
  </si>
  <si>
    <t xml:space="preserve"> Chia ra: </t>
  </si>
  <si>
    <t>Trung học phổ thông</t>
  </si>
  <si>
    <t>+ Mầm non</t>
  </si>
  <si>
    <t>+ Tiểu học (I)</t>
  </si>
  <si>
    <t>+ Trung học cơ sở (II)</t>
  </si>
  <si>
    <t>+ Trung học phổ thông (III)</t>
  </si>
  <si>
    <t>+ Trung học cơ sở + phổ thông (II+III)</t>
  </si>
  <si>
    <t>Tổng số trường đạt chuẩn quốc gia</t>
  </si>
  <si>
    <t>Trạm</t>
  </si>
  <si>
    <t>Y tế</t>
  </si>
  <si>
    <t>Tổng số giường bệnh</t>
  </si>
  <si>
    <t>Dân số, kế hoạch hóa gia đình</t>
  </si>
  <si>
    <t>Tổng số hộ đầu năm</t>
  </si>
  <si>
    <t>2.4</t>
  </si>
  <si>
    <t>Mức giảm tỷ lệ hộ nghèo trong năm (chuẩn mới)</t>
  </si>
  <si>
    <t>Số xã có nhà văn hóa trung tâm</t>
  </si>
  <si>
    <t>Số lao động nông thôn được đào tạo nghề trong năm (theo Quyết định số 1956/QĐ-TTg)</t>
  </si>
  <si>
    <t>&gt;2,49</t>
  </si>
  <si>
    <t>Trong đó: Thu ngân sách nhà nước trên địa bàn</t>
  </si>
  <si>
    <t>Số hộ trong năm</t>
  </si>
  <si>
    <t>Thực hiện năm 2016</t>
  </si>
  <si>
    <t xml:space="preserve">                  DT cho sản phẩm 2016</t>
  </si>
  <si>
    <t xml:space="preserve">                  DT cho trồng mới năm 2013</t>
  </si>
  <si>
    <t xml:space="preserve">                  DT cho trồng mới năm 2014</t>
  </si>
  <si>
    <t xml:space="preserve">                  DT năm 2009</t>
  </si>
  <si>
    <t>Phá bỏ năm 2015</t>
  </si>
  <si>
    <t>Phá bỏ năm 2016</t>
  </si>
  <si>
    <t>DT thu hoạch 2017</t>
  </si>
  <si>
    <t>Thực hiện năm 2015</t>
  </si>
  <si>
    <t>Trồng mới năm 2016</t>
  </si>
  <si>
    <t>Đàn trâu (TH 2016)</t>
  </si>
  <si>
    <t>Đàn bò (TH 2016)</t>
  </si>
  <si>
    <t>Đàn lợn (TH 2016)</t>
  </si>
  <si>
    <t>Đàn gia cầm (TH 2016)</t>
  </si>
  <si>
    <t>Mức giảm tỷ lệ hộ nghèo trong năm</t>
  </si>
  <si>
    <t>- Số xã, thị trấn triển khai chương trình hành động vì trẻ em</t>
  </si>
  <si>
    <t>Tổng số xã, thị trấn của toàn huyện</t>
  </si>
  <si>
    <t>- Số xã đặc biệt khó khăn (theo tiêu chuẩn của Chương trình 135)</t>
  </si>
  <si>
    <t xml:space="preserve">Cung cấp các dịch vụ cơ sở hạ tầng thiết yếu </t>
  </si>
  <si>
    <t>- Đá xây dựng</t>
  </si>
  <si>
    <t>- Cát, sỏi</t>
  </si>
  <si>
    <t>- Tinh bột sắn</t>
  </si>
  <si>
    <t>- Cồn công nghiệp</t>
  </si>
  <si>
    <t>Số thôn, khối phố đạt tiêu chuẩn văn hoá</t>
  </si>
  <si>
    <t>Tỷ lệ thôn, khối phố đạt tiêu chuẩn văn hoá</t>
  </si>
  <si>
    <t>Đơn vị: UBND thị trấn Đăk Tô</t>
  </si>
  <si>
    <t>Kế hoạch năm 2018</t>
  </si>
  <si>
    <t>&gt;3</t>
  </si>
  <si>
    <t>Tổng số học sinh đầu năm học</t>
  </si>
  <si>
    <t>Huy động HS ra lớp các cấp học</t>
  </si>
  <si>
    <t>THCS</t>
  </si>
  <si>
    <t>Tỷ lệ tăng dân số tự nhiên</t>
  </si>
  <si>
    <t>Tỷ lệ lao động qua đào tạo</t>
  </si>
  <si>
    <t>Trong đó: Lao động qua đào tạo nghề</t>
  </si>
  <si>
    <t>Tỷ lệ hộ nghèo</t>
  </si>
  <si>
    <t>Giải quyết việc làm cho số lao động/năm</t>
  </si>
  <si>
    <t>Lao động</t>
  </si>
  <si>
    <t>Tổng số trường học</t>
  </si>
  <si>
    <t>Trong đó: Nhà trẻ</t>
  </si>
  <si>
    <t>(Kèm theo báo cáo số          /BC-UBND, ngày             tháng       năm 2017 của UBND huyện Đăk Tô)</t>
  </si>
  <si>
    <t xml:space="preserve">Tổng DT gieo trồng </t>
  </si>
  <si>
    <t>Cây có hạt chứa dầu (lạc)</t>
  </si>
  <si>
    <t>Hoa cây cảnh</t>
  </si>
  <si>
    <t>Cây làm thức ăn gia súc (cỏ voi)</t>
  </si>
  <si>
    <t>Cây điều</t>
  </si>
  <si>
    <t>Hồ tiêu</t>
  </si>
  <si>
    <t>Chè búp</t>
  </si>
  <si>
    <t>Cây gia vị (ca ri)</t>
  </si>
  <si>
    <t>Cây mác ca</t>
  </si>
  <si>
    <t>Cây lâu năm khác (điều, hồ tiêu, mác ca…)</t>
  </si>
  <si>
    <t>Cây hàng năm khác (lạc, cây cảnh, cỏ voi…)</t>
  </si>
  <si>
    <t>Tỷ lệ trẻ em dưới 5 tuổi bị suy dinh dưỡng (chiều cao theo tuổi)</t>
  </si>
  <si>
    <t>Tỷ lệ trẻ em dưới 5 tuổi bị suy dinh dưỡng (cân nặng theo tuổi)</t>
  </si>
  <si>
    <t>Thực hiện 2017</t>
  </si>
  <si>
    <t>Thực hiện năm 2017</t>
  </si>
  <si>
    <t>Sinh trong năm 2018</t>
  </si>
  <si>
    <t>Chết trong năm 2018</t>
  </si>
  <si>
    <t>Đi trong năm 2018</t>
  </si>
  <si>
    <t>Đến trong năm 2018</t>
  </si>
  <si>
    <t>a1</t>
  </si>
  <si>
    <t>a2</t>
  </si>
  <si>
    <t>a3</t>
  </si>
  <si>
    <t>b1</t>
  </si>
  <si>
    <t>b2</t>
  </si>
  <si>
    <t xml:space="preserve">                 Trong đó: công lập</t>
  </si>
  <si>
    <t>Thôn, khối</t>
  </si>
  <si>
    <t xml:space="preserve">VĂN HOÁ </t>
  </si>
  <si>
    <t>Kế hoạch 
năm 2018</t>
  </si>
  <si>
    <t>Tổng số gường bệnh</t>
  </si>
  <si>
    <t xml:space="preserve">                 Trong đó: Điều tiết huyện hưởng</t>
  </si>
  <si>
    <t>TH năm 2017</t>
  </si>
  <si>
    <t xml:space="preserve">                             Trong đó: + Do huyện quản lý</t>
  </si>
  <si>
    <t>Trong đó: + Công lập</t>
  </si>
  <si>
    <t xml:space="preserve">      Trong đó: + Huyện quản lý</t>
  </si>
  <si>
    <t xml:space="preserve">                      Trong đó: + Công lập:</t>
  </si>
  <si>
    <t>Bổ túc văn hóa</t>
  </si>
  <si>
    <t xml:space="preserve">      Trong đó: + Công lập</t>
  </si>
  <si>
    <t>So sánh TH/KH (%)</t>
  </si>
  <si>
    <t>Diện tích cây hàng năm</t>
  </si>
  <si>
    <t>Lúa cả năm</t>
  </si>
  <si>
    <t>- Lúa Đông xuân</t>
  </si>
  <si>
    <t>- Lúa vụ mùa</t>
  </si>
  <si>
    <t>+ Lúa ruộng</t>
  </si>
  <si>
    <t>Ngô cả năm</t>
  </si>
  <si>
    <t xml:space="preserve">Cây cà phê </t>
  </si>
  <si>
    <t xml:space="preserve">Cây cao su </t>
  </si>
  <si>
    <t>Tổng đàn gia súc</t>
  </si>
  <si>
    <t>Cây công nghiệp</t>
  </si>
  <si>
    <t>Giá trị sản xuất (giá cố định 2010)</t>
  </si>
  <si>
    <t>Thương mại</t>
  </si>
  <si>
    <t>Trạm y tế đạt chuẩn quốc gia</t>
  </si>
  <si>
    <t>Tỷ lệ trạm y tế đạt chuẩn quốc gia</t>
  </si>
  <si>
    <t>6=4/5</t>
  </si>
  <si>
    <t>PHẦN HAI: VĂN HOÁ - XÃ HỘI</t>
  </si>
  <si>
    <t>Trong đó: Điều tiết huyện hưởng</t>
  </si>
  <si>
    <t>+ Lúa nà,rẫy</t>
  </si>
  <si>
    <t>- Ngô vụ xuân</t>
  </si>
  <si>
    <t>- Ngô vụ mùa</t>
  </si>
  <si>
    <t>* Rau đậu vụ đông xuân</t>
  </si>
  <si>
    <t>* Rau đậu vụ mùa</t>
  </si>
  <si>
    <t>Phụ lục</t>
  </si>
  <si>
    <t>(Kèm theo Báo cáo số       /BC-UBND, ngày        tháng    năm 2018 của UBND huyện Đăk Tô)</t>
  </si>
  <si>
    <t>Trong đó: Thu trên địa bàn</t>
  </si>
  <si>
    <t xml:space="preserve">        Điều tiết được hưởng</t>
  </si>
  <si>
    <t>6=5/4</t>
  </si>
  <si>
    <t>1000 Kw/h</t>
  </si>
  <si>
    <t>ƯỚC KINH TẾ XÃ HỘI QUÝ I NĂM 2018</t>
  </si>
  <si>
    <t xml:space="preserve">Phát thanh truyền hình </t>
  </si>
  <si>
    <t xml:space="preserve">                DT phá bỏ (Kon Đào)</t>
  </si>
  <si>
    <t>Kế hoạch</t>
  </si>
  <si>
    <t>Cùng kỳ</t>
  </si>
  <si>
    <t>Thực hiện kỳ trước 
(QI- 2017)</t>
  </si>
  <si>
    <t>Ước thực hiện kỳ báo cáo 
(QI-2018)</t>
  </si>
  <si>
    <t xml:space="preserve">                Sản lượng</t>
  </si>
  <si>
    <t>So sánh (%)</t>
  </si>
  <si>
    <t>Biểu số 01</t>
  </si>
  <si>
    <t>Thực hiện 31/3/2018</t>
  </si>
  <si>
    <t>Ước 6 tháng năm 2018</t>
  </si>
  <si>
    <t>Thực hiện 6 tháng 2017</t>
  </si>
  <si>
    <t>8=7/4</t>
  </si>
  <si>
    <t>9=7/5</t>
  </si>
  <si>
    <t>Bảo vệ quyền lợi trẻ em</t>
  </si>
  <si>
    <t>Số xã, phương, thị trấn đạt tiêu chuẩn phù hợp với trẻ em</t>
  </si>
  <si>
    <t>Tỷ lệ trẻ em có hoàn cảnh ĐBKK được bảo vệ chăm sóc</t>
  </si>
  <si>
    <t>xã, phường, thị trấn</t>
  </si>
  <si>
    <t>Tạo việc làm thông qua CT vay vốn GQVL</t>
  </si>
  <si>
    <t>Xuất khẩu lao động</t>
  </si>
  <si>
    <t>Huy động học sinh ra lớp năm học 2017-2018</t>
  </si>
  <si>
    <t>Du lịch</t>
  </si>
  <si>
    <t>Tổng lượt khách</t>
  </si>
  <si>
    <t>Trong đó: khách quốc tế</t>
  </si>
  <si>
    <t>Tổng doanh thu</t>
  </si>
  <si>
    <t>Công suất sử dụng phòng</t>
  </si>
  <si>
    <t>Lượt</t>
  </si>
  <si>
    <t>Chăm sóc rừng trồng</t>
  </si>
  <si>
    <t>Khai thác gỗ</t>
  </si>
  <si>
    <t>m3</t>
  </si>
  <si>
    <t>Cây khác</t>
  </si>
  <si>
    <t>Số bác sỹ</t>
  </si>
  <si>
    <t>Bác sỹ</t>
  </si>
  <si>
    <t>Trồng rừng tập trung</t>
  </si>
  <si>
    <t>PHẦN BA:
QUỐC PHÒNG AN NINH</t>
  </si>
  <si>
    <t>Vụ mùa</t>
  </si>
  <si>
    <t>Vụ Đông xuân</t>
  </si>
  <si>
    <t>Ước tháng
 04/2018</t>
  </si>
  <si>
    <t>Tổng số học sinh</t>
  </si>
  <si>
    <t>Diện tích cây hàng năm (Vụ Đông Xuân)</t>
  </si>
  <si>
    <t>Cây sắn (chuẩn bị đất xuống giống)</t>
  </si>
  <si>
    <t>ƯỚC KINH TẾ XÃ HỘI THÁNG 4/2018</t>
  </si>
  <si>
    <t>ƯỚC THỰC HIỆN MỘT SỐ CHỈ TIÊU KINH TẾ - XÃ HỘI 6 THÁNG ĐẦU NĂM 2018</t>
  </si>
  <si>
    <t>Ước tháng
 05/2018</t>
  </si>
  <si>
    <t>IIII</t>
  </si>
  <si>
    <t>ƯỚC KINH TẾ XÃ HỘI THÁNG 5/2018</t>
  </si>
  <si>
    <t>Năm 2018</t>
  </si>
  <si>
    <t>Ước thực hiện cả năm</t>
  </si>
  <si>
    <t>Kế hoạch 2019</t>
  </si>
  <si>
    <t>Ước thực hiện 2018 so với thực hiện 2017 (%)</t>
  </si>
  <si>
    <t>Kế hoạch 2019 so với ước thực hiện 2018 (%)</t>
  </si>
  <si>
    <t>10=9/8</t>
  </si>
  <si>
    <t>KH 2019/ ước TH 2018 (%)</t>
  </si>
  <si>
    <t>Huyện Đăk Tô</t>
  </si>
  <si>
    <t>Biểu số 1</t>
  </si>
  <si>
    <t>CÁC CHỈ TIÊU KINH TẾ TỔNG HỢP</t>
  </si>
  <si>
    <t>TT</t>
  </si>
  <si>
    <t>Đơn vị</t>
  </si>
  <si>
    <t>Thực hiện  2017</t>
  </si>
  <si>
    <t>Tổng mức bán lẻ hàng hoá và doanh thu dịch vụ tiêu dùng trên địa bàn</t>
  </si>
  <si>
    <t>Thu Ngân sách Nhà nước trên địa bàn (không bao gồm số bổ sung từ NSTW)</t>
  </si>
  <si>
    <t>Thu thuế xuất, nhập khẩu</t>
  </si>
  <si>
    <t>Thu nội địa</t>
  </si>
  <si>
    <t>+ Thu từ kinh tế Trung ương</t>
  </si>
  <si>
    <t>+ Thu quốc doanh địa phương</t>
  </si>
  <si>
    <t>+ Thu ngoài quốc doanh</t>
  </si>
  <si>
    <t>+ Thu từ khu vực có vốn đầu tư nước ngoài</t>
  </si>
  <si>
    <t>Ngân sách Trung ương bổ sung cho ngân sách địa phương (hoặc điều tiết về Ngân sách Trung ương)</t>
  </si>
  <si>
    <t>Chi ngân sách địa phương</t>
  </si>
  <si>
    <t>a)</t>
  </si>
  <si>
    <t>Chi đầu tư phát triển do địa phương quản lý</t>
  </si>
  <si>
    <t>Vốn cân đối ngân sách địa phương</t>
  </si>
  <si>
    <t>+ Đầu tư từ nguồn thu tiền sử dụng đất</t>
  </si>
  <si>
    <t>+ Thu từ xổ số kiến thiết</t>
  </si>
  <si>
    <t>Hỗ trợ đầu tư theo các chương trình mục tiêu, chương trình mục tiêu quốc gia từ Ngân sách Trung ương</t>
  </si>
  <si>
    <t>Nguồn ngân sách khác</t>
  </si>
  <si>
    <t>b)</t>
  </si>
  <si>
    <t>Chi thường xuyên</t>
  </si>
  <si>
    <t>Tổng vốn đầu tư phát triển trên địa bàn</t>
  </si>
  <si>
    <t>Trung ương quản lý</t>
  </si>
  <si>
    <t>Địa phương quản lý</t>
  </si>
  <si>
    <t>Biểu số 2</t>
  </si>
  <si>
    <t>CÁC CHỈ TIÊU NÔNG NGHIỆP, CÔNG NGHIỆP, DỊCH VỤ, XUẤT NHẬP KHẨU</t>
  </si>
  <si>
    <t>NÔNG, LÂM NGHIỆP VÀ THUỶ SẢN</t>
  </si>
  <si>
    <t>Năng suất, sản lượng một số cây trồng chủ  yếu trên địa bàn</t>
  </si>
  <si>
    <t>Lúa cả năm:</t>
  </si>
  <si>
    <t>Ngô:</t>
  </si>
  <si>
    <t>c)</t>
  </si>
  <si>
    <t>Một số cây lâu năm:</t>
  </si>
  <si>
    <t>+</t>
  </si>
  <si>
    <t>Cà phê</t>
  </si>
  <si>
    <t>Cao su</t>
  </si>
  <si>
    <t>Sản phẩm chăn nuôi chủ yếu</t>
  </si>
  <si>
    <t>Thịt hơi các loại</t>
  </si>
  <si>
    <t xml:space="preserve">  Trong đó: Thịt lợn</t>
  </si>
  <si>
    <t>Diện tích rừng trồng mới tập trung</t>
  </si>
  <si>
    <t>Tỷ lệ che phủ rừng</t>
  </si>
  <si>
    <t>Sản lượng khai thác</t>
  </si>
  <si>
    <t>Sản lượng nuôi trồng</t>
  </si>
  <si>
    <t>Phát triển nông thôn</t>
  </si>
  <si>
    <t>Tỷ lệ dân số nông thôn được sử dụng nước hợp vệ sinh</t>
  </si>
  <si>
    <t>Số tiêu chí nông thôn mới bình quân đạt được bình quân/xã</t>
  </si>
  <si>
    <t>Tiêu chí</t>
  </si>
  <si>
    <t>Số xã đạt chuẩn nông thôn mới</t>
  </si>
  <si>
    <t>xã</t>
  </si>
  <si>
    <t>Tỷ lệ số xã đạt chuẩn nông thôn mới</t>
  </si>
  <si>
    <t>Giá trị sản xuất công nghiệp  theo giá so sánh năm 2010</t>
  </si>
  <si>
    <t>Triệu đồng</t>
  </si>
  <si>
    <t>Một số sản phẩm chủ yếu:</t>
  </si>
  <si>
    <t>DỊCH VỤ</t>
  </si>
  <si>
    <t>Tổng mức bán lẻ hàng hoá và doanh thu dịch vụ tiêu dùng (giá hiện hành)</t>
  </si>
  <si>
    <t>Biểu số 3</t>
  </si>
  <si>
    <t>CÁC CHỈ TIÊU XÃ HỘI</t>
  </si>
  <si>
    <t>DÂN SỐ</t>
  </si>
  <si>
    <t>Trong đó: Dân số nông thôn</t>
  </si>
  <si>
    <t>Dân số là dân tộc thiểu số</t>
  </si>
  <si>
    <t>Tuổi thọ trung bình</t>
  </si>
  <si>
    <t>Tuổi</t>
  </si>
  <si>
    <t>Tỷ số giới tính của trẻ em mới sinh</t>
  </si>
  <si>
    <t>Số bé trai/ 100 bé gái</t>
  </si>
  <si>
    <t>LAO ĐỘNG VÀ VIỆC LÀM</t>
  </si>
  <si>
    <t>Tổng số lao động đang làm việc</t>
  </si>
  <si>
    <t>Số lao động đi làm việc ở nước ngoài theo hợp đồng</t>
  </si>
  <si>
    <t>Số hộ nghèo</t>
  </si>
  <si>
    <t>Số hộ thiếu đói trong năm</t>
  </si>
  <si>
    <t>Mức giảm tỷ lệ hộ nghèo</t>
  </si>
  <si>
    <t>Số hộ cận nghèo</t>
  </si>
  <si>
    <t>Tỷ lệ hộ cận nghèo</t>
  </si>
  <si>
    <t>Số hộ thoát nghèo</t>
  </si>
  <si>
    <t>Số hộ tái nghèo</t>
  </si>
  <si>
    <t>CUNG CẤP CÁC DỊCH VỤ CƠ SỞ HẠ TẦNG THIẾT YẾU</t>
  </si>
  <si>
    <t>+ Số xã đặc biệt khó khăn (theo tiêu chuẩn của Chương trình 135)</t>
  </si>
  <si>
    <t>+ Số xã biên giới (nếu có)</t>
  </si>
  <si>
    <t>+ Số xã bãi ngang (nếu có)</t>
  </si>
  <si>
    <t>+ Số xã có đường ô tô đến trung tâm</t>
  </si>
  <si>
    <t>+ Tỷ lệ xã có đường ô tô đến trung tâm</t>
  </si>
  <si>
    <t>+ Số xã có trạm y tế</t>
  </si>
  <si>
    <t>+ Tỷ lệ xã có trạm y tế</t>
  </si>
  <si>
    <t>+ Số xã phường có nhà văn hoá, thư viện</t>
  </si>
  <si>
    <t>Xã, phường</t>
  </si>
  <si>
    <t>+ Số xã có bưu điện văn hoá xã</t>
  </si>
  <si>
    <t>+ Tỷ lệ xã có bưu điện văn hoá xã</t>
  </si>
  <si>
    <t>+ Số xã có chợ xã, liên xã</t>
  </si>
  <si>
    <t>+ Tỷ lệ xã có chợ xã, liên xã</t>
  </si>
  <si>
    <t>Số hộ được sử dụng điện</t>
  </si>
  <si>
    <t>Tỷ lệ hộ được sử dụng điện</t>
  </si>
  <si>
    <t>Số hộ được sử dụng nước hợp vệ sinh</t>
  </si>
  <si>
    <t>Tỷ lệ hộ được sử dụng nước hợp vệ sinh</t>
  </si>
  <si>
    <t xml:space="preserve">  Trong đó:</t>
  </si>
  <si>
    <t xml:space="preserve">  + Khu vực thành thị</t>
  </si>
  <si>
    <t xml:space="preserve">  + Khu vực nông thôn</t>
  </si>
  <si>
    <t>Y TẾ - XÃ HỘI</t>
  </si>
  <si>
    <t>Số người tham gia bảo hiểm xã hội bắt buộc</t>
  </si>
  <si>
    <t>Số giường bệnh/1 vạn dân (không tính giường trạm y tế xã)</t>
  </si>
  <si>
    <t>Số bác sỹ/1 vạn dân</t>
  </si>
  <si>
    <t>Tỷ lệ trạm y tế xã, phường, thị trấn có bác sỹ làm việc</t>
  </si>
  <si>
    <t>Tỷ lệ xã đạt tiêu chí quốc gia về y tế</t>
  </si>
  <si>
    <t>Tỷ suất tử vong trẻ em dưới 1 tuổi</t>
  </si>
  <si>
    <t>‰</t>
  </si>
  <si>
    <t>Tỷ lệ tử vong của trẻ em dưới 5 tuổi</t>
  </si>
  <si>
    <t xml:space="preserve">Tỷ lệ trẻ em dưới 5 tuổi suy dinh dưỡng (cân nặng theo tuổi) </t>
  </si>
  <si>
    <t>Số xã, phường, thị trấn đạt tiêu chuẩn phù hợp với trẻ em</t>
  </si>
  <si>
    <t>xã, phường</t>
  </si>
  <si>
    <t>Tỷ lệ xã, phường, thị trấn đạt tiêu chuẩn xã, phường phù hợp với trẻ em</t>
  </si>
  <si>
    <t>VĂN HOÁ</t>
  </si>
  <si>
    <t>- Thời lượng phát thanh bằng tiếng dân tộc</t>
  </si>
  <si>
    <t>Giờ/năm</t>
  </si>
  <si>
    <t>- Số hộ xem được Đài Truyền hình  Việt Nam</t>
  </si>
  <si>
    <t>- Tỷ lệ hộ xem được Đài Truyền hình Việt Nam</t>
  </si>
  <si>
    <t>- Số hộ nghe được Đài Tiếng nói Việt Nam</t>
  </si>
  <si>
    <t>- Tỷ lệ hộ nghe được Đài Tiếng nói Việt Nam</t>
  </si>
  <si>
    <t>GIÁO DỤC VÀ ĐÀO TẠO</t>
  </si>
  <si>
    <t>- Tổng số học sinh đầu năm học</t>
  </si>
  <si>
    <t xml:space="preserve">  + Mẫu giáo</t>
  </si>
  <si>
    <t xml:space="preserve">  + Tiểu học</t>
  </si>
  <si>
    <t xml:space="preserve">  + Trung học cơ sở</t>
  </si>
  <si>
    <t xml:space="preserve">  + Trung học phổ thông</t>
  </si>
  <si>
    <t>- Tỷ lệ trẻ em trong độ tuổi đi học mẫu giáo</t>
  </si>
  <si>
    <t>- Tỷ lệ học sinh đi học đúng độ tuổi:</t>
  </si>
  <si>
    <t>Biểu số 4</t>
  </si>
  <si>
    <t>CÁC CHỈ TIÊU MÔI TRƯỜNG VÀ PHÁT TRIỂN BỀN VỮNG</t>
  </si>
  <si>
    <t>Tỷ lệ chất thải rắn ở đô thị được thu gom</t>
  </si>
  <si>
    <t>Số cơ sở gây ô nhiễm môi trường nghiêm trọng được xử lý  (*)</t>
  </si>
  <si>
    <t>Số khu công nghiệp, khu chế xuất đang hoạt động</t>
  </si>
  <si>
    <t>Khu</t>
  </si>
  <si>
    <t>Số khu công nghiệp, khu chế xuất đang hoạt động có hệ thống xử lý nước thải tập trung đạt tiêu chuẩn môi trường</t>
  </si>
  <si>
    <t>Ghi chú: (*) Giai đoạn 2011-2015 thực hiện theo Quyết định số 64/2003/QĐ-TTg; giai đoạn 2016-2020 thực hiện theo Quyết định số 1788/QĐ-TTg ngày 01/10/2013 của Thủ tướng Chính phủ</t>
  </si>
  <si>
    <t>Biểu số 5</t>
  </si>
  <si>
    <t>CÁC CHỈ TIÊU PHÁT TRIỂN DOANH NGHIỆP VÀ KINH TẾ TẬP THỂ</t>
  </si>
  <si>
    <t>PHÁT TRIỂN DOANH NGHIỆP</t>
  </si>
  <si>
    <t>Doanh nghiệp 100% vốn nhà nước (DNNN)</t>
  </si>
  <si>
    <t>Số lượng doanh nghiệp</t>
  </si>
  <si>
    <t>Doanh nghiệp</t>
  </si>
  <si>
    <t>Tổng vốn chủ sở hữu tại doanh nghiệp</t>
  </si>
  <si>
    <t>Nộp ngân sách nhà nước</t>
  </si>
  <si>
    <t>Tổng lợi nhuận</t>
  </si>
  <si>
    <t>Hình thức sắp xếp doanh nghiệp</t>
  </si>
  <si>
    <t>- Số doanh nghiệp giữ nguyên 100% vốn nhà nước</t>
  </si>
  <si>
    <t>- Số doanh nghiệp thực hiện cổ phần hóa</t>
  </si>
  <si>
    <t>- Số doanh nghiệp sắp xếp theo hình thức khác (bán, hợp nhất, sáp nhập,…)</t>
  </si>
  <si>
    <t>Doanh nghiệp ngoài nhà nước</t>
  </si>
  <si>
    <t>Số doanh nghiệp đang hoạt động (lũy kế đến kỳ báo cáo)</t>
  </si>
  <si>
    <t>Trong đó: Số doanh nghiệp có phần vốn của nhà nước</t>
  </si>
  <si>
    <t>Số doanh nghiệp tư nhân trong nước đăng ký thành lập mới</t>
  </si>
  <si>
    <t>Tổng số vốn đăng ký của doanh nghiệp tư nhân trong nước</t>
  </si>
  <si>
    <t>Trong đó: Tổng vốn nhà nước đầu tư tại doanh nghiệp có phần vốn của nhà nước</t>
  </si>
  <si>
    <t>Số doanh nghiệp giải thể, ngừng hoạt động</t>
  </si>
  <si>
    <t>Số doanh nghiệp kinh doanh có lãi</t>
  </si>
  <si>
    <t>Số doanh nghiệp kinh doanh lỗ</t>
  </si>
  <si>
    <t>Tổng số lao động trong doanh nghiệp</t>
  </si>
  <si>
    <t>Thu nhập bình quân người lao động</t>
  </si>
  <si>
    <t>Tổng vốn đầu tư thực hiện</t>
  </si>
  <si>
    <t>Trong đó: Tổng vốn đầu tư thực hiện của doanh nghiệp có vốn nhà nước</t>
  </si>
  <si>
    <t>Tổng tài sản</t>
  </si>
  <si>
    <t>Tổng vốn chủ sở hữu</t>
  </si>
  <si>
    <t>Tổng lỗ</t>
  </si>
  <si>
    <t>Tổng đóng góp ngân sách nhà nước</t>
  </si>
  <si>
    <t>Tổng ngân sách nhà nước hỗ trợ doanh nghiệp nhỏ và vừa</t>
  </si>
  <si>
    <t>PHÁT TRIỂN KINH TẾ TẬP THỂ</t>
  </si>
  <si>
    <t>Hợp tác xã</t>
  </si>
  <si>
    <t>Số hợp tác xã thành lập mới</t>
  </si>
  <si>
    <t>Số hợp tác xã giải thể</t>
  </si>
  <si>
    <t>Tổng số thành viên hợp tác xã</t>
  </si>
  <si>
    <t>Tổng số lao động trong hợp tác xã</t>
  </si>
  <si>
    <t>Trong đó: Số lao động là thành viên hợp tác xã</t>
  </si>
  <si>
    <t>Tổng doanh thu của hợp tác xã</t>
  </si>
  <si>
    <t>Trong đó: doanh thu của HTX từ thành viên</t>
  </si>
  <si>
    <t>Thu nhập bình quân người lao động hợp tác xã</t>
  </si>
  <si>
    <t>Liên hiệp hợp tác xã</t>
  </si>
  <si>
    <t>Tổng số liên hiệp hợp tác xã</t>
  </si>
  <si>
    <t>Trong đó: Số liên hiệp hợp tác xã thành lập mới</t>
  </si>
  <si>
    <t xml:space="preserve">Tổ hợp tác </t>
  </si>
  <si>
    <t>Tổng số tổ hợp tác</t>
  </si>
  <si>
    <t>Tổ hợp tác</t>
  </si>
  <si>
    <t>Trong đó: Số tổ hợp tác đăng ký chứng thực</t>
  </si>
  <si>
    <t xml:space="preserve">Tổng số thành viên tổ hợp tác </t>
  </si>
  <si>
    <t>Thành viên</t>
  </si>
  <si>
    <r>
      <t xml:space="preserve">GIẢM NGHÈO 
</t>
    </r>
    <r>
      <rPr>
        <sz val="12"/>
        <rFont val="Times New Roman"/>
        <family val="1"/>
      </rPr>
      <t>(theo chuẩn nghèo tiếp cận đa chiều)</t>
    </r>
  </si>
  <si>
    <t>Ước 2018/ TH 2017 (%)</t>
  </si>
  <si>
    <t xml:space="preserve">           Trong đó: Nhà trẻ</t>
  </si>
  <si>
    <t xml:space="preserve">                          Trong đó: Công lập</t>
  </si>
  <si>
    <t>Tổng số xã của toàn huyện</t>
  </si>
  <si>
    <t>Tổng số hợp tác xã</t>
  </si>
  <si>
    <t>- Tỷ lệ che phủ rừng</t>
  </si>
  <si>
    <t>- Tổng diện tích tự nhiên</t>
  </si>
  <si>
    <t>- Diện tích đất có rừng</t>
  </si>
  <si>
    <t>Tổng số hộ của toàn huyện</t>
  </si>
  <si>
    <t>CHI TIẾT CÁC CHỈ TIÊU NÔNG NGHIỆP NĂM 2018 VÀ KẾ HOẠCH NĂM 2019</t>
  </si>
  <si>
    <t>Biểu số 2a</t>
  </si>
  <si>
    <t>ƯỚC KINH TẾ XÃ HỘI THÁNG 7/2018</t>
  </si>
  <si>
    <t>Ước tháng
 07/2018</t>
  </si>
  <si>
    <t>ƯỚC KINH TẾ XÃ HỘI THÁNG 8/2018</t>
  </si>
  <si>
    <t>Ước tháng
 08/2018</t>
  </si>
  <si>
    <t xml:space="preserve">               Phá bỏ</t>
  </si>
  <si>
    <t>Chanh dây tổng số</t>
  </si>
  <si>
    <t>Thực hiện 31/8/2018</t>
  </si>
  <si>
    <t>(Kèm theo báo cáo số          /BC-UBND, ngày             tháng       năm 2018 của UBND huyện Đăk Tô)</t>
  </si>
  <si>
    <t>Tỷ lệ dân cư nông thôn sử dụng nước hợp vệ sinh</t>
  </si>
  <si>
    <t>Thực hiện 9 tháng 2017</t>
  </si>
  <si>
    <t>Thực hiện 9 tháng 2018</t>
  </si>
  <si>
    <t>BÁO CÁO ƯỚC KINH TẾ - XÃ HỘI 9 THÁNG NĂM 2018</t>
  </si>
  <si>
    <t>TH/ KH năm 2018</t>
  </si>
  <si>
    <t>Thực hiện/ cùng kỳ 2017</t>
  </si>
  <si>
    <t>7=6/5</t>
  </si>
  <si>
    <t xml:space="preserve"> - Xoài</t>
  </si>
  <si>
    <t xml:space="preserve"> - Chuối</t>
  </si>
  <si>
    <t xml:space="preserve"> - Bơ</t>
  </si>
  <si>
    <t xml:space="preserve"> - Sầu riêng</t>
  </si>
  <si>
    <t xml:space="preserve"> - Cam</t>
  </si>
  <si>
    <t xml:space="preserve"> - Chanh</t>
  </si>
  <si>
    <t xml:space="preserve"> - Cây ăn quả có múi khác (Chanh dây)</t>
  </si>
  <si>
    <t>Xoài, cây AQ nhiệt đới,CNĐ</t>
  </si>
  <si>
    <t>Cam, quýt &amp; CL quả có múi khác</t>
  </si>
  <si>
    <t>e</t>
  </si>
  <si>
    <t>Táo, mận và CL quả có hạt</t>
  </si>
  <si>
    <t>Nhãn, vải, chôm chôm (nhãn)</t>
  </si>
  <si>
    <t>Cây ăn quả khác</t>
  </si>
  <si>
    <t>Tỷ lệ tham gia bảo hiểm xã hội</t>
  </si>
  <si>
    <t>Tỷ lệ tham gia bảo hiểm thất nghiệp</t>
  </si>
  <si>
    <t>Tỷ lệ tham gia bảo hiểm y tế</t>
  </si>
  <si>
    <t>(Kèm theo báo cáo số 270/BC-UBND, ngày 04 tháng 10 năm 2018 của UBND huyện Đăk Tô)</t>
  </si>
  <si>
    <t>Phụ lục 01</t>
  </si>
  <si>
    <t>TÌNH HÌNH THỰC HIỆN CÁC CHỈ TIÊU KINH TẾ - XÃ HỘI NĂM 2017, KẾ HOẠCH NĂM 2018</t>
  </si>
  <si>
    <t>Các chỉ tiêu (theo KH giao)</t>
  </si>
  <si>
    <t>KH năm 2018</t>
  </si>
  <si>
    <t>5=4/1</t>
  </si>
  <si>
    <t>6=3/2</t>
  </si>
  <si>
    <t>7=4/2</t>
  </si>
  <si>
    <t>Tổng sản phẩm (GDP)</t>
  </si>
  <si>
    <t>Nông, lâm, thuỷ sản</t>
  </si>
  <si>
    <t xml:space="preserve">Công nghiệp, xây dựng </t>
  </si>
  <si>
    <t>Thương mại - dịch vụ</t>
  </si>
  <si>
    <t>Cơ cấu tổng sản phẩm theo ngành</t>
  </si>
  <si>
    <t>Thu nhập bình quân đầu người</t>
  </si>
  <si>
    <t>Tr.đ</t>
  </si>
  <si>
    <t>Tổng thu ngân sách địa phương</t>
  </si>
  <si>
    <t>Trong đó: Thu NSNN tại địa bàn (bao gồm ghi thu, ghi chi quản lý qua ngân sách)</t>
  </si>
  <si>
    <t>Tổng chi ngân sách địa phương</t>
  </si>
  <si>
    <t>- Chi cân đối NSĐP</t>
  </si>
  <si>
    <t>Chi đầu tư phát triển</t>
  </si>
  <si>
    <t>Chi dự phòng</t>
  </si>
  <si>
    <t>50% tăng thu so DT cân đối lương</t>
  </si>
  <si>
    <t>- Chi nguồn TW bổ sung có mục tiêu</t>
  </si>
  <si>
    <t>BS có mục tiêu vốn ĐTPT</t>
  </si>
  <si>
    <t>BS có mục tiêu kinh phí sự nghiệp</t>
  </si>
  <si>
    <t>- Các khoản chi bố trí theo số thực thu</t>
  </si>
  <si>
    <t>- Các khoản ghi chi theo chế độ (viện phí, học phí, phạt ATGT...)</t>
  </si>
  <si>
    <t>SLLT/người</t>
  </si>
  <si>
    <t>Tổng mức bán lẻ hàng hoá và doanh thu dịch vụ (giá hiện hành)</t>
  </si>
  <si>
    <t>Các chỉ tiêu văn hóa - xã hội</t>
  </si>
  <si>
    <t>Dân số, y tế</t>
  </si>
  <si>
    <t>Quy mô trung bình</t>
  </si>
  <si>
    <t>Tuổi thọ trung bình của người dân</t>
  </si>
  <si>
    <t>Xã đạt bộ tiêu chí QG về y tế xã</t>
  </si>
  <si>
    <t>Trẻ em dưới 5 tuổi suy dinh dưỡng</t>
  </si>
  <si>
    <t>Xây dựng trường chuẩn quốc gia</t>
  </si>
  <si>
    <t>TH</t>
  </si>
  <si>
    <t>THPT</t>
  </si>
  <si>
    <t>Lao động, thương binh và xã hội</t>
  </si>
  <si>
    <t>Giải quyết v.làm cho số lao động/năm</t>
  </si>
  <si>
    <t>Xã đạt chuẩn nông thôn mới</t>
  </si>
  <si>
    <t>Văn hóa - thể thao</t>
  </si>
  <si>
    <t>Xã có thiết chế văn hóa - thể thao</t>
  </si>
  <si>
    <t>Tỷ lệ khu dân cư đạt tiêu chuẩn văn hóa</t>
  </si>
  <si>
    <t>Tỷ lệ gia đình văn hóa</t>
  </si>
  <si>
    <t>Các chỉ tiêu môi trường</t>
  </si>
  <si>
    <t>Tỷ lệ độ che phủ rừng</t>
  </si>
  <si>
    <t>Tỷ lệ hộ nông thôn có công trình vệ sinh hợp vệ sinh</t>
  </si>
  <si>
    <t>(Kèm theo Báo cáo số           /BC-UBND, ngày    tháng 10 năm 2018 của UBND huyện Đăk Tô)</t>
  </si>
  <si>
    <t>TH 8 tháng năm 2018</t>
  </si>
  <si>
    <t>Ước TH năm 2018</t>
  </si>
  <si>
    <t>TH 8 tháng với KH 2018</t>
  </si>
  <si>
    <t>KH năm 2019</t>
  </si>
  <si>
    <t>Phụ lục 04</t>
  </si>
  <si>
    <t>SẢN XUẤT NÔNG NGHIỆP - THỦY SẢN</t>
  </si>
  <si>
    <t>Cây hàng năm</t>
  </si>
  <si>
    <t>Tổng sản lượng cây lương thực có hạt</t>
  </si>
  <si>
    <t>Trong đó: Thóc</t>
  </si>
  <si>
    <t>Một số cây trồng chính</t>
  </si>
  <si>
    <t>- Lúa Mùa</t>
  </si>
  <si>
    <t xml:space="preserve">               + Lúa mùa</t>
  </si>
  <si>
    <t xml:space="preserve">                Năng suất </t>
  </si>
  <si>
    <t xml:space="preserve">               + Lúa nà, thổ</t>
  </si>
  <si>
    <t>Ngô</t>
  </si>
  <si>
    <t>Sắn</t>
  </si>
  <si>
    <t>Mía tổng số</t>
  </si>
  <si>
    <t>Trong đó: Trồng mở rộng</t>
  </si>
  <si>
    <t>Cà phê tổng số</t>
  </si>
  <si>
    <t>Trong đó: - Trồng mới</t>
  </si>
  <si>
    <t xml:space="preserve">                 - Kinh doanh </t>
  </si>
  <si>
    <t>Cao su tổng số</t>
  </si>
  <si>
    <t>Tổng số đàn trâu</t>
  </si>
  <si>
    <t>Tổng số đàn bò</t>
  </si>
  <si>
    <t>Tổng số đàn heo</t>
  </si>
  <si>
    <t>Diện tích nuôi trồng thuỷ sản</t>
  </si>
  <si>
    <t xml:space="preserve">       Nuôi ao cá</t>
  </si>
  <si>
    <t xml:space="preserve">       Nuôi hồ chứa</t>
  </si>
  <si>
    <t>Lồng</t>
  </si>
  <si>
    <t>Sản lượng thuỷ sản</t>
  </si>
  <si>
    <t xml:space="preserve">       Sản lượng nuôi trồng</t>
  </si>
  <si>
    <t xml:space="preserve">       Sản lượng khai thác tự nhiên</t>
  </si>
  <si>
    <t xml:space="preserve">       Nuôi cá lồng</t>
  </si>
  <si>
    <t>BÁO CÁO ƯỚC KINH TẾ - XÃ HỘI THÁNG 10 NĂM 2018</t>
  </si>
  <si>
    <t>Thực hiện tháng 10/2018</t>
  </si>
  <si>
    <t>Thực hiện 30/10/2018</t>
  </si>
  <si>
    <t>8=6/4</t>
  </si>
  <si>
    <t>9=6/5</t>
  </si>
  <si>
    <t>10=7/6</t>
  </si>
  <si>
    <t>Ước 2018/ TH 2017</t>
  </si>
  <si>
    <t>KH 2019/ Ước 2018</t>
  </si>
  <si>
    <t>Ước TH cả năm</t>
  </si>
  <si>
    <t>Ước 2018/ KH 2018</t>
  </si>
  <si>
    <t>TỔNG HỢP MỘT SỐ CHỈ TIÊU KINH TẾ - XÃ HỘI CHỦ YẾU NĂM 2019</t>
  </si>
  <si>
    <t>Kế hoạch năm 2019</t>
  </si>
  <si>
    <t>Số xã đạt chuẩn nông thôn mới đến cuối năm 2019</t>
  </si>
  <si>
    <t>Kế hoạch năm 2019 (SS)</t>
  </si>
  <si>
    <t>CHỈ TIÊU KẾ HOẠCH SẢN XUẤT NĂM 2019</t>
  </si>
  <si>
    <t>KẾ HOẠCH SẢN XUẤT NÔNG NGHIỆP NĂM 2019</t>
  </si>
  <si>
    <t>CÁC CHỈ TIÊU VỀ XÃ HỘI VÀ GIẢM NGHÈO NĂM 2019</t>
  </si>
  <si>
    <t>KẾ HOẠCH VĂN HOÁ - XÃ HỘI NĂM 2019</t>
  </si>
  <si>
    <t>Kế hoạch 
năm 2019</t>
  </si>
  <si>
    <t xml:space="preserve">    Trong đó: Công lập</t>
  </si>
  <si>
    <t xml:space="preserve">    Trong đó: Huyện quản lý</t>
  </si>
  <si>
    <t>Trong đó: + Bệnh viện</t>
  </si>
  <si>
    <t xml:space="preserve">               + Trạm y tế</t>
  </si>
  <si>
    <t>- Tỷ lệ bao phủ bảo hiểm y tế/ dân số trung bình</t>
  </si>
  <si>
    <t>Tỷ lệ bao phủ BHYT- BHXH- BHTN</t>
  </si>
  <si>
    <t>- Số người tham gia bảo hiểm xã hội bắt buộc</t>
  </si>
  <si>
    <t>- Tỷ lệ bao phủ Bảo hiểm xã hội/LLLĐ trong độ tuổi lao động</t>
  </si>
  <si>
    <t>- Tỷ lệ tham gia bảo hiểm xã hội bắt buộc/số người thuộc diện tham gia</t>
  </si>
  <si>
    <t>- Tỷ lệ bao phủ Bảo hiểm thất nghiệp/LLLĐ trong độ tuổi lao động</t>
  </si>
  <si>
    <t>- Tỷ lệ tham gia bảo hiểm thất nghiệp/số người thuộc diện tham gia</t>
  </si>
  <si>
    <t>Số người tham gia bảo hiểm xã hội tự nguyện</t>
  </si>
  <si>
    <t>Số người tham gia bảo hiểm thất nghiệp</t>
  </si>
  <si>
    <t>thôn</t>
  </si>
  <si>
    <t>Tên xã, thị trấn</t>
  </si>
  <si>
    <t>Năm 2019</t>
  </si>
  <si>
    <t>Tổng số hộ</t>
  </si>
  <si>
    <t>Đăng ký</t>
  </si>
  <si>
    <t>Công nhận</t>
  </si>
  <si>
    <t>Tỷ lệ %</t>
  </si>
  <si>
    <t>GĐVH 3 năm</t>
  </si>
  <si>
    <t>Xã Tân Cảnh</t>
  </si>
  <si>
    <t>Thị trấn Đăk Tô</t>
  </si>
  <si>
    <t>Xã Diên Bình</t>
  </si>
  <si>
    <t>Xã Kon Đào</t>
  </si>
  <si>
    <t>Xã Văn Lem</t>
  </si>
  <si>
    <t>Xã Ngọc Tụ</t>
  </si>
  <si>
    <t>Xã Đăk Rơ Nga</t>
  </si>
  <si>
    <t>Xã Đăk Trăm</t>
  </si>
  <si>
    <t>Xã Pô Kô</t>
  </si>
  <si>
    <t>Toàn huyện</t>
  </si>
  <si>
    <t>Tổng số Thôn, khối phố</t>
  </si>
  <si>
    <t>Đề nghị Công nhận 2018</t>
  </si>
  <si>
    <t>Đăng ký 2019</t>
  </si>
  <si>
    <t>Số thôn đạt tiêu chuẩn văn hoá 2018</t>
  </si>
  <si>
    <t>TL đạt tiêu chuẩn văn hoá 2018</t>
  </si>
  <si>
    <t>Tổng thôn, khối</t>
  </si>
  <si>
    <t>Đạt tiêu chuẩn văn hoá 2019</t>
  </si>
  <si>
    <t>Tỷ lệ hộ đạt tiêu chuẩn 2018</t>
  </si>
  <si>
    <t>Số hộ đăng ký 2019</t>
  </si>
  <si>
    <t>Số hộ đạt gia đình văn hoá 2019</t>
  </si>
  <si>
    <t>Tỷ lệ hộ đạt tiêu chuẩn GĐVH 2019</t>
  </si>
  <si>
    <t>DÂN SỐ - GIẢM NGHÈO</t>
  </si>
  <si>
    <t>Dân số có mặt đầu năm 2019</t>
  </si>
  <si>
    <t>Số hộ đầu năm 2019</t>
  </si>
  <si>
    <t>Tỷ lệ hộ/dân số đầu 2019</t>
  </si>
  <si>
    <t>Số hộ cuối năm 2019</t>
  </si>
  <si>
    <t>Sinh trong năm 2019</t>
  </si>
  <si>
    <t>Chết trong năm 2019</t>
  </si>
  <si>
    <t>Đi trong năm 2019</t>
  </si>
  <si>
    <t>Đến trong năm 2019</t>
  </si>
  <si>
    <t>Tốc độ tăng tự nhiên 2019</t>
  </si>
  <si>
    <t>b3</t>
  </si>
  <si>
    <t>b4</t>
  </si>
  <si>
    <t>c1</t>
  </si>
  <si>
    <t>c2</t>
  </si>
  <si>
    <t>c3</t>
  </si>
  <si>
    <t>c4</t>
  </si>
  <si>
    <t>c5</t>
  </si>
  <si>
    <t xml:space="preserve">                  * Lúa Đông xuân 2018-2019</t>
  </si>
  <si>
    <t>Học sinh có mặt đầu năm</t>
  </si>
  <si>
    <t>Trồng mới năm 2018</t>
  </si>
  <si>
    <t>Thực hiện năm 2018 (NN)</t>
  </si>
  <si>
    <t>Diện tích nuôi thuỷ sản</t>
  </si>
  <si>
    <t>Trong đó: + Xã, thị trấn quản lý</t>
  </si>
  <si>
    <t>(Kèm theo Quyết định số 569/QĐ-UBND, ngày 17/12/2018 của UBND huyện Đăk Tô)</t>
  </si>
  <si>
    <t>Số hộ cuối 2019</t>
  </si>
  <si>
    <r>
      <t xml:space="preserve">  Chia ra</t>
    </r>
    <r>
      <rPr>
        <i/>
        <sz val="12"/>
        <rFont val="Times New Roman"/>
        <family val="1"/>
      </rPr>
      <t xml:space="preserve">: </t>
    </r>
    <r>
      <rPr>
        <sz val="12"/>
        <rFont val="Times New Roman"/>
        <family val="1"/>
      </rPr>
      <t>Thóc</t>
    </r>
  </si>
  <si>
    <r>
      <t xml:space="preserve"> - Sản phẩm chăn nuôi </t>
    </r>
    <r>
      <rPr>
        <i/>
        <sz val="12"/>
        <rFont val="Times New Roman"/>
        <family val="1"/>
      </rPr>
      <t>(thịt hơi các loại)</t>
    </r>
  </si>
  <si>
    <r>
      <t>Trong đó:</t>
    </r>
    <r>
      <rPr>
        <sz val="12"/>
        <rFont val="Times New Roman"/>
        <family val="1"/>
      </rPr>
      <t xml:space="preserve"> Trâu, Bò hơi</t>
    </r>
  </si>
  <si>
    <r>
      <t xml:space="preserve">- Sản xuất điện </t>
    </r>
    <r>
      <rPr>
        <i/>
        <sz val="12"/>
        <rFont val="Times New Roman"/>
        <family val="1"/>
      </rPr>
      <t>(thủy điện)</t>
    </r>
  </si>
  <si>
    <t>(Kèm theo báo cáo số          /BC-UBND, ngày             tháng       năm 2019 của UBND huyện Đăk Tô)</t>
  </si>
  <si>
    <t>9ƯỚC KINH TẾ XÃ HỘI THÁNG 01/2018</t>
  </si>
  <si>
    <t>Ước tháng
 01/2019</t>
  </si>
  <si>
    <t>Thực hiện kỳ trước 
(QI- 2018)</t>
  </si>
  <si>
    <t>Ước thực hiện kỳ báo cáo 
(QI-2019)</t>
  </si>
  <si>
    <t>ƯỚC KINH TẾ XÃ HỘI QUÝ I - NĂM 2019</t>
  </si>
  <si>
    <t>ƯỚC KINH TẾ XÃ HỘI THÁNG 4 - NĂM 2019</t>
  </si>
  <si>
    <t>Thực hiện T4- 2018</t>
  </si>
  <si>
    <t>Ước thực hiện T4-2019</t>
  </si>
  <si>
    <t xml:space="preserve">Phòng Lao động Thương binh và xã hội </t>
  </si>
  <si>
    <t>Phòng Nội Vụ</t>
  </si>
  <si>
    <t xml:space="preserve">Phòng Tư pháp </t>
  </si>
  <si>
    <t>Thanh tra huyện</t>
  </si>
  <si>
    <t xml:space="preserve">Phòng Kinh tế và Hạ tầng </t>
  </si>
  <si>
    <t>Ban quản lý dự án đầu tư xây dựng huyện</t>
  </si>
  <si>
    <t xml:space="preserve">Phòng Văn hóa và Thông tin </t>
  </si>
  <si>
    <t>Phòng Dân tộc</t>
  </si>
  <si>
    <t xml:space="preserve">Phòng Tài nguyên và Môi trường </t>
  </si>
  <si>
    <t xml:space="preserve">Trung tâm môi trường và Dịch vụ đô thị </t>
  </si>
  <si>
    <t xml:space="preserve">Phòng Y tế </t>
  </si>
  <si>
    <t>Phòng Giáo dục và Đào tạo</t>
  </si>
  <si>
    <t xml:space="preserve">Phòng Nông nghiệp và Phát triển nông thôn </t>
  </si>
  <si>
    <t>Ban chỉ huy Quân sự huyện</t>
  </si>
  <si>
    <t xml:space="preserve">Công an huyện </t>
  </si>
  <si>
    <t>Hạt kiểm lâm huyện</t>
  </si>
  <si>
    <t>Chi cục Thống kê huyện Đăk Tô</t>
  </si>
  <si>
    <t>Trung tâm giáo dục nghề nghiệp - Giáo dục thường xuyên huyện Đăk Tô</t>
  </si>
  <si>
    <t>Kinh tế</t>
  </si>
  <si>
    <t>Nội chính</t>
  </si>
  <si>
    <t>Ngành khác</t>
  </si>
  <si>
    <t>Đơn vị sự nghiệp</t>
  </si>
  <si>
    <t>Văn hóa - xã hội</t>
  </si>
  <si>
    <t>X</t>
  </si>
  <si>
    <t>Tổng cộng</t>
  </si>
  <si>
    <t>Theo dõi nộp báo cáo định kỳ tháng/ Quý /2019</t>
  </si>
  <si>
    <t>Đã nhận báo cáo</t>
  </si>
  <si>
    <t>Chưa nhận báo cáo</t>
  </si>
  <si>
    <t>Thực hiện T5- 2018</t>
  </si>
  <si>
    <t>Ước thực hiện T5-2019</t>
  </si>
  <si>
    <t>Tháng 4/ 2019 
(tính đến 15h/23/4/2019)</t>
  </si>
  <si>
    <t>Tháng 5/ 2019 
(tính đến 15h /23/5/2019)</t>
  </si>
  <si>
    <t>ƯỚC KINH TẾ XÃ HỘI THÁNG 5 - NĂM 2019</t>
  </si>
  <si>
    <t>Kết quả thực hiện các chỉ tiêu về kinh tế- xã hội; quốc phòng- an ninh</t>
  </si>
  <si>
    <t>Mục tiêu Nghị quyết Đại hội XVI</t>
  </si>
  <si>
    <t>TH đến cuối năm 2018</t>
  </si>
  <si>
    <t>TH đến 
30-6-2019</t>
  </si>
  <si>
    <t>TH 2018/
TH 2015</t>
  </si>
  <si>
    <t>TH 2018 /
NQ ĐH XVI</t>
  </si>
  <si>
    <t>Phần thứ nhất
KINH TẾ</t>
  </si>
  <si>
    <t>Thu ngân sách nhà nước trên địa bàn</t>
  </si>
  <si>
    <t>Tỷ đồng</t>
  </si>
  <si>
    <t>Trong đó: Ngân sách huyện hưởng</t>
  </si>
  <si>
    <t>Lương thực bình quân đầu người</t>
  </si>
  <si>
    <t>Sản xuất nông nghiệp</t>
  </si>
  <si>
    <t>Trồng trọt</t>
  </si>
  <si>
    <t>Lúa</t>
  </si>
  <si>
    <t>Mía</t>
  </si>
  <si>
    <t>Rau đậu</t>
  </si>
  <si>
    <t>Tổng số trâu</t>
  </si>
  <si>
    <t>Tổng số bò</t>
  </si>
  <si>
    <t>Tổng số lợn</t>
  </si>
  <si>
    <t>Sản xuất lâm nghiệp</t>
  </si>
  <si>
    <t>Tổng diện tích tự nhiên</t>
  </si>
  <si>
    <t>Diện tích đất có rừng</t>
  </si>
  <si>
    <t>Tỷ lệ che phủ của rừng</t>
  </si>
  <si>
    <t>Diện tích rừng trồng (tổng số)</t>
  </si>
  <si>
    <t>Sản xuất công nghiệp</t>
  </si>
  <si>
    <t>Giá trị sản xuất</t>
  </si>
  <si>
    <t>Giá thực tế</t>
  </si>
  <si>
    <t>Giá so sánh 2010</t>
  </si>
  <si>
    <t>Cồn</t>
  </si>
  <si>
    <t>Sản xuất thủy điện</t>
  </si>
  <si>
    <t>1000Kwh</t>
  </si>
  <si>
    <t>Điện thương phẩm</t>
  </si>
  <si>
    <t>Đát, cát, sỏi</t>
  </si>
  <si>
    <t>Tín dụng- Vận Tải</t>
  </si>
  <si>
    <t>Tổng doanh số cho vay</t>
  </si>
  <si>
    <t>NH CSXH</t>
  </si>
  <si>
    <t>""</t>
  </si>
  <si>
    <t>NH NNPTNT</t>
  </si>
  <si>
    <t>NH Sacombank</t>
  </si>
  <si>
    <t>NH Viettinbank</t>
  </si>
  <si>
    <t>NH Vietcombank</t>
  </si>
  <si>
    <t>Tổng dư nợ cho vay</t>
  </si>
  <si>
    <t>Vận tải hàng hóa</t>
  </si>
  <si>
    <t>1000 Tấn</t>
  </si>
  <si>
    <t>Vận tải hành khách</t>
  </si>
  <si>
    <t>1000 Lượt</t>
  </si>
  <si>
    <t>Phần thứ hai
VĂN HÓA- XÃ HỘI</t>
  </si>
  <si>
    <t>Dân số và mức sống dân cư</t>
  </si>
  <si>
    <t>Tỷ lệ hộ nghèo hàng năm (theo chuẩn 2016-2020)</t>
  </si>
  <si>
    <t>Tỷ lệ hộ nghèo giảm bình quân/ năm</t>
  </si>
  <si>
    <t>Số cháu đến nhà trẻ</t>
  </si>
  <si>
    <t>Số cháu học mẫu giáo</t>
  </si>
  <si>
    <t>Học sinh tiểu học</t>
  </si>
  <si>
    <t>Học sinh THCS</t>
  </si>
  <si>
    <t>Học sinh THPT</t>
  </si>
  <si>
    <t>Tỷ lệ giáo viên đạt chuẩn</t>
  </si>
  <si>
    <t>Tỷ lệ học sinh đi học ra lớp</t>
  </si>
  <si>
    <t>Tỷ lệ lao động được đào tạo nghề</t>
  </si>
  <si>
    <t>Số trạm y tế xã, thị trấn có bác sỹ</t>
  </si>
  <si>
    <t>Tỷ lệ xã, thị trấn đạt bộ tiêu chí chuẩn quốc gia về y tế giai đoạn đến 2020</t>
  </si>
  <si>
    <t>Tỷ lệ trẻ em dưới 5 tuổi suy dinh dưỡng</t>
  </si>
  <si>
    <t>Suy dinh dưỡng thể nhẹ cân</t>
  </si>
  <si>
    <t>Suy dinh dưỡng chiều cao</t>
  </si>
  <si>
    <t>Tỷ lệ người dân tham gia bảo hiểm y tế</t>
  </si>
  <si>
    <t>Tổng số thôn làng, khối phố</t>
  </si>
  <si>
    <t>Tỷ lệ thôn, làng, khối phố đạt danh hiệu văn hóa</t>
  </si>
  <si>
    <t>Tỷ lệ hộ đạt gia đinh văn hóa</t>
  </si>
  <si>
    <t>Số xã, thị trấn có nhà văn hóa</t>
  </si>
  <si>
    <t>Ước TH 30/6/2019</t>
  </si>
  <si>
    <t>NQ 16
(tính đến 15h /30/5/2019)</t>
  </si>
  <si>
    <t>Trung tâm Văn hóa - Thể thao - Du lịch và Truyền thông huyện</t>
  </si>
  <si>
    <t>Với chỉ tiêu NQ ĐH (%)</t>
  </si>
  <si>
    <t>Với thực hiện 2015</t>
  </si>
  <si>
    <t>8=6/5</t>
  </si>
  <si>
    <t>7=6/4</t>
  </si>
  <si>
    <t>Số 2018</t>
  </si>
  <si>
    <t>Thực hiện năm 2018</t>
  </si>
  <si>
    <t>Thực hiện 31/5/2019</t>
  </si>
  <si>
    <t>Thực hiện 30/6/2018</t>
  </si>
  <si>
    <t>UBND các xã, thị trấn</t>
  </si>
  <si>
    <t>UBND thị trấn Đăk Tô</t>
  </si>
  <si>
    <t>UBND xã Diên Bình</t>
  </si>
  <si>
    <t>UBND xã Tân Cảnh</t>
  </si>
  <si>
    <t>UBND xã Kon Đào</t>
  </si>
  <si>
    <t>UBND xã Ngọc Tụ</t>
  </si>
  <si>
    <t>UBND xã Đăk Rơ Nga</t>
  </si>
  <si>
    <t>UBND xã Đăk Trăm</t>
  </si>
  <si>
    <t>UBND xã Pô Kô</t>
  </si>
  <si>
    <t>UBND xã Văn Lem</t>
  </si>
  <si>
    <t>ƯỚC THỰC HIỆN MỘT SỐ CHỈ TIÊU KINH TẾ - XÃ HỘI 6 THÁNG ĐẦU NĂM 2019</t>
  </si>
  <si>
    <t>Mới có biểu</t>
  </si>
  <si>
    <t>6 tháng (HĐND)
(tính đến 08h, 11/6/2019)</t>
  </si>
  <si>
    <t xml:space="preserve">Trung tâm Dịch vụ nông nghiệp </t>
  </si>
  <si>
    <t>Chi cục thuế huyện</t>
  </si>
  <si>
    <t>(Kèm theo báo cáo số         /BC-UBND, ngày    /     /2019 của UBND huyện Đăk Tô)</t>
  </si>
  <si>
    <t>Phụ lục 1</t>
  </si>
  <si>
    <t>Đá, cát, sỏi xây dựng</t>
  </si>
  <si>
    <t>Thực hiện 31/5/2020</t>
  </si>
  <si>
    <t>Ước TH 6 tháng 2021</t>
  </si>
  <si>
    <t>Năm 2021</t>
  </si>
  <si>
    <t>* Rau vụ đông xuân</t>
  </si>
  <si>
    <t>* Rau vụ mùa</t>
  </si>
  <si>
    <t>* Đậu các loại</t>
  </si>
  <si>
    <t>Cây Mắc ca</t>
  </si>
  <si>
    <t>Đã trồng</t>
  </si>
  <si>
    <t>Trồng mới</t>
  </si>
  <si>
    <t>Cây dược liệu khác</t>
  </si>
  <si>
    <t>Bổ túc trung học phổ thông</t>
  </si>
  <si>
    <t>Tỷ lệ trẻ em trong độ tuổi  (3-5 ) đi học mẫu giáo</t>
  </si>
  <si>
    <t>4</t>
  </si>
  <si>
    <t>ƯỚC THỰC HIỆN MỘT SỐ CHỈ TIÊU KINH TẾ - XÃ HỘI 6 THÁNG ĐẦU NĂM 2021</t>
  </si>
  <si>
    <t>- Cây bời lời</t>
  </si>
  <si>
    <t>Thực hiện 6 
tháng 2020</t>
  </si>
  <si>
    <t>(Kèm theo báo cáo số          /BC-UBND, ngày             tháng 7 năm 2021 của UBND huyện Đăk Tô)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</si>
</sst>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5">
    <numFmt numFmtId="41" formatCode="_(* #,##0_);_(* \(#,##0\);_(* &quot;-&quot;_);_(@_)"/>
    <numFmt numFmtId="43" formatCode="_(* #,##0.00_);_(* \(#,##0.00\);_(* &quot;-&quot;??_);_(@_)"/>
    <numFmt numFmtId="164" formatCode="_-* #,##0\ _₫_-;\-* #,##0\ _₫_-;_-* &quot;-&quot;\ _₫_-;_-@_-"/>
    <numFmt numFmtId="165" formatCode="_-* #,##0.00\ _₫_-;\-* #,##0.00\ _₫_-;_-* &quot;-&quot;??\ _₫_-;_-@_-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#,##0.000"/>
    <numFmt numFmtId="171" formatCode="#,##0.0"/>
    <numFmt numFmtId="172" formatCode="0.0"/>
    <numFmt numFmtId="173" formatCode="&quot;\&quot;#,##0;[Red]&quot;\&quot;\-#,##0"/>
    <numFmt numFmtId="174" formatCode="&quot;\&quot;#,##0.00;[Red]&quot;\&quot;\-#,##0.00"/>
    <numFmt numFmtId="175" formatCode="\$#,##0\ ;\(\$#,##0\)"/>
    <numFmt numFmtId="176" formatCode="&quot;\&quot;#,##0;[Red]&quot;\&quot;&quot;\&quot;\-#,##0"/>
    <numFmt numFmtId="177" formatCode="&quot;\&quot;#,##0.00;[Red]&quot;\&quot;&quot;\&quot;&quot;\&quot;&quot;\&quot;&quot;\&quot;&quot;\&quot;\-#,##0.00"/>
    <numFmt numFmtId="178" formatCode="#,###"/>
    <numFmt numFmtId="179" formatCode="?,???.??__;[Red]\-\ ?,???.??__;"/>
    <numFmt numFmtId="180" formatCode="_(* #,##0.000_);_(* \(#,##0.000\);_(* &quot;-&quot;??_);_(@_)"/>
    <numFmt numFmtId="181" formatCode="_(* #,##0.0_);_(* \(#,##0.0\);_(* &quot;-&quot;??_);_(@_)"/>
    <numFmt numFmtId="182" formatCode="_(* #,##0_);_(* \(#,##0\);_(* &quot;-&quot;??_);_(@_)"/>
    <numFmt numFmtId="183" formatCode="_(* #,##0.0_);_(* \(#,##0.0\);_(* &quot;-&quot;?_);_(@_)"/>
    <numFmt numFmtId="184" formatCode="0##,###.00"/>
    <numFmt numFmtId="185" formatCode="&quot;$&quot;\ #,##0;[Red]\-&quot;$&quot;\ #,##0"/>
    <numFmt numFmtId="186" formatCode="&quot;€&quot;#,##0;[Red]&quot;€&quot;\-#,##0"/>
    <numFmt numFmtId="187" formatCode="_-&quot;€&quot;* #,##0_-;\-&quot;€&quot;* #,##0_-;_-&quot;€&quot;* &quot;-&quot;_-;_-@_-"/>
    <numFmt numFmtId="188" formatCode="_-&quot;€&quot;* ###&quot;€&quot;0&quot;.&quot;00_-;\-&quot;€&quot;* ###&quot;€&quot;0&quot;.&quot;00_-;_-&quot;€&quot;* &quot;-&quot;??_-;_-@_-"/>
    <numFmt numFmtId="189" formatCode="_-&quot;€&quot;* #,##0.00_-;\-&quot;€&quot;* #,##0.00_-;_-&quot;€&quot;* &quot;-&quot;??_-;_-@_-"/>
    <numFmt numFmtId="190" formatCode="&quot;€&quot;#&quot;€&quot;##0_);\(&quot;€&quot;#&quot;€&quot;##0\)"/>
    <numFmt numFmtId="191" formatCode="_-* ###&quot;€&quot;0&quot;.&quot;00_-;\-* ###&quot;€&quot;0&quot;.&quot;00_-;_-* &quot;-&quot;??_-;_-@_-"/>
    <numFmt numFmtId="192" formatCode="_(&quot;.&quot;* #&quot;€&quot;##0_);_(&quot;.&quot;* \(#&quot;€&quot;##0\);_(&quot;.&quot;* &quot;-&quot;_);_(@_)"/>
    <numFmt numFmtId="193" formatCode="&quot;€&quot;#&quot;€&quot;##0_);[Red]\(&quot;€&quot;#&quot;€&quot;##0\)"/>
    <numFmt numFmtId="194" formatCode="&quot;€&quot;###&quot;€&quot;0&quot;.&quot;00_);\(&quot;€&quot;###&quot;€&quot;0&quot;.&quot;00\)"/>
    <numFmt numFmtId="195" formatCode="#,##0.00\ &quot;F&quot;;[Red]\-#,##0.00\ &quot;F&quot;"/>
    <numFmt numFmtId="196" formatCode="_-* #,##0\ &quot;F&quot;_-;\-* #,##0\ &quot;F&quot;_-;_-* &quot;-&quot;\ &quot;F&quot;_-;_-@_-"/>
    <numFmt numFmtId="197" formatCode="#,##0\ &quot;F&quot;;[Red]\-#,##0\ &quot;F&quot;"/>
    <numFmt numFmtId="198" formatCode="#,##0.00\ &quot;F&quot;;\-#,##0.00\ &quot;F&quot;"/>
    <numFmt numFmtId="199" formatCode="_(* #,##0.00000_);_(* \(#,##0.00000\);_(* &quot;-&quot;??_);_(@_)"/>
    <numFmt numFmtId="200" formatCode="_-* #,##0.0\ _₫_-;\-* #,##0.0\ _₫_-;_-* &quot;-&quot;??\ _₫_-;_-@_-"/>
    <numFmt numFmtId="201" formatCode="_-* #,##0.0\ _₫_-;\-* #,##0.0\ _₫_-;_-* &quot;-&quot;?\ _₫_-;_-@_-"/>
    <numFmt numFmtId="202" formatCode="0.0000"/>
    <numFmt numFmtId="203" formatCode="_-* #,##0\ _₫_-;\-* #,##0\ _₫_-;_-* &quot;-&quot;?\ _₫_-;_-@_-"/>
    <numFmt numFmtId="204" formatCode="#,##0_ ;\-#,##0\ "/>
    <numFmt numFmtId="205" formatCode="#,##0.0_ ;\-#,##0.0\ "/>
    <numFmt numFmtId="206" formatCode="#,##0.00_ ;\-#,##0.00\ "/>
  </numFmts>
  <fonts count="99">
    <font>
      <sz val="10"/>
      <name val=".VnArial"/>
    </font>
    <font>
      <sz val="10"/>
      <name val=".VnArial"/>
      <family val="2"/>
    </font>
    <font>
      <sz val="12"/>
      <name val=".VnTime"/>
      <family val="2"/>
    </font>
    <font>
      <b/>
      <sz val="12"/>
      <name val=".VnTime"/>
      <family val="2"/>
    </font>
    <font>
      <b/>
      <sz val="14"/>
      <name val=".VnTimeH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2"/>
      <name val=".VnTime"/>
      <family val="2"/>
    </font>
    <font>
      <sz val="14"/>
      <color indexed="12"/>
      <name val=".VnArialH"/>
      <family val="2"/>
    </font>
    <font>
      <sz val="12"/>
      <color indexed="8"/>
      <name val=".VnTime"/>
      <family val="2"/>
    </font>
    <font>
      <sz val="11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.VnTime"/>
      <family val="2"/>
    </font>
    <font>
      <sz val="10"/>
      <name val=".VnTime"/>
      <family val="2"/>
    </font>
    <font>
      <b/>
      <sz val="10"/>
      <name val=".VnTimeH"/>
      <family val="2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Times"/>
    </font>
    <font>
      <sz val="8"/>
      <name val="Arial"/>
      <family val="2"/>
    </font>
    <font>
      <sz val="10"/>
      <name val=".VnAvant"/>
      <family val="2"/>
    </font>
    <font>
      <sz val="12"/>
      <name val="Arial"/>
      <family val="2"/>
    </font>
    <font>
      <sz val="12"/>
      <name val="VNtimes new roman"/>
    </font>
    <font>
      <sz val="14"/>
      <name val="System"/>
      <family val="2"/>
    </font>
    <font>
      <sz val="10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2"/>
      <name val="Courier"/>
      <family val="3"/>
    </font>
    <font>
      <sz val="10"/>
      <name val=" "/>
      <family val="1"/>
      <charset val="136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12"/>
      <name val="???"/>
      <family val="3"/>
    </font>
    <font>
      <b/>
      <sz val="12"/>
      <name val=".VnBook-AntiquaH"/>
      <family val="2"/>
    </font>
    <font>
      <sz val="12"/>
      <name val="??"/>
      <family val="1"/>
      <charset val="129"/>
    </font>
    <font>
      <sz val="10"/>
      <name val="3C_Times_T"/>
    </font>
    <font>
      <sz val="13"/>
      <name val=".VnTime"/>
      <family val="2"/>
    </font>
    <font>
      <sz val="14"/>
      <name val=".VnArial"/>
      <family val="2"/>
    </font>
    <font>
      <sz val="10"/>
      <name val="Helv"/>
      <family val="2"/>
    </font>
    <font>
      <sz val="11"/>
      <name val="돋움"/>
      <family val="3"/>
      <charset val="129"/>
    </font>
    <font>
      <i/>
      <sz val="14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u/>
      <sz val="12"/>
      <name val="Times New Roman"/>
      <family val="1"/>
    </font>
    <font>
      <sz val="10"/>
      <name val=".VnArial"/>
      <family val="2"/>
    </font>
    <font>
      <sz val="8"/>
      <name val=".VnArial"/>
      <family val="2"/>
    </font>
    <font>
      <sz val="12"/>
      <name val=".Vn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.VnArial"/>
      <family val="2"/>
    </font>
    <font>
      <sz val="12"/>
      <color indexed="17"/>
      <name val="Times New Roman"/>
      <family val="1"/>
    </font>
    <font>
      <sz val="10"/>
      <name val=".VnArial"/>
      <family val="2"/>
    </font>
    <font>
      <i/>
      <sz val="13"/>
      <name val="Times New Roman"/>
      <family val="1"/>
    </font>
    <font>
      <sz val="12"/>
      <color rgb="FF0000FF"/>
      <name val="Times New Roman"/>
      <family val="1"/>
    </font>
    <font>
      <i/>
      <sz val="12"/>
      <color rgb="FF0000FF"/>
      <name val="Times New Roman"/>
      <family val="1"/>
    </font>
    <font>
      <b/>
      <sz val="12"/>
      <color rgb="FF0000FF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name val=".VnArial"/>
      <family val="2"/>
    </font>
    <font>
      <i/>
      <sz val="10"/>
      <name val=".VnArial"/>
      <family val="2"/>
    </font>
    <font>
      <sz val="14"/>
      <name val=".VnTime"/>
      <family val="2"/>
    </font>
    <font>
      <sz val="11"/>
      <color indexed="8"/>
      <name val="Calibri"/>
      <family val="2"/>
    </font>
    <font>
      <sz val="13"/>
      <color rgb="FF00000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0"/>
      <name val="Times New Roman"/>
      <family val="1"/>
    </font>
    <font>
      <b/>
      <u/>
      <sz val="7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8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u/>
      <sz val="11"/>
      <name val="Times New Roman"/>
      <family val="1"/>
    </font>
    <font>
      <b/>
      <i/>
      <u/>
      <sz val="11"/>
      <name val="Times New Roman"/>
      <family val="1"/>
    </font>
    <font>
      <u/>
      <sz val="11"/>
      <name val="Times New Roman"/>
      <family val="1"/>
    </font>
    <font>
      <b/>
      <i/>
      <sz val="11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color rgb="FF0000CC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62">
    <xf numFmtId="0" fontId="0" fillId="0" borderId="0"/>
    <xf numFmtId="0" fontId="32" fillId="0" borderId="0"/>
    <xf numFmtId="177" fontId="5" fillId="0" borderId="0" applyFont="0" applyFill="0" applyBorder="0" applyAlignment="0" applyProtection="0"/>
    <xf numFmtId="0" fontId="40" fillId="0" borderId="0" applyFont="0" applyFill="0" applyBorder="0" applyAlignment="0" applyProtection="0"/>
    <xf numFmtId="176" fontId="5" fillId="0" borderId="0" applyFont="0" applyFill="0" applyBorder="0" applyAlignment="0" applyProtection="0"/>
    <xf numFmtId="40" fontId="41" fillId="0" borderId="0" applyFont="0" applyFill="0" applyBorder="0" applyAlignment="0" applyProtection="0"/>
    <xf numFmtId="38" fontId="41" fillId="0" borderId="0" applyFont="0" applyFill="0" applyBorder="0" applyAlignment="0" applyProtection="0"/>
    <xf numFmtId="167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86" fontId="38" fillId="0" borderId="0" applyFont="0" applyFill="0" applyBorder="0" applyAlignment="0" applyProtection="0"/>
    <xf numFmtId="0" fontId="4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5" fillId="0" borderId="0"/>
    <xf numFmtId="188" fontId="22" fillId="0" borderId="0" applyFont="0" applyFill="0" applyBorder="0" applyAlignment="0" applyProtection="0"/>
    <xf numFmtId="186" fontId="38" fillId="0" borderId="0" applyFont="0" applyFill="0" applyBorder="0" applyAlignment="0" applyProtection="0"/>
    <xf numFmtId="189" fontId="37" fillId="0" borderId="0" applyFont="0" applyFill="0" applyBorder="0" applyAlignment="0" applyProtection="0"/>
    <xf numFmtId="187" fontId="37" fillId="0" borderId="0" applyFont="0" applyFill="0" applyBorder="0" applyAlignment="0" applyProtection="0"/>
    <xf numFmtId="186" fontId="38" fillId="0" borderId="0" applyFont="0" applyFill="0" applyBorder="0" applyAlignment="0" applyProtection="0"/>
    <xf numFmtId="189" fontId="37" fillId="0" borderId="0" applyFont="0" applyFill="0" applyBorder="0" applyAlignment="0" applyProtection="0"/>
    <xf numFmtId="190" fontId="22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23" fillId="0" borderId="1" applyFont="0" applyAlignment="0">
      <alignment horizontal="left"/>
    </xf>
    <xf numFmtId="0" fontId="24" fillId="2" borderId="0"/>
    <xf numFmtId="9" fontId="42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5" fillId="2" borderId="0"/>
    <xf numFmtId="0" fontId="26" fillId="2" borderId="0"/>
    <xf numFmtId="0" fontId="27" fillId="0" borderId="0">
      <alignment wrapText="1"/>
    </xf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/>
    <xf numFmtId="0" fontId="29" fillId="0" borderId="0"/>
    <xf numFmtId="43" fontId="1" fillId="0" borderId="0" applyFont="0" applyFill="0" applyBorder="0" applyAlignment="0" applyProtection="0"/>
    <xf numFmtId="41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0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6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55" fillId="0" borderId="0" applyFont="0" applyFill="0" applyBorder="0" applyAlignment="0" applyProtection="0"/>
    <xf numFmtId="3" fontId="5" fillId="0" borderId="0" applyFont="0" applyFill="0" applyBorder="0" applyAlignment="0" applyProtection="0"/>
    <xf numFmtId="191" fontId="22" fillId="0" borderId="0" applyFont="0" applyFill="0" applyBorder="0" applyAlignment="0" applyProtection="0"/>
    <xf numFmtId="169" fontId="37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9" fontId="12" fillId="0" borderId="0" applyFont="0" applyFill="0" applyBorder="0" applyProtection="0">
      <alignment vertical="center"/>
    </xf>
    <xf numFmtId="179" fontId="2" fillId="0" borderId="0" applyFont="0" applyFill="0" applyBorder="0" applyProtection="0">
      <alignment vertical="center"/>
    </xf>
    <xf numFmtId="194" fontId="22" fillId="0" borderId="0" applyFont="0" applyFill="0" applyBorder="0" applyAlignment="0" applyProtection="0"/>
    <xf numFmtId="177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38" fontId="30" fillId="3" borderId="0" applyNumberFormat="0" applyBorder="0" applyAlignment="0" applyProtection="0"/>
    <xf numFmtId="0" fontId="43" fillId="0" borderId="0" applyNumberFormat="0" applyFont="0" applyBorder="0" applyAlignment="0">
      <alignment horizontal="left" vertical="center"/>
    </xf>
    <xf numFmtId="49" fontId="13" fillId="0" borderId="0">
      <alignment vertical="center" wrapText="1" shrinkToFit="1"/>
    </xf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9" fontId="4" fillId="0" borderId="4">
      <alignment vertical="center"/>
    </xf>
    <xf numFmtId="0" fontId="44" fillId="0" borderId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0" fontId="30" fillId="3" borderId="4" applyNumberFormat="0" applyBorder="0" applyAlignment="0" applyProtection="0"/>
    <xf numFmtId="0" fontId="32" fillId="0" borderId="0" applyNumberFormat="0" applyFont="0" applyFill="0" applyAlignment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1" fillId="0" borderId="0"/>
    <xf numFmtId="0" fontId="15" fillId="0" borderId="0"/>
    <xf numFmtId="0" fontId="45" fillId="0" borderId="0"/>
    <xf numFmtId="0" fontId="46" fillId="0" borderId="0"/>
    <xf numFmtId="0" fontId="46" fillId="0" borderId="0"/>
    <xf numFmtId="0" fontId="5" fillId="0" borderId="5" applyNumberFormat="0" applyFont="0" applyFill="0" applyAlignment="0" applyProtection="0"/>
    <xf numFmtId="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92" fontId="22" fillId="0" borderId="0" applyFont="0" applyFill="0" applyBorder="0" applyAlignment="0" applyProtection="0"/>
    <xf numFmtId="193" fontId="22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178" fontId="31" fillId="0" borderId="6"/>
    <xf numFmtId="0" fontId="32" fillId="0" borderId="0" applyNumberFormat="0" applyFont="0" applyFill="0" applyAlignment="0"/>
    <xf numFmtId="184" fontId="33" fillId="0" borderId="0"/>
    <xf numFmtId="0" fontId="10" fillId="0" borderId="0"/>
    <xf numFmtId="0" fontId="55" fillId="0" borderId="0"/>
    <xf numFmtId="0" fontId="55" fillId="0" borderId="0"/>
    <xf numFmtId="0" fontId="55" fillId="0" borderId="0"/>
    <xf numFmtId="0" fontId="53" fillId="0" borderId="0"/>
    <xf numFmtId="0" fontId="16" fillId="0" borderId="0"/>
    <xf numFmtId="0" fontId="55" fillId="0" borderId="0"/>
    <xf numFmtId="0" fontId="57" fillId="0" borderId="0"/>
    <xf numFmtId="0" fontId="2" fillId="0" borderId="0"/>
    <xf numFmtId="3" fontId="34" fillId="0" borderId="0" applyFont="0" applyFill="0" applyBorder="0" applyAlignment="0" applyProtection="0"/>
    <xf numFmtId="10" fontId="3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16" fillId="0" borderId="0">
      <alignment vertical="center"/>
    </xf>
    <xf numFmtId="195" fontId="46" fillId="0" borderId="7">
      <alignment horizontal="right" vertical="center"/>
    </xf>
    <xf numFmtId="49" fontId="3" fillId="0" borderId="0" applyFont="0" applyFill="0" applyBorder="0" applyProtection="0">
      <alignment horizontal="center" vertical="center" wrapText="1" shrinkToFit="1"/>
    </xf>
    <xf numFmtId="0" fontId="5" fillId="0" borderId="5" applyNumberFormat="0" applyFont="0" applyFill="0" applyAlignment="0" applyProtection="0"/>
    <xf numFmtId="196" fontId="46" fillId="0" borderId="7">
      <alignment horizontal="center"/>
    </xf>
    <xf numFmtId="178" fontId="14" fillId="0" borderId="0">
      <alignment horizontal="centerContinuous"/>
      <protection locked="0"/>
    </xf>
    <xf numFmtId="197" fontId="46" fillId="0" borderId="0"/>
    <xf numFmtId="198" fontId="46" fillId="0" borderId="4"/>
    <xf numFmtId="0" fontId="47" fillId="0" borderId="0" applyNumberForma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16" fillId="0" borderId="0">
      <alignment vertical="center"/>
    </xf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7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74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0" fontId="11" fillId="0" borderId="0"/>
    <xf numFmtId="0" fontId="32" fillId="0" borderId="0"/>
    <xf numFmtId="167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6" fontId="37" fillId="0" borderId="0" applyFont="0" applyFill="0" applyBorder="0" applyAlignment="0" applyProtection="0"/>
    <xf numFmtId="185" fontId="38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5" fillId="0" borderId="0"/>
    <xf numFmtId="0" fontId="20" fillId="0" borderId="0"/>
    <xf numFmtId="41" fontId="74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1" fillId="0" borderId="0"/>
    <xf numFmtId="3" fontId="2" fillId="0" borderId="0">
      <alignment wrapText="1"/>
    </xf>
  </cellStyleXfs>
  <cellXfs count="858">
    <xf numFmtId="0" fontId="0" fillId="0" borderId="0" xfId="0"/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Fill="1" applyBorder="1"/>
    <xf numFmtId="0" fontId="16" fillId="0" borderId="1" xfId="0" applyFont="1" applyFill="1" applyBorder="1"/>
    <xf numFmtId="0" fontId="16" fillId="0" borderId="9" xfId="0" applyFont="1" applyFill="1" applyBorder="1" applyAlignment="1">
      <alignment horizontal="center"/>
    </xf>
    <xf numFmtId="0" fontId="16" fillId="0" borderId="0" xfId="0" applyFont="1" applyFill="1"/>
    <xf numFmtId="182" fontId="61" fillId="0" borderId="1" xfId="37" applyNumberFormat="1" applyFont="1" applyBorder="1" applyAlignment="1">
      <alignment horizontal="right" vertical="center" wrapText="1"/>
    </xf>
    <xf numFmtId="0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center" wrapText="1"/>
    </xf>
    <xf numFmtId="181" fontId="16" fillId="0" borderId="0" xfId="37" applyNumberFormat="1" applyFont="1" applyFill="1"/>
    <xf numFmtId="0" fontId="17" fillId="0" borderId="1" xfId="0" applyFont="1" applyFill="1" applyBorder="1" applyAlignment="1">
      <alignment vertic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181" fontId="17" fillId="0" borderId="0" xfId="37" applyNumberFormat="1" applyFont="1" applyFill="1"/>
    <xf numFmtId="0" fontId="17" fillId="0" borderId="0" xfId="0" applyFont="1" applyFill="1"/>
    <xf numFmtId="0" fontId="16" fillId="0" borderId="1" xfId="0" quotePrefix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0" fontId="54" fillId="0" borderId="1" xfId="0" applyNumberFormat="1" applyFont="1" applyFill="1" applyBorder="1" applyAlignment="1">
      <alignment vertical="center" wrapText="1"/>
    </xf>
    <xf numFmtId="0" fontId="54" fillId="0" borderId="1" xfId="0" applyFont="1" applyFill="1" applyBorder="1" applyAlignment="1">
      <alignment horizontal="center" vertical="center" wrapText="1"/>
    </xf>
    <xf numFmtId="181" fontId="16" fillId="0" borderId="1" xfId="0" applyNumberFormat="1" applyFont="1" applyFill="1" applyBorder="1" applyAlignment="1">
      <alignment horizontal="right" vertical="center" wrapText="1"/>
    </xf>
    <xf numFmtId="182" fontId="16" fillId="0" borderId="1" xfId="0" applyNumberFormat="1" applyFont="1" applyFill="1" applyBorder="1" applyAlignment="1">
      <alignment horizontal="right" vertical="center" wrapText="1"/>
    </xf>
    <xf numFmtId="182" fontId="17" fillId="0" borderId="1" xfId="47" applyNumberFormat="1" applyFont="1" applyFill="1" applyBorder="1" applyAlignment="1">
      <alignment horizontal="right" vertical="center" wrapText="1"/>
    </xf>
    <xf numFmtId="181" fontId="16" fillId="0" borderId="1" xfId="47" applyNumberFormat="1" applyFont="1" applyFill="1" applyBorder="1" applyAlignment="1">
      <alignment horizontal="right" vertical="center" wrapText="1"/>
    </xf>
    <xf numFmtId="182" fontId="16" fillId="0" borderId="1" xfId="47" applyNumberFormat="1" applyFont="1" applyFill="1" applyBorder="1" applyAlignment="1">
      <alignment horizontal="right" vertical="center" wrapText="1"/>
    </xf>
    <xf numFmtId="0" fontId="17" fillId="0" borderId="1" xfId="0" applyNumberFormat="1" applyFont="1" applyFill="1" applyBorder="1" applyAlignment="1">
      <alignment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vertical="center" wrapText="1"/>
    </xf>
    <xf numFmtId="181" fontId="17" fillId="0" borderId="1" xfId="47" applyNumberFormat="1" applyFont="1" applyFill="1" applyBorder="1" applyAlignment="1">
      <alignment horizontal="right" vertical="center" wrapText="1"/>
    </xf>
    <xf numFmtId="0" fontId="16" fillId="0" borderId="1" xfId="0" quotePrefix="1" applyNumberFormat="1" applyFont="1" applyFill="1" applyBorder="1" applyAlignment="1">
      <alignment vertical="center" wrapText="1"/>
    </xf>
    <xf numFmtId="171" fontId="16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left" vertical="center" wrapText="1"/>
    </xf>
    <xf numFmtId="4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/>
    <xf numFmtId="43" fontId="16" fillId="0" borderId="1" xfId="47" applyFont="1" applyFill="1" applyBorder="1" applyAlignment="1">
      <alignment horizontal="right" vertical="center" wrapText="1"/>
    </xf>
    <xf numFmtId="0" fontId="17" fillId="0" borderId="1" xfId="0" quotePrefix="1" applyNumberFormat="1" applyFont="1" applyFill="1" applyBorder="1" applyAlignment="1">
      <alignment vertical="center" wrapText="1"/>
    </xf>
    <xf numFmtId="0" fontId="17" fillId="0" borderId="1" xfId="0" quotePrefix="1" applyFont="1" applyFill="1" applyBorder="1" applyAlignment="1">
      <alignment vertical="center" wrapText="1"/>
    </xf>
    <xf numFmtId="0" fontId="16" fillId="0" borderId="1" xfId="0" quotePrefix="1" applyFont="1" applyFill="1" applyBorder="1" applyAlignment="1">
      <alignment vertical="center" wrapText="1"/>
    </xf>
    <xf numFmtId="0" fontId="18" fillId="0" borderId="1" xfId="0" quotePrefix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112" applyFont="1" applyBorder="1" applyAlignment="1">
      <alignment horizontal="center" vertical="center" wrapText="1"/>
    </xf>
    <xf numFmtId="0" fontId="17" fillId="0" borderId="1" xfId="112" applyFont="1" applyBorder="1" applyAlignment="1">
      <alignment vertical="center" wrapText="1"/>
    </xf>
    <xf numFmtId="0" fontId="18" fillId="0" borderId="1" xfId="112" applyFont="1" applyBorder="1" applyAlignment="1">
      <alignment horizontal="center" vertical="center" wrapText="1"/>
    </xf>
    <xf numFmtId="0" fontId="16" fillId="0" borderId="1" xfId="0" quotePrefix="1" applyFont="1" applyBorder="1" applyAlignment="1">
      <alignment horizontal="left" vertical="center" wrapText="1"/>
    </xf>
    <xf numFmtId="3" fontId="16" fillId="0" borderId="1" xfId="112" applyNumberFormat="1" applyFont="1" applyFill="1" applyBorder="1" applyAlignment="1">
      <alignment horizontal="right" vertical="center" wrapText="1"/>
    </xf>
    <xf numFmtId="0" fontId="17" fillId="0" borderId="1" xfId="0" applyNumberFormat="1" applyFont="1" applyFill="1" applyBorder="1" applyAlignment="1">
      <alignment horizontal="left" vertical="center" wrapText="1"/>
    </xf>
    <xf numFmtId="172" fontId="16" fillId="0" borderId="1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 wrapText="1"/>
    </xf>
    <xf numFmtId="182" fontId="17" fillId="0" borderId="1" xfId="37" applyNumberFormat="1" applyFont="1" applyFill="1" applyBorder="1" applyAlignment="1">
      <alignment horizontal="right" vertical="center" wrapText="1"/>
    </xf>
    <xf numFmtId="181" fontId="16" fillId="0" borderId="1" xfId="37" applyNumberFormat="1" applyFont="1" applyFill="1" applyBorder="1" applyAlignment="1">
      <alignment horizontal="right" vertical="center" wrapText="1"/>
    </xf>
    <xf numFmtId="182" fontId="16" fillId="0" borderId="1" xfId="37" applyNumberFormat="1" applyFont="1" applyFill="1" applyBorder="1" applyAlignment="1">
      <alignment horizontal="right" vertical="center" wrapText="1"/>
    </xf>
    <xf numFmtId="0" fontId="16" fillId="0" borderId="1" xfId="111" applyFont="1" applyFill="1" applyBorder="1" applyAlignment="1">
      <alignment horizontal="center" vertical="center"/>
    </xf>
    <xf numFmtId="0" fontId="16" fillId="0" borderId="1" xfId="111" quotePrefix="1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6" fillId="0" borderId="9" xfId="0" applyFont="1" applyFill="1" applyBorder="1"/>
    <xf numFmtId="0" fontId="16" fillId="0" borderId="0" xfId="0" applyFont="1" applyFill="1" applyAlignment="1">
      <alignment horizontal="center"/>
    </xf>
    <xf numFmtId="181" fontId="17" fillId="0" borderId="1" xfId="37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 vertical="center"/>
    </xf>
    <xf numFmtId="49" fontId="16" fillId="0" borderId="1" xfId="0" applyNumberFormat="1" applyFont="1" applyFill="1" applyBorder="1" applyAlignment="1">
      <alignment vertical="center"/>
    </xf>
    <xf numFmtId="200" fontId="16" fillId="0" borderId="1" xfId="50" applyNumberFormat="1" applyFont="1" applyBorder="1" applyAlignment="1">
      <alignment horizontal="right" vertical="center" wrapText="1"/>
    </xf>
    <xf numFmtId="49" fontId="18" fillId="0" borderId="1" xfId="0" applyNumberFormat="1" applyFont="1" applyFill="1" applyBorder="1" applyAlignment="1">
      <alignment vertical="center"/>
    </xf>
    <xf numFmtId="0" fontId="18" fillId="0" borderId="1" xfId="0" quotePrefix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right" vertical="center" wrapText="1"/>
    </xf>
    <xf numFmtId="49" fontId="16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vertical="center" wrapText="1"/>
    </xf>
    <xf numFmtId="0" fontId="17" fillId="0" borderId="1" xfId="0" quotePrefix="1" applyFont="1" applyFill="1" applyBorder="1" applyAlignment="1">
      <alignment horizontal="center" vertical="center" wrapText="1"/>
    </xf>
    <xf numFmtId="182" fontId="16" fillId="0" borderId="0" xfId="0" applyNumberFormat="1" applyFont="1" applyFill="1"/>
    <xf numFmtId="0" fontId="17" fillId="0" borderId="6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vertical="center" wrapText="1"/>
    </xf>
    <xf numFmtId="43" fontId="16" fillId="0" borderId="1" xfId="37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/>
    <xf numFmtId="3" fontId="18" fillId="0" borderId="0" xfId="0" applyNumberFormat="1" applyFont="1" applyFill="1"/>
    <xf numFmtId="0" fontId="17" fillId="0" borderId="1" xfId="0" applyFont="1" applyFill="1" applyBorder="1"/>
    <xf numFmtId="0" fontId="18" fillId="0" borderId="1" xfId="0" applyFont="1" applyFill="1" applyBorder="1"/>
    <xf numFmtId="181" fontId="18" fillId="0" borderId="1" xfId="37" applyNumberFormat="1" applyFont="1" applyFill="1" applyBorder="1" applyAlignment="1">
      <alignment horizontal="right" vertical="center" wrapText="1"/>
    </xf>
    <xf numFmtId="182" fontId="18" fillId="0" borderId="1" xfId="37" applyNumberFormat="1" applyFont="1" applyFill="1" applyBorder="1" applyAlignment="1">
      <alignment horizontal="right" vertical="center" wrapText="1"/>
    </xf>
    <xf numFmtId="3" fontId="17" fillId="0" borderId="0" xfId="0" applyNumberFormat="1" applyFont="1" applyFill="1"/>
    <xf numFmtId="2" fontId="16" fillId="0" borderId="1" xfId="0" applyNumberFormat="1" applyFont="1" applyFill="1" applyBorder="1" applyAlignment="1">
      <alignment horizontal="right" vertical="center"/>
    </xf>
    <xf numFmtId="165" fontId="16" fillId="0" borderId="0" xfId="0" applyNumberFormat="1" applyFont="1" applyFill="1"/>
    <xf numFmtId="3" fontId="16" fillId="0" borderId="1" xfId="0" applyNumberFormat="1" applyFont="1" applyBorder="1" applyAlignment="1">
      <alignment vertical="center"/>
    </xf>
    <xf numFmtId="3" fontId="18" fillId="0" borderId="1" xfId="0" applyNumberFormat="1" applyFont="1" applyBorder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17" fillId="0" borderId="6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51" fillId="0" borderId="1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vertical="center" wrapText="1"/>
    </xf>
    <xf numFmtId="182" fontId="16" fillId="0" borderId="9" xfId="37" applyNumberFormat="1" applyFont="1" applyFill="1" applyBorder="1" applyAlignment="1">
      <alignment horizontal="right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vertical="center" wrapText="1"/>
    </xf>
    <xf numFmtId="0" fontId="64" fillId="0" borderId="1" xfId="0" applyFont="1" applyFill="1" applyBorder="1" applyAlignment="1">
      <alignment horizontal="right" vertical="center" wrapText="1"/>
    </xf>
    <xf numFmtId="181" fontId="64" fillId="0" borderId="1" xfId="37" applyNumberFormat="1" applyFont="1" applyFill="1" applyBorder="1" applyAlignment="1">
      <alignment horizontal="right" vertical="center" wrapText="1"/>
    </xf>
    <xf numFmtId="0" fontId="64" fillId="0" borderId="0" xfId="0" applyFont="1" applyFill="1"/>
    <xf numFmtId="0" fontId="65" fillId="0" borderId="1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left" vertical="center" wrapText="1"/>
    </xf>
    <xf numFmtId="4" fontId="17" fillId="6" borderId="1" xfId="0" applyNumberFormat="1" applyFont="1" applyFill="1" applyBorder="1" applyAlignment="1">
      <alignment horizontal="center" vertical="center" wrapText="1"/>
    </xf>
    <xf numFmtId="4" fontId="17" fillId="6" borderId="1" xfId="0" applyNumberFormat="1" applyFont="1" applyFill="1" applyBorder="1" applyAlignment="1">
      <alignment horizontal="right" vertical="center" wrapText="1"/>
    </xf>
    <xf numFmtId="181" fontId="17" fillId="6" borderId="1" xfId="37" applyNumberFormat="1" applyFont="1" applyFill="1" applyBorder="1" applyAlignment="1">
      <alignment horizontal="right" vertical="center" wrapText="1"/>
    </xf>
    <xf numFmtId="0" fontId="17" fillId="6" borderId="1" xfId="0" applyNumberFormat="1" applyFont="1" applyFill="1" applyBorder="1" applyAlignment="1">
      <alignment vertical="center" wrapText="1"/>
    </xf>
    <xf numFmtId="0" fontId="54" fillId="6" borderId="1" xfId="0" applyFont="1" applyFill="1" applyBorder="1" applyAlignment="1">
      <alignment horizontal="center" vertical="center" wrapText="1"/>
    </xf>
    <xf numFmtId="181" fontId="16" fillId="6" borderId="1" xfId="0" applyNumberFormat="1" applyFont="1" applyFill="1" applyBorder="1" applyAlignment="1">
      <alignment horizontal="right" vertical="center" wrapText="1"/>
    </xf>
    <xf numFmtId="0" fontId="16" fillId="0" borderId="1" xfId="0" quotePrefix="1" applyNumberFormat="1" applyFont="1" applyFill="1" applyBorder="1" applyAlignment="1">
      <alignment horizontal="left" vertical="center" wrapText="1" indent="4"/>
    </xf>
    <xf numFmtId="0" fontId="16" fillId="0" borderId="1" xfId="0" applyNumberFormat="1" applyFont="1" applyFill="1" applyBorder="1" applyAlignment="1">
      <alignment horizontal="left" vertical="center" wrapText="1" indent="4"/>
    </xf>
    <xf numFmtId="0" fontId="16" fillId="0" borderId="1" xfId="0" quotePrefix="1" applyNumberFormat="1" applyFont="1" applyFill="1" applyBorder="1" applyAlignment="1">
      <alignment horizontal="left" vertical="center" wrapText="1" indent="2"/>
    </xf>
    <xf numFmtId="0" fontId="16" fillId="0" borderId="1" xfId="0" applyNumberFormat="1" applyFont="1" applyFill="1" applyBorder="1" applyAlignment="1">
      <alignment horizontal="left" vertical="center" wrapText="1" indent="2"/>
    </xf>
    <xf numFmtId="0" fontId="64" fillId="0" borderId="6" xfId="0" applyFont="1" applyFill="1" applyBorder="1" applyAlignment="1">
      <alignment horizontal="center" vertical="center" wrapText="1"/>
    </xf>
    <xf numFmtId="4" fontId="66" fillId="0" borderId="6" xfId="0" applyNumberFormat="1" applyFont="1" applyFill="1" applyBorder="1" applyAlignment="1">
      <alignment horizontal="center" vertical="center" wrapText="1"/>
    </xf>
    <xf numFmtId="0" fontId="64" fillId="0" borderId="6" xfId="0" applyNumberFormat="1" applyFont="1" applyFill="1" applyBorder="1" applyAlignment="1">
      <alignment horizontal="center" vertical="center" wrapText="1"/>
    </xf>
    <xf numFmtId="181" fontId="64" fillId="0" borderId="6" xfId="37" applyNumberFormat="1" applyFont="1" applyFill="1" applyBorder="1" applyAlignment="1">
      <alignment horizontal="center" vertical="center" wrapText="1"/>
    </xf>
    <xf numFmtId="4" fontId="66" fillId="0" borderId="1" xfId="0" applyNumberFormat="1" applyFont="1" applyFill="1" applyBorder="1" applyAlignment="1">
      <alignment horizontal="center" vertical="center" wrapText="1"/>
    </xf>
    <xf numFmtId="181" fontId="66" fillId="0" borderId="1" xfId="37" applyNumberFormat="1" applyFont="1" applyFill="1" applyBorder="1" applyAlignment="1">
      <alignment horizontal="right" vertical="center" wrapText="1"/>
    </xf>
    <xf numFmtId="0" fontId="17" fillId="6" borderId="1" xfId="0" applyNumberFormat="1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right" vertical="center" wrapText="1"/>
    </xf>
    <xf numFmtId="0" fontId="17" fillId="6" borderId="1" xfId="0" applyFont="1" applyFill="1" applyBorder="1" applyAlignment="1">
      <alignment vertical="center" wrapText="1"/>
    </xf>
    <xf numFmtId="182" fontId="16" fillId="6" borderId="1" xfId="47" applyNumberFormat="1" applyFont="1" applyFill="1" applyBorder="1" applyAlignment="1">
      <alignment horizontal="right" vertical="center" wrapText="1"/>
    </xf>
    <xf numFmtId="0" fontId="16" fillId="0" borderId="6" xfId="0" applyFont="1" applyFill="1" applyBorder="1"/>
    <xf numFmtId="0" fontId="64" fillId="0" borderId="1" xfId="0" applyFont="1" applyFill="1" applyBorder="1"/>
    <xf numFmtId="0" fontId="17" fillId="6" borderId="1" xfId="0" applyFont="1" applyFill="1" applyBorder="1"/>
    <xf numFmtId="182" fontId="17" fillId="6" borderId="1" xfId="37" applyNumberFormat="1" applyFont="1" applyFill="1" applyBorder="1" applyAlignment="1">
      <alignment horizontal="right" vertical="center" wrapText="1"/>
    </xf>
    <xf numFmtId="0" fontId="16" fillId="6" borderId="1" xfId="0" applyFont="1" applyFill="1" applyBorder="1" applyAlignment="1">
      <alignment horizontal="center" vertical="center" wrapText="1"/>
    </xf>
    <xf numFmtId="182" fontId="16" fillId="6" borderId="1" xfId="37" applyNumberFormat="1" applyFont="1" applyFill="1" applyBorder="1" applyAlignment="1">
      <alignment horizontal="right" vertical="center" wrapText="1"/>
    </xf>
    <xf numFmtId="0" fontId="16" fillId="6" borderId="1" xfId="0" applyFont="1" applyFill="1" applyBorder="1"/>
    <xf numFmtId="0" fontId="16" fillId="6" borderId="1" xfId="0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left" vertical="center" wrapText="1" indent="2"/>
    </xf>
    <xf numFmtId="3" fontId="16" fillId="0" borderId="1" xfId="0" applyNumberFormat="1" applyFont="1" applyFill="1" applyBorder="1" applyAlignment="1">
      <alignment horizontal="right"/>
    </xf>
    <xf numFmtId="201" fontId="18" fillId="0" borderId="0" xfId="0" applyNumberFormat="1" applyFont="1" applyFill="1"/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3" fontId="67" fillId="0" borderId="1" xfId="0" applyNumberFormat="1" applyFont="1" applyFill="1" applyBorder="1"/>
    <xf numFmtId="0" fontId="17" fillId="0" borderId="1" xfId="112" applyFont="1" applyFill="1" applyBorder="1" applyAlignment="1">
      <alignment horizontal="center" vertical="center" wrapText="1"/>
    </xf>
    <xf numFmtId="0" fontId="17" fillId="0" borderId="1" xfId="112" applyFont="1" applyFill="1" applyBorder="1" applyAlignment="1">
      <alignment vertical="center" wrapText="1"/>
    </xf>
    <xf numFmtId="0" fontId="18" fillId="0" borderId="1" xfId="112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right" vertical="center" wrapText="1"/>
    </xf>
    <xf numFmtId="3" fontId="67" fillId="0" borderId="1" xfId="0" applyNumberFormat="1" applyFont="1" applyFill="1" applyBorder="1" applyAlignment="1">
      <alignment horizontal="right"/>
    </xf>
    <xf numFmtId="3" fontId="16" fillId="0" borderId="1" xfId="0" applyNumberFormat="1" applyFont="1" applyFill="1" applyBorder="1" applyAlignment="1">
      <alignment vertical="center"/>
    </xf>
    <xf numFmtId="3" fontId="18" fillId="0" borderId="1" xfId="0" applyNumberFormat="1" applyFont="1" applyFill="1" applyBorder="1" applyAlignment="1">
      <alignment vertical="center"/>
    </xf>
    <xf numFmtId="200" fontId="16" fillId="0" borderId="1" xfId="50" applyNumberFormat="1" applyFont="1" applyFill="1" applyBorder="1" applyAlignment="1">
      <alignment horizontal="right" vertical="center" wrapText="1"/>
    </xf>
    <xf numFmtId="182" fontId="61" fillId="0" borderId="1" xfId="37" applyNumberFormat="1" applyFont="1" applyFill="1" applyBorder="1" applyAlignment="1">
      <alignment horizontal="right" vertical="center" wrapText="1"/>
    </xf>
    <xf numFmtId="182" fontId="64" fillId="0" borderId="1" xfId="47" applyNumberFormat="1" applyFont="1" applyFill="1" applyBorder="1" applyAlignment="1">
      <alignment horizontal="right" vertical="center" wrapText="1"/>
    </xf>
    <xf numFmtId="182" fontId="64" fillId="0" borderId="0" xfId="0" applyNumberFormat="1" applyFont="1" applyFill="1"/>
    <xf numFmtId="0" fontId="64" fillId="0" borderId="1" xfId="0" applyNumberFormat="1" applyFont="1" applyFill="1" applyBorder="1" applyAlignment="1">
      <alignment vertical="center" wrapText="1"/>
    </xf>
    <xf numFmtId="171" fontId="64" fillId="0" borderId="1" xfId="0" applyNumberFormat="1" applyFont="1" applyFill="1" applyBorder="1" applyAlignment="1">
      <alignment horizontal="right" vertical="center" wrapText="1"/>
    </xf>
    <xf numFmtId="181" fontId="64" fillId="0" borderId="1" xfId="47" applyNumberFormat="1" applyFont="1" applyFill="1" applyBorder="1" applyAlignment="1">
      <alignment horizontal="right" vertical="center" wrapText="1"/>
    </xf>
    <xf numFmtId="181" fontId="51" fillId="0" borderId="1" xfId="37" applyNumberFormat="1" applyFont="1" applyFill="1" applyBorder="1" applyAlignment="1">
      <alignment horizontal="right" vertical="center" wrapText="1"/>
    </xf>
    <xf numFmtId="0" fontId="66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vertical="center" wrapText="1"/>
    </xf>
    <xf numFmtId="0" fontId="66" fillId="0" borderId="1" xfId="0" applyFont="1" applyFill="1" applyBorder="1" applyAlignment="1">
      <alignment horizontal="right" vertical="center" wrapText="1"/>
    </xf>
    <xf numFmtId="0" fontId="66" fillId="0" borderId="1" xfId="0" applyFont="1" applyFill="1" applyBorder="1"/>
    <xf numFmtId="0" fontId="66" fillId="0" borderId="0" xfId="0" applyFont="1" applyFill="1"/>
    <xf numFmtId="2" fontId="17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51" fillId="0" borderId="1" xfId="112" applyFont="1" applyBorder="1" applyAlignment="1">
      <alignment horizontal="center" vertical="center" wrapText="1"/>
    </xf>
    <xf numFmtId="0" fontId="18" fillId="0" borderId="1" xfId="0" quotePrefix="1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3" fontId="18" fillId="0" borderId="1" xfId="112" applyNumberFormat="1" applyFont="1" applyFill="1" applyBorder="1" applyAlignment="1">
      <alignment horizontal="right" vertical="center" wrapText="1"/>
    </xf>
    <xf numFmtId="0" fontId="16" fillId="0" borderId="1" xfId="112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vertical="center"/>
    </xf>
    <xf numFmtId="201" fontId="17" fillId="0" borderId="0" xfId="0" applyNumberFormat="1" applyFont="1" applyFill="1"/>
    <xf numFmtId="4" fontId="17" fillId="0" borderId="1" xfId="0" applyNumberFormat="1" applyFont="1" applyFill="1" applyBorder="1" applyAlignment="1">
      <alignment horizontal="left" vertical="center" wrapText="1" indent="2"/>
    </xf>
    <xf numFmtId="182" fontId="17" fillId="0" borderId="0" xfId="0" applyNumberFormat="1" applyFont="1" applyFill="1"/>
    <xf numFmtId="43" fontId="16" fillId="0" borderId="1" xfId="37" applyFont="1" applyFill="1" applyBorder="1" applyAlignment="1">
      <alignment horizontal="right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53" fillId="0" borderId="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20" fillId="0" borderId="0" xfId="0" applyFont="1" applyAlignment="1">
      <alignment vertical="center"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0" fillId="0" borderId="0" xfId="0" applyBorder="1" applyAlignment="1">
      <alignment vertical="center"/>
    </xf>
    <xf numFmtId="0" fontId="17" fillId="0" borderId="6" xfId="0" applyFont="1" applyBorder="1" applyAlignment="1">
      <alignment horizontal="center" vertical="center" wrapText="1"/>
    </xf>
    <xf numFmtId="4" fontId="18" fillId="0" borderId="1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111" applyFont="1" applyAlignment="1">
      <alignment vertical="center"/>
    </xf>
    <xf numFmtId="0" fontId="0" fillId="0" borderId="0" xfId="111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6" fillId="0" borderId="1" xfId="0" quotePrefix="1" applyFont="1" applyBorder="1" applyAlignment="1">
      <alignment vertical="center" wrapText="1"/>
    </xf>
    <xf numFmtId="0" fontId="16" fillId="0" borderId="1" xfId="0" quotePrefix="1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0" fontId="69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left" vertical="center" wrapText="1"/>
    </xf>
    <xf numFmtId="0" fontId="70" fillId="0" borderId="1" xfId="0" applyFont="1" applyBorder="1" applyAlignment="1">
      <alignment horizontal="center" vertical="center"/>
    </xf>
    <xf numFmtId="0" fontId="70" fillId="0" borderId="1" xfId="0" applyFont="1" applyBorder="1" applyAlignment="1">
      <alignment vertical="center"/>
    </xf>
    <xf numFmtId="0" fontId="70" fillId="0" borderId="1" xfId="0" applyFont="1" applyBorder="1" applyAlignment="1">
      <alignment horizontal="center" vertical="center" wrapText="1"/>
    </xf>
    <xf numFmtId="49" fontId="71" fillId="0" borderId="1" xfId="0" applyNumberFormat="1" applyFont="1" applyBorder="1" applyAlignment="1">
      <alignment horizontal="center" vertical="center"/>
    </xf>
    <xf numFmtId="49" fontId="71" fillId="0" borderId="1" xfId="0" applyNumberFormat="1" applyFont="1" applyBorder="1" applyAlignment="1">
      <alignment vertical="center" wrapText="1"/>
    </xf>
    <xf numFmtId="0" fontId="71" fillId="0" borderId="1" xfId="0" applyFont="1" applyBorder="1" applyAlignment="1">
      <alignment horizontal="center" vertical="center" wrapText="1"/>
    </xf>
    <xf numFmtId="0" fontId="69" fillId="0" borderId="1" xfId="0" applyFont="1" applyBorder="1" applyAlignment="1">
      <alignment horizontal="center" vertical="center"/>
    </xf>
    <xf numFmtId="0" fontId="69" fillId="0" borderId="1" xfId="0" applyFont="1" applyBorder="1" applyAlignment="1">
      <alignment horizontal="left" vertical="center"/>
    </xf>
    <xf numFmtId="0" fontId="70" fillId="0" borderId="1" xfId="0" applyFont="1" applyBorder="1" applyAlignment="1">
      <alignment vertical="center" wrapText="1"/>
    </xf>
    <xf numFmtId="0" fontId="71" fillId="0" borderId="1" xfId="0" applyFont="1" applyBorder="1" applyAlignment="1">
      <alignment horizontal="center" vertical="center"/>
    </xf>
    <xf numFmtId="0" fontId="71" fillId="0" borderId="1" xfId="0" applyFont="1" applyBorder="1" applyAlignment="1">
      <alignment vertical="center" wrapText="1"/>
    </xf>
    <xf numFmtId="0" fontId="17" fillId="0" borderId="1" xfId="156" applyFont="1" applyFill="1" applyBorder="1" applyAlignment="1">
      <alignment horizontal="center" vertical="center" wrapText="1"/>
    </xf>
    <xf numFmtId="0" fontId="17" fillId="0" borderId="1" xfId="156" applyFont="1" applyFill="1" applyBorder="1" applyAlignment="1">
      <alignment horizontal="left" vertical="center" wrapText="1"/>
    </xf>
    <xf numFmtId="0" fontId="18" fillId="0" borderId="1" xfId="156" applyFont="1" applyFill="1" applyBorder="1" applyAlignment="1">
      <alignment vertical="center" wrapText="1"/>
    </xf>
    <xf numFmtId="0" fontId="18" fillId="0" borderId="1" xfId="156" applyFont="1" applyFill="1" applyBorder="1" applyAlignment="1">
      <alignment horizontal="center" vertical="center" wrapText="1"/>
    </xf>
    <xf numFmtId="0" fontId="53" fillId="0" borderId="0" xfId="156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16" fillId="0" borderId="9" xfId="0" applyFont="1" applyFill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16" fillId="0" borderId="1" xfId="0" applyNumberFormat="1" applyFont="1" applyBorder="1" applyAlignment="1">
      <alignment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1" xfId="0" quotePrefix="1" applyFont="1" applyBorder="1" applyAlignment="1">
      <alignment horizontal="center" vertical="center" wrapText="1"/>
    </xf>
    <xf numFmtId="181" fontId="16" fillId="0" borderId="1" xfId="0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/>
    </xf>
    <xf numFmtId="0" fontId="16" fillId="0" borderId="1" xfId="111" quotePrefix="1" applyFont="1" applyFill="1" applyBorder="1" applyAlignment="1">
      <alignment horizontal="center" vertical="center"/>
    </xf>
    <xf numFmtId="0" fontId="16" fillId="0" borderId="1" xfId="111" applyFont="1" applyFill="1" applyBorder="1" applyAlignment="1">
      <alignment vertical="center" wrapText="1"/>
    </xf>
    <xf numFmtId="0" fontId="16" fillId="0" borderId="1" xfId="111" applyFont="1" applyFill="1" applyBorder="1" applyAlignment="1">
      <alignment vertical="center"/>
    </xf>
    <xf numFmtId="0" fontId="16" fillId="0" borderId="1" xfId="0" applyFont="1" applyFill="1" applyBorder="1" applyAlignment="1">
      <alignment horizontal="justify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1" xfId="156" applyFont="1" applyFill="1" applyBorder="1" applyAlignment="1">
      <alignment horizontal="center" vertical="center" wrapText="1"/>
    </xf>
    <xf numFmtId="0" fontId="16" fillId="0" borderId="1" xfId="156" applyFont="1" applyFill="1" applyBorder="1" applyAlignment="1">
      <alignment vertical="center" wrapText="1"/>
    </xf>
    <xf numFmtId="0" fontId="16" fillId="0" borderId="1" xfId="156" quotePrefix="1" applyFont="1" applyFill="1" applyBorder="1" applyAlignment="1">
      <alignment horizontal="center" vertical="center" wrapText="1"/>
    </xf>
    <xf numFmtId="0" fontId="16" fillId="0" borderId="1" xfId="156" applyFont="1" applyFill="1" applyBorder="1" applyAlignment="1">
      <alignment horizontal="left" vertical="center" wrapText="1"/>
    </xf>
    <xf numFmtId="0" fontId="16" fillId="0" borderId="1" xfId="156" quotePrefix="1" applyFont="1" applyFill="1" applyBorder="1" applyAlignment="1">
      <alignment vertical="center" wrapText="1"/>
    </xf>
    <xf numFmtId="0" fontId="16" fillId="0" borderId="9" xfId="0" applyFont="1" applyBorder="1" applyAlignment="1">
      <alignment vertical="center" wrapText="1"/>
    </xf>
    <xf numFmtId="181" fontId="16" fillId="0" borderId="1" xfId="37" applyNumberFormat="1" applyFont="1" applyBorder="1" applyAlignment="1">
      <alignment horizontal="right" vertical="center" wrapText="1"/>
    </xf>
    <xf numFmtId="0" fontId="18" fillId="0" borderId="1" xfId="156" applyNumberFormat="1" applyFont="1" applyFill="1" applyBorder="1" applyAlignment="1">
      <alignment horizontal="left" vertical="center" wrapText="1"/>
    </xf>
    <xf numFmtId="182" fontId="16" fillId="0" borderId="1" xfId="37" applyNumberFormat="1" applyFont="1" applyBorder="1" applyAlignment="1">
      <alignment horizontal="right" vertical="center" wrapText="1"/>
    </xf>
    <xf numFmtId="4" fontId="16" fillId="0" borderId="1" xfId="112" applyNumberFormat="1" applyFont="1" applyFill="1" applyBorder="1" applyAlignment="1">
      <alignment horizontal="right" vertical="center" wrapText="1"/>
    </xf>
    <xf numFmtId="171" fontId="20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181" fontId="17" fillId="0" borderId="6" xfId="37" applyNumberFormat="1" applyFont="1" applyBorder="1" applyAlignment="1">
      <alignment horizontal="right" vertical="center" wrapText="1"/>
    </xf>
    <xf numFmtId="181" fontId="17" fillId="0" borderId="1" xfId="37" applyNumberFormat="1" applyFont="1" applyBorder="1" applyAlignment="1">
      <alignment horizontal="right" vertical="center" wrapText="1"/>
    </xf>
    <xf numFmtId="181" fontId="16" fillId="0" borderId="9" xfId="37" applyNumberFormat="1" applyFont="1" applyBorder="1" applyAlignment="1">
      <alignment horizontal="right" vertical="center" wrapText="1"/>
    </xf>
    <xf numFmtId="182" fontId="16" fillId="0" borderId="6" xfId="37" applyNumberFormat="1" applyFont="1" applyBorder="1" applyAlignment="1">
      <alignment horizontal="right" vertical="center" wrapText="1"/>
    </xf>
    <xf numFmtId="182" fontId="16" fillId="0" borderId="9" xfId="37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horizontal="right" vertical="center" wrapText="1"/>
    </xf>
    <xf numFmtId="182" fontId="17" fillId="0" borderId="6" xfId="37" applyNumberFormat="1" applyFont="1" applyBorder="1" applyAlignment="1">
      <alignment horizontal="right" vertical="center" wrapText="1"/>
    </xf>
    <xf numFmtId="182" fontId="17" fillId="0" borderId="1" xfId="37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right" vertical="center" wrapText="1"/>
    </xf>
    <xf numFmtId="0" fontId="16" fillId="0" borderId="1" xfId="0" applyFont="1" applyBorder="1" applyAlignment="1">
      <alignment horizontal="right" vertical="center" wrapText="1"/>
    </xf>
    <xf numFmtId="0" fontId="16" fillId="0" borderId="1" xfId="156" applyFont="1" applyFill="1" applyBorder="1" applyAlignment="1">
      <alignment horizontal="right" vertical="center" wrapText="1"/>
    </xf>
    <xf numFmtId="181" fontId="16" fillId="0" borderId="0" xfId="37" applyNumberFormat="1" applyFont="1" applyFill="1" applyAlignment="1">
      <alignment horizontal="right" wrapText="1"/>
    </xf>
    <xf numFmtId="182" fontId="16" fillId="0" borderId="0" xfId="0" applyNumberFormat="1" applyFont="1" applyAlignment="1">
      <alignment vertical="center"/>
    </xf>
    <xf numFmtId="181" fontId="16" fillId="0" borderId="0" xfId="37" applyNumberFormat="1" applyFont="1" applyFill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171" fontId="16" fillId="0" borderId="1" xfId="112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43" fontId="17" fillId="0" borderId="1" xfId="37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/>
    </xf>
    <xf numFmtId="182" fontId="16" fillId="0" borderId="6" xfId="37" applyNumberFormat="1" applyFont="1" applyFill="1" applyBorder="1" applyAlignment="1">
      <alignment horizontal="right" vertical="center" wrapText="1"/>
    </xf>
    <xf numFmtId="182" fontId="53" fillId="0" borderId="0" xfId="0" applyNumberFormat="1" applyFont="1" applyFill="1" applyAlignment="1">
      <alignment vertical="center"/>
    </xf>
    <xf numFmtId="181" fontId="16" fillId="0" borderId="9" xfId="37" applyNumberFormat="1" applyFont="1" applyFill="1" applyBorder="1" applyAlignment="1">
      <alignment horizontal="right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4" fontId="17" fillId="0" borderId="6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center" wrapText="1"/>
    </xf>
    <xf numFmtId="3" fontId="51" fillId="0" borderId="1" xfId="0" applyNumberFormat="1" applyFont="1" applyFill="1" applyBorder="1" applyAlignment="1">
      <alignment horizontal="right" vertical="center" wrapText="1"/>
    </xf>
    <xf numFmtId="0" fontId="51" fillId="0" borderId="1" xfId="0" applyFont="1" applyFill="1" applyBorder="1"/>
    <xf numFmtId="0" fontId="51" fillId="0" borderId="0" xfId="0" applyFont="1" applyFill="1"/>
    <xf numFmtId="171" fontId="51" fillId="0" borderId="1" xfId="0" applyNumberFormat="1" applyFont="1" applyFill="1" applyBorder="1" applyAlignment="1">
      <alignment horizontal="right" vertical="center" wrapText="1"/>
    </xf>
    <xf numFmtId="171" fontId="51" fillId="0" borderId="1" xfId="37" applyNumberFormat="1" applyFont="1" applyFill="1" applyBorder="1" applyAlignment="1">
      <alignment horizontal="right" vertical="center" wrapText="1"/>
    </xf>
    <xf numFmtId="171" fontId="17" fillId="0" borderId="1" xfId="0" applyNumberFormat="1" applyFont="1" applyFill="1" applyBorder="1" applyAlignment="1">
      <alignment horizontal="right" vertical="center" wrapText="1"/>
    </xf>
    <xf numFmtId="171" fontId="16" fillId="0" borderId="1" xfId="37" applyNumberFormat="1" applyFont="1" applyFill="1" applyBorder="1" applyAlignment="1">
      <alignment horizontal="right" vertical="center" wrapText="1"/>
    </xf>
    <xf numFmtId="4" fontId="51" fillId="0" borderId="1" xfId="0" applyNumberFormat="1" applyFont="1" applyBorder="1" applyAlignment="1">
      <alignment horizontal="left"/>
    </xf>
    <xf numFmtId="4" fontId="51" fillId="0" borderId="1" xfId="0" applyNumberFormat="1" applyFont="1" applyBorder="1" applyAlignment="1">
      <alignment horizontal="center"/>
    </xf>
    <xf numFmtId="171" fontId="51" fillId="0" borderId="1" xfId="0" applyNumberFormat="1" applyFont="1" applyBorder="1" applyAlignment="1">
      <alignment horizontal="right"/>
    </xf>
    <xf numFmtId="171" fontId="51" fillId="0" borderId="1" xfId="0" applyNumberFormat="1" applyFont="1" applyFill="1" applyBorder="1" applyAlignment="1">
      <alignment horizontal="right"/>
    </xf>
    <xf numFmtId="4" fontId="16" fillId="0" borderId="1" xfId="0" applyNumberFormat="1" applyFont="1" applyBorder="1" applyAlignment="1">
      <alignment horizontal="left"/>
    </xf>
    <xf numFmtId="4" fontId="16" fillId="0" borderId="1" xfId="0" applyNumberFormat="1" applyFont="1" applyBorder="1" applyAlignment="1">
      <alignment horizontal="center"/>
    </xf>
    <xf numFmtId="171" fontId="16" fillId="0" borderId="1" xfId="0" applyNumberFormat="1" applyFont="1" applyBorder="1" applyAlignment="1">
      <alignment horizontal="right"/>
    </xf>
    <xf numFmtId="171" fontId="16" fillId="0" borderId="1" xfId="0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 vertical="center" wrapText="1"/>
    </xf>
    <xf numFmtId="182" fontId="16" fillId="0" borderId="1" xfId="37" applyNumberFormat="1" applyFont="1" applyFill="1" applyBorder="1" applyAlignment="1">
      <alignment horizontal="center" vertical="center" wrapText="1"/>
    </xf>
    <xf numFmtId="181" fontId="16" fillId="0" borderId="6" xfId="37" applyNumberFormat="1" applyFont="1" applyFill="1" applyBorder="1" applyAlignment="1">
      <alignment horizontal="center" vertical="center" wrapText="1"/>
    </xf>
    <xf numFmtId="0" fontId="53" fillId="0" borderId="0" xfId="0" applyFont="1"/>
    <xf numFmtId="4" fontId="17" fillId="0" borderId="0" xfId="0" applyNumberFormat="1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 horizontal="center"/>
    </xf>
    <xf numFmtId="3" fontId="17" fillId="0" borderId="4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4" fontId="17" fillId="0" borderId="6" xfId="0" applyNumberFormat="1" applyFont="1" applyFill="1" applyBorder="1" applyAlignment="1">
      <alignment horizontal="left" vertical="center" wrapText="1"/>
    </xf>
    <xf numFmtId="4" fontId="17" fillId="0" borderId="6" xfId="0" applyNumberFormat="1" applyFont="1" applyFill="1" applyBorder="1" applyAlignment="1">
      <alignment horizontal="right" vertical="center" wrapText="1"/>
    </xf>
    <xf numFmtId="181" fontId="17" fillId="0" borderId="6" xfId="37" applyNumberFormat="1" applyFont="1" applyFill="1" applyBorder="1" applyAlignment="1">
      <alignment horizontal="right" vertical="center" wrapText="1"/>
    </xf>
    <xf numFmtId="181" fontId="16" fillId="0" borderId="6" xfId="37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0" fontId="53" fillId="0" borderId="9" xfId="0" applyFont="1" applyBorder="1"/>
    <xf numFmtId="4" fontId="17" fillId="0" borderId="6" xfId="0" applyNumberFormat="1" applyFont="1" applyBorder="1" applyAlignment="1">
      <alignment horizontal="left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left" vertical="center" wrapText="1"/>
    </xf>
    <xf numFmtId="4" fontId="17" fillId="0" borderId="1" xfId="0" applyNumberFormat="1" applyFont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Border="1" applyAlignment="1">
      <alignment horizontal="left" vertical="center" wrapText="1"/>
    </xf>
    <xf numFmtId="4" fontId="18" fillId="0" borderId="1" xfId="0" applyNumberFormat="1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 wrapText="1"/>
    </xf>
    <xf numFmtId="4" fontId="16" fillId="0" borderId="1" xfId="0" applyNumberFormat="1" applyFont="1" applyBorder="1" applyAlignment="1">
      <alignment horizontal="left" vertical="center" wrapText="1"/>
    </xf>
    <xf numFmtId="4" fontId="17" fillId="0" borderId="1" xfId="0" quotePrefix="1" applyNumberFormat="1" applyFont="1" applyBorder="1" applyAlignment="1">
      <alignment horizontal="left" vertical="center" wrapText="1"/>
    </xf>
    <xf numFmtId="0" fontId="72" fillId="0" borderId="0" xfId="0" applyFont="1"/>
    <xf numFmtId="181" fontId="0" fillId="0" borderId="0" xfId="0" applyNumberFormat="1"/>
    <xf numFmtId="0" fontId="0" fillId="0" borderId="9" xfId="0" applyBorder="1"/>
    <xf numFmtId="4" fontId="18" fillId="0" borderId="1" xfId="0" applyNumberFormat="1" applyFont="1" applyBorder="1" applyAlignment="1">
      <alignment horizontal="center" vertical="center" wrapText="1"/>
    </xf>
    <xf numFmtId="0" fontId="73" fillId="0" borderId="0" xfId="0" applyFont="1"/>
    <xf numFmtId="0" fontId="53" fillId="0" borderId="0" xfId="0" applyFont="1" applyFill="1"/>
    <xf numFmtId="3" fontId="53" fillId="0" borderId="0" xfId="0" applyNumberFormat="1" applyFont="1" applyFill="1"/>
    <xf numFmtId="4" fontId="18" fillId="0" borderId="1" xfId="0" quotePrefix="1" applyNumberFormat="1" applyFont="1" applyFill="1" applyBorder="1" applyAlignment="1">
      <alignment horizontal="left" vertical="center" wrapText="1"/>
    </xf>
    <xf numFmtId="4" fontId="16" fillId="0" borderId="1" xfId="0" quotePrefix="1" applyNumberFormat="1" applyFont="1" applyFill="1" applyBorder="1" applyAlignment="1">
      <alignment horizontal="left" vertical="center" wrapText="1"/>
    </xf>
    <xf numFmtId="0" fontId="52" fillId="0" borderId="0" xfId="0" applyFont="1" applyFill="1"/>
    <xf numFmtId="0" fontId="53" fillId="0" borderId="9" xfId="0" applyFont="1" applyFill="1" applyBorder="1"/>
    <xf numFmtId="181" fontId="53" fillId="0" borderId="9" xfId="37" applyNumberFormat="1" applyFont="1" applyFill="1" applyBorder="1" applyAlignment="1">
      <alignment horizontal="right"/>
    </xf>
    <xf numFmtId="0" fontId="16" fillId="0" borderId="4" xfId="0" applyFont="1" applyFill="1" applyBorder="1" applyAlignment="1">
      <alignment horizontal="center" vertical="center" wrapText="1"/>
    </xf>
    <xf numFmtId="182" fontId="17" fillId="0" borderId="0" xfId="37" applyNumberFormat="1" applyFont="1" applyFill="1"/>
    <xf numFmtId="182" fontId="16" fillId="0" borderId="0" xfId="37" applyNumberFormat="1" applyFont="1" applyFill="1"/>
    <xf numFmtId="0" fontId="68" fillId="0" borderId="24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24" xfId="0" applyFont="1" applyBorder="1" applyAlignment="1">
      <alignment vertical="center" wrapText="1"/>
    </xf>
    <xf numFmtId="0" fontId="68" fillId="0" borderId="24" xfId="0" applyFont="1" applyBorder="1" applyAlignment="1">
      <alignment vertical="center" wrapText="1"/>
    </xf>
    <xf numFmtId="0" fontId="67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63" fillId="0" borderId="24" xfId="0" applyFont="1" applyBorder="1" applyAlignment="1">
      <alignment horizontal="center" vertical="center" wrapText="1"/>
    </xf>
    <xf numFmtId="0" fontId="76" fillId="0" borderId="24" xfId="0" applyFont="1" applyBorder="1" applyAlignment="1">
      <alignment vertical="center" wrapText="1"/>
    </xf>
    <xf numFmtId="0" fontId="76" fillId="0" borderId="24" xfId="0" applyFont="1" applyBorder="1" applyAlignment="1">
      <alignment horizontal="center" vertical="center" wrapText="1"/>
    </xf>
    <xf numFmtId="0" fontId="68" fillId="0" borderId="20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9" fontId="16" fillId="0" borderId="24" xfId="0" applyNumberFormat="1" applyFont="1" applyBorder="1" applyAlignment="1">
      <alignment horizontal="center" vertical="center" wrapText="1"/>
    </xf>
    <xf numFmtId="10" fontId="16" fillId="0" borderId="24" xfId="0" applyNumberFormat="1" applyFont="1" applyBorder="1" applyAlignment="1">
      <alignment horizontal="center" vertical="center" wrapText="1"/>
    </xf>
    <xf numFmtId="10" fontId="68" fillId="0" borderId="24" xfId="0" applyNumberFormat="1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7" fillId="0" borderId="4" xfId="0" applyFont="1" applyBorder="1" applyAlignment="1">
      <alignment horizontal="center" vertical="center" wrapText="1"/>
    </xf>
    <xf numFmtId="0" fontId="67" fillId="0" borderId="4" xfId="0" applyFont="1" applyBorder="1" applyAlignment="1">
      <alignment vertical="center" wrapText="1"/>
    </xf>
    <xf numFmtId="3" fontId="67" fillId="0" borderId="4" xfId="0" applyNumberFormat="1" applyFont="1" applyBorder="1" applyAlignment="1">
      <alignment horizontal="center" vertical="center" wrapText="1"/>
    </xf>
    <xf numFmtId="10" fontId="67" fillId="0" borderId="4" xfId="0" applyNumberFormat="1" applyFont="1" applyBorder="1" applyAlignment="1">
      <alignment horizontal="center" vertical="center" wrapText="1"/>
    </xf>
    <xf numFmtId="0" fontId="68" fillId="0" borderId="4" xfId="0" applyFont="1" applyBorder="1" applyAlignment="1">
      <alignment vertical="center" wrapText="1"/>
    </xf>
    <xf numFmtId="0" fontId="63" fillId="0" borderId="4" xfId="0" applyFont="1" applyBorder="1" applyAlignment="1">
      <alignment horizontal="center" vertical="center" wrapText="1"/>
    </xf>
    <xf numFmtId="0" fontId="76" fillId="0" borderId="4" xfId="0" applyFont="1" applyBorder="1" applyAlignment="1">
      <alignment vertical="center" wrapText="1"/>
    </xf>
    <xf numFmtId="9" fontId="67" fillId="0" borderId="4" xfId="0" applyNumberFormat="1" applyFont="1" applyBorder="1" applyAlignment="1">
      <alignment horizontal="center" vertical="center" wrapText="1"/>
    </xf>
    <xf numFmtId="0" fontId="76" fillId="0" borderId="4" xfId="0" applyFont="1" applyBorder="1" applyAlignment="1">
      <alignment horizontal="center" vertical="center" wrapText="1"/>
    </xf>
    <xf numFmtId="10" fontId="76" fillId="0" borderId="4" xfId="0" applyNumberFormat="1" applyFont="1" applyBorder="1" applyAlignment="1">
      <alignment horizontal="center" vertical="center" wrapText="1"/>
    </xf>
    <xf numFmtId="3" fontId="68" fillId="0" borderId="4" xfId="0" applyNumberFormat="1" applyFont="1" applyBorder="1" applyAlignment="1">
      <alignment horizontal="right" vertical="center" wrapText="1"/>
    </xf>
    <xf numFmtId="10" fontId="68" fillId="0" borderId="4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50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43" fontId="17" fillId="0" borderId="6" xfId="0" applyNumberFormat="1" applyFont="1" applyBorder="1" applyAlignment="1">
      <alignment horizontal="left" vertical="center" wrapText="1"/>
    </xf>
    <xf numFmtId="170" fontId="16" fillId="0" borderId="6" xfId="0" applyNumberFormat="1" applyFont="1" applyBorder="1" applyAlignment="1">
      <alignment horizontal="center" vertical="center" wrapText="1"/>
    </xf>
    <xf numFmtId="170" fontId="16" fillId="0" borderId="6" xfId="0" applyNumberFormat="1" applyFont="1" applyBorder="1" applyAlignment="1">
      <alignment horizontal="right" vertical="center" wrapText="1"/>
    </xf>
    <xf numFmtId="4" fontId="16" fillId="0" borderId="1" xfId="114" applyNumberFormat="1" applyFont="1" applyBorder="1" applyAlignment="1">
      <alignment vertical="center"/>
    </xf>
    <xf numFmtId="170" fontId="16" fillId="0" borderId="1" xfId="0" applyNumberFormat="1" applyFont="1" applyBorder="1" applyAlignment="1">
      <alignment horizontal="center" vertical="center" wrapText="1"/>
    </xf>
    <xf numFmtId="3" fontId="16" fillId="0" borderId="1" xfId="0" applyNumberFormat="1" applyFont="1" applyBorder="1" applyAlignment="1">
      <alignment horizontal="right" vertical="center" wrapText="1"/>
    </xf>
    <xf numFmtId="4" fontId="18" fillId="0" borderId="1" xfId="114" applyNumberFormat="1" applyFont="1" applyBorder="1" applyAlignment="1">
      <alignment vertical="center"/>
    </xf>
    <xf numFmtId="170" fontId="18" fillId="0" borderId="1" xfId="0" applyNumberFormat="1" applyFont="1" applyBorder="1" applyAlignment="1">
      <alignment horizontal="center" vertical="center" wrapText="1"/>
    </xf>
    <xf numFmtId="43" fontId="16" fillId="0" borderId="1" xfId="0" applyNumberFormat="1" applyFont="1" applyBorder="1" applyAlignment="1">
      <alignment horizontal="left" vertical="center" wrapText="1"/>
    </xf>
    <xf numFmtId="0" fontId="16" fillId="0" borderId="1" xfId="0" applyNumberFormat="1" applyFont="1" applyBorder="1" applyAlignment="1">
      <alignment horizontal="center" vertical="center" wrapText="1"/>
    </xf>
    <xf numFmtId="43" fontId="16" fillId="0" borderId="1" xfId="37" applyFont="1" applyBorder="1" applyAlignment="1">
      <alignment vertical="center" wrapText="1"/>
    </xf>
    <xf numFmtId="3" fontId="16" fillId="0" borderId="1" xfId="37" applyNumberFormat="1" applyFont="1" applyBorder="1" applyAlignment="1">
      <alignment horizontal="right" vertical="center" wrapText="1"/>
    </xf>
    <xf numFmtId="43" fontId="18" fillId="0" borderId="1" xfId="37" applyFont="1" applyBorder="1" applyAlignment="1">
      <alignment vertical="center" wrapText="1"/>
    </xf>
    <xf numFmtId="0" fontId="18" fillId="0" borderId="1" xfId="0" applyNumberFormat="1" applyFont="1" applyBorder="1" applyAlignment="1">
      <alignment horizontal="center" vertical="center" wrapText="1"/>
    </xf>
    <xf numFmtId="3" fontId="18" fillId="0" borderId="1" xfId="37" applyNumberFormat="1" applyFont="1" applyBorder="1" applyAlignment="1">
      <alignment horizontal="right" vertical="center" wrapText="1"/>
    </xf>
    <xf numFmtId="0" fontId="18" fillId="0" borderId="0" xfId="0" applyFont="1" applyAlignment="1">
      <alignment vertical="center" wrapText="1"/>
    </xf>
    <xf numFmtId="3" fontId="18" fillId="0" borderId="0" xfId="0" applyNumberFormat="1" applyFont="1" applyAlignment="1">
      <alignment vertical="center" wrapText="1"/>
    </xf>
    <xf numFmtId="3" fontId="16" fillId="0" borderId="0" xfId="0" applyNumberFormat="1" applyFont="1" applyAlignment="1">
      <alignment vertical="center" wrapText="1"/>
    </xf>
    <xf numFmtId="43" fontId="17" fillId="0" borderId="1" xfId="37" applyFont="1" applyBorder="1" applyAlignment="1">
      <alignment vertical="center" wrapText="1"/>
    </xf>
    <xf numFmtId="43" fontId="16" fillId="0" borderId="1" xfId="37" applyFont="1" applyBorder="1" applyAlignment="1">
      <alignment horizontal="center" vertical="center" wrapText="1"/>
    </xf>
    <xf numFmtId="0" fontId="16" fillId="0" borderId="1" xfId="113" applyFont="1" applyBorder="1" applyAlignment="1">
      <alignment horizontal="center" vertical="center" wrapText="1"/>
    </xf>
    <xf numFmtId="171" fontId="16" fillId="0" borderId="1" xfId="37" applyNumberFormat="1" applyFont="1" applyBorder="1" applyAlignment="1">
      <alignment horizontal="right" vertical="center" wrapText="1"/>
    </xf>
    <xf numFmtId="4" fontId="16" fillId="0" borderId="1" xfId="37" applyNumberFormat="1" applyFont="1" applyBorder="1" applyAlignment="1">
      <alignment horizontal="right" vertical="center" wrapText="1"/>
    </xf>
    <xf numFmtId="0" fontId="16" fillId="0" borderId="9" xfId="0" applyFont="1" applyBorder="1" applyAlignment="1">
      <alignment horizontal="center" vertical="center" wrapText="1"/>
    </xf>
    <xf numFmtId="43" fontId="16" fillId="0" borderId="9" xfId="37" applyFont="1" applyBorder="1" applyAlignment="1">
      <alignment vertical="center" wrapText="1"/>
    </xf>
    <xf numFmtId="43" fontId="16" fillId="0" borderId="9" xfId="37" applyFont="1" applyBorder="1" applyAlignment="1">
      <alignment horizontal="center" vertical="center" wrapText="1"/>
    </xf>
    <xf numFmtId="43" fontId="16" fillId="0" borderId="0" xfId="37" applyFont="1" applyAlignment="1">
      <alignment vertical="center" wrapText="1"/>
    </xf>
    <xf numFmtId="43" fontId="16" fillId="0" borderId="0" xfId="37" applyFont="1" applyAlignment="1">
      <alignment horizontal="center" vertical="center" wrapText="1"/>
    </xf>
    <xf numFmtId="0" fontId="20" fillId="0" borderId="0" xfId="0" applyFont="1" applyFill="1"/>
    <xf numFmtId="43" fontId="16" fillId="0" borderId="0" xfId="0" applyNumberFormat="1" applyFont="1" applyFill="1"/>
    <xf numFmtId="0" fontId="79" fillId="0" borderId="6" xfId="0" applyFont="1" applyFill="1" applyBorder="1" applyAlignment="1">
      <alignment horizontal="center" vertical="center" wrapText="1"/>
    </xf>
    <xf numFmtId="0" fontId="54" fillId="0" borderId="6" xfId="0" applyNumberFormat="1" applyFont="1" applyFill="1" applyBorder="1" applyAlignment="1">
      <alignment vertical="center" wrapText="1"/>
    </xf>
    <xf numFmtId="0" fontId="80" fillId="0" borderId="6" xfId="0" applyFont="1" applyFill="1" applyBorder="1" applyAlignment="1">
      <alignment horizontal="center" vertical="center" wrapText="1"/>
    </xf>
    <xf numFmtId="182" fontId="16" fillId="0" borderId="6" xfId="0" applyNumberFormat="1" applyFont="1" applyFill="1" applyBorder="1" applyAlignment="1">
      <alignment vertical="center" wrapText="1"/>
    </xf>
    <xf numFmtId="0" fontId="53" fillId="0" borderId="1" xfId="0" applyFont="1" applyFill="1" applyBorder="1" applyAlignment="1">
      <alignment horizontal="center" vertical="center" wrapText="1"/>
    </xf>
    <xf numFmtId="0" fontId="79" fillId="0" borderId="1" xfId="0" applyNumberFormat="1" applyFont="1" applyFill="1" applyBorder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81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82" fillId="0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vertical="center" shrinkToFit="1"/>
    </xf>
    <xf numFmtId="0" fontId="52" fillId="0" borderId="9" xfId="0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right" vertical="center" wrapText="1"/>
    </xf>
    <xf numFmtId="0" fontId="18" fillId="0" borderId="1" xfId="0" applyFont="1" applyFill="1" applyBorder="1" applyAlignment="1">
      <alignment horizontal="right" vertical="center" wrapText="1"/>
    </xf>
    <xf numFmtId="182" fontId="18" fillId="0" borderId="0" xfId="0" applyNumberFormat="1" applyFont="1" applyFill="1"/>
    <xf numFmtId="182" fontId="17" fillId="0" borderId="6" xfId="37" applyNumberFormat="1" applyFont="1" applyFill="1" applyBorder="1" applyAlignment="1">
      <alignment horizontal="right" vertical="center" wrapText="1"/>
    </xf>
    <xf numFmtId="0" fontId="79" fillId="7" borderId="11" xfId="0" applyFont="1" applyFill="1" applyBorder="1" applyAlignment="1">
      <alignment horizontal="center" vertical="center" wrapText="1"/>
    </xf>
    <xf numFmtId="0" fontId="16" fillId="7" borderId="1" xfId="0" applyNumberFormat="1" applyFont="1" applyFill="1" applyBorder="1" applyAlignment="1">
      <alignment vertical="center" wrapText="1"/>
    </xf>
    <xf numFmtId="0" fontId="53" fillId="7" borderId="1" xfId="0" applyFont="1" applyFill="1" applyBorder="1" applyAlignment="1">
      <alignment horizontal="center" vertical="center" wrapText="1"/>
    </xf>
    <xf numFmtId="182" fontId="16" fillId="7" borderId="1" xfId="37" applyNumberFormat="1" applyFont="1" applyFill="1" applyBorder="1" applyAlignment="1">
      <alignment horizontal="right" vertical="center" wrapText="1"/>
    </xf>
    <xf numFmtId="0" fontId="16" fillId="7" borderId="11" xfId="0" applyFont="1" applyFill="1" applyBorder="1" applyAlignment="1">
      <alignment vertical="center" wrapText="1"/>
    </xf>
    <xf numFmtId="181" fontId="16" fillId="7" borderId="1" xfId="37" applyNumberFormat="1" applyFont="1" applyFill="1" applyBorder="1" applyAlignment="1">
      <alignment horizontal="right" vertical="center" wrapText="1"/>
    </xf>
    <xf numFmtId="0" fontId="79" fillId="5" borderId="11" xfId="0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vertical="center" wrapText="1"/>
    </xf>
    <xf numFmtId="0" fontId="53" fillId="5" borderId="1" xfId="0" applyFont="1" applyFill="1" applyBorder="1" applyAlignment="1">
      <alignment horizontal="center" vertical="center" wrapText="1"/>
    </xf>
    <xf numFmtId="182" fontId="16" fillId="5" borderId="1" xfId="37" applyNumberFormat="1" applyFont="1" applyFill="1" applyBorder="1" applyAlignment="1">
      <alignment horizontal="right" vertical="center" wrapText="1"/>
    </xf>
    <xf numFmtId="0" fontId="16" fillId="5" borderId="11" xfId="0" applyFont="1" applyFill="1" applyBorder="1" applyAlignment="1">
      <alignment vertical="center" wrapText="1"/>
    </xf>
    <xf numFmtId="0" fontId="79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horizontal="right" vertical="center" wrapText="1"/>
    </xf>
    <xf numFmtId="180" fontId="16" fillId="7" borderId="1" xfId="37" applyNumberFormat="1" applyFont="1" applyFill="1" applyBorder="1" applyAlignment="1">
      <alignment horizontal="right" vertical="center" wrapText="1"/>
    </xf>
    <xf numFmtId="43" fontId="16" fillId="7" borderId="1" xfId="37" applyNumberFormat="1" applyFont="1" applyFill="1" applyBorder="1" applyAlignment="1">
      <alignment horizontal="right" vertical="center" wrapText="1"/>
    </xf>
    <xf numFmtId="0" fontId="54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right"/>
    </xf>
    <xf numFmtId="182" fontId="16" fillId="0" borderId="1" xfId="0" applyNumberFormat="1" applyFont="1" applyFill="1" applyBorder="1" applyAlignment="1">
      <alignment horizontal="right"/>
    </xf>
    <xf numFmtId="43" fontId="16" fillId="0" borderId="1" xfId="0" applyNumberFormat="1" applyFont="1" applyFill="1" applyBorder="1" applyAlignment="1">
      <alignment horizontal="right"/>
    </xf>
    <xf numFmtId="182" fontId="17" fillId="0" borderId="1" xfId="0" applyNumberFormat="1" applyFont="1" applyFill="1" applyBorder="1" applyAlignment="1">
      <alignment horizontal="right" vertical="center" wrapText="1"/>
    </xf>
    <xf numFmtId="43" fontId="17" fillId="0" borderId="1" xfId="37" applyNumberFormat="1" applyFont="1" applyFill="1" applyBorder="1" applyAlignment="1">
      <alignment horizontal="right" vertical="center" wrapText="1"/>
    </xf>
    <xf numFmtId="0" fontId="79" fillId="7" borderId="1" xfId="0" applyNumberFormat="1" applyFont="1" applyFill="1" applyBorder="1" applyAlignment="1">
      <alignment horizontal="center" vertical="center" wrapText="1"/>
    </xf>
    <xf numFmtId="0" fontId="16" fillId="7" borderId="1" xfId="0" applyFont="1" applyFill="1" applyBorder="1" applyAlignment="1">
      <alignment vertical="center" wrapText="1"/>
    </xf>
    <xf numFmtId="0" fontId="82" fillId="7" borderId="1" xfId="0" applyFont="1" applyFill="1" applyBorder="1" applyAlignment="1">
      <alignment horizontal="center" vertical="center" wrapText="1"/>
    </xf>
    <xf numFmtId="0" fontId="54" fillId="7" borderId="1" xfId="0" applyFont="1" applyFill="1" applyBorder="1" applyAlignment="1">
      <alignment horizontal="right" vertical="center" wrapText="1"/>
    </xf>
    <xf numFmtId="0" fontId="16" fillId="7" borderId="1" xfId="0" applyNumberFormat="1" applyFont="1" applyFill="1" applyBorder="1" applyAlignment="1">
      <alignment vertical="center" wrapText="1" shrinkToFit="1"/>
    </xf>
    <xf numFmtId="0" fontId="16" fillId="0" borderId="1" xfId="0" applyNumberFormat="1" applyFont="1" applyFill="1" applyBorder="1" applyAlignment="1">
      <alignment vertical="center" wrapText="1" shrinkToFit="1"/>
    </xf>
    <xf numFmtId="181" fontId="16" fillId="5" borderId="1" xfId="37" applyNumberFormat="1" applyFont="1" applyFill="1" applyBorder="1" applyAlignment="1">
      <alignment horizontal="right" vertical="center" wrapText="1"/>
    </xf>
    <xf numFmtId="0" fontId="16" fillId="5" borderId="1" xfId="0" applyFont="1" applyFill="1" applyBorder="1" applyAlignment="1">
      <alignment horizontal="right" vertical="center" wrapText="1"/>
    </xf>
    <xf numFmtId="182" fontId="16" fillId="5" borderId="1" xfId="0" applyNumberFormat="1" applyFont="1" applyFill="1" applyBorder="1" applyAlignment="1">
      <alignment horizontal="right" vertical="center" wrapText="1"/>
    </xf>
    <xf numFmtId="182" fontId="17" fillId="0" borderId="9" xfId="37" applyNumberFormat="1" applyFont="1" applyFill="1" applyBorder="1" applyAlignment="1">
      <alignment horizontal="right" vertical="center" wrapText="1"/>
    </xf>
    <xf numFmtId="181" fontId="16" fillId="0" borderId="0" xfId="0" applyNumberFormat="1" applyFont="1" applyFill="1"/>
    <xf numFmtId="203" fontId="16" fillId="0" borderId="0" xfId="0" applyNumberFormat="1" applyFont="1" applyFill="1"/>
    <xf numFmtId="201" fontId="16" fillId="0" borderId="0" xfId="0" applyNumberFormat="1" applyFont="1" applyFill="1"/>
    <xf numFmtId="0" fontId="78" fillId="0" borderId="0" xfId="0" applyFont="1" applyFill="1" applyBorder="1"/>
    <xf numFmtId="0" fontId="83" fillId="0" borderId="0" xfId="0" applyFont="1" applyFill="1" applyBorder="1" applyAlignment="1"/>
    <xf numFmtId="0" fontId="84" fillId="0" borderId="12" xfId="0" applyFont="1" applyFill="1" applyBorder="1" applyAlignment="1"/>
    <xf numFmtId="182" fontId="85" fillId="0" borderId="0" xfId="0" applyNumberFormat="1" applyFont="1" applyFill="1" applyBorder="1"/>
    <xf numFmtId="0" fontId="17" fillId="0" borderId="6" xfId="0" applyFont="1" applyFill="1" applyBorder="1" applyAlignment="1">
      <alignment horizontal="center"/>
    </xf>
    <xf numFmtId="0" fontId="54" fillId="0" borderId="6" xfId="0" applyFont="1" applyFill="1" applyBorder="1" applyAlignment="1">
      <alignment horizontal="left"/>
    </xf>
    <xf numFmtId="0" fontId="54" fillId="0" borderId="6" xfId="0" applyFont="1" applyFill="1" applyBorder="1" applyAlignment="1">
      <alignment horizontal="center"/>
    </xf>
    <xf numFmtId="181" fontId="16" fillId="0" borderId="6" xfId="0" applyNumberFormat="1" applyFont="1" applyFill="1" applyBorder="1" applyAlignment="1">
      <alignment horizontal="right"/>
    </xf>
    <xf numFmtId="181" fontId="16" fillId="0" borderId="6" xfId="0" applyNumberFormat="1" applyFont="1" applyFill="1" applyBorder="1"/>
    <xf numFmtId="0" fontId="86" fillId="0" borderId="0" xfId="0" applyFont="1" applyFill="1" applyBorder="1"/>
    <xf numFmtId="0" fontId="51" fillId="0" borderId="1" xfId="0" applyFont="1" applyFill="1" applyBorder="1" applyAlignment="1">
      <alignment horizontal="center"/>
    </xf>
    <xf numFmtId="0" fontId="51" fillId="0" borderId="1" xfId="0" applyFont="1" applyFill="1" applyBorder="1" applyAlignment="1">
      <alignment vertical="center" shrinkToFit="1"/>
    </xf>
    <xf numFmtId="0" fontId="16" fillId="0" borderId="1" xfId="0" applyFont="1" applyFill="1" applyBorder="1" applyAlignment="1">
      <alignment horizontal="center"/>
    </xf>
    <xf numFmtId="181" fontId="16" fillId="0" borderId="1" xfId="0" applyNumberFormat="1" applyFont="1" applyFill="1" applyBorder="1" applyAlignment="1">
      <alignment horizontal="right"/>
    </xf>
    <xf numFmtId="182" fontId="87" fillId="0" borderId="0" xfId="0" applyNumberFormat="1" applyFont="1" applyFill="1" applyBorder="1"/>
    <xf numFmtId="0" fontId="87" fillId="0" borderId="0" xfId="0" applyFont="1" applyFill="1" applyBorder="1"/>
    <xf numFmtId="0" fontId="88" fillId="0" borderId="0" xfId="0" applyFont="1" applyFill="1" applyBorder="1"/>
    <xf numFmtId="0" fontId="17" fillId="0" borderId="1" xfId="0" applyFont="1" applyFill="1" applyBorder="1" applyAlignment="1">
      <alignment horizontal="center"/>
    </xf>
    <xf numFmtId="182" fontId="17" fillId="0" borderId="1" xfId="0" applyNumberFormat="1" applyFont="1" applyFill="1" applyBorder="1" applyAlignment="1">
      <alignment horizontal="right"/>
    </xf>
    <xf numFmtId="0" fontId="77" fillId="0" borderId="0" xfId="0" applyFont="1" applyFill="1" applyBorder="1"/>
    <xf numFmtId="0" fontId="89" fillId="0" borderId="0" xfId="0" applyFont="1" applyFill="1" applyBorder="1"/>
    <xf numFmtId="0" fontId="18" fillId="0" borderId="1" xfId="0" applyFont="1" applyFill="1" applyBorder="1" applyAlignment="1">
      <alignment horizontal="center"/>
    </xf>
    <xf numFmtId="182" fontId="18" fillId="0" borderId="1" xfId="0" applyNumberFormat="1" applyFont="1" applyFill="1" applyBorder="1" applyAlignment="1">
      <alignment horizontal="right"/>
    </xf>
    <xf numFmtId="0" fontId="84" fillId="0" borderId="0" xfId="0" applyFont="1" applyFill="1" applyBorder="1"/>
    <xf numFmtId="182" fontId="16" fillId="0" borderId="1" xfId="37" applyNumberFormat="1" applyFont="1" applyFill="1" applyBorder="1" applyAlignment="1">
      <alignment horizontal="right"/>
    </xf>
    <xf numFmtId="181" fontId="18" fillId="0" borderId="1" xfId="37" applyNumberFormat="1" applyFont="1" applyFill="1" applyBorder="1" applyAlignment="1">
      <alignment horizontal="right"/>
    </xf>
    <xf numFmtId="43" fontId="16" fillId="0" borderId="1" xfId="37" applyFont="1" applyFill="1" applyBorder="1" applyAlignment="1">
      <alignment horizontal="right"/>
    </xf>
    <xf numFmtId="0" fontId="16" fillId="0" borderId="1" xfId="0" applyFont="1" applyFill="1" applyBorder="1" applyAlignment="1"/>
    <xf numFmtId="181" fontId="16" fillId="0" borderId="1" xfId="37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left"/>
    </xf>
    <xf numFmtId="0" fontId="18" fillId="0" borderId="1" xfId="0" applyFont="1" applyFill="1" applyBorder="1" applyAlignment="1">
      <alignment horizontal="left"/>
    </xf>
    <xf numFmtId="0" fontId="16" fillId="0" borderId="1" xfId="0" applyNumberFormat="1" applyFont="1" applyFill="1" applyBorder="1"/>
    <xf numFmtId="0" fontId="18" fillId="0" borderId="1" xfId="0" applyNumberFormat="1" applyFont="1" applyFill="1" applyBorder="1"/>
    <xf numFmtId="0" fontId="18" fillId="0" borderId="1" xfId="0" applyNumberFormat="1" applyFont="1" applyFill="1" applyBorder="1" applyAlignment="1">
      <alignment horizontal="center"/>
    </xf>
    <xf numFmtId="182" fontId="18" fillId="0" borderId="1" xfId="37" applyNumberFormat="1" applyFont="1" applyFill="1" applyBorder="1" applyAlignment="1">
      <alignment horizontal="right"/>
    </xf>
    <xf numFmtId="0" fontId="16" fillId="0" borderId="1" xfId="0" applyNumberFormat="1" applyFont="1" applyFill="1" applyBorder="1" applyAlignment="1">
      <alignment horizontal="center"/>
    </xf>
    <xf numFmtId="4" fontId="18" fillId="0" borderId="1" xfId="0" applyNumberFormat="1" applyFont="1" applyFill="1" applyBorder="1" applyAlignment="1">
      <alignment horizontal="left" vertical="center" wrapText="1" indent="5"/>
    </xf>
    <xf numFmtId="4" fontId="16" fillId="0" borderId="1" xfId="0" applyNumberFormat="1" applyFont="1" applyFill="1" applyBorder="1" applyAlignment="1">
      <alignment horizontal="left" vertical="center" wrapText="1" indent="5"/>
    </xf>
    <xf numFmtId="182" fontId="51" fillId="0" borderId="1" xfId="0" applyNumberFormat="1" applyFont="1" applyFill="1" applyBorder="1" applyAlignment="1">
      <alignment horizontal="right"/>
    </xf>
    <xf numFmtId="0" fontId="90" fillId="0" borderId="1" xfId="0" applyFont="1" applyFill="1" applyBorder="1" applyAlignment="1">
      <alignment horizontal="center"/>
    </xf>
    <xf numFmtId="0" fontId="90" fillId="0" borderId="1" xfId="0" applyFont="1" applyFill="1" applyBorder="1"/>
    <xf numFmtId="0" fontId="90" fillId="0" borderId="1" xfId="0" applyFont="1" applyFill="1" applyBorder="1" applyAlignment="1">
      <alignment horizontal="right"/>
    </xf>
    <xf numFmtId="0" fontId="18" fillId="0" borderId="1" xfId="0" applyFont="1" applyFill="1" applyBorder="1" applyAlignment="1">
      <alignment horizontal="right"/>
    </xf>
    <xf numFmtId="0" fontId="91" fillId="0" borderId="0" xfId="0" applyFont="1" applyFill="1" applyBorder="1"/>
    <xf numFmtId="0" fontId="90" fillId="0" borderId="1" xfId="0" applyFont="1" applyFill="1" applyBorder="1" applyAlignment="1">
      <alignment horizontal="left"/>
    </xf>
    <xf numFmtId="182" fontId="90" fillId="0" borderId="1" xfId="0" applyNumberFormat="1" applyFont="1" applyFill="1" applyBorder="1" applyAlignment="1">
      <alignment horizontal="center"/>
    </xf>
    <xf numFmtId="172" fontId="18" fillId="0" borderId="1" xfId="0" applyNumberFormat="1" applyFont="1" applyFill="1" applyBorder="1" applyAlignment="1">
      <alignment horizontal="right"/>
    </xf>
    <xf numFmtId="183" fontId="16" fillId="0" borderId="1" xfId="0" applyNumberFormat="1" applyFont="1" applyFill="1" applyBorder="1" applyAlignment="1">
      <alignment horizontal="right"/>
    </xf>
    <xf numFmtId="0" fontId="92" fillId="0" borderId="1" xfId="0" applyFont="1" applyFill="1" applyBorder="1"/>
    <xf numFmtId="0" fontId="92" fillId="0" borderId="1" xfId="0" applyFont="1" applyFill="1" applyBorder="1" applyAlignment="1">
      <alignment horizontal="center"/>
    </xf>
    <xf numFmtId="0" fontId="54" fillId="0" borderId="1" xfId="0" applyFont="1" applyFill="1" applyBorder="1" applyAlignment="1">
      <alignment horizontal="center"/>
    </xf>
    <xf numFmtId="182" fontId="90" fillId="0" borderId="1" xfId="37" applyNumberFormat="1" applyFont="1" applyFill="1" applyBorder="1" applyAlignment="1">
      <alignment horizontal="right"/>
    </xf>
    <xf numFmtId="0" fontId="78" fillId="0" borderId="9" xfId="0" applyFont="1" applyFill="1" applyBorder="1" applyAlignment="1">
      <alignment horizontal="center"/>
    </xf>
    <xf numFmtId="0" fontId="78" fillId="0" borderId="9" xfId="0" applyFont="1" applyFill="1" applyBorder="1"/>
    <xf numFmtId="182" fontId="78" fillId="0" borderId="9" xfId="0" applyNumberFormat="1" applyFont="1" applyFill="1" applyBorder="1"/>
    <xf numFmtId="0" fontId="78" fillId="0" borderId="0" xfId="0" applyFont="1" applyFill="1" applyBorder="1" applyAlignment="1">
      <alignment horizontal="center"/>
    </xf>
    <xf numFmtId="182" fontId="78" fillId="0" borderId="0" xfId="0" applyNumberFormat="1" applyFont="1" applyFill="1" applyBorder="1"/>
    <xf numFmtId="0" fontId="85" fillId="0" borderId="0" xfId="0" applyFont="1" applyFill="1" applyBorder="1"/>
    <xf numFmtId="0" fontId="16" fillId="0" borderId="4" xfId="0" applyNumberFormat="1" applyFont="1" applyFill="1" applyBorder="1" applyAlignment="1">
      <alignment horizontal="center" vertical="center" shrinkToFit="1"/>
    </xf>
    <xf numFmtId="181" fontId="17" fillId="0" borderId="6" xfId="0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vertical="center" shrinkToFit="1"/>
    </xf>
    <xf numFmtId="182" fontId="77" fillId="0" borderId="0" xfId="0" applyNumberFormat="1" applyFont="1" applyFill="1" applyBorder="1"/>
    <xf numFmtId="181" fontId="17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vertical="center"/>
    </xf>
    <xf numFmtId="182" fontId="18" fillId="0" borderId="1" xfId="0" applyNumberFormat="1" applyFont="1" applyFill="1" applyBorder="1" applyAlignment="1">
      <alignment horizontal="right" vertical="center" wrapText="1"/>
    </xf>
    <xf numFmtId="181" fontId="18" fillId="0" borderId="1" xfId="0" applyNumberFormat="1" applyFont="1" applyFill="1" applyBorder="1" applyAlignment="1">
      <alignment horizontal="right" vertical="center" wrapText="1"/>
    </xf>
    <xf numFmtId="0" fontId="18" fillId="0" borderId="1" xfId="0" quotePrefix="1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/>
    <xf numFmtId="181" fontId="77" fillId="0" borderId="0" xfId="0" applyNumberFormat="1" applyFont="1" applyFill="1" applyBorder="1"/>
    <xf numFmtId="0" fontId="16" fillId="4" borderId="1" xfId="0" applyFont="1" applyFill="1" applyBorder="1" applyAlignment="1">
      <alignment horizontal="center"/>
    </xf>
    <xf numFmtId="0" fontId="16" fillId="4" borderId="1" xfId="0" applyFont="1" applyFill="1" applyBorder="1"/>
    <xf numFmtId="182" fontId="17" fillId="4" borderId="1" xfId="0" applyNumberFormat="1" applyFont="1" applyFill="1" applyBorder="1" applyAlignment="1">
      <alignment horizontal="right" vertical="center" wrapText="1"/>
    </xf>
    <xf numFmtId="182" fontId="16" fillId="4" borderId="1" xfId="37" applyNumberFormat="1" applyFont="1" applyFill="1" applyBorder="1" applyAlignment="1">
      <alignment horizontal="right" vertical="center" wrapText="1"/>
    </xf>
    <xf numFmtId="0" fontId="16" fillId="4" borderId="1" xfId="0" applyFont="1" applyFill="1" applyBorder="1" applyAlignment="1">
      <alignment horizontal="right"/>
    </xf>
    <xf numFmtId="181" fontId="18" fillId="0" borderId="1" xfId="0" applyNumberFormat="1" applyFont="1" applyFill="1" applyBorder="1" applyAlignment="1">
      <alignment horizontal="right"/>
    </xf>
    <xf numFmtId="182" fontId="17" fillId="0" borderId="1" xfId="37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vertical="center"/>
    </xf>
    <xf numFmtId="199" fontId="77" fillId="0" borderId="0" xfId="0" applyNumberFormat="1" applyFont="1" applyFill="1" applyBorder="1"/>
    <xf numFmtId="182" fontId="77" fillId="0" borderId="9" xfId="0" applyNumberFormat="1" applyFont="1" applyFill="1" applyBorder="1"/>
    <xf numFmtId="0" fontId="18" fillId="0" borderId="0" xfId="0" applyFont="1" applyFill="1" applyAlignment="1">
      <alignment horizontal="center" vertical="center" wrapText="1"/>
    </xf>
    <xf numFmtId="0" fontId="17" fillId="0" borderId="6" xfId="0" applyNumberFormat="1" applyFont="1" applyFill="1" applyBorder="1" applyAlignment="1">
      <alignment vertical="center" wrapText="1"/>
    </xf>
    <xf numFmtId="170" fontId="16" fillId="0" borderId="6" xfId="0" applyNumberFormat="1" applyFont="1" applyFill="1" applyBorder="1" applyAlignment="1">
      <alignment horizontal="center" vertical="center" wrapText="1"/>
    </xf>
    <xf numFmtId="170" fontId="16" fillId="0" borderId="6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vertical="center" wrapText="1"/>
    </xf>
    <xf numFmtId="3" fontId="17" fillId="0" borderId="0" xfId="0" applyNumberFormat="1" applyFont="1" applyFill="1" applyAlignment="1">
      <alignment vertical="center" wrapText="1"/>
    </xf>
    <xf numFmtId="9" fontId="16" fillId="0" borderId="1" xfId="37" applyNumberFormat="1" applyFont="1" applyFill="1" applyBorder="1" applyAlignment="1">
      <alignment vertical="center" wrapText="1"/>
    </xf>
    <xf numFmtId="9" fontId="16" fillId="0" borderId="1" xfId="37" quotePrefix="1" applyNumberFormat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horizontal="center" vertical="center" wrapText="1"/>
    </xf>
    <xf numFmtId="3" fontId="16" fillId="3" borderId="1" xfId="0" applyNumberFormat="1" applyFont="1" applyFill="1" applyBorder="1" applyAlignment="1">
      <alignment horizontal="righ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53" fillId="0" borderId="1" xfId="0" applyFont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right" vertical="center" wrapText="1"/>
    </xf>
    <xf numFmtId="0" fontId="16" fillId="3" borderId="1" xfId="0" quotePrefix="1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vertical="center" wrapText="1"/>
    </xf>
    <xf numFmtId="172" fontId="16" fillId="3" borderId="1" xfId="0" applyNumberFormat="1" applyFont="1" applyFill="1" applyBorder="1" applyAlignment="1">
      <alignment vertical="center" wrapText="1"/>
    </xf>
    <xf numFmtId="182" fontId="16" fillId="0" borderId="0" xfId="37" applyNumberFormat="1" applyFont="1" applyFill="1" applyAlignment="1">
      <alignment vertical="center" wrapText="1"/>
    </xf>
    <xf numFmtId="171" fontId="16" fillId="3" borderId="1" xfId="0" applyNumberFormat="1" applyFont="1" applyFill="1" applyBorder="1" applyAlignment="1">
      <alignment horizontal="right" vertical="center" wrapText="1"/>
    </xf>
    <xf numFmtId="0" fontId="17" fillId="0" borderId="1" xfId="111" applyFont="1" applyFill="1" applyBorder="1" applyAlignment="1">
      <alignment horizontal="center" vertical="center"/>
    </xf>
    <xf numFmtId="0" fontId="17" fillId="0" borderId="1" xfId="111" quotePrefix="1" applyFont="1" applyFill="1" applyBorder="1" applyAlignment="1">
      <alignment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vertical="center" wrapText="1"/>
    </xf>
    <xf numFmtId="0" fontId="18" fillId="3" borderId="1" xfId="0" applyNumberFormat="1" applyFont="1" applyFill="1" applyBorder="1" applyAlignment="1">
      <alignment vertical="center" wrapText="1"/>
    </xf>
    <xf numFmtId="0" fontId="16" fillId="3" borderId="1" xfId="0" applyNumberFormat="1" applyFont="1" applyFill="1" applyBorder="1" applyAlignment="1">
      <alignment horizontal="left" vertical="center" wrapText="1"/>
    </xf>
    <xf numFmtId="170" fontId="16" fillId="3" borderId="1" xfId="0" applyNumberFormat="1" applyFont="1" applyFill="1" applyBorder="1" applyAlignment="1">
      <alignment horizontal="right" vertical="center" wrapText="1"/>
    </xf>
    <xf numFmtId="180" fontId="18" fillId="3" borderId="1" xfId="37" applyNumberFormat="1" applyFont="1" applyFill="1" applyBorder="1" applyAlignment="1">
      <alignment vertical="center" wrapText="1"/>
    </xf>
    <xf numFmtId="0" fontId="18" fillId="3" borderId="1" xfId="0" quotePrefix="1" applyNumberFormat="1" applyFont="1" applyFill="1" applyBorder="1" applyAlignment="1">
      <alignment vertical="center" wrapText="1"/>
    </xf>
    <xf numFmtId="3" fontId="16" fillId="0" borderId="0" xfId="0" applyNumberFormat="1" applyFont="1" applyFill="1" applyAlignment="1">
      <alignment vertical="center" wrapText="1"/>
    </xf>
    <xf numFmtId="171" fontId="16" fillId="3" borderId="1" xfId="0" quotePrefix="1" applyNumberFormat="1" applyFont="1" applyFill="1" applyBorder="1" applyAlignment="1">
      <alignment horizontal="right" vertical="center" wrapText="1"/>
    </xf>
    <xf numFmtId="0" fontId="17" fillId="3" borderId="1" xfId="0" applyFont="1" applyFill="1" applyBorder="1" applyAlignment="1">
      <alignment vertical="center" wrapText="1"/>
    </xf>
    <xf numFmtId="3" fontId="16" fillId="3" borderId="1" xfId="0" quotePrefix="1" applyNumberFormat="1" applyFont="1" applyFill="1" applyBorder="1" applyAlignment="1">
      <alignment horizontal="right" vertical="center" wrapText="1"/>
    </xf>
    <xf numFmtId="41" fontId="16" fillId="0" borderId="1" xfId="158" applyFont="1" applyFill="1" applyBorder="1" applyAlignment="1">
      <alignment horizontal="center" vertical="center"/>
    </xf>
    <xf numFmtId="0" fontId="16" fillId="0" borderId="1" xfId="160" applyFont="1" applyFill="1" applyBorder="1" applyAlignment="1">
      <alignment horizontal="center" vertical="center"/>
    </xf>
    <xf numFmtId="3" fontId="16" fillId="0" borderId="1" xfId="161" applyFont="1" applyFill="1" applyBorder="1" applyAlignment="1">
      <alignment horizontal="left" vertical="center" wrapText="1"/>
    </xf>
    <xf numFmtId="3" fontId="18" fillId="0" borderId="1" xfId="161" quotePrefix="1" applyFont="1" applyFill="1" applyBorder="1" applyAlignment="1">
      <alignment horizontal="left" vertical="center" wrapText="1"/>
    </xf>
    <xf numFmtId="0" fontId="93" fillId="3" borderId="1" xfId="0" applyFont="1" applyFill="1" applyBorder="1" applyAlignment="1">
      <alignment horizontal="center" vertical="center" wrapText="1"/>
    </xf>
    <xf numFmtId="0" fontId="94" fillId="3" borderId="1" xfId="0" applyFont="1" applyFill="1" applyBorder="1" applyAlignment="1">
      <alignment horizontal="center" vertical="center" wrapText="1"/>
    </xf>
    <xf numFmtId="43" fontId="16" fillId="0" borderId="0" xfId="0" applyNumberFormat="1" applyFont="1" applyFill="1" applyAlignment="1">
      <alignment vertical="center" wrapText="1"/>
    </xf>
    <xf numFmtId="0" fontId="18" fillId="3" borderId="1" xfId="0" quotePrefix="1" applyFont="1" applyFill="1" applyBorder="1" applyAlignment="1">
      <alignment horizontal="center" vertical="center" wrapText="1"/>
    </xf>
    <xf numFmtId="0" fontId="18" fillId="3" borderId="1" xfId="0" applyNumberFormat="1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/>
    </xf>
    <xf numFmtId="3" fontId="18" fillId="3" borderId="1" xfId="0" applyNumberFormat="1" applyFont="1" applyFill="1" applyBorder="1" applyAlignment="1">
      <alignment horizontal="right" vertical="center" wrapText="1"/>
    </xf>
    <xf numFmtId="172" fontId="18" fillId="3" borderId="1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 wrapText="1"/>
    </xf>
    <xf numFmtId="172" fontId="16" fillId="0" borderId="1" xfId="0" applyNumberFormat="1" applyFont="1" applyFill="1" applyBorder="1" applyAlignment="1">
      <alignment vertical="center" wrapText="1"/>
    </xf>
    <xf numFmtId="172" fontId="16" fillId="0" borderId="1" xfId="0" applyNumberFormat="1" applyFont="1" applyBorder="1" applyAlignment="1">
      <alignment horizontal="right" vertical="center" wrapText="1"/>
    </xf>
    <xf numFmtId="171" fontId="16" fillId="3" borderId="11" xfId="0" applyNumberFormat="1" applyFont="1" applyFill="1" applyBorder="1" applyAlignment="1">
      <alignment horizontal="right" vertical="center" wrapText="1"/>
    </xf>
    <xf numFmtId="0" fontId="51" fillId="0" borderId="6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171" fontId="16" fillId="0" borderId="1" xfId="0" applyNumberFormat="1" applyFont="1" applyFill="1" applyBorder="1" applyAlignment="1">
      <alignment vertical="center" wrapText="1"/>
    </xf>
    <xf numFmtId="182" fontId="18" fillId="0" borderId="0" xfId="0" applyNumberFormat="1" applyFont="1" applyFill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4" fontId="18" fillId="0" borderId="1" xfId="0" applyNumberFormat="1" applyFont="1" applyFill="1" applyBorder="1" applyAlignment="1">
      <alignment vertical="center" wrapText="1"/>
    </xf>
    <xf numFmtId="0" fontId="16" fillId="0" borderId="1" xfId="0" applyNumberFormat="1" applyFont="1" applyFill="1" applyBorder="1" applyAlignment="1">
      <alignment wrapText="1"/>
    </xf>
    <xf numFmtId="0" fontId="51" fillId="0" borderId="0" xfId="0" applyFont="1" applyFill="1" applyAlignment="1">
      <alignment horizontal="center" vertical="center" wrapText="1"/>
    </xf>
    <xf numFmtId="0" fontId="17" fillId="0" borderId="1" xfId="0" quotePrefix="1" applyNumberFormat="1" applyFont="1" applyFill="1" applyBorder="1" applyAlignment="1">
      <alignment horizontal="left" vertical="center" wrapText="1" indent="2"/>
    </xf>
    <xf numFmtId="0" fontId="64" fillId="0" borderId="1" xfId="0" quotePrefix="1" applyNumberFormat="1" applyFont="1" applyFill="1" applyBorder="1" applyAlignment="1">
      <alignment horizontal="left" vertical="center" wrapText="1" indent="4"/>
    </xf>
    <xf numFmtId="0" fontId="64" fillId="0" borderId="1" xfId="0" quotePrefix="1" applyNumberFormat="1" applyFont="1" applyFill="1" applyBorder="1" applyAlignment="1">
      <alignment horizontal="left" vertical="center" wrapText="1" indent="2"/>
    </xf>
    <xf numFmtId="4" fontId="64" fillId="0" borderId="1" xfId="0" applyNumberFormat="1" applyFont="1" applyFill="1" applyBorder="1" applyAlignment="1">
      <alignment horizontal="left" vertical="center" wrapText="1" indent="2"/>
    </xf>
    <xf numFmtId="0" fontId="16" fillId="7" borderId="1" xfId="0" applyFont="1" applyFill="1" applyBorder="1" applyAlignment="1">
      <alignment horizontal="center" vertical="center" wrapText="1"/>
    </xf>
    <xf numFmtId="182" fontId="16" fillId="7" borderId="1" xfId="47" applyNumberFormat="1" applyFont="1" applyFill="1" applyBorder="1" applyAlignment="1">
      <alignment horizontal="right" vertical="center" wrapText="1"/>
    </xf>
    <xf numFmtId="0" fontId="16" fillId="7" borderId="1" xfId="0" applyFont="1" applyFill="1" applyBorder="1"/>
    <xf numFmtId="202" fontId="16" fillId="0" borderId="0" xfId="0" applyNumberFormat="1" applyFont="1" applyFill="1"/>
    <xf numFmtId="0" fontId="16" fillId="0" borderId="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Alignment="1">
      <alignment horizontal="righ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64" fillId="0" borderId="6" xfId="0" applyFont="1" applyFill="1" applyBorder="1"/>
    <xf numFmtId="4" fontId="66" fillId="0" borderId="1" xfId="0" applyNumberFormat="1" applyFont="1" applyFill="1" applyBorder="1" applyAlignment="1">
      <alignment horizontal="left" vertical="center" wrapText="1"/>
    </xf>
    <xf numFmtId="4" fontId="66" fillId="0" borderId="1" xfId="0" applyNumberFormat="1" applyFont="1" applyFill="1" applyBorder="1" applyAlignment="1">
      <alignment horizontal="right" vertical="center" wrapText="1"/>
    </xf>
    <xf numFmtId="3" fontId="66" fillId="0" borderId="1" xfId="0" applyNumberFormat="1" applyFont="1" applyFill="1" applyBorder="1" applyAlignment="1">
      <alignment horizontal="right" vertical="center" wrapText="1"/>
    </xf>
    <xf numFmtId="0" fontId="64" fillId="0" borderId="1" xfId="0" quotePrefix="1" applyFont="1" applyFill="1" applyBorder="1" applyAlignment="1">
      <alignment horizontal="center" vertical="center" wrapText="1"/>
    </xf>
    <xf numFmtId="4" fontId="64" fillId="0" borderId="1" xfId="0" applyNumberFormat="1" applyFont="1" applyFill="1" applyBorder="1" applyAlignment="1">
      <alignment horizontal="center" vertical="center" wrapText="1"/>
    </xf>
    <xf numFmtId="3" fontId="64" fillId="0" borderId="1" xfId="0" applyNumberFormat="1" applyFont="1" applyFill="1" applyBorder="1" applyAlignment="1">
      <alignment horizontal="right" vertical="center" wrapText="1"/>
    </xf>
    <xf numFmtId="0" fontId="65" fillId="0" borderId="1" xfId="0" quotePrefix="1" applyFont="1" applyFill="1" applyBorder="1" applyAlignment="1">
      <alignment horizontal="center" vertical="center" wrapText="1"/>
    </xf>
    <xf numFmtId="4" fontId="65" fillId="0" borderId="1" xfId="0" applyNumberFormat="1" applyFont="1" applyFill="1" applyBorder="1" applyAlignment="1">
      <alignment horizontal="center" vertical="center" wrapText="1"/>
    </xf>
    <xf numFmtId="3" fontId="65" fillId="0" borderId="1" xfId="0" applyNumberFormat="1" applyFont="1" applyFill="1" applyBorder="1" applyAlignment="1">
      <alignment horizontal="right" vertical="center" wrapText="1"/>
    </xf>
    <xf numFmtId="181" fontId="65" fillId="0" borderId="1" xfId="37" applyNumberFormat="1" applyFont="1" applyFill="1" applyBorder="1" applyAlignment="1">
      <alignment horizontal="right" vertical="center" wrapText="1"/>
    </xf>
    <xf numFmtId="0" fontId="65" fillId="0" borderId="1" xfId="0" applyFont="1" applyFill="1" applyBorder="1"/>
    <xf numFmtId="0" fontId="78" fillId="0" borderId="0" xfId="0" applyFont="1"/>
    <xf numFmtId="0" fontId="78" fillId="0" borderId="1" xfId="0" applyFont="1" applyBorder="1" applyAlignment="1">
      <alignment horizontal="center" vertical="center" wrapText="1"/>
    </xf>
    <xf numFmtId="0" fontId="78" fillId="0" borderId="1" xfId="0" applyFont="1" applyBorder="1" applyAlignment="1">
      <alignment vertical="center" wrapText="1"/>
    </xf>
    <xf numFmtId="0" fontId="78" fillId="0" borderId="1" xfId="0" applyFont="1" applyBorder="1" applyAlignment="1">
      <alignment horizontal="left" vertical="center" wrapText="1"/>
    </xf>
    <xf numFmtId="0" fontId="78" fillId="0" borderId="1" xfId="0" applyFont="1" applyFill="1" applyBorder="1" applyAlignment="1">
      <alignment horizontal="left" vertical="center" wrapText="1"/>
    </xf>
    <xf numFmtId="0" fontId="78" fillId="0" borderId="9" xfId="0" applyFont="1" applyBorder="1" applyAlignment="1">
      <alignment horizontal="center" vertical="center" wrapText="1"/>
    </xf>
    <xf numFmtId="0" fontId="78" fillId="0" borderId="0" xfId="0" applyFont="1" applyAlignment="1">
      <alignment horizontal="center"/>
    </xf>
    <xf numFmtId="0" fontId="77" fillId="0" borderId="0" xfId="0" applyFont="1"/>
    <xf numFmtId="0" fontId="77" fillId="0" borderId="1" xfId="0" applyFont="1" applyBorder="1" applyAlignment="1">
      <alignment horizontal="center" vertical="center"/>
    </xf>
    <xf numFmtId="0" fontId="77" fillId="0" borderId="1" xfId="0" applyFont="1" applyBorder="1" applyAlignment="1">
      <alignment horizontal="left" vertical="center"/>
    </xf>
    <xf numFmtId="0" fontId="78" fillId="0" borderId="1" xfId="0" applyFont="1" applyBorder="1"/>
    <xf numFmtId="0" fontId="77" fillId="0" borderId="1" xfId="0" applyFont="1" applyBorder="1" applyAlignment="1">
      <alignment horizontal="center" vertical="center" wrapText="1"/>
    </xf>
    <xf numFmtId="0" fontId="77" fillId="0" borderId="1" xfId="0" applyFont="1" applyBorder="1" applyAlignment="1">
      <alignment vertical="center" wrapText="1"/>
    </xf>
    <xf numFmtId="0" fontId="77" fillId="0" borderId="1" xfId="0" applyFont="1" applyBorder="1"/>
    <xf numFmtId="0" fontId="77" fillId="0" borderId="1" xfId="0" applyFont="1" applyBorder="1" applyAlignment="1">
      <alignment horizontal="center"/>
    </xf>
    <xf numFmtId="0" fontId="78" fillId="0" borderId="9" xfId="0" applyFont="1" applyBorder="1" applyAlignment="1">
      <alignment horizontal="center"/>
    </xf>
    <xf numFmtId="0" fontId="78" fillId="0" borderId="9" xfId="0" applyFont="1" applyBorder="1"/>
    <xf numFmtId="0" fontId="78" fillId="0" borderId="0" xfId="0" applyFont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78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/>
    <xf numFmtId="204" fontId="17" fillId="0" borderId="6" xfId="37" applyNumberFormat="1" applyFont="1" applyBorder="1" applyAlignment="1">
      <alignment horizontal="right" vertical="center" wrapText="1"/>
    </xf>
    <xf numFmtId="0" fontId="17" fillId="0" borderId="6" xfId="0" applyFont="1" applyBorder="1"/>
    <xf numFmtId="0" fontId="17" fillId="0" borderId="0" xfId="0" applyFont="1"/>
    <xf numFmtId="204" fontId="16" fillId="0" borderId="1" xfId="37" applyNumberFormat="1" applyFont="1" applyBorder="1" applyAlignment="1">
      <alignment horizontal="right" vertical="center" wrapText="1"/>
    </xf>
    <xf numFmtId="205" fontId="16" fillId="0" borderId="1" xfId="37" applyNumberFormat="1" applyFont="1" applyBorder="1" applyAlignment="1">
      <alignment horizontal="right" vertical="center" wrapText="1"/>
    </xf>
    <xf numFmtId="206" fontId="16" fillId="0" borderId="1" xfId="37" applyNumberFormat="1" applyFont="1" applyBorder="1" applyAlignment="1">
      <alignment horizontal="right" vertical="center" wrapText="1"/>
    </xf>
    <xf numFmtId="204" fontId="17" fillId="0" borderId="1" xfId="37" applyNumberFormat="1" applyFont="1" applyBorder="1" applyAlignment="1">
      <alignment horizontal="right" vertical="center" wrapText="1"/>
    </xf>
    <xf numFmtId="0" fontId="95" fillId="0" borderId="1" xfId="0" applyFont="1" applyFill="1" applyBorder="1" applyAlignment="1">
      <alignment horizontal="center" vertical="center" wrapText="1"/>
    </xf>
    <xf numFmtId="0" fontId="95" fillId="0" borderId="1" xfId="0" applyFont="1" applyFill="1" applyBorder="1" applyAlignment="1">
      <alignment vertical="center" wrapText="1"/>
    </xf>
    <xf numFmtId="204" fontId="95" fillId="0" borderId="1" xfId="37" applyNumberFormat="1" applyFont="1" applyFill="1" applyBorder="1" applyAlignment="1">
      <alignment horizontal="right" vertical="center" wrapText="1"/>
    </xf>
    <xf numFmtId="0" fontId="95" fillId="0" borderId="0" xfId="0" applyFont="1" applyFill="1"/>
    <xf numFmtId="0" fontId="95" fillId="0" borderId="1" xfId="0" quotePrefix="1" applyFont="1" applyFill="1" applyBorder="1" applyAlignment="1">
      <alignment horizontal="center" vertical="center" wrapText="1"/>
    </xf>
    <xf numFmtId="3" fontId="95" fillId="0" borderId="1" xfId="0" applyNumberFormat="1" applyFont="1" applyFill="1" applyBorder="1" applyAlignment="1">
      <alignment horizontal="right" vertical="center" wrapText="1"/>
    </xf>
    <xf numFmtId="0" fontId="95" fillId="0" borderId="1" xfId="0" applyFont="1" applyFill="1" applyBorder="1" applyAlignment="1">
      <alignment horizontal="right" vertical="center" wrapText="1"/>
    </xf>
    <xf numFmtId="204" fontId="16" fillId="0" borderId="0" xfId="0" applyNumberFormat="1" applyFont="1"/>
    <xf numFmtId="172" fontId="16" fillId="0" borderId="1" xfId="37" applyNumberFormat="1" applyFont="1" applyBorder="1" applyAlignment="1">
      <alignment horizontal="right" vertical="center" wrapText="1"/>
    </xf>
    <xf numFmtId="0" fontId="64" fillId="0" borderId="1" xfId="0" applyFont="1" applyBorder="1" applyAlignment="1">
      <alignment horizontal="center" vertical="center" wrapText="1"/>
    </xf>
    <xf numFmtId="0" fontId="64" fillId="0" borderId="1" xfId="0" applyFont="1" applyBorder="1" applyAlignment="1">
      <alignment vertical="center" wrapText="1"/>
    </xf>
    <xf numFmtId="204" fontId="64" fillId="0" borderId="1" xfId="37" applyNumberFormat="1" applyFont="1" applyBorder="1" applyAlignment="1">
      <alignment horizontal="right" vertical="center" wrapText="1"/>
    </xf>
    <xf numFmtId="181" fontId="64" fillId="0" borderId="1" xfId="37" applyNumberFormat="1" applyFont="1" applyBorder="1" applyAlignment="1">
      <alignment horizontal="right" vertical="center" wrapText="1"/>
    </xf>
    <xf numFmtId="0" fontId="64" fillId="0" borderId="0" xfId="0" applyFont="1"/>
    <xf numFmtId="0" fontId="64" fillId="0" borderId="1" xfId="0" applyFont="1" applyBorder="1" applyAlignment="1">
      <alignment horizontal="right" vertical="center" wrapText="1"/>
    </xf>
    <xf numFmtId="206" fontId="16" fillId="0" borderId="0" xfId="0" applyNumberFormat="1" applyFont="1"/>
    <xf numFmtId="205" fontId="64" fillId="0" borderId="1" xfId="37" applyNumberFormat="1" applyFont="1" applyBorder="1" applyAlignment="1">
      <alignment horizontal="right" vertical="center" wrapText="1"/>
    </xf>
    <xf numFmtId="205" fontId="17" fillId="0" borderId="1" xfId="37" applyNumberFormat="1" applyFont="1" applyBorder="1" applyAlignment="1">
      <alignment horizontal="right" vertical="center" wrapText="1"/>
    </xf>
    <xf numFmtId="0" fontId="65" fillId="0" borderId="1" xfId="0" applyFont="1" applyBorder="1" applyAlignment="1">
      <alignment horizontal="center" vertical="center" wrapText="1"/>
    </xf>
    <xf numFmtId="0" fontId="65" fillId="0" borderId="1" xfId="0" applyFont="1" applyBorder="1" applyAlignment="1">
      <alignment vertical="center" wrapText="1"/>
    </xf>
    <xf numFmtId="172" fontId="65" fillId="0" borderId="1" xfId="0" applyNumberFormat="1" applyFont="1" applyBorder="1" applyAlignment="1">
      <alignment horizontal="right" vertical="center" wrapText="1"/>
    </xf>
    <xf numFmtId="204" fontId="65" fillId="0" borderId="1" xfId="37" applyNumberFormat="1" applyFont="1" applyBorder="1" applyAlignment="1">
      <alignment horizontal="right" vertical="center" wrapText="1"/>
    </xf>
    <xf numFmtId="181" fontId="65" fillId="0" borderId="1" xfId="37" applyNumberFormat="1" applyFont="1" applyBorder="1" applyAlignment="1">
      <alignment horizontal="right" vertical="center" wrapText="1"/>
    </xf>
    <xf numFmtId="0" fontId="65" fillId="0" borderId="0" xfId="0" applyFont="1"/>
    <xf numFmtId="205" fontId="65" fillId="0" borderId="1" xfId="37" applyNumberFormat="1" applyFont="1" applyBorder="1" applyAlignment="1">
      <alignment horizontal="right" vertical="center" wrapText="1"/>
    </xf>
    <xf numFmtId="205" fontId="18" fillId="0" borderId="1" xfId="37" applyNumberFormat="1" applyFont="1" applyBorder="1" applyAlignment="1">
      <alignment horizontal="right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0" borderId="25" xfId="0" applyFont="1" applyBorder="1" applyAlignment="1">
      <alignment horizontal="center" vertical="center" wrapText="1"/>
    </xf>
    <xf numFmtId="172" fontId="0" fillId="0" borderId="0" xfId="0" applyNumberFormat="1"/>
    <xf numFmtId="172" fontId="16" fillId="0" borderId="1" xfId="37" applyNumberFormat="1" applyFont="1" applyFill="1" applyBorder="1" applyAlignment="1">
      <alignment horizontal="right" vertical="center" wrapText="1"/>
    </xf>
    <xf numFmtId="0" fontId="16" fillId="0" borderId="4" xfId="0" quotePrefix="1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77" fillId="0" borderId="6" xfId="0" applyFont="1" applyBorder="1" applyAlignment="1">
      <alignment horizontal="center" vertical="center" wrapText="1"/>
    </xf>
    <xf numFmtId="0" fontId="78" fillId="0" borderId="1" xfId="0" applyFont="1" applyBorder="1" applyAlignment="1">
      <alignment horizontal="center"/>
    </xf>
    <xf numFmtId="182" fontId="18" fillId="0" borderId="1" xfId="47" applyNumberFormat="1" applyFont="1" applyFill="1" applyBorder="1" applyAlignment="1">
      <alignment horizontal="right" vertical="center" wrapText="1"/>
    </xf>
    <xf numFmtId="0" fontId="78" fillId="0" borderId="1" xfId="0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vertical="center" wrapText="1"/>
    </xf>
    <xf numFmtId="0" fontId="66" fillId="0" borderId="1" xfId="0" quotePrefix="1" applyNumberFormat="1" applyFont="1" applyFill="1" applyBorder="1" applyAlignment="1">
      <alignment horizontal="left" vertical="center" wrapText="1" indent="2"/>
    </xf>
    <xf numFmtId="3" fontId="64" fillId="0" borderId="1" xfId="0" applyNumberFormat="1" applyFont="1" applyFill="1" applyBorder="1" applyAlignment="1">
      <alignment horizontal="right"/>
    </xf>
    <xf numFmtId="182" fontId="64" fillId="0" borderId="1" xfId="37" applyNumberFormat="1" applyFont="1" applyFill="1" applyBorder="1" applyAlignment="1">
      <alignment horizontal="right" vertical="center" wrapText="1"/>
    </xf>
    <xf numFmtId="0" fontId="66" fillId="0" borderId="1" xfId="0" quotePrefix="1" applyNumberFormat="1" applyFont="1" applyFill="1" applyBorder="1" applyAlignment="1">
      <alignment vertical="center" wrapText="1"/>
    </xf>
    <xf numFmtId="0" fontId="66" fillId="0" borderId="1" xfId="0" applyNumberFormat="1" applyFont="1" applyFill="1" applyBorder="1" applyAlignment="1">
      <alignment vertical="center" wrapText="1"/>
    </xf>
    <xf numFmtId="182" fontId="66" fillId="0" borderId="1" xfId="47" applyNumberFormat="1" applyFont="1" applyFill="1" applyBorder="1" applyAlignment="1">
      <alignment horizontal="right" vertical="center" wrapText="1"/>
    </xf>
    <xf numFmtId="171" fontId="17" fillId="0" borderId="0" xfId="0" applyNumberFormat="1" applyFont="1" applyFill="1"/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4" fontId="16" fillId="0" borderId="1" xfId="47" applyNumberFormat="1" applyFont="1" applyFill="1" applyBorder="1" applyAlignment="1">
      <alignment horizontal="right" vertical="center" wrapText="1"/>
    </xf>
    <xf numFmtId="3" fontId="96" fillId="0" borderId="1" xfId="0" applyNumberFormat="1" applyFont="1" applyFill="1" applyBorder="1" applyAlignment="1">
      <alignment horizontal="right" vertical="center" wrapText="1"/>
    </xf>
    <xf numFmtId="3" fontId="96" fillId="0" borderId="1" xfId="47" applyNumberFormat="1" applyFont="1" applyFill="1" applyBorder="1" applyAlignment="1">
      <alignment horizontal="right" vertical="center" wrapText="1"/>
    </xf>
    <xf numFmtId="0" fontId="97" fillId="0" borderId="0" xfId="0" applyFont="1" applyFill="1" applyBorder="1"/>
    <xf numFmtId="0" fontId="96" fillId="0" borderId="4" xfId="0" applyNumberFormat="1" applyFont="1" applyFill="1" applyBorder="1" applyAlignment="1">
      <alignment horizontal="center" vertical="center" wrapText="1"/>
    </xf>
    <xf numFmtId="0" fontId="97" fillId="0" borderId="4" xfId="0" applyFont="1" applyFill="1" applyBorder="1" applyAlignment="1">
      <alignment horizontal="center" vertical="center" wrapText="1"/>
    </xf>
    <xf numFmtId="0" fontId="97" fillId="0" borderId="6" xfId="0" applyFont="1" applyFill="1" applyBorder="1" applyAlignment="1">
      <alignment horizontal="center" vertical="center" wrapText="1"/>
    </xf>
    <xf numFmtId="4" fontId="96" fillId="0" borderId="1" xfId="0" applyNumberFormat="1" applyFont="1" applyFill="1" applyBorder="1" applyAlignment="1">
      <alignment horizontal="right" vertical="center" wrapText="1"/>
    </xf>
    <xf numFmtId="3" fontId="97" fillId="0" borderId="1" xfId="0" applyNumberFormat="1" applyFont="1" applyFill="1" applyBorder="1" applyAlignment="1">
      <alignment horizontal="right" vertical="center" wrapText="1"/>
    </xf>
    <xf numFmtId="3" fontId="98" fillId="0" borderId="1" xfId="0" applyNumberFormat="1" applyFont="1" applyFill="1" applyBorder="1" applyAlignment="1">
      <alignment horizontal="right" vertical="center" wrapText="1"/>
    </xf>
    <xf numFmtId="181" fontId="97" fillId="0" borderId="1" xfId="0" applyNumberFormat="1" applyFont="1" applyFill="1" applyBorder="1" applyAlignment="1">
      <alignment horizontal="right" vertical="center" wrapText="1"/>
    </xf>
    <xf numFmtId="182" fontId="97" fillId="0" borderId="1" xfId="47" applyNumberFormat="1" applyFont="1" applyFill="1" applyBorder="1" applyAlignment="1">
      <alignment horizontal="right" vertical="center" wrapText="1"/>
    </xf>
    <xf numFmtId="182" fontId="96" fillId="0" borderId="1" xfId="47" applyNumberFormat="1" applyFont="1" applyFill="1" applyBorder="1" applyAlignment="1">
      <alignment horizontal="right" vertical="center" wrapText="1"/>
    </xf>
    <xf numFmtId="171" fontId="97" fillId="0" borderId="1" xfId="0" applyNumberFormat="1" applyFont="1" applyFill="1" applyBorder="1" applyAlignment="1">
      <alignment horizontal="right" vertical="center" wrapText="1"/>
    </xf>
    <xf numFmtId="182" fontId="97" fillId="0" borderId="1" xfId="37" applyNumberFormat="1" applyFont="1" applyFill="1" applyBorder="1" applyAlignment="1">
      <alignment horizontal="right" vertical="center" wrapText="1"/>
    </xf>
    <xf numFmtId="181" fontId="97" fillId="0" borderId="1" xfId="37" applyNumberFormat="1" applyFont="1" applyFill="1" applyBorder="1" applyAlignment="1">
      <alignment horizontal="right" vertical="center" wrapText="1"/>
    </xf>
    <xf numFmtId="181" fontId="97" fillId="0" borderId="1" xfId="47" applyNumberFormat="1" applyFont="1" applyFill="1" applyBorder="1" applyAlignment="1">
      <alignment horizontal="right" vertical="center" wrapText="1"/>
    </xf>
    <xf numFmtId="43" fontId="97" fillId="0" borderId="1" xfId="47" applyFont="1" applyFill="1" applyBorder="1" applyAlignment="1">
      <alignment horizontal="right" vertical="center" wrapText="1"/>
    </xf>
    <xf numFmtId="0" fontId="97" fillId="0" borderId="1" xfId="0" applyFont="1" applyFill="1" applyBorder="1" applyAlignment="1">
      <alignment horizontal="right" vertical="center" wrapText="1"/>
    </xf>
    <xf numFmtId="3" fontId="97" fillId="0" borderId="1" xfId="112" applyNumberFormat="1" applyFont="1" applyFill="1" applyBorder="1" applyAlignment="1">
      <alignment horizontal="right" vertical="center" wrapText="1"/>
    </xf>
    <xf numFmtId="171" fontId="97" fillId="0" borderId="1" xfId="112" applyNumberFormat="1" applyFont="1" applyFill="1" applyBorder="1" applyAlignment="1">
      <alignment horizontal="right" vertical="center" wrapText="1"/>
    </xf>
    <xf numFmtId="0" fontId="96" fillId="0" borderId="1" xfId="0" applyFont="1" applyFill="1" applyBorder="1" applyAlignment="1">
      <alignment horizontal="right" vertical="center" wrapText="1"/>
    </xf>
    <xf numFmtId="2" fontId="97" fillId="0" borderId="1" xfId="0" applyNumberFormat="1" applyFont="1" applyFill="1" applyBorder="1" applyAlignment="1">
      <alignment horizontal="right" vertical="center" wrapText="1"/>
    </xf>
    <xf numFmtId="182" fontId="96" fillId="0" borderId="1" xfId="37" applyNumberFormat="1" applyFont="1" applyFill="1" applyBorder="1" applyAlignment="1">
      <alignment horizontal="right" vertical="center" wrapText="1"/>
    </xf>
    <xf numFmtId="0" fontId="97" fillId="0" borderId="1" xfId="0" applyFont="1" applyFill="1" applyBorder="1" applyAlignment="1">
      <alignment vertical="center" wrapText="1"/>
    </xf>
    <xf numFmtId="43" fontId="97" fillId="0" borderId="1" xfId="37" applyNumberFormat="1" applyFont="1" applyFill="1" applyBorder="1" applyAlignment="1">
      <alignment horizontal="right" vertical="center" wrapText="1"/>
    </xf>
    <xf numFmtId="3" fontId="97" fillId="0" borderId="1" xfId="0" applyNumberFormat="1" applyFont="1" applyFill="1" applyBorder="1" applyAlignment="1">
      <alignment vertical="center"/>
    </xf>
    <xf numFmtId="172" fontId="97" fillId="0" borderId="1" xfId="0" applyNumberFormat="1" applyFont="1" applyFill="1" applyBorder="1" applyAlignment="1">
      <alignment horizontal="right" vertical="center" wrapText="1"/>
    </xf>
    <xf numFmtId="200" fontId="97" fillId="0" borderId="1" xfId="50" applyNumberFormat="1" applyFont="1" applyFill="1" applyBorder="1" applyAlignment="1">
      <alignment horizontal="right" vertical="center" wrapText="1"/>
    </xf>
    <xf numFmtId="0" fontId="97" fillId="0" borderId="9" xfId="0" applyFont="1" applyFill="1" applyBorder="1"/>
    <xf numFmtId="0" fontId="97" fillId="0" borderId="0" xfId="0" applyFont="1" applyFill="1"/>
    <xf numFmtId="2" fontId="97" fillId="0" borderId="1" xfId="0" quotePrefix="1" applyNumberFormat="1" applyFont="1" applyFill="1" applyBorder="1" applyAlignment="1">
      <alignment horizontal="right" vertical="center"/>
    </xf>
    <xf numFmtId="0" fontId="17" fillId="0" borderId="8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8" xfId="0" applyNumberFormat="1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50" fillId="0" borderId="0" xfId="0" applyNumberFormat="1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0" borderId="8" xfId="0" applyNumberFormat="1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7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4" fontId="17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4" fontId="17" fillId="0" borderId="17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68" fillId="0" borderId="0" xfId="0" applyFont="1" applyFill="1" applyAlignment="1">
      <alignment horizontal="center" vertical="center" wrapText="1"/>
    </xf>
    <xf numFmtId="0" fontId="68" fillId="0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15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63" fillId="0" borderId="0" xfId="0" applyNumberFormat="1" applyFont="1" applyFill="1" applyBorder="1" applyAlignment="1">
      <alignment horizontal="center"/>
    </xf>
    <xf numFmtId="0" fontId="17" fillId="0" borderId="15" xfId="0" applyNumberFormat="1" applyFont="1" applyFill="1" applyBorder="1" applyAlignment="1">
      <alignment horizontal="center" vertical="center" wrapText="1"/>
    </xf>
    <xf numFmtId="0" fontId="17" fillId="0" borderId="16" xfId="0" applyNumberFormat="1" applyFont="1" applyFill="1" applyBorder="1" applyAlignment="1">
      <alignment horizontal="center" vertical="center" wrapText="1"/>
    </xf>
    <xf numFmtId="0" fontId="17" fillId="0" borderId="7" xfId="0" applyNumberFormat="1" applyFont="1" applyFill="1" applyBorder="1" applyAlignment="1">
      <alignment horizontal="center" vertical="center" wrapText="1"/>
    </xf>
    <xf numFmtId="0" fontId="17" fillId="0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7" fillId="0" borderId="7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77" fillId="0" borderId="0" xfId="0" applyFont="1" applyAlignment="1">
      <alignment horizontal="center"/>
    </xf>
    <xf numFmtId="0" fontId="78" fillId="0" borderId="7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7" fillId="0" borderId="8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17" fillId="0" borderId="18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/>
    </xf>
    <xf numFmtId="0" fontId="17" fillId="0" borderId="19" xfId="0" applyNumberFormat="1" applyFont="1" applyFill="1" applyBorder="1" applyAlignment="1">
      <alignment horizontal="center" vertical="center" wrapText="1"/>
    </xf>
    <xf numFmtId="0" fontId="17" fillId="0" borderId="4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63" fillId="0" borderId="0" xfId="0" applyNumberFormat="1" applyFont="1" applyAlignment="1">
      <alignment horizontal="center" vertical="center"/>
    </xf>
    <xf numFmtId="0" fontId="77" fillId="0" borderId="6" xfId="0" applyNumberFormat="1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0" fontId="51" fillId="0" borderId="0" xfId="0" applyNumberFormat="1" applyFont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/>
    </xf>
    <xf numFmtId="0" fontId="77" fillId="0" borderId="4" xfId="0" applyNumberFormat="1" applyFont="1" applyBorder="1" applyAlignment="1">
      <alignment horizontal="center" vertical="center" wrapText="1"/>
    </xf>
    <xf numFmtId="43" fontId="77" fillId="0" borderId="4" xfId="0" applyNumberFormat="1" applyFont="1" applyBorder="1" applyAlignment="1">
      <alignment horizontal="center" vertical="center" wrapText="1"/>
    </xf>
    <xf numFmtId="0" fontId="78" fillId="0" borderId="8" xfId="0" applyFont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 wrapText="1"/>
    </xf>
    <xf numFmtId="0" fontId="89" fillId="0" borderId="0" xfId="0" applyNumberFormat="1" applyFont="1" applyFill="1" applyAlignment="1">
      <alignment horizontal="left" vertical="center" wrapText="1"/>
    </xf>
    <xf numFmtId="0" fontId="89" fillId="0" borderId="0" xfId="0" applyFont="1" applyFill="1" applyAlignment="1">
      <alignment horizontal="left" vertical="center" wrapText="1"/>
    </xf>
    <xf numFmtId="0" fontId="77" fillId="0" borderId="4" xfId="0" applyNumberFormat="1" applyFont="1" applyFill="1" applyBorder="1" applyAlignment="1">
      <alignment horizontal="center" vertical="center" wrapText="1"/>
    </xf>
    <xf numFmtId="0" fontId="77" fillId="0" borderId="8" xfId="0" applyFont="1" applyFill="1" applyBorder="1" applyAlignment="1">
      <alignment horizontal="center" vertical="center" wrapText="1"/>
    </xf>
    <xf numFmtId="0" fontId="78" fillId="0" borderId="8" xfId="0" applyFont="1" applyFill="1" applyBorder="1" applyAlignment="1">
      <alignment horizontal="center" vertical="center" wrapText="1"/>
    </xf>
    <xf numFmtId="0" fontId="63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68" fillId="0" borderId="21" xfId="0" applyFont="1" applyBorder="1" applyAlignment="1">
      <alignment horizontal="center" vertical="center" wrapText="1"/>
    </xf>
    <xf numFmtId="0" fontId="68" fillId="0" borderId="26" xfId="0" applyFont="1" applyBorder="1" applyAlignment="1">
      <alignment horizontal="center" vertical="center" wrapText="1"/>
    </xf>
    <xf numFmtId="0" fontId="68" fillId="0" borderId="25" xfId="0" applyFont="1" applyBorder="1" applyAlignment="1">
      <alignment horizontal="center" vertical="center" wrapText="1"/>
    </xf>
    <xf numFmtId="0" fontId="68" fillId="0" borderId="2" xfId="0" applyFont="1" applyBorder="1" applyAlignment="1">
      <alignment horizontal="center" vertical="center" wrapText="1"/>
    </xf>
    <xf numFmtId="0" fontId="68" fillId="0" borderId="2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/>
    </xf>
    <xf numFmtId="0" fontId="89" fillId="0" borderId="0" xfId="0" applyNumberFormat="1" applyFont="1" applyAlignment="1">
      <alignment horizontal="left" vertical="center" wrapText="1"/>
    </xf>
    <xf numFmtId="0" fontId="89" fillId="0" borderId="0" xfId="0" applyFont="1" applyAlignment="1">
      <alignment horizontal="left" vertical="center" wrapText="1"/>
    </xf>
    <xf numFmtId="0" fontId="51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51" fillId="0" borderId="0" xfId="0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19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 horizontal="center" wrapText="1"/>
    </xf>
    <xf numFmtId="0" fontId="18" fillId="0" borderId="0" xfId="0" applyFont="1" applyFill="1" applyAlignment="1">
      <alignment horizontal="center" wrapText="1"/>
    </xf>
    <xf numFmtId="0" fontId="17" fillId="0" borderId="0" xfId="0" applyNumberFormat="1" applyFont="1" applyFill="1" applyAlignment="1">
      <alignment horizontal="center" wrapText="1"/>
    </xf>
  </cellXfs>
  <cellStyles count="162">
    <cellStyle name="_x0001_" xfId="1"/>
    <cellStyle name="??" xfId="2"/>
    <cellStyle name="?? [0.00]_ Att. 1- Cover" xfId="3"/>
    <cellStyle name="?? [0]" xfId="4"/>
    <cellStyle name="???? [0.00]_PRODUCT DETAIL Q1" xfId="5"/>
    <cellStyle name="????_PRODUCT DETAIL Q1" xfId="6"/>
    <cellStyle name="???[0]_00Q3902REV.1" xfId="7"/>
    <cellStyle name="???_00Q3902REV.1" xfId="8"/>
    <cellStyle name="??[0]_BRE" xfId="9"/>
    <cellStyle name="??_ Att. 1- Cover" xfId="10"/>
    <cellStyle name="_x0001_?¶æµ_x001b_ºß­ " xfId="11"/>
    <cellStyle name="_x0001_?¶æµ_x001b_ºß­_" xfId="12"/>
    <cellStyle name="_x0001_\Ô" xfId="13"/>
    <cellStyle name="_x0001_¨c^ " xfId="14"/>
    <cellStyle name="_x0001_¨c^[" xfId="15"/>
    <cellStyle name="_x0001_¨c^_" xfId="16"/>
    <cellStyle name="_x0001_¨Œc^ " xfId="17"/>
    <cellStyle name="_x0001_¨Œc^[" xfId="18"/>
    <cellStyle name="_x0001_¨Œc^_" xfId="19"/>
    <cellStyle name="_x0001_µÑTÖ " xfId="20"/>
    <cellStyle name="_x0001_µÑTÖ_" xfId="21"/>
    <cellStyle name="1" xfId="22"/>
    <cellStyle name="1_Book1" xfId="23"/>
    <cellStyle name="_x0001_1¼„½(" xfId="24"/>
    <cellStyle name="_x0001_1¼½(" xfId="25"/>
    <cellStyle name="2" xfId="26"/>
    <cellStyle name="3" xfId="27"/>
    <cellStyle name="4" xfId="28"/>
    <cellStyle name="_x0001_Å»_x001e_´ " xfId="29"/>
    <cellStyle name="_x0001_Å»_x001e_´_" xfId="30"/>
    <cellStyle name="AeE­ [0]_INQUIRY ¿µ¾÷AßAø " xfId="31"/>
    <cellStyle name="AeE­_INQUIRY ¿µ¾÷AßAø " xfId="32"/>
    <cellStyle name="AÞ¸¶ [0]_INQUIRY ¿?¾÷AßAø " xfId="33"/>
    <cellStyle name="AÞ¸¶_INQUIRY ¿?¾÷AßAø " xfId="34"/>
    <cellStyle name="C?AØ_¿?¾÷CoE² " xfId="35"/>
    <cellStyle name="C￥AØ_¿μ¾÷CoE² " xfId="36"/>
    <cellStyle name="Comma" xfId="37" builtinId="3"/>
    <cellStyle name="Comma [0] 11" xfId="158"/>
    <cellStyle name="Comma [0] 4" xfId="38"/>
    <cellStyle name="Comma [0] 4 2" xfId="39"/>
    <cellStyle name="Comma [0] 4 2 2" xfId="40"/>
    <cellStyle name="Comma [0] 4 2 2 2" xfId="41"/>
    <cellStyle name="Comma [0] 4 2 3" xfId="42"/>
    <cellStyle name="Comma 2" xfId="43"/>
    <cellStyle name="Comma 2 2" xfId="44"/>
    <cellStyle name="Comma 2 2 2" xfId="45"/>
    <cellStyle name="Comma 2 3" xfId="46"/>
    <cellStyle name="Comma 2_BC 6 thang_Phu Luc" xfId="47"/>
    <cellStyle name="Comma 3" xfId="48"/>
    <cellStyle name="Comma 3 2" xfId="49"/>
    <cellStyle name="Comma 3 3" xfId="50"/>
    <cellStyle name="Comma 3 3 2" xfId="51"/>
    <cellStyle name="Comma 3 3 2 2" xfId="52"/>
    <cellStyle name="Comma 3 3 2 2 2" xfId="53"/>
    <cellStyle name="Comma 3 3 2 3" xfId="54"/>
    <cellStyle name="Comma 3 3 3" xfId="55"/>
    <cellStyle name="Comma 3 3 3 2" xfId="56"/>
    <cellStyle name="Comma 3 3 4" xfId="57"/>
    <cellStyle name="Comma 4" xfId="58"/>
    <cellStyle name="Comma 4 2" xfId="59"/>
    <cellStyle name="Comma 5" xfId="60"/>
    <cellStyle name="Comma 6" xfId="61"/>
    <cellStyle name="Comma 6 2" xfId="159"/>
    <cellStyle name="Comma 7" xfId="62"/>
    <cellStyle name="Comma 8" xfId="63"/>
    <cellStyle name="Comma 9" xfId="64"/>
    <cellStyle name="Comma0" xfId="65"/>
    <cellStyle name="_x0001_CS_x0006_RMO[" xfId="66"/>
    <cellStyle name="_x0001_CS_x0006_RMO_" xfId="67"/>
    <cellStyle name="Currency0" xfId="68"/>
    <cellStyle name="Date" xfId="69"/>
    <cellStyle name="Decimal" xfId="70"/>
    <cellStyle name="Decimal 2" xfId="71"/>
    <cellStyle name="_x0001_dÏÈ¹ " xfId="72"/>
    <cellStyle name="_x0001_dÏÈ¹_" xfId="73"/>
    <cellStyle name="Fixed" xfId="74"/>
    <cellStyle name="Grey" xfId="75"/>
    <cellStyle name="ha" xfId="76"/>
    <cellStyle name="Header" xfId="77"/>
    <cellStyle name="Header1" xfId="78"/>
    <cellStyle name="Header2" xfId="79"/>
    <cellStyle name="Heading 1" xfId="80"/>
    <cellStyle name="Heading 2" xfId="81"/>
    <cellStyle name="Hoa-Scholl" xfId="82"/>
    <cellStyle name="_x0001_í½?" xfId="83"/>
    <cellStyle name="_x0001_íå_x001b_ô " xfId="84"/>
    <cellStyle name="_x0001_íå_x001b_ô_" xfId="85"/>
    <cellStyle name="Input [yellow]" xfId="86"/>
    <cellStyle name="Kiểu 1" xfId="87"/>
    <cellStyle name="Kiểu 10" xfId="88"/>
    <cellStyle name="Kiểu 11" xfId="89"/>
    <cellStyle name="Kiểu 12" xfId="90"/>
    <cellStyle name="Kiểu 12 2" xfId="91"/>
    <cellStyle name="Kiểu 13" xfId="92"/>
    <cellStyle name="Kiểu 14" xfId="93"/>
    <cellStyle name="Kiểu 15" xfId="94"/>
    <cellStyle name="Kiểu 16" xfId="95"/>
    <cellStyle name="Kiểu 2" xfId="96"/>
    <cellStyle name="Kiểu 3" xfId="97"/>
    <cellStyle name="Kiểu 4" xfId="98"/>
    <cellStyle name="Kiểu 5" xfId="99"/>
    <cellStyle name="Kiểu 6" xfId="100"/>
    <cellStyle name="Kiểu 7" xfId="101"/>
    <cellStyle name="Kiểu 8" xfId="102"/>
    <cellStyle name="Kiểu 9" xfId="103"/>
    <cellStyle name="moi" xfId="104"/>
    <cellStyle name="n" xfId="105"/>
    <cellStyle name="Normal" xfId="0" builtinId="0"/>
    <cellStyle name="Normal - Style1" xfId="106"/>
    <cellStyle name="Normal - 유형1" xfId="107"/>
    <cellStyle name="Normal 2" xfId="108"/>
    <cellStyle name="Normal 2 3" xfId="156"/>
    <cellStyle name="Normal 3" xfId="109"/>
    <cellStyle name="Normal 4" xfId="110"/>
    <cellStyle name="Normal 4 2" xfId="157"/>
    <cellStyle name="Normal 6" xfId="111"/>
    <cellStyle name="Normal_17 bieu (hung cap nhap)" xfId="112"/>
    <cellStyle name="Normal_bieu mau KH2008" xfId="113"/>
    <cellStyle name="Normal_cac huyen" xfId="160"/>
    <cellStyle name="Normal_chi tieu phat trien 2004" xfId="161"/>
    <cellStyle name="Normal_KH CT5 trieu 2004 (giaoTH)" xfId="114"/>
    <cellStyle name="Normal1" xfId="115"/>
    <cellStyle name="Œ…‹æØ‚è [0.00]_ÆÂ¹²" xfId="116"/>
    <cellStyle name="Percent [2]" xfId="117"/>
    <cellStyle name="Percent [2] 2" xfId="118"/>
    <cellStyle name="_x0001_sç?" xfId="119"/>
    <cellStyle name="T" xfId="120"/>
    <cellStyle name="Text" xfId="121"/>
    <cellStyle name="th" xfId="123"/>
    <cellStyle name="thanh" xfId="124"/>
    <cellStyle name="Total" xfId="122"/>
    <cellStyle name="viet" xfId="125"/>
    <cellStyle name="viet2" xfId="126"/>
    <cellStyle name="xuan" xfId="127"/>
    <cellStyle name=" [0.00]_ Att. 1- Cover" xfId="128"/>
    <cellStyle name="_ Att. 1- Cover" xfId="129"/>
    <cellStyle name="?_ Att. 1- Cover" xfId="130"/>
    <cellStyle name="똿뗦먛귟 [0.00]_PRODUCT DETAIL Q1" xfId="131"/>
    <cellStyle name="똿뗦먛귟_PRODUCT DETAIL Q1" xfId="132"/>
    <cellStyle name="믅됞 [0.00]_PRODUCT DETAIL Q1" xfId="133"/>
    <cellStyle name="믅됞_PRODUCT DETAIL Q1" xfId="134"/>
    <cellStyle name="백분율_95" xfId="135"/>
    <cellStyle name="뷭?_BOOKSHIP" xfId="136"/>
    <cellStyle name="콤마 [ - 유형1" xfId="137"/>
    <cellStyle name="콤마 [ - 유형2" xfId="138"/>
    <cellStyle name="콤마 [ - 유형3" xfId="139"/>
    <cellStyle name="콤마 [ - 유형4" xfId="140"/>
    <cellStyle name="콤마 [ - 유형5" xfId="141"/>
    <cellStyle name="콤마 [ - 유형6" xfId="142"/>
    <cellStyle name="콤마 [ - 유형7" xfId="143"/>
    <cellStyle name="콤마 [ - 유형8" xfId="144"/>
    <cellStyle name="콤마 [0]_0004 MECH COST  " xfId="145"/>
    <cellStyle name="콤마_0004 MECH COST  " xfId="146"/>
    <cellStyle name="통화 [0]_1202" xfId="147"/>
    <cellStyle name="통화_1202" xfId="148"/>
    <cellStyle name="표준_(정보부문)월별인원계획" xfId="149"/>
    <cellStyle name="一般_00Q3902REV.1" xfId="150"/>
    <cellStyle name="千分位[0]_00Q3902REV.1" xfId="151"/>
    <cellStyle name="千分位_00Q3902REV.1" xfId="152"/>
    <cellStyle name="貨幣 [0]_00Q3902REV.1" xfId="153"/>
    <cellStyle name="貨幣[0]_BRE" xfId="154"/>
    <cellStyle name="貨幣_00Q3902REV.1" xfId="15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externalLink" Target="externalLinks/externalLink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uan\c\K\110KV\DN-TBIN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3\d\Documents%20and%20Settings\Tran%20Hoa\Local%20Settings\Temporary%20Internet%20Files\Content.IE5\I4TSRUZG\Cong%20trinh\Son%20La\Du%20toan\DT500\CAPITAL\220nb-th\CAPITAL\220DTXL\PLQN9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EN2\C\WINDOWS\TEMP\3533\96Q\96q2588\PANE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y2\soft%20(d)\NHAN\DAKHA\DUTOAN\Dung%20Quat\Nhom%20GC\New%20Folder\My%20Documents\3533\96Q\96q2588\PANE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DESKTOP\Dung%20Quat\Nhom%20GC\New%20Folder\My%20Documents\3533\96Q\96q2588\PAN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itiet"/>
      <sheetName val="vcdn"/>
      <sheetName val="culyvcdn"/>
      <sheetName val="dtxl"/>
      <sheetName val="ddai"/>
      <sheetName val="denbu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ieet6"/>
      <sheetName val="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txl"/>
      <sheetName val="thopxlc"/>
      <sheetName val="thxlk"/>
      <sheetName val="vldien"/>
      <sheetName val="vlcaqu"/>
      <sheetName val="chitimc"/>
      <sheetName val="dien"/>
      <sheetName val="vcdd"/>
      <sheetName val="vcdn"/>
      <sheetName val="beton"/>
      <sheetName val="cpdbu"/>
      <sheetName val="chenh"/>
      <sheetName val="dg1"/>
      <sheetName val="SILIC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Sheet2"/>
      <sheetName val="Sheet3"/>
      <sheetName val="XL4Poppy"/>
      <sheetName val="KHthuvon T3-2003"/>
      <sheetName val="KHThuvonT4-2003"/>
      <sheetName val="THuchienKHTVQI-2003"/>
      <sheetName val="KHTV Q2-2003"/>
      <sheetName val="Thang5-03"/>
      <sheetName val="00000000"/>
      <sheetName val="10000000"/>
      <sheetName val="20000000"/>
      <sheetName val="30000000"/>
      <sheetName val="40000000"/>
      <sheetName val="50000000"/>
      <sheetName val="60000000"/>
      <sheetName val="70000000"/>
      <sheetName val="80000000"/>
      <sheetName val="90000000"/>
      <sheetName val="a0000000"/>
      <sheetName val="b0000000"/>
      <sheetName val="c0000000"/>
      <sheetName val="d0000000"/>
      <sheetName val="e0000000"/>
      <sheetName val="f0000000"/>
      <sheetName val="g0000000"/>
      <sheetName val="h0000000"/>
      <sheetName val="i0000000"/>
      <sheetName val="j0000000"/>
      <sheetName val="k0000000"/>
      <sheetName val="l0000000"/>
      <sheetName val="m0000000"/>
      <sheetName val="n0000000"/>
      <sheetName val="o0000000"/>
      <sheetName val="p0000000"/>
      <sheetName val="q0000000"/>
      <sheetName val="r0000000"/>
      <sheetName val="s0000000"/>
      <sheetName val="t0000000"/>
      <sheetName val="u0000000"/>
      <sheetName val="v0000000"/>
      <sheetName val="w0000000"/>
      <sheetName val="x0000000"/>
      <sheetName val="y0000000"/>
      <sheetName val="z0000000"/>
      <sheetName val="Tong San luong"/>
      <sheetName val="TQT"/>
      <sheetName val="Tong Quyettoan"/>
      <sheetName val="Quyettoan 2001"/>
      <sheetName val="TT tam ung"/>
      <sheetName val="QT thue 2001"/>
      <sheetName val="P bo CPC 2001"/>
      <sheetName val="PB KHTS 2001"/>
      <sheetName val="Dieuchinh thueVAT"/>
      <sheetName val="Bieu1-LDTN"/>
      <sheetName val="Bieu 2a"/>
      <sheetName val="Bieu 2b"/>
      <sheetName val="Bieu 2c"/>
      <sheetName val="Bieu 3"/>
      <sheetName val="Bieu 4a"/>
      <sheetName val="Bieu 4b"/>
      <sheetName val="Bieu 4c-1"/>
      <sheetName val="Bieu 4c-2"/>
      <sheetName val="Bieu 5"/>
      <sheetName val="Bieu 6"/>
      <sheetName val="TDKT"/>
      <sheetName val="Hoan thanh"/>
      <sheetName val="Khoach"/>
      <sheetName val="hoan th 15"/>
      <sheetName val="Khoach 15"/>
      <sheetName val="HT 22"/>
      <sheetName val="KH 22"/>
      <sheetName val="KH29"/>
      <sheetName val="KH T8"/>
      <sheetName val="T11"/>
      <sheetName val="T10"/>
      <sheetName val="T8"/>
      <sheetName val="T7"/>
      <sheetName val="Kh48"/>
      <sheetName val="Ht 48"/>
      <sheetName val="Ht128"/>
      <sheetName val="ht12"/>
      <sheetName val="Kh 12"/>
      <sheetName val="ht 20-10"/>
      <sheetName val="ht 24-11"/>
      <sheetName val="kh20-1"/>
      <sheetName val="Ht 20-1"/>
      <sheetName val="KH 12-1"/>
      <sheetName val="HT 12-1"/>
      <sheetName val="KH 5-1"/>
      <sheetName val="HT 5-1"/>
      <sheetName val="Kh29-12"/>
      <sheetName val="Ht29-12"/>
      <sheetName val="KH22-12"/>
      <sheetName val="Ht 22-12"/>
      <sheetName val="KH15-12"/>
      <sheetName val="Ht 15-12"/>
      <sheetName val="kh 7-12"/>
      <sheetName val="ht 7-12"/>
      <sheetName val="kh 30-11"/>
      <sheetName val="ht 30-11"/>
      <sheetName val="kh24-11"/>
      <sheetName val="kh 17-11"/>
      <sheetName val="ht 17-11"/>
      <sheetName val="kh 10-11"/>
      <sheetName val="ht 10-11"/>
      <sheetName val="kh 2-11"/>
      <sheetName val="ht 02-11"/>
      <sheetName val="kh 27-10"/>
      <sheetName val="ht 27-10"/>
      <sheetName val="kh28-10"/>
      <sheetName val="Kh 6-10"/>
      <sheetName val="06-10"/>
      <sheetName val="29-9"/>
      <sheetName val="22-9"/>
      <sheetName val="16-9"/>
      <sheetName val="8-9"/>
      <sheetName val="1-9"/>
      <sheetName val="26-8"/>
      <sheetName val="n198"/>
      <sheetName val="kh128"/>
      <sheetName val="HT29"/>
      <sheetName val="tong hop"/>
      <sheetName val="phan tich DG"/>
      <sheetName val="gia vat lieu"/>
      <sheetName val="gia xe may"/>
      <sheetName val="gia nhan cong"/>
      <sheetName val="XL4Test5"/>
      <sheetName val="TONG HOP K L"/>
      <sheetName val="KLPSINH"/>
      <sheetName val="Bang PTKL-Luu"/>
      <sheetName val="Bang PTKL"/>
      <sheetName val="Tuan BCao"/>
      <sheetName val="KLNBA"/>
      <sheetName val="Theo doi Ranh"/>
      <sheetName val="Ranh 1"/>
      <sheetName val="Ranh"/>
      <sheetName val="KLTT"/>
      <sheetName val="cong411-415+500"/>
      <sheetName val="cong406-410"/>
      <sheetName val="116-128-cavico"/>
      <sheetName val="TKL"/>
      <sheetName val="KY TT"/>
      <sheetName val="KLBCCTY Cong"/>
      <sheetName val="TTKL VIA 2 NBA"/>
      <sheetName val="TTKL- TAM BAN 408"/>
      <sheetName val="KLVTU"/>
      <sheetName val="Phan dap K95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  <sheetName val="Sheet41"/>
      <sheetName val="Sheet42"/>
      <sheetName val="Sheet43"/>
      <sheetName val="Sheet44"/>
      <sheetName val="Sheet45"/>
      <sheetName val="Sheet46"/>
      <sheetName val="Sheet47"/>
      <sheetName val="Sheet48"/>
      <sheetName val="Sheet49"/>
      <sheetName val="Sheet50"/>
      <sheetName val="Sheet51"/>
      <sheetName val="Sheet52"/>
      <sheetName val="Sheet53"/>
      <sheetName val="Sheet54"/>
      <sheetName val="Sheet55"/>
      <sheetName val="Sheet56"/>
      <sheetName val="Sheet57"/>
      <sheetName val="Sheet58"/>
      <sheetName val="Sheet59"/>
      <sheetName val="Sheet60"/>
      <sheetName val="Sheet61"/>
      <sheetName val="Sheet62"/>
      <sheetName val="Sheet63"/>
      <sheetName val="Sheet64"/>
      <sheetName val="Sheet65"/>
      <sheetName val="Sheet66"/>
      <sheetName val="Sheet67"/>
      <sheetName val="Sheet68"/>
      <sheetName val="Sheet69"/>
      <sheetName val="Sheet70"/>
      <sheetName val="Sheet71"/>
      <sheetName val="Sheet72"/>
      <sheetName val="Sheet73"/>
      <sheetName val="Sheet74"/>
      <sheetName val="Sheet75"/>
      <sheetName val="Sheet76"/>
      <sheetName val="Sheet77"/>
      <sheetName val="Sheet78"/>
      <sheetName val="Sheet79"/>
      <sheetName val="Sheet80"/>
      <sheetName val="Sheet81"/>
      <sheetName val="Sheet82"/>
      <sheetName val="Sheet83"/>
      <sheetName val="Sheet84"/>
      <sheetName val="Sheet85"/>
      <sheetName val="Sheet86"/>
      <sheetName val="Sheet87"/>
      <sheetName val="Sheet88"/>
      <sheetName val="Sheet89"/>
      <sheetName val="Sheet90"/>
      <sheetName val="Sheet91"/>
      <sheetName val="Sheet92"/>
      <sheetName val="Sheet93"/>
      <sheetName val="Sheet94"/>
      <sheetName val="Sheet95"/>
      <sheetName val="Sheet96"/>
      <sheetName val="Sheet97"/>
      <sheetName val="Sheet98"/>
      <sheetName val="Sheet99"/>
      <sheetName val="Sheet100"/>
      <sheetName val="Form3m"/>
      <sheetName val="FormCaoDo"/>
      <sheetName val="GOC-SB2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Dung"/>
      <sheetName val="Sheet11"/>
      <sheetName val="Sheet12"/>
      <sheetName val="T3"/>
      <sheetName val="KCT moi"/>
      <sheetName val="KCT moi (2)"/>
      <sheetName val="Hoi"/>
      <sheetName val="T4"/>
      <sheetName val="T5"/>
      <sheetName val="Quytien mat2003 baocao)"/>
      <sheetName val="T4 (2)"/>
      <sheetName val="T6"/>
      <sheetName val="T6Bich"/>
      <sheetName val="5 nam (tach)"/>
      <sheetName val="5 nam (tach) (2)"/>
      <sheetName val="KH 2003"/>
      <sheetName val="Gia VL"/>
      <sheetName val="Bang gia ca may"/>
      <sheetName val="Bang luong CB"/>
      <sheetName val="Bang P.tich CT"/>
      <sheetName val="D.toan chi tiet"/>
      <sheetName val="Bang TH Dtoan"/>
      <sheetName val="XXXXXXXX"/>
      <sheetName val="PC"/>
      <sheetName val="Ph-Thu"/>
      <sheetName val="Ph-Thu (2)"/>
      <sheetName val="PC (2)"/>
      <sheetName val="Chart2"/>
      <sheetName val="Chart1"/>
      <sheetName val="PC (3)"/>
      <sheetName val="Congty"/>
      <sheetName val="VPPN"/>
      <sheetName val="XN74"/>
      <sheetName val="XN54"/>
      <sheetName val="XN33"/>
      <sheetName val="NK96"/>
      <sheetName val="ccdc"/>
      <sheetName val="pbnvlieu"/>
      <sheetName val="NKNVLIEUBSUNG"/>
      <sheetName val="pbcpqlq4"/>
      <sheetName val="pbcpchung"/>
      <sheetName val="pbccdcDUNG"/>
      <sheetName val="NVLQ1+2,03"/>
      <sheetName val="CCDCQ1+2.03"/>
      <sheetName val="1421Q1+2"/>
      <sheetName val="XXXXXXX0"/>
      <sheetName val="KM0+KM1"/>
      <sheetName val="KM1+KM2"/>
      <sheetName val="KM2+KM3"/>
      <sheetName val="Nen-Mat"/>
      <sheetName val="Ho ga"/>
      <sheetName val="Ho thu"/>
      <sheetName val=" Kl ranh kin BT, H30"/>
      <sheetName val="1.2-Kluong bo via &amp; rdan"/>
      <sheetName val="2.2-Kluong lat he"/>
      <sheetName val="BIA KP"/>
      <sheetName val="Tonghop30.9"/>
      <sheetName val="Tonghop15.7"/>
      <sheetName val="Tonghop30.6"/>
      <sheetName val="Tonghop30.4"/>
      <sheetName val="Tonghop30.2"/>
      <sheetName val="Tonghop31.12"/>
      <sheetName val="CPQl"/>
      <sheetName val="DBDAN"/>
      <sheetName val="CTCCN"/>
      <sheetName val="TDC"/>
      <sheetName val="Daotao"/>
      <sheetName val="Quang Tri"/>
      <sheetName val="TTHue"/>
      <sheetName val="Da Nang"/>
      <sheetName val="Quang Nam"/>
      <sheetName val="Quang Ngai"/>
      <sheetName val="TH DH-QN"/>
      <sheetName val="KP HD"/>
      <sheetName val="DB HD"/>
      <sheetName val="TH"/>
      <sheetName val="K249 K98"/>
      <sheetName val="K249 K98 (2)"/>
      <sheetName val="K251 K98"/>
      <sheetName val="K251 SBase"/>
      <sheetName val="K251 AC"/>
      <sheetName val="K252 K98"/>
      <sheetName val="K252 SBase"/>
      <sheetName val="K252 AC"/>
      <sheetName val="K253"/>
      <sheetName val="K253 K98"/>
      <sheetName val="K253 Subbase"/>
      <sheetName val="K253 Base "/>
      <sheetName val="K253 SBase"/>
      <sheetName val="K253 AC"/>
      <sheetName val="K255"/>
      <sheetName val="K255 SBase"/>
      <sheetName val="K259"/>
      <sheetName val="K259 K98"/>
      <sheetName val="K259 Subbase"/>
      <sheetName val="K259 Base "/>
      <sheetName val="K259 AC"/>
      <sheetName val="K260"/>
      <sheetName val="K260 K98"/>
      <sheetName val="K260 Subbase"/>
      <sheetName val="K260 Base"/>
      <sheetName val="K260 AC"/>
      <sheetName val="K261"/>
      <sheetName val="K261 K98"/>
      <sheetName val="K261 Base"/>
      <sheetName val="K261 AC"/>
      <sheetName val="THop (2)"/>
      <sheetName val="phÐp 99"/>
      <sheetName val="Nghi s¬n (2)"/>
      <sheetName val="kt1 (2)"/>
      <sheetName val="Tiepthi"/>
      <sheetName val="THop"/>
      <sheetName val="Cau 100 tan"/>
      <sheetName val="UongBi (2)"/>
      <sheetName val="UongBi"/>
      <sheetName val="tgd"/>
      <sheetName val="HDQT"/>
      <sheetName val="tc"/>
      <sheetName val="tv"/>
      <sheetName val="qlm"/>
      <sheetName val=" dngoai"/>
      <sheetName val="hchi"/>
      <sheetName val="dd"/>
      <sheetName val="kh"/>
      <sheetName val=" thidua"/>
      <sheetName val="bv"/>
      <sheetName val="lxe"/>
      <sheetName val="kt"/>
      <sheetName val="kt1"/>
      <sheetName val="vhan"/>
      <sheetName val="Tuvan1"/>
      <sheetName val="Tuvan2"/>
      <sheetName val="KOBE150T"/>
      <sheetName val=" cogioi"/>
      <sheetName val="HPhong"/>
      <sheetName val="xnk"/>
      <sheetName val="CNTT"/>
      <sheetName val="Doanphi"/>
      <sheetName val="NEW_PANEL"/>
      <sheetName val="Phantich"/>
      <sheetName val="Toan_DA"/>
      <sheetName val="2004"/>
      <sheetName val="2005"/>
      <sheetName val="Co quan TCT"/>
      <sheetName val="BOT"/>
      <sheetName val="BOT (PA chon)"/>
      <sheetName val="Yaly &amp; Ri Ninh"/>
      <sheetName val="Thuy dien Na Loi"/>
      <sheetName val="bang so sanh tong hop"/>
      <sheetName val="bang so sanh tong hop (ty le)"/>
      <sheetName val="thu nhap binh quan (2)"/>
      <sheetName val="dang huong"/>
      <sheetName val="phuong an 1"/>
      <sheetName val="phuong an 1 (2)"/>
      <sheetName val="phuong an2"/>
      <sheetName val="tong hop BQ"/>
      <sheetName val="Binhquan3"/>
      <sheetName val="tong hop BQ-1"/>
      <sheetName val="phuong an chon"/>
      <sheetName val="bang so sanh tong hop ( PA chon"/>
      <sheetName val="dang ap dung"/>
      <sheetName val="bang tong hop (dang huong)"/>
      <sheetName val="504"/>
      <sheetName val="807"/>
      <sheetName val="809"/>
      <sheetName val="801"/>
      <sheetName val="10-3"/>
      <sheetName val="CAVICO"/>
      <sheetName val="SD7"/>
      <sheetName val="Ma"/>
      <sheetName val="Tonghop"/>
      <sheetName val="BQTPT"/>
      <sheetName val="BQTVT"/>
      <sheetName val="NKBH"/>
      <sheetName val="NH"/>
      <sheetName val="HToan"/>
      <sheetName val="NKPT"/>
      <sheetName val="QTPhoto"/>
      <sheetName val="No Photo"/>
      <sheetName val="TL"/>
      <sheetName val="NKVitinh"/>
      <sheetName val="QTVitinh"/>
      <sheetName val="No vitinh"/>
      <sheetName val="Luong"/>
      <sheetName val="XNCN"/>
      <sheetName val="tuan"/>
      <sheetName val="thang"/>
      <sheetName val="Soluong"/>
      <sheetName val="Ton"/>
      <sheetName val="BCNo"/>
      <sheetName val="Theno"/>
      <sheetName val="Sochi"/>
      <sheetName val="giaotien"/>
      <sheetName val="DGT"/>
      <sheetName val="Hagia"/>
      <sheetName val="duchai"/>
      <sheetName val="Congno2002va2003"/>
      <sheetName val="ton tam"/>
      <sheetName val="Thep hinh"/>
      <sheetName val="p-in"/>
      <sheetName val="KHOI LUONG"/>
      <sheetName val=""/>
      <sheetName val="TK331A"/>
      <sheetName val="TK131B"/>
      <sheetName val="TK131A"/>
      <sheetName val="TK 331c1"/>
      <sheetName val="TK331C"/>
      <sheetName val="CT331-2003"/>
      <sheetName val="CT 331"/>
      <sheetName val="CT131-2003"/>
      <sheetName val="CT 131"/>
      <sheetName val="TK331B"/>
      <sheetName val="DSKH HN"/>
      <sheetName val="NKY "/>
      <sheetName val="DS-TT"/>
      <sheetName val=" HN NHAP"/>
      <sheetName val="KHO HN"/>
      <sheetName val="CNO "/>
      <sheetName val="Sheet4"/>
      <sheetName val="[heet30"/>
      <sheetName val="cong40_x0016_-410"/>
      <sheetName val="DTCT"/>
      <sheetName val="PTVT"/>
      <sheetName val="THDT"/>
      <sheetName val="THVT"/>
      <sheetName val="THGT"/>
      <sheetName val="_x0012_2-9"/>
      <sheetName val="BL01"/>
      <sheetName val="BL02"/>
      <sheetName val="BL03"/>
      <sheetName val="NK4-QT"/>
      <sheetName val="NK5-QT"/>
      <sheetName val="QT4"/>
      <sheetName val="NT2"/>
      <sheetName val="NT2+2"/>
      <sheetName val="NT3"/>
      <sheetName val="NT3+2"/>
      <sheetName val="NT4"/>
      <sheetName val="nt 02 ntien cong ty lan 03  "/>
      <sheetName val="nt 02chua ntien cong ty lan 03 "/>
      <sheetName val="nt 04 ntien cong ty lan 03  "/>
      <sheetName val="nt 04chua ntien cong ty lan 03"/>
      <sheetName val="nt 05 ntien cong ty lan 03 "/>
      <sheetName val="nt 05  chuantien cong ty lan 03"/>
      <sheetName val="kh Òv-10"/>
      <sheetName val="k`28-10"/>
      <sheetName val="gia vat mieu"/>
      <sheetName val="Sheet5"/>
      <sheetName val="Sheet6"/>
      <sheetName val="Sheet7"/>
      <sheetName val="Sheet8"/>
      <sheetName val="Sheet9"/>
      <sheetName val="Sheet10"/>
      <sheetName val="Sheet13"/>
      <sheetName val="Sheet14"/>
      <sheetName val="Sheet15"/>
      <sheetName val="Sheet16"/>
      <sheetName val="CP -141"/>
      <sheetName val="CPhi"/>
      <sheetName val="CP1"/>
      <sheetName val="GVXL5"/>
      <sheetName val="CPXL1"/>
      <sheetName val="THOP XL1"/>
      <sheetName val="CPXL5"/>
      <sheetName val="621XL1"/>
      <sheetName val="154XL1"/>
      <sheetName val="Khao PBXL1"/>
      <sheetName val="D154XL5"/>
      <sheetName val="KCCPXL5"/>
      <sheetName val="HTCPXL5"/>
      <sheetName val="TTCPXL5"/>
      <sheetName val="XL1-5"/>
      <sheetName val="C.TIEU"/>
      <sheetName val="KQ (2)"/>
      <sheetName val="T.HAO"/>
      <sheetName val="T.HAO (2)"/>
      <sheetName val="KHbanhang"/>
      <sheetName val="CPSX"/>
      <sheetName val="QLDN"/>
      <sheetName val="T.Luong"/>
      <sheetName val="GTCX(Zx)"/>
      <sheetName val="W200x250"/>
      <sheetName val="DH200x250"/>
      <sheetName val="RT-G200x250"/>
      <sheetName val="T-250x400"/>
      <sheetName val="K-CT200x200"/>
      <sheetName val="TL-200x300"/>
      <sheetName val="400x400"/>
      <sheetName val="300x300"/>
      <sheetName val="T.Hao(1)"/>
      <sheetName val="TSCD"/>
      <sheetName val="CPNLTT"/>
      <sheetName val="NCTT"/>
      <sheetName val="LAI VAY"/>
      <sheetName val="641"/>
      <sheetName val="642"/>
      <sheetName val="CPSXKD"/>
      <sheetName val="GTmen"/>
      <sheetName val="K.luongSP"/>
      <sheetName val="BAI.MEN-Xuong"/>
      <sheetName val="KHDT"/>
      <sheetName val="KHGT"/>
      <sheetName val="KHDT(1)"/>
      <sheetName val="KHDT(2)"/>
      <sheetName val="SX-TT"/>
      <sheetName val="CL "/>
      <sheetName val="LDTL"/>
      <sheetName val="KHSCL"/>
      <sheetName val="BAO HO LD"/>
      <sheetName val="K-HAO"/>
      <sheetName val="CPC"/>
      <sheetName val="LNKD"/>
      <sheetName val="SK"/>
      <sheetName val="TRA NO"/>
      <sheetName val="CTTH"/>
      <sheetName val="VLD"/>
      <sheetName val="VLD_Phuong"/>
      <sheetName val="BCKQSXKD"/>
      <sheetName val="CANDOIKT"/>
      <sheetName val="BC LUU CHUYEN TTE"/>
      <sheetName val="BCKQHDSX -KD"/>
      <sheetName val="BANGCDKT"/>
      <sheetName val="BCDKT (CU)"/>
      <sheetName val="BCLCT.TE"/>
      <sheetName val="KH .BANHANG"/>
      <sheetName val="GIAVONHANGBAN"/>
      <sheetName val="C.PHISANXUAT"/>
      <sheetName val="CHIPHI HOATDONG"/>
      <sheetName val="KMTAICHINHBATTHUONG"/>
      <sheetName val="Tinhtoanchitiettaichinh"/>
      <sheetName val="kehoachdautu"/>
      <sheetName val="[PANEL.XLS_x001d_T5"/>
      <sheetName val="Phan dap J95"/>
      <sheetName val="UH"/>
      <sheetName val="TH FF140"/>
      <sheetName val="TH FF177"/>
      <sheetName val="Tien dat HD"/>
      <sheetName val="TH cong no"/>
      <sheetName val="12.03"/>
      <sheetName val="1.04"/>
      <sheetName val="2.04"/>
      <sheetName val="3.04"/>
      <sheetName val="4.04"/>
      <sheetName val="TK 911"/>
      <sheetName val="TK 711"/>
      <sheetName val="TK 632"/>
      <sheetName val="TK642"/>
      <sheetName val="TK627"/>
      <sheetName val="TK623"/>
      <sheetName val="TK622"/>
      <sheetName val="TK621"/>
      <sheetName val="Chi tiet 511"/>
      <sheetName val="TK 511"/>
      <sheetName val="TK421"/>
      <sheetName val="TK411"/>
      <sheetName val="TK 342 ( thue T.C )"/>
      <sheetName val="TK338"/>
      <sheetName val="Phat sinh 2005"/>
      <sheetName val="TK334"/>
      <sheetName val="TK333"/>
      <sheetName val="TK331"/>
      <sheetName val="TK 341vay dai han "/>
      <sheetName val="TK311"/>
      <sheetName val="TK 214"/>
      <sheetName val="TK 212"/>
      <sheetName val="Chi tiet TK 211"/>
      <sheetName val="TK 211"/>
      <sheetName val="TK 154"/>
      <sheetName val="TK153"/>
      <sheetName val="Chi tiet TK 152"/>
      <sheetName val="Can Doi TK"/>
      <sheetName val="TK 152"/>
      <sheetName val="Chung tu ghi so "/>
      <sheetName val="TK 142"/>
      <sheetName val="TK 141"/>
      <sheetName val="TK 133"/>
      <sheetName val="Chi tiet TK131"/>
      <sheetName val="TK 131"/>
      <sheetName val="TK 112"/>
      <sheetName val="TK 111"/>
      <sheetName val="Phieu thu"/>
      <sheetName val="Phieu chi "/>
      <sheetName val="Phieu nhap VTu "/>
      <sheetName val="Phieu xuat VTu"/>
      <sheetName val="Can doi vat tu nhap xuat "/>
      <sheetName val="Vat tu nhapxuat nam 2005"/>
      <sheetName val="Ca may can dung nam 2005"/>
      <sheetName val="Vat Tu can cho CT nam 2005"/>
      <sheetName val="HD thu mua hang NLS "/>
      <sheetName val="HD thu mua cat soi "/>
      <sheetName val="TLy HD mua ban "/>
      <sheetName val="Bien ban Nthu GK"/>
      <sheetName val="T. Ly HD giao khoan "/>
      <sheetName val="Hop dong giao khoan"/>
      <sheetName val="giay tam ung "/>
      <sheetName val="Bang ke T.toan "/>
      <sheetName val="Hoa don ban hang "/>
      <sheetName val="Bang phan bo tien luong 2005"/>
      <sheetName val="Bang cham cong "/>
      <sheetName val="Bang T.T Luong CB chu Chot2005"/>
      <sheetName val="Bang T.T luong CN lai xe"/>
      <sheetName val="Bang thanh toan luong 2005"/>
      <sheetName val="Nhan cong cho CT nam 2005"/>
      <sheetName val="Dinh Muc tieu hao VL 2005"/>
      <sheetName val="Dang Ky chi tiet KH 2005"/>
      <sheetName val="Bang phan bo NVL nam 2005"/>
      <sheetName val="Bang phan bo K.Hao 2005"/>
      <sheetName val="Dang Ky Khau hao 2005"/>
      <sheetName val="Phu luc so 3( TNDN)"/>
      <sheetName val="PhuLuc so 1(TNDN)"/>
      <sheetName val="Mau so 04 TNDN"/>
      <sheetName val="Mau so 02C"/>
      <sheetName val="Mau so 02B"/>
      <sheetName val="Mau so 02A"/>
      <sheetName val="Mau 01B"/>
      <sheetName val="To khai Mau 11"/>
      <sheetName val="Don xin khat nop thue nam 04"/>
      <sheetName val="Su dung hoa don mau 26"/>
      <sheetName val="QToan hoa don "/>
      <sheetName val="Mau so 01"/>
      <sheetName val="Mau so 02"/>
      <sheetName val="Chi tiet Mau 03 ( mua vao )"/>
      <sheetName val="Mau so 03"/>
      <sheetName val="Mau so 04"/>
      <sheetName val="Mau 05"/>
      <sheetName val="De nghi giai dap ve thue "/>
      <sheetName val="the duc"/>
      <sheetName val="Bao cao thong ke "/>
      <sheetName val="Phieu DTra Van Tai ( 01 TKe )"/>
      <sheetName val="SŨeet3"/>
      <sheetName val="Sheep75"/>
      <sheetName val="K255 SBasa"/>
      <sheetName val="400-415.37"/>
      <sheetName val="KL NR2"/>
      <sheetName val="NR2 565 PQ DQ"/>
      <sheetName val="565 DD"/>
      <sheetName val="M2-415.37"/>
      <sheetName val="Cong"/>
      <sheetName val="507 PQ"/>
      <sheetName val="507 DD"/>
      <sheetName val=" Subbase"/>
      <sheetName val="NR2"/>
      <sheetName val="[PANEL.XLSŝQT thue 2001"/>
      <sheetName val="Thg 2"/>
      <sheetName val="Thg 3"/>
      <sheetName val="Thg 4"/>
      <sheetName val="thg5"/>
      <sheetName val="Thg6"/>
      <sheetName val="Thg7"/>
      <sheetName val="thang1"/>
      <sheetName val="thang2"/>
      <sheetName val="Kc giavonQ1.05"/>
      <sheetName val="Gan tru thue"/>
      <sheetName val="DThu"/>
      <sheetName val="Nhap KPCT"/>
      <sheetName val="PBo KPCT"/>
      <sheetName val="KP nop CT"/>
      <sheetName val="PB LV CNhanh"/>
      <sheetName val="PB CPC"/>
      <sheetName val="PB LV doi Q4"/>
      <sheetName val="PB LV doi"/>
      <sheetName val="GtQ4.05L4"/>
      <sheetName val="GTQ4.05L3"/>
      <sheetName val="GTQ4.05 L2"/>
      <sheetName val="GTQ4.05"/>
      <sheetName val="GT Q3,05 sua"/>
      <sheetName val="GT Kc Q3.05"/>
      <sheetName val="GT Q2.05"/>
      <sheetName val="GT01.2005"/>
      <sheetName val="Shaet28"/>
      <sheetName val="Giantiep"/>
      <sheetName val="Phucvu"/>
      <sheetName val="PXBTso1_SLa"/>
      <sheetName val="T9"/>
      <sheetName val="T2"/>
      <sheetName val="T1"/>
      <sheetName val="K253 K9_x0018_"/>
      <sheetName val="tk131t1 (2)"/>
      <sheetName val="tk331 (3)"/>
      <sheetName val="tk336t1 (5)"/>
      <sheetName val="Ma KH 331 "/>
      <sheetName val="Danh sach (7)"/>
      <sheetName val="Danh sach (8)"/>
      <sheetName val="cong no TD (2)"/>
      <sheetName val="BKCN331-04 (2)"/>
      <sheetName val="BKCN131-04 (3)"/>
      <sheetName val="BKCN336-04 (4)"/>
      <sheetName val="Danh muc ho so luu tru 2002(12)"/>
      <sheetName val="Danh muc ho so luu tru 2002(13)"/>
      <sheetName val="ke SCL (6)"/>
      <sheetName val="ke DTXDCB (7)"/>
      <sheetName val="MTSan (8)"/>
      <sheetName val="Thue 0 ktru "/>
      <sheetName val="Thue 0 ktru  -05 "/>
      <sheetName val="CPhi 50 nam "/>
      <sheetName val="Tra goc vay MTruong "/>
      <sheetName val="ke DC Than (7)"/>
      <sheetName val="kectu  go "/>
      <sheetName val="Hon gai "/>
      <sheetName val="Huong bien "/>
      <sheetName val="NM Sua "/>
      <sheetName val="L Thuc "/>
      <sheetName val="San gat "/>
      <sheetName val="H Chat mo "/>
      <sheetName val="Xang dau "/>
      <sheetName val="Hai Yen"/>
      <sheetName val="cang le "/>
      <sheetName val="HTan"/>
      <sheetName val="phieuchi (5)"/>
      <sheetName val="phieuchi CD(6)"/>
      <sheetName val="phieuThuCD (7)"/>
      <sheetName val="Biat1 (8)"/>
      <sheetName val="Biat1 (10)"/>
      <sheetName val="Biat1 (9)"/>
      <sheetName val="keno (2)"/>
      <sheetName val="UOC CP 2004 "/>
      <sheetName val="00000001"/>
      <sheetName val="Bang lu哜ng CB"/>
      <sheetName val="chitim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 refreshError="1"/>
      <sheetData sheetId="273" refreshError="1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/>
      <sheetData sheetId="647"/>
      <sheetData sheetId="648"/>
      <sheetData sheetId="649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 refreshError="1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 refreshError="1"/>
      <sheetData sheetId="76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</sheetNames>
    <sheetDataSet>
      <sheetData sheetId="0"/>
      <sheetData sheetId="1"/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NEL 南區焚化爐"/>
      <sheetName val="NEW-PANEL"/>
      <sheetName val="MV-PANEL"/>
      <sheetName val="CTGS N111 (2)"/>
      <sheetName val="Can doi TK (2)"/>
      <sheetName val="CTGS Co 111"/>
      <sheetName val="Bang "/>
      <sheetName val="So TGNH  (2)"/>
      <sheetName val="N 111"/>
      <sheetName val="Sheet1 (3)"/>
      <sheetName val="C 111"/>
      <sheetName val="Sheet10"/>
      <sheetName val="Sheet9"/>
      <sheetName val="Sheet8"/>
      <sheetName val="Sheet7"/>
      <sheetName val="KD Theo YTo"/>
      <sheetName val="Tang giam TSCD"/>
      <sheetName val="TK Ngoai bang"/>
      <sheetName val="TMinh BC TC"/>
      <sheetName val="Can doi TK"/>
      <sheetName val="BCD KToan"/>
      <sheetName val="So TGNH "/>
      <sheetName val="SO CAI TK 112"/>
      <sheetName val="SO CAI 2004 TK 111"/>
      <sheetName val="DTCTiet"/>
      <sheetName val="DT BH"/>
      <sheetName val="Cac khoan phai tra"/>
      <sheetName val="QUY TM 2004"/>
      <sheetName val="XL4Popp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200"/>
  <sheetViews>
    <sheetView zoomScale="85" zoomScaleNormal="85" zoomScaleSheetLayoutView="85" workbookViewId="0">
      <pane xSplit="2" ySplit="8" topLeftCell="C63" activePane="bottomRight" state="frozen"/>
      <selection activeCell="F28" sqref="F28"/>
      <selection pane="topRight" activeCell="F28" sqref="F28"/>
      <selection pane="bottomLeft" activeCell="F28" sqref="F28"/>
      <selection pane="bottomRight" activeCell="F74" sqref="F74"/>
    </sheetView>
  </sheetViews>
  <sheetFormatPr defaultColWidth="9.140625" defaultRowHeight="15.75" outlineLevelRow="1" outlineLevelCol="1"/>
  <cols>
    <col min="1" max="1" width="5.5703125" style="65" customWidth="1"/>
    <col min="2" max="2" width="39.140625" style="5" customWidth="1"/>
    <col min="3" max="3" width="13" style="65" customWidth="1"/>
    <col min="4" max="5" width="12.140625" style="5" hidden="1" customWidth="1" outlineLevel="1"/>
    <col min="6" max="6" width="13.140625" style="5" customWidth="1" collapsed="1"/>
    <col min="7" max="9" width="13.140625" style="5" customWidth="1"/>
    <col min="10" max="10" width="10" style="5" bestFit="1" customWidth="1"/>
    <col min="11" max="16384" width="9.140625" style="5"/>
  </cols>
  <sheetData>
    <row r="1" spans="1:10" ht="18.75" hidden="1" outlineLevel="1">
      <c r="A1" s="768" t="s">
        <v>166</v>
      </c>
      <c r="B1" s="768"/>
      <c r="C1" s="768"/>
      <c r="D1" s="768"/>
      <c r="E1" s="768"/>
      <c r="F1" s="768"/>
      <c r="G1" s="768"/>
      <c r="H1" s="768"/>
      <c r="I1" s="768"/>
    </row>
    <row r="2" spans="1:10" ht="18.75" hidden="1" outlineLevel="1">
      <c r="A2" s="769" t="s">
        <v>830</v>
      </c>
      <c r="B2" s="769"/>
      <c r="C2" s="769"/>
      <c r="D2" s="769"/>
      <c r="E2" s="769"/>
      <c r="F2" s="769"/>
      <c r="G2" s="769"/>
      <c r="H2" s="769"/>
      <c r="I2" s="769"/>
    </row>
    <row r="3" spans="1:10" ht="18.75" hidden="1" outlineLevel="1">
      <c r="A3" s="770" t="s">
        <v>724</v>
      </c>
      <c r="B3" s="770"/>
      <c r="C3" s="770"/>
      <c r="D3" s="770"/>
      <c r="E3" s="770"/>
      <c r="F3" s="770"/>
      <c r="G3" s="770"/>
      <c r="H3" s="770"/>
      <c r="I3" s="770"/>
    </row>
    <row r="4" spans="1:10" hidden="1" outlineLevel="1">
      <c r="A4" s="7"/>
      <c r="B4" s="2"/>
      <c r="C4" s="8"/>
      <c r="D4" s="2"/>
      <c r="E4" s="2"/>
      <c r="F4" s="2"/>
      <c r="G4" s="2"/>
      <c r="H4" s="2"/>
    </row>
    <row r="5" spans="1:10" s="18" customFormat="1" ht="16.5" customHeight="1" collapsed="1">
      <c r="A5" s="771" t="s">
        <v>55</v>
      </c>
      <c r="B5" s="772" t="s">
        <v>69</v>
      </c>
      <c r="C5" s="772" t="s">
        <v>18</v>
      </c>
      <c r="D5" s="772" t="s">
        <v>361</v>
      </c>
      <c r="E5" s="772" t="s">
        <v>415</v>
      </c>
      <c r="F5" s="764" t="s">
        <v>387</v>
      </c>
      <c r="G5" s="764" t="s">
        <v>831</v>
      </c>
      <c r="H5" s="766" t="s">
        <v>438</v>
      </c>
      <c r="I5" s="766" t="s">
        <v>75</v>
      </c>
    </row>
    <row r="6" spans="1:10" s="18" customFormat="1" ht="28.5" customHeight="1">
      <c r="A6" s="771"/>
      <c r="B6" s="772"/>
      <c r="C6" s="771"/>
      <c r="D6" s="772"/>
      <c r="E6" s="771"/>
      <c r="F6" s="765"/>
      <c r="G6" s="765"/>
      <c r="H6" s="767"/>
      <c r="I6" s="767"/>
    </row>
    <row r="7" spans="1:10">
      <c r="A7" s="357">
        <v>1</v>
      </c>
      <c r="B7" s="357">
        <v>2</v>
      </c>
      <c r="C7" s="357">
        <v>3</v>
      </c>
      <c r="D7" s="357"/>
      <c r="E7" s="357"/>
      <c r="F7" s="357">
        <v>4</v>
      </c>
      <c r="G7" s="357">
        <v>5</v>
      </c>
      <c r="H7" s="357" t="s">
        <v>465</v>
      </c>
      <c r="I7" s="357">
        <v>7</v>
      </c>
    </row>
    <row r="8" spans="1:10" ht="20.25" customHeight="1">
      <c r="A8" s="301"/>
      <c r="B8" s="302" t="s">
        <v>167</v>
      </c>
      <c r="C8" s="301"/>
      <c r="D8" s="303"/>
      <c r="E8" s="301"/>
      <c r="F8" s="301"/>
      <c r="G8" s="301"/>
      <c r="H8" s="301"/>
      <c r="I8" s="128"/>
    </row>
    <row r="9" spans="1:10" ht="19.5" customHeight="1" collapsed="1">
      <c r="A9" s="11" t="s">
        <v>40</v>
      </c>
      <c r="B9" s="142" t="s">
        <v>332</v>
      </c>
      <c r="C9" s="12"/>
      <c r="D9" s="143"/>
      <c r="E9" s="143"/>
      <c r="F9" s="143"/>
      <c r="G9" s="143"/>
      <c r="H9" s="143"/>
      <c r="I9" s="66"/>
      <c r="J9" s="14"/>
    </row>
    <row r="10" spans="1:10" s="18" customFormat="1" ht="19.5" customHeight="1">
      <c r="A10" s="11" t="s">
        <v>38</v>
      </c>
      <c r="B10" s="15" t="s">
        <v>172</v>
      </c>
      <c r="C10" s="12" t="s">
        <v>130</v>
      </c>
      <c r="D10" s="16">
        <v>347871</v>
      </c>
      <c r="E10" s="16">
        <v>313038</v>
      </c>
      <c r="F10" s="16">
        <v>277205</v>
      </c>
      <c r="G10" s="16">
        <v>229378</v>
      </c>
      <c r="H10" s="66">
        <f t="shared" ref="H10:H70" si="0">IFERROR(G10/F10%,"")</f>
        <v>82.746703703035649</v>
      </c>
      <c r="I10" s="83"/>
      <c r="J10" s="17"/>
    </row>
    <row r="11" spans="1:10" ht="19.5" customHeight="1">
      <c r="A11" s="19" t="s">
        <v>155</v>
      </c>
      <c r="B11" s="20" t="s">
        <v>173</v>
      </c>
      <c r="C11" s="21" t="s">
        <v>130</v>
      </c>
      <c r="D11" s="22">
        <v>90496</v>
      </c>
      <c r="E11" s="22">
        <v>104622</v>
      </c>
      <c r="F11" s="22">
        <v>82860</v>
      </c>
      <c r="G11" s="22">
        <v>88890</v>
      </c>
      <c r="H11" s="58">
        <f>IFERROR(G11/F11%,"")</f>
        <v>107.27733526430123</v>
      </c>
      <c r="I11" s="3"/>
      <c r="J11" s="14"/>
    </row>
    <row r="12" spans="1:10" s="42" customFormat="1" ht="19.5" customHeight="1">
      <c r="A12" s="71"/>
      <c r="B12" s="62" t="s">
        <v>455</v>
      </c>
      <c r="C12" s="41" t="s">
        <v>130</v>
      </c>
      <c r="D12" s="72">
        <v>84999</v>
      </c>
      <c r="E12" s="72">
        <v>71796</v>
      </c>
      <c r="F12" s="72">
        <v>70788</v>
      </c>
      <c r="G12" s="72">
        <v>71052</v>
      </c>
      <c r="H12" s="85">
        <f>IFERROR(G12/F12%,"")</f>
        <v>100.37294456687574</v>
      </c>
      <c r="I12" s="84"/>
      <c r="J12" s="14"/>
    </row>
    <row r="13" spans="1:10" s="18" customFormat="1" ht="18.75" customHeight="1">
      <c r="A13" s="11" t="s">
        <v>39</v>
      </c>
      <c r="B13" s="15" t="s">
        <v>174</v>
      </c>
      <c r="C13" s="12" t="s">
        <v>130</v>
      </c>
      <c r="D13" s="16">
        <v>308217</v>
      </c>
      <c r="E13" s="16">
        <v>300633</v>
      </c>
      <c r="F13" s="16">
        <v>265133</v>
      </c>
      <c r="G13" s="16">
        <v>200710</v>
      </c>
      <c r="H13" s="66">
        <f t="shared" si="0"/>
        <v>75.701628993750305</v>
      </c>
      <c r="I13" s="83"/>
      <c r="J13" s="17"/>
    </row>
    <row r="14" spans="1:10" ht="20.25" customHeight="1">
      <c r="A14" s="19" t="s">
        <v>155</v>
      </c>
      <c r="B14" s="20" t="s">
        <v>175</v>
      </c>
      <c r="C14" s="21" t="s">
        <v>130</v>
      </c>
      <c r="D14" s="22">
        <v>239615</v>
      </c>
      <c r="E14" s="22">
        <v>264543</v>
      </c>
      <c r="F14" s="22">
        <v>232779</v>
      </c>
      <c r="G14" s="22">
        <v>198838</v>
      </c>
      <c r="H14" s="58">
        <f t="shared" si="0"/>
        <v>85.419217369264416</v>
      </c>
      <c r="I14" s="3"/>
      <c r="J14" s="14"/>
    </row>
    <row r="15" spans="1:10" ht="20.25" customHeight="1">
      <c r="A15" s="11"/>
      <c r="B15" s="30" t="s">
        <v>177</v>
      </c>
      <c r="C15" s="24"/>
      <c r="D15" s="25"/>
      <c r="E15" s="25"/>
      <c r="F15" s="25"/>
      <c r="G15" s="25"/>
      <c r="H15" s="66" t="str">
        <f t="shared" si="0"/>
        <v/>
      </c>
      <c r="I15" s="66"/>
    </row>
    <row r="16" spans="1:10" ht="20.25" customHeight="1">
      <c r="A16" s="32" t="s">
        <v>56</v>
      </c>
      <c r="B16" s="35" t="s">
        <v>401</v>
      </c>
      <c r="C16" s="32" t="s">
        <v>37</v>
      </c>
      <c r="D16" s="29">
        <f>D17+D67</f>
        <v>17898.73</v>
      </c>
      <c r="E16" s="29">
        <f>E17+E67</f>
        <v>17734.400000000001</v>
      </c>
      <c r="F16" s="29">
        <f>F17+F67</f>
        <v>18028.099999999999</v>
      </c>
      <c r="G16" s="29">
        <f>G17+G67</f>
        <v>17665.370000000003</v>
      </c>
      <c r="H16" s="58">
        <f t="shared" si="0"/>
        <v>97.987974328964256</v>
      </c>
      <c r="I16" s="3"/>
    </row>
    <row r="17" spans="1:10" ht="17.25" customHeight="1">
      <c r="A17" s="11" t="s">
        <v>38</v>
      </c>
      <c r="B17" s="30" t="s">
        <v>439</v>
      </c>
      <c r="C17" s="11" t="s">
        <v>37</v>
      </c>
      <c r="D17" s="27">
        <f>D18+D47+D54+D50+D63</f>
        <v>8084.73</v>
      </c>
      <c r="E17" s="27">
        <f>E18+E47+E54+E50+E63</f>
        <v>7662.8</v>
      </c>
      <c r="F17" s="27">
        <f>F18+F47+F54+F50+F63</f>
        <v>7906</v>
      </c>
      <c r="G17" s="27">
        <f>G18+G47+G54+G50+G63</f>
        <v>7215.5700000000006</v>
      </c>
      <c r="H17" s="66">
        <f t="shared" si="0"/>
        <v>91.267012395648877</v>
      </c>
      <c r="I17" s="3"/>
      <c r="J17" s="77"/>
    </row>
    <row r="18" spans="1:10" s="18" customFormat="1" ht="17.25" customHeight="1">
      <c r="A18" s="11">
        <v>1</v>
      </c>
      <c r="B18" s="30" t="s">
        <v>22</v>
      </c>
      <c r="C18" s="11" t="s">
        <v>37</v>
      </c>
      <c r="D18" s="27">
        <f>D23+D38</f>
        <v>1649.23</v>
      </c>
      <c r="E18" s="27">
        <f>E23+E38</f>
        <v>1641.6</v>
      </c>
      <c r="F18" s="27">
        <f>F23+F38</f>
        <v>1614</v>
      </c>
      <c r="G18" s="27">
        <f>G23+G38</f>
        <v>1646.3700000000001</v>
      </c>
      <c r="H18" s="66">
        <f t="shared" si="0"/>
        <v>102.00557620817844</v>
      </c>
      <c r="I18" s="83"/>
    </row>
    <row r="19" spans="1:10" ht="17.25" customHeight="1">
      <c r="A19" s="32" t="s">
        <v>56</v>
      </c>
      <c r="B19" s="35" t="s">
        <v>23</v>
      </c>
      <c r="C19" s="34" t="s">
        <v>20</v>
      </c>
      <c r="D19" s="29">
        <f>SUM(D20:D21)</f>
        <v>6733.6763900000005</v>
      </c>
      <c r="E19" s="29">
        <f>SUM(E20:E21)</f>
        <v>7129.6886000000004</v>
      </c>
      <c r="F19" s="29">
        <f>SUM(F20:F21)</f>
        <v>7071.0429999999997</v>
      </c>
      <c r="G19" s="29">
        <f>SUM(G20:G21)</f>
        <v>3120.1059380221645</v>
      </c>
      <c r="H19" s="58">
        <f t="shared" si="0"/>
        <v>44.125116167758627</v>
      </c>
      <c r="I19" s="3"/>
    </row>
    <row r="20" spans="1:10" ht="17.25" customHeight="1">
      <c r="A20" s="32"/>
      <c r="B20" s="33" t="s">
        <v>24</v>
      </c>
      <c r="C20" s="34" t="s">
        <v>76</v>
      </c>
      <c r="D20" s="29">
        <f>D25</f>
        <v>6298.7078300000003</v>
      </c>
      <c r="E20" s="29">
        <f>E25</f>
        <v>6644.7176000000009</v>
      </c>
      <c r="F20" s="29">
        <f>F25</f>
        <v>6644.5429999999997</v>
      </c>
      <c r="G20" s="29">
        <f>G25</f>
        <v>2973.9459380221647</v>
      </c>
      <c r="H20" s="58">
        <f t="shared" si="0"/>
        <v>44.757719801379338</v>
      </c>
      <c r="I20" s="3"/>
    </row>
    <row r="21" spans="1:10" ht="17.25" customHeight="1">
      <c r="A21" s="32"/>
      <c r="B21" s="35" t="s">
        <v>137</v>
      </c>
      <c r="C21" s="34" t="s">
        <v>76</v>
      </c>
      <c r="D21" s="29">
        <f>D40</f>
        <v>434.96856000000002</v>
      </c>
      <c r="E21" s="29">
        <f>E40</f>
        <v>484.97099999999995</v>
      </c>
      <c r="F21" s="29">
        <f>F40</f>
        <v>426.5</v>
      </c>
      <c r="G21" s="29">
        <f>G40</f>
        <v>146.16</v>
      </c>
      <c r="H21" s="58">
        <f t="shared" si="0"/>
        <v>34.269636576787811</v>
      </c>
      <c r="I21" s="3"/>
    </row>
    <row r="22" spans="1:10" ht="17.25" customHeight="1">
      <c r="A22" s="32" t="s">
        <v>56</v>
      </c>
      <c r="B22" s="35" t="s">
        <v>25</v>
      </c>
      <c r="C22" s="32" t="s">
        <v>57</v>
      </c>
      <c r="D22" s="29">
        <f>D19/D136*1000</f>
        <v>150.81697702024726</v>
      </c>
      <c r="E22" s="29">
        <f>E19/E136*1000</f>
        <v>155.57664284545305</v>
      </c>
      <c r="F22" s="29">
        <f>F19/F136*1000</f>
        <v>150.66410270068715</v>
      </c>
      <c r="G22" s="29">
        <f>G19/G136*1000</f>
        <v>66.614841325892755</v>
      </c>
      <c r="H22" s="58">
        <f t="shared" si="0"/>
        <v>44.214142673541396</v>
      </c>
      <c r="I22" s="3"/>
    </row>
    <row r="23" spans="1:10" s="18" customFormat="1" ht="17.25" customHeight="1">
      <c r="A23" s="11" t="s">
        <v>34</v>
      </c>
      <c r="B23" s="44" t="s">
        <v>440</v>
      </c>
      <c r="C23" s="11" t="s">
        <v>37</v>
      </c>
      <c r="D23" s="16">
        <f>D26+D29</f>
        <v>1558.31</v>
      </c>
      <c r="E23" s="16">
        <f>E26+E29</f>
        <v>1540</v>
      </c>
      <c r="F23" s="16">
        <f>F26+F29</f>
        <v>1531</v>
      </c>
      <c r="G23" s="16">
        <f>G26+G29</f>
        <v>1560.97</v>
      </c>
      <c r="H23" s="66">
        <f t="shared" si="0"/>
        <v>101.95754408883083</v>
      </c>
      <c r="I23" s="83"/>
    </row>
    <row r="24" spans="1:10" ht="17.25" customHeight="1">
      <c r="A24" s="32"/>
      <c r="B24" s="37" t="s">
        <v>27</v>
      </c>
      <c r="C24" s="34" t="s">
        <v>21</v>
      </c>
      <c r="D24" s="38">
        <f>D25/D23*10</f>
        <v>40.420120707689748</v>
      </c>
      <c r="E24" s="38">
        <f>E25/E23*10</f>
        <v>43.147516883116886</v>
      </c>
      <c r="F24" s="38">
        <f>F25/F23*10</f>
        <v>43.400019595035921</v>
      </c>
      <c r="G24" s="38">
        <f>G25/G23*10</f>
        <v>19.051909633254738</v>
      </c>
      <c r="H24" s="58">
        <f t="shared" si="0"/>
        <v>43.898389473155646</v>
      </c>
      <c r="I24" s="3"/>
    </row>
    <row r="25" spans="1:10" ht="17.25" customHeight="1">
      <c r="A25" s="32"/>
      <c r="B25" s="37" t="s">
        <v>28</v>
      </c>
      <c r="C25" s="34" t="s">
        <v>76</v>
      </c>
      <c r="D25" s="22">
        <f>D28+D31</f>
        <v>6298.7078300000003</v>
      </c>
      <c r="E25" s="22">
        <f>E28+E31</f>
        <v>6644.7176000000009</v>
      </c>
      <c r="F25" s="22">
        <f>F28+F31</f>
        <v>6644.5429999999997</v>
      </c>
      <c r="G25" s="22">
        <f>G28+G31</f>
        <v>2973.9459380221647</v>
      </c>
      <c r="H25" s="58">
        <f t="shared" si="0"/>
        <v>44.757719801379338</v>
      </c>
      <c r="I25" s="3"/>
    </row>
    <row r="26" spans="1:10" ht="17.25" customHeight="1">
      <c r="A26" s="32" t="s">
        <v>420</v>
      </c>
      <c r="B26" s="116" t="s">
        <v>441</v>
      </c>
      <c r="C26" s="32" t="s">
        <v>37</v>
      </c>
      <c r="D26" s="22">
        <v>597.30999999999995</v>
      </c>
      <c r="E26" s="137">
        <v>570.5</v>
      </c>
      <c r="F26" s="59">
        <v>571</v>
      </c>
      <c r="G26" s="59">
        <v>573.87</v>
      </c>
      <c r="H26" s="58">
        <f t="shared" si="0"/>
        <v>100.50262697022767</v>
      </c>
      <c r="I26" s="3"/>
    </row>
    <row r="27" spans="1:10" ht="17.25" customHeight="1">
      <c r="A27" s="32"/>
      <c r="B27" s="116" t="s">
        <v>27</v>
      </c>
      <c r="C27" s="34" t="s">
        <v>21</v>
      </c>
      <c r="D27" s="25">
        <v>39.33</v>
      </c>
      <c r="E27" s="38">
        <v>47.2</v>
      </c>
      <c r="F27" s="58">
        <v>47.33</v>
      </c>
      <c r="G27" s="58">
        <v>51.822641678815145</v>
      </c>
      <c r="H27" s="58">
        <f t="shared" si="0"/>
        <v>109.49216496686066</v>
      </c>
      <c r="I27" s="3"/>
    </row>
    <row r="28" spans="1:10" ht="17.25" customHeight="1">
      <c r="A28" s="32"/>
      <c r="B28" s="117" t="s">
        <v>28</v>
      </c>
      <c r="C28" s="34" t="s">
        <v>76</v>
      </c>
      <c r="D28" s="22">
        <f>D26*D27/10</f>
        <v>2349.2202299999999</v>
      </c>
      <c r="E28" s="22">
        <f>E26*E27/10</f>
        <v>2692.76</v>
      </c>
      <c r="F28" s="22">
        <f>F26*F27/10</f>
        <v>2702.5430000000001</v>
      </c>
      <c r="G28" s="22">
        <f>G26*G27/10</f>
        <v>2973.9459380221647</v>
      </c>
      <c r="H28" s="58">
        <f t="shared" si="0"/>
        <v>110.04250211827026</v>
      </c>
      <c r="I28" s="3"/>
    </row>
    <row r="29" spans="1:10" ht="17.25" customHeight="1">
      <c r="A29" s="32" t="s">
        <v>421</v>
      </c>
      <c r="B29" s="116" t="s">
        <v>442</v>
      </c>
      <c r="C29" s="32" t="s">
        <v>37</v>
      </c>
      <c r="D29" s="22">
        <f>D32+D35</f>
        <v>961</v>
      </c>
      <c r="E29" s="29">
        <f>E32+E35</f>
        <v>969.5</v>
      </c>
      <c r="F29" s="29">
        <f>F32+F35</f>
        <v>960</v>
      </c>
      <c r="G29" s="29">
        <f>G32+G35</f>
        <v>987.1</v>
      </c>
      <c r="H29" s="58">
        <f t="shared" si="0"/>
        <v>102.82291666666667</v>
      </c>
      <c r="I29" s="3"/>
    </row>
    <row r="30" spans="1:10" ht="17.25" customHeight="1">
      <c r="A30" s="32"/>
      <c r="B30" s="117" t="s">
        <v>27</v>
      </c>
      <c r="C30" s="34" t="s">
        <v>21</v>
      </c>
      <c r="D30" s="38">
        <f>D31/D29*10</f>
        <v>41.097685744016658</v>
      </c>
      <c r="E30" s="28">
        <f>E31/E29*10</f>
        <v>40.762842702423939</v>
      </c>
      <c r="F30" s="28">
        <f>F31/F29*10</f>
        <v>41.0625</v>
      </c>
      <c r="G30" s="28">
        <f>G31/G29*10</f>
        <v>0</v>
      </c>
      <c r="H30" s="58">
        <f t="shared" si="0"/>
        <v>0</v>
      </c>
      <c r="I30" s="3"/>
    </row>
    <row r="31" spans="1:10" ht="17.25" customHeight="1">
      <c r="A31" s="32"/>
      <c r="B31" s="117" t="s">
        <v>28</v>
      </c>
      <c r="C31" s="34" t="s">
        <v>76</v>
      </c>
      <c r="D31" s="22">
        <f>D34+D37</f>
        <v>3949.4876000000004</v>
      </c>
      <c r="E31" s="29">
        <f>E34+E37</f>
        <v>3951.9576000000006</v>
      </c>
      <c r="F31" s="29">
        <f>F34+F37</f>
        <v>3942</v>
      </c>
      <c r="G31" s="29">
        <f>G34+G37</f>
        <v>0</v>
      </c>
      <c r="H31" s="58">
        <f t="shared" si="0"/>
        <v>0</v>
      </c>
      <c r="I31" s="3"/>
    </row>
    <row r="32" spans="1:10" ht="17.25" customHeight="1">
      <c r="A32" s="32"/>
      <c r="B32" s="114" t="s">
        <v>443</v>
      </c>
      <c r="C32" s="32" t="s">
        <v>37</v>
      </c>
      <c r="D32" s="22">
        <v>906.4</v>
      </c>
      <c r="E32" s="38">
        <v>903.3</v>
      </c>
      <c r="F32" s="22">
        <v>900</v>
      </c>
      <c r="G32" s="22">
        <v>893.2</v>
      </c>
      <c r="H32" s="58">
        <f t="shared" si="0"/>
        <v>99.244444444444454</v>
      </c>
      <c r="I32" s="3"/>
    </row>
    <row r="33" spans="1:9" ht="17.25" customHeight="1">
      <c r="A33" s="32"/>
      <c r="B33" s="115" t="s">
        <v>27</v>
      </c>
      <c r="C33" s="34" t="s">
        <v>21</v>
      </c>
      <c r="D33" s="25">
        <v>42.83</v>
      </c>
      <c r="E33" s="38">
        <v>42.84</v>
      </c>
      <c r="F33" s="38">
        <v>43</v>
      </c>
      <c r="G33" s="38"/>
      <c r="H33" s="58">
        <f t="shared" si="0"/>
        <v>0</v>
      </c>
      <c r="I33" s="3"/>
    </row>
    <row r="34" spans="1:9" ht="17.25" customHeight="1">
      <c r="A34" s="32"/>
      <c r="B34" s="115" t="s">
        <v>28</v>
      </c>
      <c r="C34" s="34" t="s">
        <v>76</v>
      </c>
      <c r="D34" s="22">
        <f>D33*D32/10</f>
        <v>3882.1112000000003</v>
      </c>
      <c r="E34" s="22">
        <f>E32*E33/10</f>
        <v>3869.7372000000005</v>
      </c>
      <c r="F34" s="22">
        <f>F32*F33/10</f>
        <v>3870</v>
      </c>
      <c r="G34" s="22">
        <f>G32*G33/10</f>
        <v>0</v>
      </c>
      <c r="H34" s="58">
        <f t="shared" si="0"/>
        <v>0</v>
      </c>
      <c r="I34" s="3"/>
    </row>
    <row r="35" spans="1:9" ht="17.25" customHeight="1">
      <c r="A35" s="32"/>
      <c r="B35" s="114" t="s">
        <v>456</v>
      </c>
      <c r="C35" s="32" t="s">
        <v>37</v>
      </c>
      <c r="D35" s="22">
        <v>54.6</v>
      </c>
      <c r="E35" s="22">
        <v>66.2</v>
      </c>
      <c r="F35" s="22">
        <v>60</v>
      </c>
      <c r="G35" s="22">
        <v>93.9</v>
      </c>
      <c r="H35" s="58">
        <f t="shared" si="0"/>
        <v>156.50000000000003</v>
      </c>
      <c r="I35" s="3"/>
    </row>
    <row r="36" spans="1:9" ht="17.25" customHeight="1">
      <c r="A36" s="32"/>
      <c r="B36" s="115" t="s">
        <v>27</v>
      </c>
      <c r="C36" s="34" t="s">
        <v>21</v>
      </c>
      <c r="D36" s="38">
        <v>12.34</v>
      </c>
      <c r="E36" s="38">
        <v>12.42</v>
      </c>
      <c r="F36" s="38">
        <v>12</v>
      </c>
      <c r="G36" s="38"/>
      <c r="H36" s="58">
        <f t="shared" si="0"/>
        <v>0</v>
      </c>
      <c r="I36" s="3"/>
    </row>
    <row r="37" spans="1:9" ht="17.25" customHeight="1">
      <c r="A37" s="32"/>
      <c r="B37" s="115" t="s">
        <v>28</v>
      </c>
      <c r="C37" s="34" t="s">
        <v>76</v>
      </c>
      <c r="D37" s="22">
        <f>D36*D35/10</f>
        <v>67.376400000000004</v>
      </c>
      <c r="E37" s="22">
        <f>E36*E35/10</f>
        <v>82.220400000000012</v>
      </c>
      <c r="F37" s="22">
        <f>F36*F35/10</f>
        <v>72</v>
      </c>
      <c r="G37" s="22">
        <f>G36*G35/10</f>
        <v>0</v>
      </c>
      <c r="H37" s="58">
        <f t="shared" si="0"/>
        <v>0</v>
      </c>
      <c r="I37" s="3"/>
    </row>
    <row r="38" spans="1:9" s="18" customFormat="1" ht="17.25" customHeight="1">
      <c r="A38" s="11" t="s">
        <v>35</v>
      </c>
      <c r="B38" s="44" t="s">
        <v>444</v>
      </c>
      <c r="C38" s="11" t="s">
        <v>37</v>
      </c>
      <c r="D38" s="16">
        <f>D41+D44</f>
        <v>90.92</v>
      </c>
      <c r="E38" s="16">
        <f>E41+E44</f>
        <v>101.6</v>
      </c>
      <c r="F38" s="16">
        <f>F41+F44</f>
        <v>83</v>
      </c>
      <c r="G38" s="16">
        <f>G41+G44</f>
        <v>85.4</v>
      </c>
      <c r="H38" s="66">
        <f t="shared" si="0"/>
        <v>102.89156626506025</v>
      </c>
      <c r="I38" s="83"/>
    </row>
    <row r="39" spans="1:9" ht="17.25" customHeight="1">
      <c r="A39" s="32"/>
      <c r="B39" s="37" t="s">
        <v>27</v>
      </c>
      <c r="C39" s="34" t="s">
        <v>21</v>
      </c>
      <c r="D39" s="38">
        <f>D40/D38*10</f>
        <v>47.840800703915534</v>
      </c>
      <c r="E39" s="38">
        <f>E40/E38*10</f>
        <v>47.733366141732283</v>
      </c>
      <c r="F39" s="38">
        <f>F40/F38*10</f>
        <v>51.385542168674696</v>
      </c>
      <c r="G39" s="38">
        <f>G40/G38*10</f>
        <v>17.114754098360653</v>
      </c>
      <c r="H39" s="58">
        <f t="shared" si="0"/>
        <v>33.306555455191898</v>
      </c>
      <c r="I39" s="3"/>
    </row>
    <row r="40" spans="1:9" ht="17.25" customHeight="1">
      <c r="A40" s="32"/>
      <c r="B40" s="37" t="s">
        <v>28</v>
      </c>
      <c r="C40" s="34" t="s">
        <v>76</v>
      </c>
      <c r="D40" s="22">
        <f>D43+D46</f>
        <v>434.96856000000002</v>
      </c>
      <c r="E40" s="22">
        <f>E43+E46</f>
        <v>484.97099999999995</v>
      </c>
      <c r="F40" s="22">
        <f>F43+F46</f>
        <v>426.5</v>
      </c>
      <c r="G40" s="22">
        <f>G43+G46</f>
        <v>146.16</v>
      </c>
      <c r="H40" s="58">
        <f t="shared" si="0"/>
        <v>34.269636576787811</v>
      </c>
      <c r="I40" s="3"/>
    </row>
    <row r="41" spans="1:9" ht="17.25" customHeight="1">
      <c r="A41" s="32" t="s">
        <v>423</v>
      </c>
      <c r="B41" s="116" t="s">
        <v>457</v>
      </c>
      <c r="C41" s="32" t="s">
        <v>37</v>
      </c>
      <c r="D41" s="29">
        <v>28.22</v>
      </c>
      <c r="E41" s="29">
        <v>38.700000000000003</v>
      </c>
      <c r="F41" s="29">
        <v>23</v>
      </c>
      <c r="G41" s="29">
        <v>25.2</v>
      </c>
      <c r="H41" s="58">
        <f t="shared" si="0"/>
        <v>109.56521739130434</v>
      </c>
      <c r="I41" s="3"/>
    </row>
    <row r="42" spans="1:9" ht="17.25" customHeight="1">
      <c r="A42" s="32"/>
      <c r="B42" s="116" t="s">
        <v>27</v>
      </c>
      <c r="C42" s="34" t="s">
        <v>21</v>
      </c>
      <c r="D42" s="28">
        <v>56.13</v>
      </c>
      <c r="E42" s="28">
        <v>47.3</v>
      </c>
      <c r="F42" s="28">
        <v>55</v>
      </c>
      <c r="G42" s="28">
        <v>58</v>
      </c>
      <c r="H42" s="58">
        <f t="shared" si="0"/>
        <v>105.45454545454544</v>
      </c>
      <c r="I42" s="3"/>
    </row>
    <row r="43" spans="1:9" ht="17.25" customHeight="1">
      <c r="A43" s="32"/>
      <c r="B43" s="117" t="s">
        <v>28</v>
      </c>
      <c r="C43" s="34" t="s">
        <v>76</v>
      </c>
      <c r="D43" s="29">
        <f>D42*D41/10</f>
        <v>158.39885999999998</v>
      </c>
      <c r="E43" s="29">
        <f>E42*E41/10</f>
        <v>183.05099999999999</v>
      </c>
      <c r="F43" s="29">
        <f>F42*F41/10</f>
        <v>126.5</v>
      </c>
      <c r="G43" s="29">
        <f>G42*G41/10</f>
        <v>146.16</v>
      </c>
      <c r="H43" s="58">
        <f t="shared" si="0"/>
        <v>115.54150197628459</v>
      </c>
      <c r="I43" s="3"/>
    </row>
    <row r="44" spans="1:9" ht="17.25" customHeight="1">
      <c r="A44" s="32" t="s">
        <v>424</v>
      </c>
      <c r="B44" s="116" t="s">
        <v>458</v>
      </c>
      <c r="C44" s="32" t="s">
        <v>37</v>
      </c>
      <c r="D44" s="29">
        <v>62.7</v>
      </c>
      <c r="E44" s="29">
        <v>62.9</v>
      </c>
      <c r="F44" s="29">
        <v>60</v>
      </c>
      <c r="G44" s="29">
        <v>60.2</v>
      </c>
      <c r="H44" s="58">
        <f t="shared" si="0"/>
        <v>100.33333333333334</v>
      </c>
      <c r="I44" s="3"/>
    </row>
    <row r="45" spans="1:9" ht="17.25" customHeight="1">
      <c r="A45" s="32"/>
      <c r="B45" s="116" t="s">
        <v>27</v>
      </c>
      <c r="C45" s="34" t="s">
        <v>21</v>
      </c>
      <c r="D45" s="28">
        <v>44.11</v>
      </c>
      <c r="E45" s="28">
        <v>48</v>
      </c>
      <c r="F45" s="28">
        <v>50</v>
      </c>
      <c r="G45" s="28"/>
      <c r="H45" s="58">
        <f t="shared" si="0"/>
        <v>0</v>
      </c>
      <c r="I45" s="3"/>
    </row>
    <row r="46" spans="1:9" ht="17.25" customHeight="1">
      <c r="A46" s="32"/>
      <c r="B46" s="117" t="s">
        <v>28</v>
      </c>
      <c r="C46" s="34" t="s">
        <v>76</v>
      </c>
      <c r="D46" s="29">
        <f>D44*D45/10</f>
        <v>276.56970000000001</v>
      </c>
      <c r="E46" s="29">
        <f>E45*E44/10</f>
        <v>301.91999999999996</v>
      </c>
      <c r="F46" s="29">
        <f>F45*F44/10</f>
        <v>300</v>
      </c>
      <c r="G46" s="29">
        <f>G45*G44/10</f>
        <v>0</v>
      </c>
      <c r="H46" s="58">
        <f t="shared" si="0"/>
        <v>0</v>
      </c>
      <c r="I46" s="3"/>
    </row>
    <row r="47" spans="1:9" ht="19.5" customHeight="1">
      <c r="A47" s="11">
        <v>2</v>
      </c>
      <c r="B47" s="30" t="s">
        <v>29</v>
      </c>
      <c r="C47" s="32" t="s">
        <v>37</v>
      </c>
      <c r="D47" s="27">
        <v>6199.5</v>
      </c>
      <c r="E47" s="27">
        <v>5720.5</v>
      </c>
      <c r="F47" s="27">
        <v>6000</v>
      </c>
      <c r="G47" s="27">
        <v>5281.3</v>
      </c>
      <c r="H47" s="66">
        <f t="shared" si="0"/>
        <v>88.021666666666675</v>
      </c>
      <c r="I47" s="3"/>
    </row>
    <row r="48" spans="1:9" ht="19.5" customHeight="1">
      <c r="A48" s="39"/>
      <c r="B48" s="37" t="s">
        <v>27</v>
      </c>
      <c r="C48" s="34" t="s">
        <v>21</v>
      </c>
      <c r="D48" s="28">
        <f>D49/D47*10</f>
        <v>148.34260827486088</v>
      </c>
      <c r="E48" s="28">
        <v>148.51</v>
      </c>
      <c r="F48" s="28">
        <v>145</v>
      </c>
      <c r="G48" s="28"/>
      <c r="H48" s="58">
        <f t="shared" si="0"/>
        <v>0</v>
      </c>
      <c r="I48" s="3"/>
    </row>
    <row r="49" spans="1:9" ht="19.5" customHeight="1">
      <c r="A49" s="39"/>
      <c r="B49" s="37" t="s">
        <v>28</v>
      </c>
      <c r="C49" s="34" t="s">
        <v>76</v>
      </c>
      <c r="D49" s="29">
        <v>91965</v>
      </c>
      <c r="E49" s="29">
        <f>E48*E47/10</f>
        <v>84955.145499999999</v>
      </c>
      <c r="F49" s="29">
        <f>F48*F47/10</f>
        <v>87000</v>
      </c>
      <c r="G49" s="29">
        <f>G48*G47/10</f>
        <v>0</v>
      </c>
      <c r="H49" s="58">
        <f t="shared" si="0"/>
        <v>0</v>
      </c>
      <c r="I49" s="3"/>
    </row>
    <row r="50" spans="1:9" s="18" customFormat="1" ht="19.5" customHeight="1">
      <c r="A50" s="11">
        <v>3</v>
      </c>
      <c r="B50" s="30" t="s">
        <v>317</v>
      </c>
      <c r="C50" s="11" t="s">
        <v>37</v>
      </c>
      <c r="D50" s="27">
        <v>9.1999999999999993</v>
      </c>
      <c r="E50" s="27">
        <v>10.5</v>
      </c>
      <c r="F50" s="27">
        <v>30</v>
      </c>
      <c r="G50" s="27">
        <v>29.1</v>
      </c>
      <c r="H50" s="66">
        <f t="shared" si="0"/>
        <v>97.000000000000014</v>
      </c>
      <c r="I50" s="83"/>
    </row>
    <row r="51" spans="1:9" ht="19.5" customHeight="1">
      <c r="A51" s="32"/>
      <c r="B51" s="33" t="s">
        <v>123</v>
      </c>
      <c r="C51" s="32" t="s">
        <v>37</v>
      </c>
      <c r="D51" s="29"/>
      <c r="E51" s="29"/>
      <c r="F51" s="29">
        <v>20</v>
      </c>
      <c r="G51" s="29">
        <v>19.100000000000001</v>
      </c>
      <c r="H51" s="58">
        <f t="shared" si="0"/>
        <v>95.5</v>
      </c>
      <c r="I51" s="3"/>
    </row>
    <row r="52" spans="1:9" ht="19.5" customHeight="1">
      <c r="A52" s="39"/>
      <c r="B52" s="37" t="s">
        <v>27</v>
      </c>
      <c r="C52" s="34" t="s">
        <v>21</v>
      </c>
      <c r="D52" s="28"/>
      <c r="E52" s="28">
        <v>600</v>
      </c>
      <c r="F52" s="28">
        <v>733.3</v>
      </c>
      <c r="G52" s="28"/>
      <c r="H52" s="58">
        <f t="shared" si="0"/>
        <v>0</v>
      </c>
      <c r="I52" s="3"/>
    </row>
    <row r="53" spans="1:9" ht="19.5" customHeight="1">
      <c r="A53" s="39"/>
      <c r="B53" s="37" t="s">
        <v>28</v>
      </c>
      <c r="C53" s="34" t="s">
        <v>76</v>
      </c>
      <c r="D53" s="29">
        <f>D52*D50/10</f>
        <v>0</v>
      </c>
      <c r="E53" s="29">
        <f>E52*E50/10</f>
        <v>630</v>
      </c>
      <c r="F53" s="29">
        <f>F52*F50/10</f>
        <v>2199.9</v>
      </c>
      <c r="G53" s="29">
        <f>G52*G50/10</f>
        <v>0</v>
      </c>
      <c r="H53" s="58">
        <f t="shared" si="0"/>
        <v>0</v>
      </c>
      <c r="I53" s="3"/>
    </row>
    <row r="54" spans="1:9" ht="19.5" customHeight="1">
      <c r="A54" s="11">
        <v>4</v>
      </c>
      <c r="B54" s="30" t="s">
        <v>136</v>
      </c>
      <c r="C54" s="32" t="s">
        <v>37</v>
      </c>
      <c r="D54" s="27">
        <f>D57+D60</f>
        <v>219.3</v>
      </c>
      <c r="E54" s="27">
        <f>E57+E60</f>
        <v>259</v>
      </c>
      <c r="F54" s="27">
        <f>F57+F60</f>
        <v>230</v>
      </c>
      <c r="G54" s="27">
        <f>G57+G60</f>
        <v>220.8</v>
      </c>
      <c r="H54" s="66">
        <f t="shared" si="0"/>
        <v>96.000000000000014</v>
      </c>
      <c r="I54" s="3"/>
    </row>
    <row r="55" spans="1:9" ht="19.5" customHeight="1">
      <c r="A55" s="39"/>
      <c r="B55" s="37" t="s">
        <v>27</v>
      </c>
      <c r="C55" s="34" t="s">
        <v>21</v>
      </c>
      <c r="D55" s="28">
        <f>D56/D54*10</f>
        <v>119.96580027359781</v>
      </c>
      <c r="E55" s="28">
        <f>E56/E54*10</f>
        <v>134.57142857142858</v>
      </c>
      <c r="F55" s="28">
        <f>F56/F54*10</f>
        <v>136.63173913043477</v>
      </c>
      <c r="G55" s="28">
        <f>G56/G54*10</f>
        <v>81.244565217391283</v>
      </c>
      <c r="H55" s="58">
        <f t="shared" si="0"/>
        <v>59.462439499384246</v>
      </c>
      <c r="I55" s="3"/>
    </row>
    <row r="56" spans="1:9" ht="19.5" customHeight="1">
      <c r="A56" s="39"/>
      <c r="B56" s="37" t="s">
        <v>28</v>
      </c>
      <c r="C56" s="34" t="s">
        <v>76</v>
      </c>
      <c r="D56" s="29">
        <f>D59+D62</f>
        <v>2630.85</v>
      </c>
      <c r="E56" s="29">
        <f>E59+E62</f>
        <v>3485.4</v>
      </c>
      <c r="F56" s="29">
        <f>F59+F62</f>
        <v>3142.5299999999997</v>
      </c>
      <c r="G56" s="29">
        <f>G59+G62</f>
        <v>1793.8799999999999</v>
      </c>
      <c r="H56" s="58">
        <f t="shared" si="0"/>
        <v>57.083941919408886</v>
      </c>
      <c r="I56" s="3"/>
    </row>
    <row r="57" spans="1:9" ht="19.5" customHeight="1">
      <c r="A57" s="32"/>
      <c r="B57" s="136" t="s">
        <v>459</v>
      </c>
      <c r="C57" s="21" t="s">
        <v>37</v>
      </c>
      <c r="D57" s="22">
        <v>97.3</v>
      </c>
      <c r="E57" s="22">
        <v>137</v>
      </c>
      <c r="F57" s="22">
        <v>123</v>
      </c>
      <c r="G57" s="22">
        <v>118.8</v>
      </c>
      <c r="H57" s="58">
        <f t="shared" si="0"/>
        <v>96.58536585365853</v>
      </c>
      <c r="I57" s="3"/>
    </row>
    <row r="58" spans="1:9" ht="19.5" customHeight="1">
      <c r="A58" s="32"/>
      <c r="B58" s="136" t="s">
        <v>27</v>
      </c>
      <c r="C58" s="21" t="s">
        <v>21</v>
      </c>
      <c r="D58" s="38">
        <v>145</v>
      </c>
      <c r="E58" s="38">
        <v>152</v>
      </c>
      <c r="F58" s="38">
        <v>151.1</v>
      </c>
      <c r="G58" s="38">
        <v>151</v>
      </c>
      <c r="H58" s="58">
        <f t="shared" si="0"/>
        <v>99.933818663137004</v>
      </c>
      <c r="I58" s="3"/>
    </row>
    <row r="59" spans="1:9" ht="19.5" customHeight="1">
      <c r="A59" s="32"/>
      <c r="B59" s="136" t="s">
        <v>28</v>
      </c>
      <c r="C59" s="21" t="s">
        <v>76</v>
      </c>
      <c r="D59" s="22">
        <f>D58*D57/10</f>
        <v>1410.85</v>
      </c>
      <c r="E59" s="22">
        <f>E58*E57/10</f>
        <v>2082.4</v>
      </c>
      <c r="F59" s="22">
        <f>F58*F57/10</f>
        <v>1858.53</v>
      </c>
      <c r="G59" s="22">
        <f>G58*G57/10</f>
        <v>1793.8799999999999</v>
      </c>
      <c r="H59" s="58">
        <f t="shared" si="0"/>
        <v>96.521444367322559</v>
      </c>
      <c r="I59" s="3"/>
    </row>
    <row r="60" spans="1:9" ht="19.5" customHeight="1">
      <c r="A60" s="32"/>
      <c r="B60" s="136" t="s">
        <v>460</v>
      </c>
      <c r="C60" s="21" t="s">
        <v>37</v>
      </c>
      <c r="D60" s="22">
        <v>122</v>
      </c>
      <c r="E60" s="22">
        <v>122</v>
      </c>
      <c r="F60" s="22">
        <v>107</v>
      </c>
      <c r="G60" s="22">
        <f>90+12</f>
        <v>102</v>
      </c>
      <c r="H60" s="58">
        <f t="shared" si="0"/>
        <v>95.327102803738313</v>
      </c>
      <c r="I60" s="3"/>
    </row>
    <row r="61" spans="1:9" ht="19.5" customHeight="1">
      <c r="A61" s="32"/>
      <c r="B61" s="136" t="s">
        <v>27</v>
      </c>
      <c r="C61" s="21" t="s">
        <v>21</v>
      </c>
      <c r="D61" s="38">
        <v>100</v>
      </c>
      <c r="E61" s="38">
        <v>115</v>
      </c>
      <c r="F61" s="38">
        <v>120</v>
      </c>
      <c r="G61" s="38"/>
      <c r="H61" s="58">
        <f t="shared" si="0"/>
        <v>0</v>
      </c>
      <c r="I61" s="3"/>
    </row>
    <row r="62" spans="1:9" ht="19.5" customHeight="1">
      <c r="A62" s="32"/>
      <c r="B62" s="136" t="s">
        <v>28</v>
      </c>
      <c r="C62" s="21" t="s">
        <v>76</v>
      </c>
      <c r="D62" s="22">
        <f>D61*D60/10</f>
        <v>1220</v>
      </c>
      <c r="E62" s="22">
        <f>E61*E60/10</f>
        <v>1403</v>
      </c>
      <c r="F62" s="22">
        <f>F61*F60/10</f>
        <v>1284</v>
      </c>
      <c r="G62" s="180">
        <f>G61*G60/10</f>
        <v>0</v>
      </c>
      <c r="H62" s="58">
        <f t="shared" si="0"/>
        <v>0</v>
      </c>
      <c r="I62" s="3"/>
    </row>
    <row r="63" spans="1:9" s="18" customFormat="1" ht="31.5">
      <c r="A63" s="11">
        <v>5</v>
      </c>
      <c r="B63" s="30" t="s">
        <v>411</v>
      </c>
      <c r="C63" s="11" t="s">
        <v>37</v>
      </c>
      <c r="D63" s="36">
        <f>SUM(D64:D66)</f>
        <v>7.5</v>
      </c>
      <c r="E63" s="36">
        <f>SUM(E64:E66)</f>
        <v>31.2</v>
      </c>
      <c r="F63" s="36">
        <f>SUM(F64:F66)</f>
        <v>32</v>
      </c>
      <c r="G63" s="36">
        <f>SUM(G64:G66)</f>
        <v>38</v>
      </c>
      <c r="H63" s="66">
        <f t="shared" si="0"/>
        <v>118.75</v>
      </c>
      <c r="I63" s="83"/>
    </row>
    <row r="64" spans="1:9" ht="19.5" hidden="1" customHeight="1" outlineLevel="1">
      <c r="A64" s="32"/>
      <c r="B64" s="35" t="s">
        <v>402</v>
      </c>
      <c r="C64" s="32" t="s">
        <v>37</v>
      </c>
      <c r="D64" s="28">
        <v>3.7</v>
      </c>
      <c r="E64" s="28">
        <v>4</v>
      </c>
      <c r="F64" s="28">
        <v>4</v>
      </c>
      <c r="G64" s="28">
        <v>4</v>
      </c>
      <c r="H64" s="58">
        <f t="shared" si="0"/>
        <v>100</v>
      </c>
      <c r="I64" s="3"/>
    </row>
    <row r="65" spans="1:10" ht="19.5" hidden="1" customHeight="1" outlineLevel="1">
      <c r="A65" s="32"/>
      <c r="B65" s="35" t="s">
        <v>403</v>
      </c>
      <c r="C65" s="32" t="s">
        <v>37</v>
      </c>
      <c r="D65" s="28">
        <v>3.8</v>
      </c>
      <c r="E65" s="28">
        <v>4</v>
      </c>
      <c r="F65" s="28">
        <v>4</v>
      </c>
      <c r="G65" s="28">
        <v>3.8</v>
      </c>
      <c r="H65" s="58">
        <f t="shared" si="0"/>
        <v>95</v>
      </c>
      <c r="I65" s="3"/>
    </row>
    <row r="66" spans="1:10" ht="19.5" hidden="1" customHeight="1" outlineLevel="1">
      <c r="A66" s="32"/>
      <c r="B66" s="35" t="s">
        <v>404</v>
      </c>
      <c r="C66" s="32" t="s">
        <v>37</v>
      </c>
      <c r="D66" s="28"/>
      <c r="E66" s="28">
        <v>23.2</v>
      </c>
      <c r="F66" s="28">
        <v>24</v>
      </c>
      <c r="G66" s="28">
        <v>30.2</v>
      </c>
      <c r="H66" s="58">
        <f t="shared" si="0"/>
        <v>125.83333333333333</v>
      </c>
      <c r="I66" s="3"/>
    </row>
    <row r="67" spans="1:10" ht="17.25" customHeight="1" collapsed="1">
      <c r="A67" s="24" t="s">
        <v>39</v>
      </c>
      <c r="B67" s="30" t="s">
        <v>122</v>
      </c>
      <c r="C67" s="11" t="s">
        <v>37</v>
      </c>
      <c r="D67" s="27">
        <f>D68+D81+D94</f>
        <v>9814</v>
      </c>
      <c r="E67" s="27">
        <f>E68+E81+E94</f>
        <v>10071.6</v>
      </c>
      <c r="F67" s="27">
        <f>F68+F81+F94</f>
        <v>10122.1</v>
      </c>
      <c r="G67" s="27">
        <f>G68+G81+G94</f>
        <v>10449.800000000001</v>
      </c>
      <c r="H67" s="66">
        <f t="shared" si="0"/>
        <v>103.23747048537359</v>
      </c>
      <c r="I67" s="3"/>
    </row>
    <row r="68" spans="1:10" s="18" customFormat="1" ht="17.25" customHeight="1">
      <c r="A68" s="24">
        <v>1</v>
      </c>
      <c r="B68" s="23" t="s">
        <v>448</v>
      </c>
      <c r="C68" s="11" t="s">
        <v>37</v>
      </c>
      <c r="D68" s="27">
        <f>D69+D75</f>
        <v>9537.2999999999993</v>
      </c>
      <c r="E68" s="27">
        <f>E69+E75</f>
        <v>9722.1</v>
      </c>
      <c r="F68" s="27">
        <f>F69+F75</f>
        <v>9772.1</v>
      </c>
      <c r="G68" s="27">
        <f>G69+G75</f>
        <v>10029.6</v>
      </c>
      <c r="H68" s="66">
        <f t="shared" si="0"/>
        <v>102.63505285455531</v>
      </c>
      <c r="I68" s="83"/>
    </row>
    <row r="69" spans="1:10" s="18" customFormat="1" ht="17.25" customHeight="1">
      <c r="A69" s="11" t="s">
        <v>34</v>
      </c>
      <c r="B69" s="30" t="s">
        <v>445</v>
      </c>
      <c r="C69" s="11" t="s">
        <v>37</v>
      </c>
      <c r="D69" s="16">
        <v>1743.8</v>
      </c>
      <c r="E69" s="16">
        <f>D69+E70</f>
        <v>1919.5</v>
      </c>
      <c r="F69" s="16">
        <f>E69+F70-F71</f>
        <v>1969.5</v>
      </c>
      <c r="G69" s="16">
        <f>E69+G70-G71</f>
        <v>2299.5</v>
      </c>
      <c r="H69" s="66">
        <f t="shared" si="0"/>
        <v>116.75552170601675</v>
      </c>
      <c r="I69" s="83"/>
    </row>
    <row r="70" spans="1:10" ht="17.25" customHeight="1">
      <c r="A70" s="32"/>
      <c r="B70" s="35" t="s">
        <v>123</v>
      </c>
      <c r="C70" s="32" t="s">
        <v>37</v>
      </c>
      <c r="D70" s="38">
        <v>185.9</v>
      </c>
      <c r="E70" s="38">
        <v>175.7</v>
      </c>
      <c r="F70" s="38">
        <v>50</v>
      </c>
      <c r="G70" s="38">
        <v>381</v>
      </c>
      <c r="H70" s="58">
        <f t="shared" si="0"/>
        <v>762</v>
      </c>
      <c r="I70" s="3"/>
    </row>
    <row r="71" spans="1:10" ht="17.25" customHeight="1">
      <c r="A71" s="32"/>
      <c r="B71" s="35" t="s">
        <v>321</v>
      </c>
      <c r="C71" s="32" t="s">
        <v>37</v>
      </c>
      <c r="D71" s="38"/>
      <c r="E71" s="38"/>
      <c r="F71" s="38"/>
      <c r="G71" s="38">
        <v>1</v>
      </c>
      <c r="H71" s="58"/>
      <c r="I71" s="3"/>
    </row>
    <row r="72" spans="1:10" ht="17.25" customHeight="1">
      <c r="A72" s="32"/>
      <c r="B72" s="35" t="s">
        <v>124</v>
      </c>
      <c r="C72" s="32" t="s">
        <v>37</v>
      </c>
      <c r="D72" s="22">
        <v>1246</v>
      </c>
      <c r="E72" s="22">
        <v>1384</v>
      </c>
      <c r="F72" s="22">
        <v>1559</v>
      </c>
      <c r="G72" s="22">
        <v>1558</v>
      </c>
      <c r="H72" s="58">
        <f t="shared" ref="H72:H135" si="1">IFERROR(G72/F72%,"")</f>
        <v>99.935856318152659</v>
      </c>
      <c r="I72" s="3"/>
      <c r="J72" s="81"/>
    </row>
    <row r="73" spans="1:10" ht="17.25" customHeight="1">
      <c r="A73" s="32"/>
      <c r="B73" s="35" t="s">
        <v>125</v>
      </c>
      <c r="C73" s="32" t="s">
        <v>21</v>
      </c>
      <c r="D73" s="38">
        <v>31.73</v>
      </c>
      <c r="E73" s="38">
        <v>35.65</v>
      </c>
      <c r="F73" s="38">
        <v>35</v>
      </c>
      <c r="G73" s="38"/>
      <c r="H73" s="58">
        <f t="shared" si="1"/>
        <v>0</v>
      </c>
      <c r="I73" s="3"/>
    </row>
    <row r="74" spans="1:10" ht="17.25" customHeight="1">
      <c r="A74" s="32"/>
      <c r="B74" s="35" t="s">
        <v>320</v>
      </c>
      <c r="C74" s="32" t="s">
        <v>76</v>
      </c>
      <c r="D74" s="22">
        <f>D72*D73/10</f>
        <v>3953.558</v>
      </c>
      <c r="E74" s="22">
        <f>E72*E73/10</f>
        <v>4933.96</v>
      </c>
      <c r="F74" s="22">
        <f>F72*F73/10</f>
        <v>5456.5</v>
      </c>
      <c r="G74" s="180">
        <f>G72*G73/10</f>
        <v>0</v>
      </c>
      <c r="H74" s="58">
        <f t="shared" si="1"/>
        <v>0</v>
      </c>
      <c r="I74" s="3"/>
    </row>
    <row r="75" spans="1:10" s="18" customFormat="1" ht="17.25" customHeight="1">
      <c r="A75" s="11" t="s">
        <v>35</v>
      </c>
      <c r="B75" s="30" t="s">
        <v>446</v>
      </c>
      <c r="C75" s="11" t="s">
        <v>37</v>
      </c>
      <c r="D75" s="16">
        <v>7793.5</v>
      </c>
      <c r="E75" s="16">
        <f>D75+E76-E77</f>
        <v>7802.6</v>
      </c>
      <c r="F75" s="16">
        <f>E75+F76-F77</f>
        <v>7802.6</v>
      </c>
      <c r="G75" s="16">
        <f>E75+G76-G77</f>
        <v>7730.1</v>
      </c>
      <c r="H75" s="66">
        <f t="shared" si="1"/>
        <v>99.070822546330703</v>
      </c>
      <c r="I75" s="83"/>
    </row>
    <row r="76" spans="1:10" ht="17.25" customHeight="1">
      <c r="A76" s="32"/>
      <c r="B76" s="35" t="s">
        <v>123</v>
      </c>
      <c r="C76" s="32" t="s">
        <v>37</v>
      </c>
      <c r="D76" s="43">
        <v>0</v>
      </c>
      <c r="E76" s="28">
        <v>24.6</v>
      </c>
      <c r="F76" s="43"/>
      <c r="G76" s="43">
        <v>38.299999999999997</v>
      </c>
      <c r="H76" s="58" t="str">
        <f t="shared" si="1"/>
        <v/>
      </c>
      <c r="I76" s="3"/>
    </row>
    <row r="77" spans="1:10" ht="17.25" customHeight="1">
      <c r="A77" s="32"/>
      <c r="B77" s="35" t="s">
        <v>321</v>
      </c>
      <c r="C77" s="32" t="s">
        <v>37</v>
      </c>
      <c r="D77" s="28">
        <v>81.5</v>
      </c>
      <c r="E77" s="28">
        <v>15.5</v>
      </c>
      <c r="F77" s="43"/>
      <c r="G77" s="43">
        <v>110.8</v>
      </c>
      <c r="H77" s="58" t="str">
        <f t="shared" si="1"/>
        <v/>
      </c>
      <c r="I77" s="3"/>
    </row>
    <row r="78" spans="1:10" ht="17.25" customHeight="1">
      <c r="A78" s="32"/>
      <c r="B78" s="35" t="s">
        <v>124</v>
      </c>
      <c r="C78" s="32" t="s">
        <v>37</v>
      </c>
      <c r="D78" s="22">
        <v>4821</v>
      </c>
      <c r="E78" s="22">
        <v>5385</v>
      </c>
      <c r="F78" s="22">
        <v>5755</v>
      </c>
      <c r="G78" s="22">
        <v>5723.7</v>
      </c>
      <c r="H78" s="58">
        <f t="shared" si="1"/>
        <v>99.456125108601213</v>
      </c>
      <c r="I78" s="3"/>
    </row>
    <row r="79" spans="1:10" ht="17.25" customHeight="1">
      <c r="A79" s="32"/>
      <c r="B79" s="35" t="s">
        <v>126</v>
      </c>
      <c r="C79" s="32" t="s">
        <v>21</v>
      </c>
      <c r="D79" s="38">
        <v>12.33</v>
      </c>
      <c r="E79" s="38">
        <v>12.35</v>
      </c>
      <c r="F79" s="38">
        <v>12.5</v>
      </c>
      <c r="G79" s="38">
        <v>12.5</v>
      </c>
      <c r="H79" s="58">
        <f t="shared" si="1"/>
        <v>100</v>
      </c>
      <c r="I79" s="3"/>
    </row>
    <row r="80" spans="1:10" ht="17.25" customHeight="1">
      <c r="A80" s="32"/>
      <c r="B80" s="35" t="s">
        <v>474</v>
      </c>
      <c r="C80" s="32" t="s">
        <v>76</v>
      </c>
      <c r="D80" s="22">
        <f>D78*D79/10</f>
        <v>5944.2929999999997</v>
      </c>
      <c r="E80" s="22">
        <f>E78*E79/10</f>
        <v>6650.4750000000004</v>
      </c>
      <c r="F80" s="22">
        <f>F78*F79/10</f>
        <v>7193.75</v>
      </c>
      <c r="G80" s="22">
        <f>G78*G79/10</f>
        <v>7154.625</v>
      </c>
      <c r="H80" s="58">
        <f t="shared" si="1"/>
        <v>99.456125108601213</v>
      </c>
      <c r="I80" s="3"/>
    </row>
    <row r="81" spans="1:10" s="18" customFormat="1" ht="17.25" customHeight="1">
      <c r="A81" s="11">
        <v>2</v>
      </c>
      <c r="B81" s="30" t="s">
        <v>181</v>
      </c>
      <c r="C81" s="11" t="s">
        <v>37</v>
      </c>
      <c r="D81" s="16">
        <v>155.19999999999999</v>
      </c>
      <c r="E81" s="16">
        <v>218.9</v>
      </c>
      <c r="F81" s="16">
        <v>220</v>
      </c>
      <c r="G81" s="16">
        <f>G82+G87+G91+G92+G93</f>
        <v>294.5</v>
      </c>
      <c r="H81" s="66">
        <f t="shared" si="1"/>
        <v>133.86363636363635</v>
      </c>
      <c r="I81" s="83"/>
    </row>
    <row r="82" spans="1:10" s="306" customFormat="1" ht="17.25" hidden="1" customHeight="1" outlineLevel="1">
      <c r="A82" s="96" t="s">
        <v>34</v>
      </c>
      <c r="B82" s="311" t="s">
        <v>739</v>
      </c>
      <c r="C82" s="312" t="s">
        <v>37</v>
      </c>
      <c r="D82" s="313"/>
      <c r="E82" s="304"/>
      <c r="F82" s="307"/>
      <c r="G82" s="314">
        <f>G83+G84+G85+G86</f>
        <v>162.30000000000001</v>
      </c>
      <c r="H82" s="308" t="str">
        <f t="shared" si="1"/>
        <v/>
      </c>
      <c r="I82" s="305"/>
    </row>
    <row r="83" spans="1:10" s="18" customFormat="1" ht="17.25" hidden="1" customHeight="1" outlineLevel="1">
      <c r="A83" s="11"/>
      <c r="B83" s="315" t="s">
        <v>732</v>
      </c>
      <c r="C83" s="316" t="s">
        <v>37</v>
      </c>
      <c r="D83" s="317"/>
      <c r="E83" s="16"/>
      <c r="F83" s="309"/>
      <c r="G83" s="318">
        <v>10.3</v>
      </c>
      <c r="H83" s="310" t="str">
        <f t="shared" si="1"/>
        <v/>
      </c>
      <c r="I83" s="83"/>
    </row>
    <row r="84" spans="1:10" s="18" customFormat="1" ht="17.25" hidden="1" customHeight="1" outlineLevel="1">
      <c r="A84" s="11"/>
      <c r="B84" s="315" t="s">
        <v>733</v>
      </c>
      <c r="C84" s="316" t="s">
        <v>37</v>
      </c>
      <c r="D84" s="317"/>
      <c r="E84" s="16"/>
      <c r="F84" s="309"/>
      <c r="G84" s="318">
        <v>114.5</v>
      </c>
      <c r="H84" s="310" t="str">
        <f t="shared" si="1"/>
        <v/>
      </c>
      <c r="I84" s="83"/>
    </row>
    <row r="85" spans="1:10" s="18" customFormat="1" ht="17.25" hidden="1" customHeight="1" outlineLevel="1">
      <c r="A85" s="11"/>
      <c r="B85" s="315" t="s">
        <v>734</v>
      </c>
      <c r="C85" s="316" t="s">
        <v>37</v>
      </c>
      <c r="D85" s="317"/>
      <c r="E85" s="16"/>
      <c r="F85" s="309"/>
      <c r="G85" s="318">
        <v>30.5</v>
      </c>
      <c r="H85" s="310" t="str">
        <f t="shared" si="1"/>
        <v/>
      </c>
      <c r="I85" s="83"/>
    </row>
    <row r="86" spans="1:10" s="18" customFormat="1" ht="17.25" hidden="1" customHeight="1" outlineLevel="1">
      <c r="A86" s="11"/>
      <c r="B86" s="315" t="s">
        <v>735</v>
      </c>
      <c r="C86" s="316" t="s">
        <v>37</v>
      </c>
      <c r="D86" s="317"/>
      <c r="E86" s="16"/>
      <c r="F86" s="309"/>
      <c r="G86" s="318">
        <v>7</v>
      </c>
      <c r="H86" s="310" t="str">
        <f t="shared" si="1"/>
        <v/>
      </c>
      <c r="I86" s="83"/>
    </row>
    <row r="87" spans="1:10" s="306" customFormat="1" ht="17.25" hidden="1" customHeight="1" outlineLevel="1">
      <c r="A87" s="96" t="s">
        <v>35</v>
      </c>
      <c r="B87" s="311" t="s">
        <v>740</v>
      </c>
      <c r="C87" s="312" t="s">
        <v>37</v>
      </c>
      <c r="D87" s="313"/>
      <c r="E87" s="304"/>
      <c r="F87" s="307"/>
      <c r="G87" s="314">
        <f>SUM(G88:G90)</f>
        <v>116.5</v>
      </c>
      <c r="H87" s="308" t="str">
        <f t="shared" si="1"/>
        <v/>
      </c>
      <c r="I87" s="305"/>
    </row>
    <row r="88" spans="1:10" s="18" customFormat="1" ht="17.25" hidden="1" customHeight="1" outlineLevel="1">
      <c r="A88" s="11"/>
      <c r="B88" s="315" t="s">
        <v>736</v>
      </c>
      <c r="C88" s="316" t="s">
        <v>37</v>
      </c>
      <c r="D88" s="317"/>
      <c r="E88" s="16"/>
      <c r="F88" s="309"/>
      <c r="G88" s="318">
        <v>0.8</v>
      </c>
      <c r="H88" s="310" t="str">
        <f t="shared" si="1"/>
        <v/>
      </c>
      <c r="I88" s="83"/>
    </row>
    <row r="89" spans="1:10" s="18" customFormat="1" ht="17.25" hidden="1" customHeight="1" outlineLevel="1">
      <c r="A89" s="11"/>
      <c r="B89" s="315" t="s">
        <v>737</v>
      </c>
      <c r="C89" s="316" t="s">
        <v>37</v>
      </c>
      <c r="D89" s="317"/>
      <c r="E89" s="16"/>
      <c r="F89" s="309"/>
      <c r="G89" s="318">
        <v>4.2</v>
      </c>
      <c r="H89" s="310" t="str">
        <f t="shared" si="1"/>
        <v/>
      </c>
      <c r="I89" s="83"/>
    </row>
    <row r="90" spans="1:10" s="18" customFormat="1" ht="17.25" hidden="1" customHeight="1" outlineLevel="1">
      <c r="A90" s="11"/>
      <c r="B90" s="315" t="s">
        <v>738</v>
      </c>
      <c r="C90" s="316" t="s">
        <v>37</v>
      </c>
      <c r="D90" s="317"/>
      <c r="E90" s="16"/>
      <c r="F90" s="309"/>
      <c r="G90" s="318">
        <v>111.5</v>
      </c>
      <c r="H90" s="310" t="str">
        <f t="shared" si="1"/>
        <v/>
      </c>
      <c r="I90" s="83"/>
    </row>
    <row r="91" spans="1:10" s="306" customFormat="1" ht="17.25" hidden="1" customHeight="1" outlineLevel="1">
      <c r="A91" s="96" t="s">
        <v>36</v>
      </c>
      <c r="B91" s="311" t="s">
        <v>742</v>
      </c>
      <c r="C91" s="312" t="s">
        <v>37</v>
      </c>
      <c r="D91" s="313"/>
      <c r="E91" s="304"/>
      <c r="F91" s="307"/>
      <c r="G91" s="314">
        <v>0</v>
      </c>
      <c r="H91" s="308" t="str">
        <f t="shared" si="1"/>
        <v/>
      </c>
      <c r="I91" s="305"/>
    </row>
    <row r="92" spans="1:10" s="306" customFormat="1" ht="17.25" hidden="1" customHeight="1" outlineLevel="1">
      <c r="A92" s="96" t="s">
        <v>53</v>
      </c>
      <c r="B92" s="311" t="s">
        <v>743</v>
      </c>
      <c r="C92" s="312" t="s">
        <v>37</v>
      </c>
      <c r="D92" s="313"/>
      <c r="E92" s="304"/>
      <c r="F92" s="307"/>
      <c r="G92" s="314">
        <v>8.6999999999999993</v>
      </c>
      <c r="H92" s="308" t="str">
        <f t="shared" si="1"/>
        <v/>
      </c>
      <c r="I92" s="305"/>
    </row>
    <row r="93" spans="1:10" s="306" customFormat="1" ht="17.25" hidden="1" customHeight="1" outlineLevel="1">
      <c r="A93" s="96" t="s">
        <v>741</v>
      </c>
      <c r="B93" s="311" t="s">
        <v>744</v>
      </c>
      <c r="C93" s="312" t="s">
        <v>37</v>
      </c>
      <c r="D93" s="313"/>
      <c r="E93" s="304"/>
      <c r="F93" s="307"/>
      <c r="G93" s="314">
        <v>7</v>
      </c>
      <c r="H93" s="308" t="str">
        <f t="shared" si="1"/>
        <v/>
      </c>
      <c r="I93" s="305"/>
    </row>
    <row r="94" spans="1:10" s="18" customFormat="1" ht="31.5" collapsed="1">
      <c r="A94" s="11">
        <v>3</v>
      </c>
      <c r="B94" s="30" t="s">
        <v>410</v>
      </c>
      <c r="C94" s="11" t="s">
        <v>37</v>
      </c>
      <c r="D94" s="16">
        <f>SUM(D95:D99)</f>
        <v>121.5</v>
      </c>
      <c r="E94" s="16">
        <f>SUM(E95:E99)</f>
        <v>130.60000000000002</v>
      </c>
      <c r="F94" s="16">
        <f>SUM(F95:F99)</f>
        <v>130</v>
      </c>
      <c r="G94" s="16">
        <f>SUM(G95:G99)</f>
        <v>125.7</v>
      </c>
      <c r="H94" s="66">
        <f t="shared" si="1"/>
        <v>96.692307692307693</v>
      </c>
      <c r="I94" s="83"/>
      <c r="J94" s="87"/>
    </row>
    <row r="95" spans="1:10" ht="17.25" hidden="1" customHeight="1" outlineLevel="1">
      <c r="A95" s="32"/>
      <c r="B95" s="35" t="s">
        <v>405</v>
      </c>
      <c r="C95" s="32" t="s">
        <v>37</v>
      </c>
      <c r="D95" s="38">
        <v>18.5</v>
      </c>
      <c r="E95" s="38">
        <v>17</v>
      </c>
      <c r="F95" s="38">
        <v>17</v>
      </c>
      <c r="G95" s="38">
        <v>14</v>
      </c>
      <c r="H95" s="58">
        <f t="shared" si="1"/>
        <v>82.35294117647058</v>
      </c>
      <c r="I95" s="3"/>
    </row>
    <row r="96" spans="1:10" ht="17.25" hidden="1" customHeight="1" outlineLevel="1">
      <c r="A96" s="32"/>
      <c r="B96" s="35" t="s">
        <v>406</v>
      </c>
      <c r="C96" s="32" t="s">
        <v>37</v>
      </c>
      <c r="D96" s="38">
        <v>54.6</v>
      </c>
      <c r="E96" s="38">
        <v>61.9</v>
      </c>
      <c r="F96" s="38">
        <v>62</v>
      </c>
      <c r="G96" s="38">
        <f>F96</f>
        <v>62</v>
      </c>
      <c r="H96" s="58">
        <f t="shared" si="1"/>
        <v>100</v>
      </c>
      <c r="I96" s="3"/>
    </row>
    <row r="97" spans="1:9" ht="17.25" hidden="1" customHeight="1" outlineLevel="1">
      <c r="A97" s="32"/>
      <c r="B97" s="35" t="s">
        <v>407</v>
      </c>
      <c r="C97" s="32" t="s">
        <v>37</v>
      </c>
      <c r="D97" s="38">
        <v>2</v>
      </c>
      <c r="E97" s="38">
        <v>2</v>
      </c>
      <c r="F97" s="38">
        <v>2</v>
      </c>
      <c r="G97" s="38">
        <f>F97</f>
        <v>2</v>
      </c>
      <c r="H97" s="58">
        <f t="shared" si="1"/>
        <v>100</v>
      </c>
      <c r="I97" s="3"/>
    </row>
    <row r="98" spans="1:9" ht="17.25" hidden="1" customHeight="1" outlineLevel="1">
      <c r="A98" s="32"/>
      <c r="B98" s="35" t="s">
        <v>408</v>
      </c>
      <c r="C98" s="32" t="s">
        <v>37</v>
      </c>
      <c r="D98" s="38">
        <v>46.4</v>
      </c>
      <c r="E98" s="38">
        <v>30.4</v>
      </c>
      <c r="F98" s="38">
        <v>30</v>
      </c>
      <c r="G98" s="38">
        <v>28.4</v>
      </c>
      <c r="H98" s="58">
        <f t="shared" si="1"/>
        <v>94.666666666666671</v>
      </c>
      <c r="I98" s="3"/>
    </row>
    <row r="99" spans="1:9" ht="17.25" hidden="1" customHeight="1" outlineLevel="1">
      <c r="A99" s="32"/>
      <c r="B99" s="35" t="s">
        <v>409</v>
      </c>
      <c r="C99" s="32" t="s">
        <v>37</v>
      </c>
      <c r="D99" s="38"/>
      <c r="E99" s="38">
        <v>19.3</v>
      </c>
      <c r="F99" s="38">
        <v>19</v>
      </c>
      <c r="G99" s="38">
        <v>19.3</v>
      </c>
      <c r="H99" s="58">
        <f t="shared" si="1"/>
        <v>101.57894736842105</v>
      </c>
      <c r="I99" s="3"/>
    </row>
    <row r="100" spans="1:9" ht="18.75" customHeight="1" collapsed="1">
      <c r="A100" s="11" t="s">
        <v>47</v>
      </c>
      <c r="B100" s="30" t="s">
        <v>96</v>
      </c>
      <c r="C100" s="32"/>
      <c r="D100" s="28"/>
      <c r="E100" s="38"/>
      <c r="F100" s="38"/>
      <c r="G100" s="38"/>
      <c r="H100" s="66" t="str">
        <f t="shared" si="1"/>
        <v/>
      </c>
      <c r="I100" s="3"/>
    </row>
    <row r="101" spans="1:9" ht="18.75" customHeight="1">
      <c r="A101" s="11">
        <v>1</v>
      </c>
      <c r="B101" s="30" t="s">
        <v>447</v>
      </c>
      <c r="C101" s="11" t="s">
        <v>54</v>
      </c>
      <c r="D101" s="27">
        <f>SUM(D102:D104)</f>
        <v>20219</v>
      </c>
      <c r="E101" s="27">
        <f>SUM(E102:E104)</f>
        <v>18350</v>
      </c>
      <c r="F101" s="27">
        <f>SUM(F102:F104)</f>
        <v>20650</v>
      </c>
      <c r="G101" s="27">
        <f>SUM(G102:G104)</f>
        <v>20195</v>
      </c>
      <c r="H101" s="66">
        <f t="shared" si="1"/>
        <v>97.79661016949153</v>
      </c>
      <c r="I101" s="83"/>
    </row>
    <row r="102" spans="1:9" ht="18.75" customHeight="1">
      <c r="A102" s="32"/>
      <c r="B102" s="35" t="s">
        <v>322</v>
      </c>
      <c r="C102" s="32" t="s">
        <v>54</v>
      </c>
      <c r="D102" s="29">
        <v>2461</v>
      </c>
      <c r="E102" s="29">
        <v>2550</v>
      </c>
      <c r="F102" s="29">
        <v>2650</v>
      </c>
      <c r="G102" s="29">
        <v>2536</v>
      </c>
      <c r="H102" s="58">
        <f>IFERROR(G102/F102%,"")</f>
        <v>95.698113207547166</v>
      </c>
      <c r="I102" s="3"/>
    </row>
    <row r="103" spans="1:9" ht="18.75" customHeight="1">
      <c r="A103" s="32"/>
      <c r="B103" s="35" t="s">
        <v>323</v>
      </c>
      <c r="C103" s="32" t="s">
        <v>54</v>
      </c>
      <c r="D103" s="29">
        <v>4034</v>
      </c>
      <c r="E103" s="29">
        <v>4800</v>
      </c>
      <c r="F103" s="29">
        <v>5000</v>
      </c>
      <c r="G103" s="29">
        <v>5086</v>
      </c>
      <c r="H103" s="58">
        <f t="shared" si="1"/>
        <v>101.72</v>
      </c>
      <c r="I103" s="3"/>
    </row>
    <row r="104" spans="1:9" ht="18.75" customHeight="1">
      <c r="A104" s="32"/>
      <c r="B104" s="35" t="s">
        <v>324</v>
      </c>
      <c r="C104" s="32" t="s">
        <v>54</v>
      </c>
      <c r="D104" s="29">
        <v>13724</v>
      </c>
      <c r="E104" s="29">
        <v>11000</v>
      </c>
      <c r="F104" s="29">
        <v>13000</v>
      </c>
      <c r="G104" s="29">
        <v>12573</v>
      </c>
      <c r="H104" s="58">
        <f t="shared" si="1"/>
        <v>96.715384615384622</v>
      </c>
      <c r="I104" s="3"/>
    </row>
    <row r="105" spans="1:9" ht="18.75" customHeight="1">
      <c r="A105" s="11">
        <v>2</v>
      </c>
      <c r="B105" s="44" t="s">
        <v>31</v>
      </c>
      <c r="C105" s="11" t="s">
        <v>54</v>
      </c>
      <c r="D105" s="27">
        <v>77894</v>
      </c>
      <c r="E105" s="27">
        <v>87000</v>
      </c>
      <c r="F105" s="27">
        <v>87000</v>
      </c>
      <c r="G105" s="27">
        <v>84800</v>
      </c>
      <c r="H105" s="66">
        <f t="shared" si="1"/>
        <v>97.47126436781609</v>
      </c>
      <c r="I105" s="83"/>
    </row>
    <row r="106" spans="1:9" s="18" customFormat="1" ht="18.75" customHeight="1">
      <c r="A106" s="11" t="s">
        <v>48</v>
      </c>
      <c r="B106" s="45" t="s">
        <v>325</v>
      </c>
      <c r="C106" s="11"/>
      <c r="D106" s="27"/>
      <c r="E106" s="27"/>
      <c r="F106" s="27"/>
      <c r="G106" s="27"/>
      <c r="H106" s="66" t="str">
        <f t="shared" si="1"/>
        <v/>
      </c>
      <c r="I106" s="83"/>
    </row>
    <row r="107" spans="1:9" ht="18.75" customHeight="1">
      <c r="A107" s="32">
        <v>1</v>
      </c>
      <c r="B107" s="46" t="s">
        <v>326</v>
      </c>
      <c r="C107" s="32" t="s">
        <v>37</v>
      </c>
      <c r="D107" s="28">
        <v>85</v>
      </c>
      <c r="E107" s="28">
        <v>85.5</v>
      </c>
      <c r="F107" s="28">
        <v>85.5</v>
      </c>
      <c r="G107" s="28">
        <v>89.100000000000009</v>
      </c>
      <c r="H107" s="58">
        <f t="shared" si="1"/>
        <v>104.21052631578948</v>
      </c>
      <c r="I107" s="3"/>
    </row>
    <row r="108" spans="1:9" ht="18.75" customHeight="1">
      <c r="A108" s="32">
        <v>2</v>
      </c>
      <c r="B108" s="46" t="s">
        <v>327</v>
      </c>
      <c r="C108" s="32" t="s">
        <v>76</v>
      </c>
      <c r="D108" s="29">
        <f>D109+D110</f>
        <v>427.4</v>
      </c>
      <c r="E108" s="29">
        <f>E109+E110</f>
        <v>320</v>
      </c>
      <c r="F108" s="29">
        <f>F109+F110</f>
        <v>335</v>
      </c>
      <c r="G108" s="29">
        <f>G109+G110</f>
        <v>184</v>
      </c>
      <c r="H108" s="58">
        <f t="shared" si="1"/>
        <v>54.925373134328353</v>
      </c>
      <c r="I108" s="3"/>
    </row>
    <row r="109" spans="1:9" ht="18.75" customHeight="1">
      <c r="A109" s="32"/>
      <c r="B109" s="48" t="s">
        <v>328</v>
      </c>
      <c r="C109" s="32" t="s">
        <v>76</v>
      </c>
      <c r="D109" s="29">
        <v>211.9</v>
      </c>
      <c r="E109" s="29">
        <v>210</v>
      </c>
      <c r="F109" s="29">
        <v>210</v>
      </c>
      <c r="G109" s="29">
        <v>120</v>
      </c>
      <c r="H109" s="58">
        <f t="shared" si="1"/>
        <v>57.142857142857139</v>
      </c>
      <c r="I109" s="3"/>
    </row>
    <row r="110" spans="1:9" ht="18.75" customHeight="1">
      <c r="A110" s="32"/>
      <c r="B110" s="48" t="s">
        <v>329</v>
      </c>
      <c r="C110" s="32" t="s">
        <v>76</v>
      </c>
      <c r="D110" s="29">
        <v>215.5</v>
      </c>
      <c r="E110" s="29">
        <v>110</v>
      </c>
      <c r="F110" s="29">
        <v>125</v>
      </c>
      <c r="G110" s="29">
        <v>64</v>
      </c>
      <c r="H110" s="58">
        <f t="shared" si="1"/>
        <v>51.2</v>
      </c>
      <c r="I110" s="3"/>
    </row>
    <row r="111" spans="1:9">
      <c r="A111" s="145" t="s">
        <v>50</v>
      </c>
      <c r="B111" s="146" t="s">
        <v>104</v>
      </c>
      <c r="C111" s="145"/>
      <c r="D111" s="13"/>
      <c r="E111" s="13"/>
      <c r="F111" s="13"/>
      <c r="G111" s="13"/>
      <c r="H111" s="66" t="str">
        <f t="shared" si="1"/>
        <v/>
      </c>
      <c r="I111" s="3"/>
    </row>
    <row r="112" spans="1:9" ht="19.5" customHeight="1">
      <c r="A112" s="147"/>
      <c r="B112" s="148" t="s">
        <v>330</v>
      </c>
      <c r="C112" s="32" t="s">
        <v>37</v>
      </c>
      <c r="D112" s="53">
        <v>500.3</v>
      </c>
      <c r="E112" s="53">
        <v>4</v>
      </c>
      <c r="F112" s="53"/>
      <c r="G112" s="53">
        <v>54</v>
      </c>
      <c r="H112" s="58" t="str">
        <f t="shared" si="1"/>
        <v/>
      </c>
      <c r="I112" s="3"/>
    </row>
    <row r="113" spans="1:10" ht="19.5" customHeight="1">
      <c r="A113" s="147"/>
      <c r="B113" s="46" t="s">
        <v>712</v>
      </c>
      <c r="C113" s="32" t="s">
        <v>37</v>
      </c>
      <c r="D113" s="53">
        <v>50870.31</v>
      </c>
      <c r="E113" s="53">
        <v>50870.31</v>
      </c>
      <c r="F113" s="53">
        <v>50870.31</v>
      </c>
      <c r="G113" s="53">
        <v>50870.31</v>
      </c>
      <c r="H113" s="58">
        <f t="shared" si="1"/>
        <v>100</v>
      </c>
      <c r="I113" s="3"/>
    </row>
    <row r="114" spans="1:10" ht="19.5" customHeight="1">
      <c r="A114" s="147"/>
      <c r="B114" s="46" t="s">
        <v>713</v>
      </c>
      <c r="C114" s="32" t="s">
        <v>37</v>
      </c>
      <c r="D114" s="53"/>
      <c r="E114" s="53">
        <v>15886.3</v>
      </c>
      <c r="F114" s="53">
        <v>15886</v>
      </c>
      <c r="G114" s="53">
        <v>15886</v>
      </c>
      <c r="H114" s="58">
        <f t="shared" si="1"/>
        <v>99.999999999999986</v>
      </c>
      <c r="I114" s="3"/>
    </row>
    <row r="115" spans="1:10" ht="19.5" customHeight="1">
      <c r="A115" s="147"/>
      <c r="B115" s="148" t="s">
        <v>711</v>
      </c>
      <c r="C115" s="32" t="s">
        <v>33</v>
      </c>
      <c r="D115" s="269">
        <v>31.37</v>
      </c>
      <c r="E115" s="288">
        <f>E114/50640%</f>
        <v>31.37105055292259</v>
      </c>
      <c r="F115" s="288">
        <f>F114/50640%</f>
        <v>31.370458135860982</v>
      </c>
      <c r="G115" s="288">
        <f>G114/50640%</f>
        <v>31.370458135860982</v>
      </c>
      <c r="H115" s="58">
        <f t="shared" si="1"/>
        <v>99.999999999999986</v>
      </c>
      <c r="I115" s="3"/>
    </row>
    <row r="116" spans="1:10" s="18" customFormat="1" ht="17.25" customHeight="1">
      <c r="A116" s="11">
        <v>1</v>
      </c>
      <c r="B116" s="30" t="s">
        <v>30</v>
      </c>
      <c r="C116" s="11" t="s">
        <v>37</v>
      </c>
      <c r="D116" s="16">
        <v>1646</v>
      </c>
      <c r="E116" s="16">
        <f>D116+E117</f>
        <v>1675</v>
      </c>
      <c r="F116" s="16">
        <f>E116+F117</f>
        <v>1710</v>
      </c>
      <c r="G116" s="16">
        <f>E116+G117-G118</f>
        <v>1725</v>
      </c>
      <c r="H116" s="66">
        <f t="shared" si="1"/>
        <v>100.87719298245614</v>
      </c>
      <c r="I116" s="83"/>
      <c r="J116" s="87"/>
    </row>
    <row r="117" spans="1:10" ht="17.25" customHeight="1">
      <c r="A117" s="32"/>
      <c r="B117" s="35" t="s">
        <v>123</v>
      </c>
      <c r="C117" s="32" t="s">
        <v>37</v>
      </c>
      <c r="D117" s="22">
        <v>57.2</v>
      </c>
      <c r="E117" s="22">
        <v>29</v>
      </c>
      <c r="F117" s="22">
        <v>35</v>
      </c>
      <c r="G117" s="22">
        <v>54</v>
      </c>
      <c r="H117" s="58">
        <f t="shared" si="1"/>
        <v>154.28571428571431</v>
      </c>
      <c r="I117" s="3"/>
    </row>
    <row r="118" spans="1:10" ht="17.25" customHeight="1">
      <c r="A118" s="32"/>
      <c r="B118" s="35" t="s">
        <v>321</v>
      </c>
      <c r="C118" s="32" t="s">
        <v>37</v>
      </c>
      <c r="D118" s="38"/>
      <c r="E118" s="38"/>
      <c r="F118" s="38"/>
      <c r="G118" s="38">
        <v>4</v>
      </c>
      <c r="H118" s="58"/>
      <c r="I118" s="3"/>
    </row>
    <row r="119" spans="1:10" s="18" customFormat="1">
      <c r="A119" s="11" t="s">
        <v>176</v>
      </c>
      <c r="B119" s="54" t="s">
        <v>183</v>
      </c>
      <c r="C119" s="11"/>
      <c r="D119" s="149"/>
      <c r="E119" s="149"/>
      <c r="F119" s="149"/>
      <c r="G119" s="149"/>
      <c r="H119" s="66" t="str">
        <f t="shared" si="1"/>
        <v/>
      </c>
      <c r="I119" s="66"/>
    </row>
    <row r="120" spans="1:10" ht="22.5" customHeight="1">
      <c r="A120" s="11">
        <v>1</v>
      </c>
      <c r="B120" s="54" t="s">
        <v>449</v>
      </c>
      <c r="C120" s="11" t="s">
        <v>331</v>
      </c>
      <c r="D120" s="27">
        <v>676693</v>
      </c>
      <c r="E120" s="27">
        <v>708000</v>
      </c>
      <c r="F120" s="27">
        <v>722000</v>
      </c>
      <c r="G120" s="27">
        <v>508000</v>
      </c>
      <c r="H120" s="66">
        <f t="shared" si="1"/>
        <v>70.360110803324105</v>
      </c>
      <c r="I120" s="83"/>
    </row>
    <row r="121" spans="1:10" ht="20.25" customHeight="1">
      <c r="A121" s="32">
        <v>2</v>
      </c>
      <c r="B121" s="20" t="s">
        <v>333</v>
      </c>
      <c r="C121" s="32"/>
      <c r="D121" s="13"/>
      <c r="E121" s="13"/>
      <c r="F121" s="13"/>
      <c r="G121" s="149"/>
      <c r="H121" s="58" t="str">
        <f t="shared" si="1"/>
        <v/>
      </c>
      <c r="I121" s="3"/>
    </row>
    <row r="122" spans="1:10" ht="20.25" customHeight="1">
      <c r="A122" s="32"/>
      <c r="B122" s="20" t="s">
        <v>334</v>
      </c>
      <c r="C122" s="32" t="s">
        <v>65</v>
      </c>
      <c r="D122" s="29">
        <v>40</v>
      </c>
      <c r="E122" s="29">
        <v>42</v>
      </c>
      <c r="F122" s="29">
        <v>40</v>
      </c>
      <c r="G122" s="29">
        <v>30</v>
      </c>
      <c r="H122" s="58">
        <f t="shared" si="1"/>
        <v>75</v>
      </c>
      <c r="I122" s="3"/>
    </row>
    <row r="123" spans="1:10" ht="20.25" customHeight="1">
      <c r="A123" s="32"/>
      <c r="B123" s="20" t="s">
        <v>340</v>
      </c>
      <c r="C123" s="32" t="s">
        <v>65</v>
      </c>
      <c r="D123" s="29">
        <v>35</v>
      </c>
      <c r="E123" s="29">
        <v>30</v>
      </c>
      <c r="F123" s="29">
        <v>40</v>
      </c>
      <c r="G123" s="29">
        <v>32</v>
      </c>
      <c r="H123" s="58">
        <f t="shared" si="1"/>
        <v>80</v>
      </c>
      <c r="I123" s="3"/>
    </row>
    <row r="124" spans="1:10" ht="20.25" customHeight="1">
      <c r="A124" s="32"/>
      <c r="B124" s="20" t="s">
        <v>335</v>
      </c>
      <c r="C124" s="32" t="s">
        <v>76</v>
      </c>
      <c r="D124" s="29">
        <v>57219</v>
      </c>
      <c r="E124" s="29">
        <v>60000</v>
      </c>
      <c r="F124" s="29">
        <v>55000</v>
      </c>
      <c r="G124" s="29">
        <v>29000</v>
      </c>
      <c r="H124" s="58">
        <f t="shared" si="1"/>
        <v>52.727272727272727</v>
      </c>
      <c r="I124" s="3"/>
    </row>
    <row r="125" spans="1:10" ht="20.25" customHeight="1">
      <c r="A125" s="32"/>
      <c r="B125" s="20" t="s">
        <v>336</v>
      </c>
      <c r="C125" s="32" t="s">
        <v>76</v>
      </c>
      <c r="D125" s="29">
        <v>12363</v>
      </c>
      <c r="E125" s="29">
        <v>13000</v>
      </c>
      <c r="F125" s="29">
        <v>12000</v>
      </c>
      <c r="G125" s="29">
        <v>4950</v>
      </c>
      <c r="H125" s="58">
        <f t="shared" si="1"/>
        <v>41.25</v>
      </c>
      <c r="I125" s="3"/>
    </row>
    <row r="126" spans="1:10" ht="20.25" customHeight="1">
      <c r="A126" s="32"/>
      <c r="B126" s="20" t="s">
        <v>337</v>
      </c>
      <c r="C126" s="32" t="s">
        <v>466</v>
      </c>
      <c r="D126" s="29">
        <v>39713</v>
      </c>
      <c r="E126" s="29">
        <v>41000</v>
      </c>
      <c r="F126" s="29">
        <v>60000</v>
      </c>
      <c r="G126" s="29"/>
      <c r="H126" s="58">
        <f t="shared" si="1"/>
        <v>0</v>
      </c>
      <c r="I126" s="3"/>
    </row>
    <row r="127" spans="1:10" ht="20.25" customHeight="1">
      <c r="A127" s="32"/>
      <c r="B127" s="20" t="s">
        <v>338</v>
      </c>
      <c r="C127" s="32" t="s">
        <v>466</v>
      </c>
      <c r="D127" s="29">
        <v>34500</v>
      </c>
      <c r="E127" s="29">
        <v>35000</v>
      </c>
      <c r="F127" s="29">
        <v>54000</v>
      </c>
      <c r="G127" s="29"/>
      <c r="H127" s="58">
        <f t="shared" si="1"/>
        <v>0</v>
      </c>
      <c r="I127" s="3"/>
    </row>
    <row r="128" spans="1:10" s="18" customFormat="1" ht="17.25" customHeight="1">
      <c r="A128" s="11" t="s">
        <v>182</v>
      </c>
      <c r="B128" s="15" t="s">
        <v>450</v>
      </c>
      <c r="C128" s="11"/>
      <c r="D128" s="29"/>
      <c r="E128" s="29"/>
      <c r="F128" s="29"/>
      <c r="G128" s="29"/>
      <c r="H128" s="66" t="str">
        <f t="shared" si="1"/>
        <v/>
      </c>
      <c r="I128" s="66"/>
    </row>
    <row r="129" spans="1:11" ht="22.5" customHeight="1">
      <c r="A129" s="32">
        <v>1</v>
      </c>
      <c r="B129" s="20" t="s">
        <v>184</v>
      </c>
      <c r="C129" s="32" t="s">
        <v>331</v>
      </c>
      <c r="D129" s="29">
        <v>560310</v>
      </c>
      <c r="E129" s="29">
        <v>595000</v>
      </c>
      <c r="F129" s="29">
        <v>696000</v>
      </c>
      <c r="G129" s="29">
        <v>450000</v>
      </c>
      <c r="H129" s="58">
        <f t="shared" si="1"/>
        <v>64.65517241379311</v>
      </c>
      <c r="I129" s="3"/>
    </row>
    <row r="130" spans="1:11" ht="19.5" customHeight="1">
      <c r="A130" s="100"/>
      <c r="B130" s="122" t="s">
        <v>454</v>
      </c>
      <c r="C130" s="100"/>
      <c r="D130" s="102"/>
      <c r="E130" s="102"/>
      <c r="F130" s="102"/>
      <c r="G130" s="102"/>
      <c r="H130" s="123" t="str">
        <f t="shared" si="1"/>
        <v/>
      </c>
      <c r="I130" s="3"/>
    </row>
    <row r="131" spans="1:11" s="18" customFormat="1" ht="22.5" customHeight="1">
      <c r="A131" s="11" t="s">
        <v>38</v>
      </c>
      <c r="B131" s="15" t="s">
        <v>352</v>
      </c>
      <c r="C131" s="11"/>
      <c r="D131" s="149"/>
      <c r="E131" s="149"/>
      <c r="F131" s="149"/>
      <c r="G131" s="149"/>
      <c r="H131" s="66" t="str">
        <f t="shared" si="1"/>
        <v/>
      </c>
      <c r="I131" s="83"/>
    </row>
    <row r="132" spans="1:11" ht="22.5" hidden="1" customHeight="1" outlineLevel="1">
      <c r="A132" s="32">
        <v>1</v>
      </c>
      <c r="B132" s="20" t="s">
        <v>353</v>
      </c>
      <c r="C132" s="32" t="s">
        <v>62</v>
      </c>
      <c r="D132" s="29">
        <v>10520</v>
      </c>
      <c r="E132" s="29">
        <f>D133</f>
        <v>10685</v>
      </c>
      <c r="F132" s="29">
        <f>E133</f>
        <v>11308</v>
      </c>
      <c r="G132" s="29">
        <f>E133</f>
        <v>11308</v>
      </c>
      <c r="H132" s="58">
        <f t="shared" si="1"/>
        <v>100</v>
      </c>
      <c r="I132" s="3"/>
    </row>
    <row r="133" spans="1:11" ht="22.5" hidden="1" customHeight="1" outlineLevel="1">
      <c r="A133" s="32">
        <v>2</v>
      </c>
      <c r="B133" s="20" t="s">
        <v>207</v>
      </c>
      <c r="C133" s="32" t="s">
        <v>62</v>
      </c>
      <c r="D133" s="29">
        <v>10685</v>
      </c>
      <c r="E133" s="29">
        <v>11308</v>
      </c>
      <c r="F133" s="29">
        <f>F132+630</f>
        <v>11938</v>
      </c>
      <c r="G133" s="29">
        <v>11350</v>
      </c>
      <c r="H133" s="58">
        <f t="shared" si="1"/>
        <v>95.074551851231362</v>
      </c>
      <c r="I133" s="3"/>
      <c r="J133" s="77"/>
    </row>
    <row r="134" spans="1:11" ht="22.5" customHeight="1" collapsed="1">
      <c r="A134" s="32">
        <v>1</v>
      </c>
      <c r="B134" s="20" t="s">
        <v>131</v>
      </c>
      <c r="C134" s="32" t="s">
        <v>73</v>
      </c>
      <c r="D134" s="29">
        <v>44006</v>
      </c>
      <c r="E134" s="29">
        <f>D135</f>
        <v>45290</v>
      </c>
      <c r="F134" s="29">
        <f>E135</f>
        <v>46365</v>
      </c>
      <c r="G134" s="29">
        <f>E135</f>
        <v>46365</v>
      </c>
      <c r="H134" s="58">
        <f t="shared" si="1"/>
        <v>100</v>
      </c>
      <c r="I134" s="3"/>
      <c r="J134" s="77"/>
    </row>
    <row r="135" spans="1:11" ht="22.5" customHeight="1">
      <c r="A135" s="32">
        <v>2</v>
      </c>
      <c r="B135" s="20" t="s">
        <v>132</v>
      </c>
      <c r="C135" s="32" t="s">
        <v>73</v>
      </c>
      <c r="D135" s="29">
        <v>45290</v>
      </c>
      <c r="E135" s="29">
        <v>46365</v>
      </c>
      <c r="F135" s="29">
        <v>47500</v>
      </c>
      <c r="G135" s="29">
        <f>G134+946</f>
        <v>47311</v>
      </c>
      <c r="H135" s="58">
        <f t="shared" si="1"/>
        <v>99.602105263157895</v>
      </c>
      <c r="I135" s="3"/>
      <c r="J135" s="77"/>
      <c r="K135" s="77"/>
    </row>
    <row r="136" spans="1:11" ht="22.5" customHeight="1">
      <c r="A136" s="32">
        <v>3</v>
      </c>
      <c r="B136" s="20" t="s">
        <v>339</v>
      </c>
      <c r="C136" s="32" t="s">
        <v>73</v>
      </c>
      <c r="D136" s="29">
        <f>(D134+D135)/2</f>
        <v>44648</v>
      </c>
      <c r="E136" s="29">
        <f>(E134+E135)/2</f>
        <v>45827.5</v>
      </c>
      <c r="F136" s="29">
        <f>(F134+F135)/2</f>
        <v>46932.5</v>
      </c>
      <c r="G136" s="29">
        <f>(G134+G135)/2</f>
        <v>46838</v>
      </c>
      <c r="H136" s="58">
        <f t="shared" ref="H136:H199" si="2">IFERROR(G136/F136%,"")</f>
        <v>99.79864699302189</v>
      </c>
      <c r="I136" s="3"/>
      <c r="J136" s="77"/>
      <c r="K136" s="77"/>
    </row>
    <row r="137" spans="1:11" ht="22.5" customHeight="1">
      <c r="A137" s="32">
        <v>4</v>
      </c>
      <c r="B137" s="48" t="s">
        <v>392</v>
      </c>
      <c r="C137" s="21" t="s">
        <v>170</v>
      </c>
      <c r="D137" s="74">
        <v>22.62</v>
      </c>
      <c r="E137" s="74">
        <v>22.92</v>
      </c>
      <c r="F137" s="74">
        <v>22</v>
      </c>
      <c r="G137" s="74">
        <v>22</v>
      </c>
      <c r="H137" s="58">
        <f t="shared" si="2"/>
        <v>100</v>
      </c>
      <c r="I137" s="3"/>
    </row>
    <row r="138" spans="1:11" s="18" customFormat="1" ht="21" customHeight="1">
      <c r="A138" s="11" t="s">
        <v>39</v>
      </c>
      <c r="B138" s="15" t="s">
        <v>163</v>
      </c>
      <c r="C138" s="11"/>
      <c r="D138" s="57"/>
      <c r="E138" s="57"/>
      <c r="F138" s="57"/>
      <c r="G138" s="57"/>
      <c r="H138" s="66" t="str">
        <f t="shared" si="2"/>
        <v/>
      </c>
      <c r="I138" s="83"/>
    </row>
    <row r="139" spans="1:11" ht="21" customHeight="1">
      <c r="A139" s="32">
        <v>1</v>
      </c>
      <c r="B139" s="20" t="s">
        <v>393</v>
      </c>
      <c r="C139" s="32" t="s">
        <v>33</v>
      </c>
      <c r="D139" s="58">
        <v>42.86</v>
      </c>
      <c r="E139" s="58">
        <v>43</v>
      </c>
      <c r="F139" s="58">
        <v>44</v>
      </c>
      <c r="G139" s="58"/>
      <c r="H139" s="58">
        <f t="shared" si="2"/>
        <v>0</v>
      </c>
      <c r="I139" s="3"/>
    </row>
    <row r="140" spans="1:11" ht="21" customHeight="1">
      <c r="A140" s="32"/>
      <c r="B140" s="20" t="s">
        <v>394</v>
      </c>
      <c r="C140" s="32" t="s">
        <v>33</v>
      </c>
      <c r="D140" s="58">
        <v>32</v>
      </c>
      <c r="E140" s="58">
        <v>35</v>
      </c>
      <c r="F140" s="58">
        <v>36</v>
      </c>
      <c r="G140" s="58"/>
      <c r="H140" s="58">
        <f t="shared" si="2"/>
        <v>0</v>
      </c>
      <c r="I140" s="3"/>
    </row>
    <row r="141" spans="1:11" ht="47.25">
      <c r="A141" s="32">
        <v>2</v>
      </c>
      <c r="B141" s="20" t="s">
        <v>357</v>
      </c>
      <c r="C141" s="32" t="s">
        <v>120</v>
      </c>
      <c r="D141" s="59">
        <f>174+50</f>
        <v>224</v>
      </c>
      <c r="E141" s="59">
        <v>175</v>
      </c>
      <c r="F141" s="59">
        <v>250</v>
      </c>
      <c r="G141" s="59"/>
      <c r="H141" s="58">
        <f t="shared" si="2"/>
        <v>0</v>
      </c>
      <c r="I141" s="3"/>
    </row>
    <row r="142" spans="1:11" ht="30.75" customHeight="1">
      <c r="A142" s="32"/>
      <c r="B142" s="20" t="s">
        <v>396</v>
      </c>
      <c r="C142" s="32" t="s">
        <v>397</v>
      </c>
      <c r="D142" s="20">
        <v>111</v>
      </c>
      <c r="E142" s="20">
        <v>115</v>
      </c>
      <c r="F142" s="20">
        <v>120</v>
      </c>
      <c r="G142" s="20"/>
      <c r="H142" s="58">
        <f t="shared" si="2"/>
        <v>0</v>
      </c>
      <c r="I142" s="3"/>
    </row>
    <row r="143" spans="1:11" ht="21" customHeight="1">
      <c r="A143" s="11" t="s">
        <v>47</v>
      </c>
      <c r="B143" s="15" t="s">
        <v>288</v>
      </c>
      <c r="C143" s="32"/>
      <c r="D143" s="59"/>
      <c r="E143" s="59"/>
      <c r="F143" s="59"/>
      <c r="G143" s="59"/>
      <c r="H143" s="66" t="str">
        <f t="shared" si="2"/>
        <v/>
      </c>
      <c r="I143" s="3"/>
    </row>
    <row r="144" spans="1:11" ht="29.25" customHeight="1">
      <c r="A144" s="60">
        <v>1</v>
      </c>
      <c r="B144" s="61" t="s">
        <v>355</v>
      </c>
      <c r="C144" s="32" t="s">
        <v>33</v>
      </c>
      <c r="D144" s="67" t="s">
        <v>358</v>
      </c>
      <c r="E144" s="88">
        <f>D145-E145</f>
        <v>3.1799999999999997</v>
      </c>
      <c r="F144" s="67">
        <v>3</v>
      </c>
      <c r="G144" s="67"/>
      <c r="H144" s="58">
        <f t="shared" si="2"/>
        <v>0</v>
      </c>
      <c r="I144" s="3"/>
    </row>
    <row r="145" spans="1:10" ht="21" customHeight="1">
      <c r="A145" s="60">
        <v>2</v>
      </c>
      <c r="B145" s="61" t="s">
        <v>395</v>
      </c>
      <c r="C145" s="32" t="s">
        <v>33</v>
      </c>
      <c r="D145" s="80">
        <v>17.32</v>
      </c>
      <c r="E145" s="80">
        <v>14.14</v>
      </c>
      <c r="F145" s="80">
        <f>E145-3</f>
        <v>11.14</v>
      </c>
      <c r="G145" s="80"/>
      <c r="H145" s="58">
        <f t="shared" si="2"/>
        <v>0</v>
      </c>
      <c r="I145" s="3"/>
      <c r="J145" s="89"/>
    </row>
    <row r="146" spans="1:10" s="18" customFormat="1" ht="20.25" customHeight="1">
      <c r="A146" s="11" t="s">
        <v>48</v>
      </c>
      <c r="B146" s="15" t="s">
        <v>6</v>
      </c>
      <c r="C146" s="11"/>
      <c r="D146" s="149"/>
      <c r="E146" s="149"/>
      <c r="F146" s="149"/>
      <c r="G146" s="149"/>
      <c r="H146" s="66" t="str">
        <f t="shared" si="2"/>
        <v/>
      </c>
      <c r="I146" s="83"/>
    </row>
    <row r="147" spans="1:10" ht="23.25" customHeight="1">
      <c r="A147" s="32">
        <v>1</v>
      </c>
      <c r="B147" s="20" t="s">
        <v>389</v>
      </c>
      <c r="C147" s="32" t="s">
        <v>8</v>
      </c>
      <c r="D147" s="29">
        <f>SUM(D148:D154)</f>
        <v>13999</v>
      </c>
      <c r="E147" s="29">
        <f>SUM(E148:E154)</f>
        <v>14102</v>
      </c>
      <c r="F147" s="29">
        <f>F148+F152+F153+F154</f>
        <v>14530</v>
      </c>
      <c r="G147" s="29">
        <f>G148+G152+G153+G154</f>
        <v>14689</v>
      </c>
      <c r="H147" s="58">
        <f t="shared" si="2"/>
        <v>101.0942876806607</v>
      </c>
      <c r="I147" s="3"/>
    </row>
    <row r="148" spans="1:10" ht="21" customHeight="1">
      <c r="A148" s="32" t="s">
        <v>557</v>
      </c>
      <c r="B148" s="20" t="s">
        <v>188</v>
      </c>
      <c r="C148" s="32" t="s">
        <v>8</v>
      </c>
      <c r="D148" s="151">
        <v>4325</v>
      </c>
      <c r="E148" s="151">
        <v>4401</v>
      </c>
      <c r="F148" s="151">
        <f>F149+F151</f>
        <v>4430</v>
      </c>
      <c r="G148" s="151">
        <f>G149+G151</f>
        <v>4293</v>
      </c>
      <c r="H148" s="58">
        <f t="shared" si="2"/>
        <v>96.907449209932281</v>
      </c>
      <c r="I148" s="3"/>
      <c r="J148" s="81"/>
    </row>
    <row r="149" spans="1:10" s="42" customFormat="1" ht="21" hidden="1" customHeight="1" outlineLevel="1">
      <c r="A149" s="39"/>
      <c r="B149" s="20" t="s">
        <v>707</v>
      </c>
      <c r="C149" s="32" t="s">
        <v>12</v>
      </c>
      <c r="D149" s="152"/>
      <c r="E149" s="151"/>
      <c r="F149" s="151">
        <v>450</v>
      </c>
      <c r="G149" s="151">
        <v>363</v>
      </c>
      <c r="H149" s="58">
        <f t="shared" si="2"/>
        <v>80.666666666666671</v>
      </c>
      <c r="I149" s="84"/>
      <c r="J149" s="82"/>
    </row>
    <row r="150" spans="1:10" s="42" customFormat="1" ht="21" hidden="1" customHeight="1" outlineLevel="1">
      <c r="A150" s="39"/>
      <c r="B150" s="20" t="s">
        <v>708</v>
      </c>
      <c r="C150" s="32" t="s">
        <v>12</v>
      </c>
      <c r="D150" s="152"/>
      <c r="E150" s="151"/>
      <c r="F150" s="151">
        <v>350</v>
      </c>
      <c r="G150" s="151"/>
      <c r="H150" s="58">
        <f t="shared" si="2"/>
        <v>0</v>
      </c>
      <c r="I150" s="84"/>
      <c r="J150" s="82"/>
    </row>
    <row r="151" spans="1:10" s="42" customFormat="1" ht="21" hidden="1" customHeight="1" outlineLevel="1">
      <c r="A151" s="39" t="s">
        <v>557</v>
      </c>
      <c r="B151" s="20" t="s">
        <v>190</v>
      </c>
      <c r="C151" s="32" t="s">
        <v>12</v>
      </c>
      <c r="D151" s="152"/>
      <c r="E151" s="151"/>
      <c r="F151" s="151">
        <v>3980</v>
      </c>
      <c r="G151" s="151">
        <v>3930</v>
      </c>
      <c r="H151" s="58">
        <f t="shared" si="2"/>
        <v>98.743718592964825</v>
      </c>
      <c r="I151" s="84"/>
      <c r="J151" s="82"/>
    </row>
    <row r="152" spans="1:10" ht="21" customHeight="1" collapsed="1">
      <c r="A152" s="32" t="s">
        <v>557</v>
      </c>
      <c r="B152" s="20" t="s">
        <v>272</v>
      </c>
      <c r="C152" s="32" t="s">
        <v>8</v>
      </c>
      <c r="D152" s="151">
        <v>5412</v>
      </c>
      <c r="E152" s="151">
        <v>5400</v>
      </c>
      <c r="F152" s="151">
        <v>5700</v>
      </c>
      <c r="G152" s="151">
        <v>6027</v>
      </c>
      <c r="H152" s="58">
        <f t="shared" si="2"/>
        <v>105.73684210526316</v>
      </c>
      <c r="I152" s="3"/>
      <c r="J152" s="81"/>
    </row>
    <row r="153" spans="1:10" ht="21" customHeight="1">
      <c r="A153" s="32" t="s">
        <v>557</v>
      </c>
      <c r="B153" s="20" t="s">
        <v>273</v>
      </c>
      <c r="C153" s="32" t="s">
        <v>8</v>
      </c>
      <c r="D153" s="151">
        <v>3521</v>
      </c>
      <c r="E153" s="151">
        <v>3560</v>
      </c>
      <c r="F153" s="151">
        <v>3570</v>
      </c>
      <c r="G153" s="151">
        <v>3562</v>
      </c>
      <c r="H153" s="58">
        <f t="shared" si="2"/>
        <v>99.775910364145645</v>
      </c>
      <c r="I153" s="3"/>
    </row>
    <row r="154" spans="1:10" ht="21" customHeight="1">
      <c r="A154" s="32" t="s">
        <v>557</v>
      </c>
      <c r="B154" s="20" t="s">
        <v>342</v>
      </c>
      <c r="C154" s="32" t="s">
        <v>8</v>
      </c>
      <c r="D154" s="151">
        <v>741</v>
      </c>
      <c r="E154" s="151">
        <v>741</v>
      </c>
      <c r="F154" s="151">
        <v>830</v>
      </c>
      <c r="G154" s="151">
        <v>807</v>
      </c>
      <c r="H154" s="58">
        <f t="shared" si="2"/>
        <v>97.228915662650593</v>
      </c>
      <c r="I154" s="3"/>
      <c r="J154" s="81"/>
    </row>
    <row r="155" spans="1:10" s="104" customFormat="1" ht="22.5" hidden="1" customHeight="1" outlineLevel="1">
      <c r="A155" s="100"/>
      <c r="B155" s="101" t="s">
        <v>398</v>
      </c>
      <c r="C155" s="100"/>
      <c r="D155" s="102">
        <f>SUM(D157:D161)</f>
        <v>37</v>
      </c>
      <c r="E155" s="102">
        <f>SUM(E157:E161)</f>
        <v>38</v>
      </c>
      <c r="F155" s="102">
        <f>SUM(F157:F161)</f>
        <v>38</v>
      </c>
      <c r="G155" s="102">
        <f>SUM(G157:G161)</f>
        <v>38</v>
      </c>
      <c r="H155" s="103">
        <f t="shared" si="2"/>
        <v>100</v>
      </c>
      <c r="I155" s="129"/>
    </row>
    <row r="156" spans="1:10" s="104" customFormat="1" ht="22.5" hidden="1" customHeight="1" outlineLevel="1">
      <c r="A156" s="100"/>
      <c r="B156" s="105" t="s">
        <v>341</v>
      </c>
      <c r="C156" s="100"/>
      <c r="D156" s="102"/>
      <c r="E156" s="102"/>
      <c r="F156" s="102"/>
      <c r="G156" s="102"/>
      <c r="H156" s="103" t="str">
        <f t="shared" si="2"/>
        <v/>
      </c>
      <c r="I156" s="129"/>
    </row>
    <row r="157" spans="1:10" s="104" customFormat="1" ht="22.5" hidden="1" customHeight="1" outlineLevel="1">
      <c r="A157" s="100"/>
      <c r="B157" s="101" t="s">
        <v>343</v>
      </c>
      <c r="C157" s="100" t="s">
        <v>143</v>
      </c>
      <c r="D157" s="102">
        <v>13</v>
      </c>
      <c r="E157" s="102">
        <v>13</v>
      </c>
      <c r="F157" s="102">
        <f t="shared" ref="F157:G161" si="3">E157</f>
        <v>13</v>
      </c>
      <c r="G157" s="102">
        <f t="shared" si="3"/>
        <v>13</v>
      </c>
      <c r="H157" s="103">
        <f t="shared" si="2"/>
        <v>100</v>
      </c>
      <c r="I157" s="129"/>
    </row>
    <row r="158" spans="1:10" s="104" customFormat="1" ht="22.5" hidden="1" customHeight="1" outlineLevel="1">
      <c r="A158" s="100"/>
      <c r="B158" s="101" t="s">
        <v>344</v>
      </c>
      <c r="C158" s="100" t="s">
        <v>143</v>
      </c>
      <c r="D158" s="102">
        <v>13</v>
      </c>
      <c r="E158" s="102">
        <v>14</v>
      </c>
      <c r="F158" s="102">
        <f t="shared" si="3"/>
        <v>14</v>
      </c>
      <c r="G158" s="102">
        <f t="shared" si="3"/>
        <v>14</v>
      </c>
      <c r="H158" s="103">
        <f t="shared" si="2"/>
        <v>99.999999999999986</v>
      </c>
      <c r="I158" s="129"/>
    </row>
    <row r="159" spans="1:10" s="104" customFormat="1" ht="22.5" hidden="1" customHeight="1" outlineLevel="1">
      <c r="A159" s="100"/>
      <c r="B159" s="101" t="s">
        <v>345</v>
      </c>
      <c r="C159" s="100" t="s">
        <v>143</v>
      </c>
      <c r="D159" s="102">
        <v>9</v>
      </c>
      <c r="E159" s="102">
        <v>9</v>
      </c>
      <c r="F159" s="102">
        <f t="shared" si="3"/>
        <v>9</v>
      </c>
      <c r="G159" s="102">
        <f t="shared" si="3"/>
        <v>9</v>
      </c>
      <c r="H159" s="103">
        <f t="shared" si="2"/>
        <v>100</v>
      </c>
      <c r="I159" s="129"/>
    </row>
    <row r="160" spans="1:10" s="104" customFormat="1" ht="22.5" hidden="1" customHeight="1" outlineLevel="1">
      <c r="A160" s="100"/>
      <c r="B160" s="101" t="s">
        <v>346</v>
      </c>
      <c r="C160" s="100" t="s">
        <v>143</v>
      </c>
      <c r="D160" s="102">
        <v>1</v>
      </c>
      <c r="E160" s="102">
        <v>1</v>
      </c>
      <c r="F160" s="102">
        <f t="shared" si="3"/>
        <v>1</v>
      </c>
      <c r="G160" s="102">
        <f t="shared" si="3"/>
        <v>1</v>
      </c>
      <c r="H160" s="103">
        <f t="shared" si="2"/>
        <v>100</v>
      </c>
      <c r="I160" s="129"/>
    </row>
    <row r="161" spans="1:9" s="104" customFormat="1" ht="22.5" hidden="1" customHeight="1" outlineLevel="1">
      <c r="A161" s="100"/>
      <c r="B161" s="101" t="s">
        <v>347</v>
      </c>
      <c r="C161" s="100" t="s">
        <v>143</v>
      </c>
      <c r="D161" s="102">
        <v>1</v>
      </c>
      <c r="E161" s="102">
        <v>1</v>
      </c>
      <c r="F161" s="102">
        <f t="shared" si="3"/>
        <v>1</v>
      </c>
      <c r="G161" s="102">
        <f t="shared" si="3"/>
        <v>1</v>
      </c>
      <c r="H161" s="103">
        <f t="shared" si="2"/>
        <v>100</v>
      </c>
      <c r="I161" s="129"/>
    </row>
    <row r="162" spans="1:9" s="104" customFormat="1" ht="22.5" hidden="1" customHeight="1" outlineLevel="1">
      <c r="A162" s="100"/>
      <c r="B162" s="101" t="s">
        <v>348</v>
      </c>
      <c r="C162" s="100" t="s">
        <v>143</v>
      </c>
      <c r="D162" s="102">
        <f>SUM(D164:D168)</f>
        <v>20</v>
      </c>
      <c r="E162" s="102">
        <f>SUM(E164:E168)</f>
        <v>21</v>
      </c>
      <c r="F162" s="102">
        <f>SUM(F164:F168)</f>
        <v>25</v>
      </c>
      <c r="G162" s="102">
        <f>SUM(G164:G168)</f>
        <v>21</v>
      </c>
      <c r="H162" s="103">
        <f t="shared" si="2"/>
        <v>84</v>
      </c>
      <c r="I162" s="129"/>
    </row>
    <row r="163" spans="1:9" s="104" customFormat="1" ht="22.5" hidden="1" customHeight="1" outlineLevel="1">
      <c r="A163" s="100"/>
      <c r="B163" s="105" t="s">
        <v>341</v>
      </c>
      <c r="C163" s="100"/>
      <c r="D163" s="102"/>
      <c r="E163" s="102"/>
      <c r="F163" s="102"/>
      <c r="G163" s="102"/>
      <c r="H163" s="103" t="str">
        <f t="shared" si="2"/>
        <v/>
      </c>
      <c r="I163" s="129"/>
    </row>
    <row r="164" spans="1:9" s="104" customFormat="1" ht="22.5" hidden="1" customHeight="1" outlineLevel="1">
      <c r="A164" s="100"/>
      <c r="B164" s="101" t="s">
        <v>343</v>
      </c>
      <c r="C164" s="100" t="s">
        <v>143</v>
      </c>
      <c r="D164" s="102">
        <v>5</v>
      </c>
      <c r="E164" s="102">
        <v>6</v>
      </c>
      <c r="F164" s="102">
        <v>8</v>
      </c>
      <c r="G164" s="102">
        <v>6</v>
      </c>
      <c r="H164" s="103">
        <f t="shared" si="2"/>
        <v>75</v>
      </c>
      <c r="I164" s="129"/>
    </row>
    <row r="165" spans="1:9" s="104" customFormat="1" ht="22.5" hidden="1" customHeight="1" outlineLevel="1">
      <c r="A165" s="100"/>
      <c r="B165" s="101" t="s">
        <v>344</v>
      </c>
      <c r="C165" s="100" t="s">
        <v>143</v>
      </c>
      <c r="D165" s="102">
        <v>9</v>
      </c>
      <c r="E165" s="102">
        <v>9</v>
      </c>
      <c r="F165" s="102">
        <v>10</v>
      </c>
      <c r="G165" s="102">
        <v>9</v>
      </c>
      <c r="H165" s="103">
        <f t="shared" si="2"/>
        <v>90</v>
      </c>
      <c r="I165" s="129"/>
    </row>
    <row r="166" spans="1:9" s="104" customFormat="1" ht="22.5" hidden="1" customHeight="1" outlineLevel="1">
      <c r="A166" s="100"/>
      <c r="B166" s="101" t="s">
        <v>345</v>
      </c>
      <c r="C166" s="100" t="s">
        <v>143</v>
      </c>
      <c r="D166" s="102">
        <v>4</v>
      </c>
      <c r="E166" s="102">
        <v>4</v>
      </c>
      <c r="F166" s="102">
        <v>5</v>
      </c>
      <c r="G166" s="102">
        <v>4</v>
      </c>
      <c r="H166" s="103">
        <f t="shared" si="2"/>
        <v>80</v>
      </c>
      <c r="I166" s="129"/>
    </row>
    <row r="167" spans="1:9" s="104" customFormat="1" ht="22.5" hidden="1" customHeight="1" outlineLevel="1">
      <c r="A167" s="100"/>
      <c r="B167" s="101" t="s">
        <v>346</v>
      </c>
      <c r="C167" s="100" t="s">
        <v>143</v>
      </c>
      <c r="D167" s="102">
        <v>1</v>
      </c>
      <c r="E167" s="102">
        <v>1</v>
      </c>
      <c r="F167" s="102">
        <v>1</v>
      </c>
      <c r="G167" s="102">
        <v>1</v>
      </c>
      <c r="H167" s="103">
        <f t="shared" si="2"/>
        <v>100</v>
      </c>
      <c r="I167" s="129"/>
    </row>
    <row r="168" spans="1:9" s="104" customFormat="1" ht="22.5" hidden="1" customHeight="1" outlineLevel="1">
      <c r="A168" s="100"/>
      <c r="B168" s="101" t="s">
        <v>347</v>
      </c>
      <c r="C168" s="100" t="s">
        <v>143</v>
      </c>
      <c r="D168" s="102">
        <v>1</v>
      </c>
      <c r="E168" s="102">
        <v>1</v>
      </c>
      <c r="F168" s="102">
        <v>1</v>
      </c>
      <c r="G168" s="102">
        <v>1</v>
      </c>
      <c r="H168" s="103">
        <f t="shared" si="2"/>
        <v>100</v>
      </c>
      <c r="I168" s="129"/>
    </row>
    <row r="169" spans="1:9" ht="22.5" customHeight="1" collapsed="1">
      <c r="A169" s="32">
        <v>2</v>
      </c>
      <c r="B169" s="20" t="s">
        <v>144</v>
      </c>
      <c r="C169" s="32" t="s">
        <v>33</v>
      </c>
      <c r="D169" s="74">
        <f>D162/D155%</f>
        <v>54.054054054054056</v>
      </c>
      <c r="E169" s="74">
        <f>E162/E155%</f>
        <v>55.263157894736842</v>
      </c>
      <c r="F169" s="74">
        <f>F162/F155%</f>
        <v>65.78947368421052</v>
      </c>
      <c r="G169" s="74">
        <f>G162/G155%</f>
        <v>55.263157894736842</v>
      </c>
      <c r="H169" s="58">
        <f t="shared" si="2"/>
        <v>84.000000000000014</v>
      </c>
      <c r="I169" s="3"/>
    </row>
    <row r="170" spans="1:9" ht="22.5" hidden="1" customHeight="1" outlineLevel="1">
      <c r="A170" s="32"/>
      <c r="B170" s="62" t="s">
        <v>341</v>
      </c>
      <c r="C170" s="32"/>
      <c r="D170" s="55"/>
      <c r="E170" s="55"/>
      <c r="F170" s="55"/>
      <c r="G170" s="55"/>
      <c r="H170" s="58" t="str">
        <f t="shared" si="2"/>
        <v/>
      </c>
      <c r="I170" s="3"/>
    </row>
    <row r="171" spans="1:9" ht="22.5" hidden="1" customHeight="1" outlineLevel="1">
      <c r="A171" s="32"/>
      <c r="B171" s="20" t="s">
        <v>343</v>
      </c>
      <c r="C171" s="32" t="s">
        <v>33</v>
      </c>
      <c r="D171" s="55">
        <f t="shared" ref="D171:G175" si="4">D164/D157%</f>
        <v>38.46153846153846</v>
      </c>
      <c r="E171" s="55">
        <f t="shared" si="4"/>
        <v>46.153846153846153</v>
      </c>
      <c r="F171" s="55">
        <f t="shared" si="4"/>
        <v>61.538461538461533</v>
      </c>
      <c r="G171" s="55">
        <f t="shared" si="4"/>
        <v>46.153846153846153</v>
      </c>
      <c r="H171" s="58">
        <f t="shared" si="2"/>
        <v>75.000000000000014</v>
      </c>
      <c r="I171" s="3"/>
    </row>
    <row r="172" spans="1:9" ht="22.5" hidden="1" customHeight="1" outlineLevel="1">
      <c r="A172" s="32"/>
      <c r="B172" s="20" t="s">
        <v>344</v>
      </c>
      <c r="C172" s="32" t="s">
        <v>33</v>
      </c>
      <c r="D172" s="55">
        <f t="shared" si="4"/>
        <v>69.230769230769226</v>
      </c>
      <c r="E172" s="55">
        <f t="shared" si="4"/>
        <v>64.285714285714278</v>
      </c>
      <c r="F172" s="55">
        <f t="shared" si="4"/>
        <v>71.428571428571416</v>
      </c>
      <c r="G172" s="55">
        <f t="shared" si="4"/>
        <v>64.285714285714278</v>
      </c>
      <c r="H172" s="58">
        <f t="shared" si="2"/>
        <v>90</v>
      </c>
      <c r="I172" s="3"/>
    </row>
    <row r="173" spans="1:9" ht="22.5" hidden="1" customHeight="1" outlineLevel="1">
      <c r="A173" s="32"/>
      <c r="B173" s="20" t="s">
        <v>345</v>
      </c>
      <c r="C173" s="32" t="s">
        <v>33</v>
      </c>
      <c r="D173" s="55">
        <f t="shared" si="4"/>
        <v>44.444444444444443</v>
      </c>
      <c r="E173" s="55">
        <f t="shared" si="4"/>
        <v>44.444444444444443</v>
      </c>
      <c r="F173" s="55">
        <f t="shared" si="4"/>
        <v>55.555555555555557</v>
      </c>
      <c r="G173" s="55">
        <f t="shared" si="4"/>
        <v>44.444444444444443</v>
      </c>
      <c r="H173" s="58">
        <f t="shared" si="2"/>
        <v>80</v>
      </c>
      <c r="I173" s="3"/>
    </row>
    <row r="174" spans="1:9" ht="22.5" hidden="1" customHeight="1" outlineLevel="1">
      <c r="A174" s="32"/>
      <c r="B174" s="20" t="s">
        <v>346</v>
      </c>
      <c r="C174" s="32" t="s">
        <v>33</v>
      </c>
      <c r="D174" s="55">
        <f t="shared" si="4"/>
        <v>100</v>
      </c>
      <c r="E174" s="55">
        <f t="shared" si="4"/>
        <v>100</v>
      </c>
      <c r="F174" s="55">
        <f t="shared" si="4"/>
        <v>100</v>
      </c>
      <c r="G174" s="55">
        <f t="shared" si="4"/>
        <v>100</v>
      </c>
      <c r="H174" s="58">
        <f t="shared" si="2"/>
        <v>100</v>
      </c>
      <c r="I174" s="3"/>
    </row>
    <row r="175" spans="1:9" ht="22.5" hidden="1" customHeight="1" outlineLevel="1">
      <c r="A175" s="32"/>
      <c r="B175" s="20" t="s">
        <v>347</v>
      </c>
      <c r="C175" s="32" t="s">
        <v>33</v>
      </c>
      <c r="D175" s="55">
        <f t="shared" si="4"/>
        <v>100</v>
      </c>
      <c r="E175" s="55">
        <f t="shared" si="4"/>
        <v>100</v>
      </c>
      <c r="F175" s="55">
        <f t="shared" si="4"/>
        <v>100</v>
      </c>
      <c r="G175" s="55">
        <f t="shared" si="4"/>
        <v>100</v>
      </c>
      <c r="H175" s="58">
        <f t="shared" si="2"/>
        <v>100</v>
      </c>
      <c r="I175" s="3"/>
    </row>
    <row r="176" spans="1:9" ht="22.5" customHeight="1" collapsed="1">
      <c r="A176" s="32">
        <v>3</v>
      </c>
      <c r="B176" s="48" t="s">
        <v>390</v>
      </c>
      <c r="C176" s="32"/>
      <c r="D176" s="13"/>
      <c r="E176" s="13"/>
      <c r="F176" s="13"/>
      <c r="G176" s="13"/>
      <c r="H176" s="58" t="str">
        <f t="shared" si="2"/>
        <v/>
      </c>
      <c r="I176" s="3"/>
    </row>
    <row r="177" spans="1:10" ht="22.5" customHeight="1">
      <c r="A177" s="73" t="s">
        <v>34</v>
      </c>
      <c r="B177" s="68" t="s">
        <v>188</v>
      </c>
      <c r="C177" s="32" t="s">
        <v>33</v>
      </c>
      <c r="D177" s="153"/>
      <c r="E177" s="153"/>
      <c r="F177" s="153"/>
      <c r="G177" s="153"/>
      <c r="H177" s="58" t="str">
        <f t="shared" si="2"/>
        <v/>
      </c>
      <c r="I177" s="3"/>
    </row>
    <row r="178" spans="1:10" ht="22.5" customHeight="1">
      <c r="A178" s="73"/>
      <c r="B178" s="70" t="s">
        <v>189</v>
      </c>
      <c r="C178" s="32" t="s">
        <v>33</v>
      </c>
      <c r="D178" s="153">
        <v>11.7</v>
      </c>
      <c r="E178" s="153">
        <v>12.1</v>
      </c>
      <c r="F178" s="153">
        <v>12.5</v>
      </c>
      <c r="G178" s="153">
        <v>13.6</v>
      </c>
      <c r="H178" s="58">
        <f t="shared" si="2"/>
        <v>108.8</v>
      </c>
      <c r="I178" s="3"/>
    </row>
    <row r="179" spans="1:10" ht="22.5" customHeight="1">
      <c r="A179" s="73"/>
      <c r="B179" s="70" t="s">
        <v>190</v>
      </c>
      <c r="C179" s="32" t="s">
        <v>33</v>
      </c>
      <c r="D179" s="153">
        <v>97.9</v>
      </c>
      <c r="E179" s="153">
        <v>97.2</v>
      </c>
      <c r="F179" s="153">
        <v>98</v>
      </c>
      <c r="G179" s="153">
        <v>97.7</v>
      </c>
      <c r="H179" s="58">
        <f t="shared" si="2"/>
        <v>99.693877551020407</v>
      </c>
      <c r="I179" s="3"/>
    </row>
    <row r="180" spans="1:10" ht="22.5" customHeight="1">
      <c r="A180" s="73" t="s">
        <v>35</v>
      </c>
      <c r="B180" s="68" t="s">
        <v>272</v>
      </c>
      <c r="C180" s="32" t="s">
        <v>33</v>
      </c>
      <c r="D180" s="153">
        <v>99.9</v>
      </c>
      <c r="E180" s="153">
        <v>100</v>
      </c>
      <c r="F180" s="153">
        <v>100</v>
      </c>
      <c r="G180" s="153">
        <v>100</v>
      </c>
      <c r="H180" s="58">
        <f t="shared" si="2"/>
        <v>100</v>
      </c>
      <c r="I180" s="3"/>
    </row>
    <row r="181" spans="1:10" ht="22.5" customHeight="1">
      <c r="A181" s="73" t="s">
        <v>36</v>
      </c>
      <c r="B181" s="68" t="s">
        <v>391</v>
      </c>
      <c r="C181" s="32" t="s">
        <v>33</v>
      </c>
      <c r="D181" s="153">
        <v>96.2</v>
      </c>
      <c r="E181" s="153">
        <v>99.8</v>
      </c>
      <c r="F181" s="153">
        <v>100</v>
      </c>
      <c r="G181" s="153">
        <v>98.6</v>
      </c>
      <c r="H181" s="58">
        <f t="shared" si="2"/>
        <v>98.6</v>
      </c>
      <c r="I181" s="3"/>
    </row>
    <row r="182" spans="1:10" ht="22.5" customHeight="1">
      <c r="A182" s="11" t="s">
        <v>50</v>
      </c>
      <c r="B182" s="15" t="s">
        <v>350</v>
      </c>
      <c r="C182" s="32"/>
      <c r="D182" s="13"/>
      <c r="E182" s="13"/>
      <c r="F182" s="13"/>
      <c r="G182" s="13"/>
      <c r="H182" s="66" t="str">
        <f t="shared" si="2"/>
        <v/>
      </c>
      <c r="I182" s="3"/>
    </row>
    <row r="183" spans="1:10" ht="22.5" customHeight="1">
      <c r="A183" s="32">
        <v>1</v>
      </c>
      <c r="B183" s="20" t="s">
        <v>351</v>
      </c>
      <c r="C183" s="32" t="s">
        <v>145</v>
      </c>
      <c r="D183" s="13">
        <v>130</v>
      </c>
      <c r="E183" s="13">
        <v>130</v>
      </c>
      <c r="F183" s="13">
        <v>135</v>
      </c>
      <c r="G183" s="13">
        <v>130</v>
      </c>
      <c r="H183" s="58">
        <f t="shared" si="2"/>
        <v>96.296296296296291</v>
      </c>
      <c r="I183" s="3"/>
    </row>
    <row r="184" spans="1:10" ht="24" customHeight="1">
      <c r="A184" s="32">
        <v>2</v>
      </c>
      <c r="B184" s="20" t="s">
        <v>451</v>
      </c>
      <c r="C184" s="32" t="s">
        <v>349</v>
      </c>
      <c r="D184" s="13">
        <v>2</v>
      </c>
      <c r="E184" s="13">
        <v>4</v>
      </c>
      <c r="F184" s="13">
        <v>7</v>
      </c>
      <c r="G184" s="13">
        <v>4</v>
      </c>
      <c r="H184" s="58">
        <f t="shared" si="2"/>
        <v>57.142857142857139</v>
      </c>
      <c r="I184" s="3"/>
    </row>
    <row r="185" spans="1:10" ht="21" customHeight="1">
      <c r="A185" s="32"/>
      <c r="B185" s="47" t="s">
        <v>452</v>
      </c>
      <c r="C185" s="32" t="s">
        <v>33</v>
      </c>
      <c r="D185" s="55">
        <f>D184/9%</f>
        <v>22.222222222222221</v>
      </c>
      <c r="E185" s="55">
        <f>E184/9%</f>
        <v>44.444444444444443</v>
      </c>
      <c r="F185" s="55">
        <f>F184/9%</f>
        <v>77.777777777777786</v>
      </c>
      <c r="G185" s="55">
        <f>G184/9%</f>
        <v>44.444444444444443</v>
      </c>
      <c r="H185" s="58">
        <f t="shared" si="2"/>
        <v>57.142857142857132</v>
      </c>
      <c r="I185" s="3"/>
    </row>
    <row r="186" spans="1:10" ht="21.75" customHeight="1">
      <c r="A186" s="32">
        <v>3</v>
      </c>
      <c r="B186" s="46" t="s">
        <v>187</v>
      </c>
      <c r="C186" s="32" t="s">
        <v>33</v>
      </c>
      <c r="D186" s="55">
        <v>83.5</v>
      </c>
      <c r="E186" s="55">
        <v>85</v>
      </c>
      <c r="F186" s="55">
        <v>90</v>
      </c>
      <c r="G186" s="55">
        <v>86</v>
      </c>
      <c r="H186" s="58">
        <f t="shared" si="2"/>
        <v>95.555555555555557</v>
      </c>
      <c r="I186" s="3"/>
    </row>
    <row r="187" spans="1:10" ht="31.5">
      <c r="A187" s="32">
        <v>4</v>
      </c>
      <c r="B187" s="46" t="s">
        <v>412</v>
      </c>
      <c r="C187" s="32" t="s">
        <v>33</v>
      </c>
      <c r="D187" s="74">
        <v>33.1</v>
      </c>
      <c r="E187" s="55">
        <v>31.8</v>
      </c>
      <c r="F187" s="55">
        <v>31.3</v>
      </c>
      <c r="G187" s="55"/>
      <c r="H187" s="58">
        <f t="shared" si="2"/>
        <v>0</v>
      </c>
      <c r="I187" s="3"/>
    </row>
    <row r="188" spans="1:10" ht="31.5">
      <c r="A188" s="32">
        <v>5</v>
      </c>
      <c r="B188" s="46" t="s">
        <v>413</v>
      </c>
      <c r="C188" s="32" t="s">
        <v>33</v>
      </c>
      <c r="D188" s="74">
        <v>20.6</v>
      </c>
      <c r="E188" s="55">
        <v>20</v>
      </c>
      <c r="F188" s="55">
        <v>19.5</v>
      </c>
      <c r="G188" s="55"/>
      <c r="H188" s="58">
        <f t="shared" si="2"/>
        <v>0</v>
      </c>
      <c r="I188" s="3"/>
    </row>
    <row r="189" spans="1:10" ht="31.5">
      <c r="A189" s="11" t="s">
        <v>51</v>
      </c>
      <c r="B189" s="142" t="s">
        <v>192</v>
      </c>
      <c r="C189" s="12"/>
      <c r="D189" s="13"/>
      <c r="E189" s="13"/>
      <c r="F189" s="13"/>
      <c r="G189" s="13"/>
      <c r="H189" s="66" t="str">
        <f t="shared" si="2"/>
        <v/>
      </c>
      <c r="I189" s="3"/>
    </row>
    <row r="190" spans="1:10" ht="22.5" customHeight="1">
      <c r="A190" s="11">
        <v>1</v>
      </c>
      <c r="B190" s="63" t="s">
        <v>193</v>
      </c>
      <c r="C190" s="12"/>
      <c r="D190" s="13"/>
      <c r="E190" s="13"/>
      <c r="F190" s="13"/>
      <c r="G190" s="13"/>
      <c r="H190" s="66" t="str">
        <f t="shared" si="2"/>
        <v/>
      </c>
      <c r="I190" s="3"/>
    </row>
    <row r="191" spans="1:10" ht="22.5" customHeight="1">
      <c r="A191" s="19"/>
      <c r="B191" s="48" t="s">
        <v>194</v>
      </c>
      <c r="C191" s="21" t="s">
        <v>16</v>
      </c>
      <c r="D191" s="59">
        <v>1560</v>
      </c>
      <c r="E191" s="59">
        <v>1560</v>
      </c>
      <c r="F191" s="59">
        <f>E191</f>
        <v>1560</v>
      </c>
      <c r="G191" s="59">
        <v>1248</v>
      </c>
      <c r="H191" s="58">
        <f t="shared" si="2"/>
        <v>80</v>
      </c>
      <c r="I191" s="3"/>
    </row>
    <row r="192" spans="1:10" ht="22.5" customHeight="1">
      <c r="A192" s="19"/>
      <c r="B192" s="48" t="s">
        <v>195</v>
      </c>
      <c r="C192" s="21" t="s">
        <v>16</v>
      </c>
      <c r="D192" s="59">
        <v>21800</v>
      </c>
      <c r="E192" s="59">
        <v>21800</v>
      </c>
      <c r="F192" s="59">
        <f>E192</f>
        <v>21800</v>
      </c>
      <c r="G192" s="59">
        <v>16320</v>
      </c>
      <c r="H192" s="58">
        <f t="shared" si="2"/>
        <v>74.862385321100916</v>
      </c>
      <c r="I192" s="3"/>
      <c r="J192" s="77"/>
    </row>
    <row r="193" spans="1:9" ht="22.5" customHeight="1">
      <c r="A193" s="11">
        <v>2</v>
      </c>
      <c r="B193" s="63" t="s">
        <v>196</v>
      </c>
      <c r="C193" s="21"/>
      <c r="D193" s="59"/>
      <c r="E193" s="59"/>
      <c r="F193" s="59"/>
      <c r="G193" s="59"/>
      <c r="H193" s="66" t="str">
        <f t="shared" si="2"/>
        <v/>
      </c>
      <c r="I193" s="3"/>
    </row>
    <row r="194" spans="1:9" ht="22.5" hidden="1" customHeight="1" outlineLevel="1">
      <c r="A194" s="19" t="s">
        <v>155</v>
      </c>
      <c r="B194" s="48" t="s">
        <v>198</v>
      </c>
      <c r="C194" s="21" t="s">
        <v>199</v>
      </c>
      <c r="D194" s="59">
        <v>9233</v>
      </c>
      <c r="E194" s="59">
        <f>E133*E195%</f>
        <v>9781.42</v>
      </c>
      <c r="F194" s="59">
        <f>F133*F195%</f>
        <v>10744.2</v>
      </c>
      <c r="G194" s="59">
        <f>G133*G195%</f>
        <v>0</v>
      </c>
      <c r="H194" s="58">
        <f t="shared" si="2"/>
        <v>0</v>
      </c>
      <c r="I194" s="3"/>
    </row>
    <row r="195" spans="1:9" ht="22.5" customHeight="1" collapsed="1">
      <c r="A195" s="32"/>
      <c r="B195" s="48" t="s">
        <v>200</v>
      </c>
      <c r="C195" s="41" t="s">
        <v>33</v>
      </c>
      <c r="D195" s="59">
        <v>85.6</v>
      </c>
      <c r="E195" s="58">
        <v>86.5</v>
      </c>
      <c r="F195" s="58">
        <v>90</v>
      </c>
      <c r="G195" s="58"/>
      <c r="H195" s="58">
        <f t="shared" si="2"/>
        <v>0</v>
      </c>
      <c r="I195" s="3"/>
    </row>
    <row r="196" spans="1:9" ht="22.5" hidden="1" customHeight="1" outlineLevel="1">
      <c r="A196" s="19" t="s">
        <v>155</v>
      </c>
      <c r="B196" s="48" t="s">
        <v>202</v>
      </c>
      <c r="C196" s="21" t="s">
        <v>203</v>
      </c>
      <c r="D196" s="59">
        <v>58</v>
      </c>
      <c r="E196" s="58">
        <f>67*E197%</f>
        <v>57.954999999999998</v>
      </c>
      <c r="F196" s="58">
        <f>67*F197%</f>
        <v>60.97</v>
      </c>
      <c r="G196" s="58">
        <f>67*G197%</f>
        <v>0</v>
      </c>
      <c r="H196" s="58">
        <f t="shared" si="2"/>
        <v>0</v>
      </c>
      <c r="I196" s="3"/>
    </row>
    <row r="197" spans="1:9" ht="22.5" customHeight="1" collapsed="1">
      <c r="A197" s="32"/>
      <c r="B197" s="48" t="s">
        <v>171</v>
      </c>
      <c r="C197" s="41" t="s">
        <v>33</v>
      </c>
      <c r="D197" s="59">
        <f>D196/67%</f>
        <v>86.567164179104466</v>
      </c>
      <c r="E197" s="58">
        <v>86.5</v>
      </c>
      <c r="F197" s="58">
        <v>91</v>
      </c>
      <c r="G197" s="58"/>
      <c r="H197" s="58">
        <f t="shared" si="2"/>
        <v>0</v>
      </c>
      <c r="I197" s="3"/>
    </row>
    <row r="198" spans="1:9" ht="22.5" customHeight="1">
      <c r="A198" s="19" t="s">
        <v>155</v>
      </c>
      <c r="B198" s="48" t="s">
        <v>205</v>
      </c>
      <c r="C198" s="21" t="s">
        <v>206</v>
      </c>
      <c r="D198" s="59">
        <v>88</v>
      </c>
      <c r="E198" s="59">
        <v>90</v>
      </c>
      <c r="F198" s="59">
        <v>90</v>
      </c>
      <c r="G198" s="59"/>
      <c r="H198" s="58">
        <f t="shared" si="2"/>
        <v>0</v>
      </c>
      <c r="I198" s="3"/>
    </row>
    <row r="199" spans="1:9" ht="22.5" customHeight="1">
      <c r="A199" s="19" t="s">
        <v>155</v>
      </c>
      <c r="B199" s="20" t="s">
        <v>356</v>
      </c>
      <c r="C199" s="32" t="s">
        <v>61</v>
      </c>
      <c r="D199" s="59">
        <v>4</v>
      </c>
      <c r="E199" s="59">
        <v>4</v>
      </c>
      <c r="F199" s="59">
        <v>4</v>
      </c>
      <c r="G199" s="59">
        <v>4</v>
      </c>
      <c r="H199" s="58">
        <f t="shared" si="2"/>
        <v>100</v>
      </c>
      <c r="I199" s="3"/>
    </row>
    <row r="200" spans="1:9">
      <c r="A200" s="4"/>
      <c r="B200" s="64"/>
      <c r="C200" s="4"/>
      <c r="D200" s="64"/>
      <c r="E200" s="64"/>
      <c r="F200" s="64"/>
      <c r="G200" s="64"/>
      <c r="H200" s="64"/>
      <c r="I200" s="64"/>
    </row>
  </sheetData>
  <mergeCells count="12">
    <mergeCell ref="G5:G6"/>
    <mergeCell ref="I5:I6"/>
    <mergeCell ref="H5:H6"/>
    <mergeCell ref="A1:I1"/>
    <mergeCell ref="A2:I2"/>
    <mergeCell ref="A3:I3"/>
    <mergeCell ref="A5:A6"/>
    <mergeCell ref="B5:B6"/>
    <mergeCell ref="C5:C6"/>
    <mergeCell ref="D5:D6"/>
    <mergeCell ref="E5:E6"/>
    <mergeCell ref="F5:F6"/>
  </mergeCells>
  <pageMargins left="0.47244094488188981" right="0.39370078740157483" top="0.59055118110236227" bottom="0.47244094488188981" header="0.31496062992125984" footer="0.31496062992125984"/>
  <pageSetup paperSize="9" scale="87" fitToHeight="0" orientation="portrait" r:id="rId1"/>
  <headerFooter>
    <oddFooter>&amp;R&amp;"Times New Roman,Regular"&amp;P/&amp;N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J57"/>
  <sheetViews>
    <sheetView zoomScale="70" zoomScaleNormal="70" workbookViewId="0">
      <pane xSplit="2" ySplit="37" topLeftCell="C38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10.28515625" defaultRowHeight="12.75" outlineLevelRow="1"/>
  <cols>
    <col min="1" max="1" width="3.85546875" style="195" customWidth="1"/>
    <col min="2" max="2" width="46.5703125" style="195" customWidth="1"/>
    <col min="3" max="3" width="12" style="196" customWidth="1"/>
    <col min="4" max="10" width="15" style="195" customWidth="1"/>
    <col min="11" max="11" width="31.5703125" style="195" customWidth="1"/>
    <col min="12" max="16384" width="10.28515625" style="195"/>
  </cols>
  <sheetData>
    <row r="1" spans="1:10" ht="18.75" outlineLevel="1">
      <c r="A1" s="182"/>
      <c r="B1" s="183"/>
      <c r="C1" s="222"/>
      <c r="D1" s="183"/>
      <c r="E1" s="183"/>
      <c r="F1" s="183"/>
      <c r="G1" s="183"/>
      <c r="H1" s="183"/>
      <c r="J1" s="184" t="s">
        <v>521</v>
      </c>
    </row>
    <row r="2" spans="1:10" ht="16.5" outlineLevel="1">
      <c r="A2" s="791" t="s">
        <v>655</v>
      </c>
      <c r="B2" s="791"/>
      <c r="C2" s="791"/>
      <c r="D2" s="791"/>
      <c r="E2" s="791"/>
      <c r="F2" s="791"/>
      <c r="G2" s="791"/>
      <c r="H2" s="791"/>
      <c r="I2" s="791"/>
      <c r="J2" s="791"/>
    </row>
    <row r="3" spans="1:10" ht="16.5" outlineLevel="1">
      <c r="A3" s="791" t="s">
        <v>656</v>
      </c>
      <c r="B3" s="791"/>
      <c r="C3" s="791"/>
      <c r="D3" s="791"/>
      <c r="E3" s="791"/>
      <c r="F3" s="791"/>
      <c r="G3" s="791"/>
      <c r="H3" s="791"/>
      <c r="I3" s="791"/>
      <c r="J3" s="791"/>
    </row>
    <row r="4" spans="1:10" outlineLevel="1"/>
    <row r="5" spans="1:10" s="196" customFormat="1" ht="15.75">
      <c r="A5" s="792" t="s">
        <v>524</v>
      </c>
      <c r="B5" s="792" t="s">
        <v>69</v>
      </c>
      <c r="C5" s="792" t="s">
        <v>525</v>
      </c>
      <c r="D5" s="792" t="s">
        <v>526</v>
      </c>
      <c r="E5" s="792" t="s">
        <v>514</v>
      </c>
      <c r="F5" s="792"/>
      <c r="G5" s="792"/>
      <c r="H5" s="792"/>
      <c r="I5" s="792" t="s">
        <v>516</v>
      </c>
      <c r="J5" s="792" t="s">
        <v>518</v>
      </c>
    </row>
    <row r="6" spans="1:10" s="196" customFormat="1" ht="63">
      <c r="A6" s="792"/>
      <c r="B6" s="792"/>
      <c r="C6" s="792"/>
      <c r="D6" s="792"/>
      <c r="E6" s="181" t="s">
        <v>470</v>
      </c>
      <c r="F6" s="181" t="s">
        <v>723</v>
      </c>
      <c r="G6" s="181" t="s">
        <v>515</v>
      </c>
      <c r="H6" s="181" t="s">
        <v>517</v>
      </c>
      <c r="I6" s="792"/>
      <c r="J6" s="792"/>
    </row>
    <row r="7" spans="1:10" s="198" customFormat="1" ht="15.75">
      <c r="A7" s="181">
        <v>1</v>
      </c>
      <c r="B7" s="181">
        <v>2</v>
      </c>
      <c r="C7" s="181">
        <v>3</v>
      </c>
      <c r="D7" s="181">
        <v>4</v>
      </c>
      <c r="E7" s="181">
        <v>5</v>
      </c>
      <c r="F7" s="181">
        <v>6</v>
      </c>
      <c r="G7" s="181">
        <v>7</v>
      </c>
      <c r="H7" s="181" t="s">
        <v>480</v>
      </c>
      <c r="I7" s="181">
        <v>9</v>
      </c>
      <c r="J7" s="181" t="s">
        <v>519</v>
      </c>
    </row>
    <row r="8" spans="1:10" ht="15.75" hidden="1" outlineLevel="1">
      <c r="A8" s="201" t="s">
        <v>40</v>
      </c>
      <c r="B8" s="202" t="s">
        <v>657</v>
      </c>
      <c r="C8" s="259"/>
      <c r="D8" s="243"/>
      <c r="E8" s="243"/>
      <c r="F8" s="243"/>
      <c r="G8" s="243"/>
      <c r="H8" s="243"/>
      <c r="I8" s="243"/>
      <c r="J8" s="243"/>
    </row>
    <row r="9" spans="1:10" ht="15.75" hidden="1" outlineLevel="1">
      <c r="A9" s="223" t="s">
        <v>38</v>
      </c>
      <c r="B9" s="224" t="s">
        <v>658</v>
      </c>
      <c r="C9" s="223"/>
      <c r="D9" s="190"/>
      <c r="E9" s="190"/>
      <c r="F9" s="190"/>
      <c r="G9" s="190"/>
      <c r="H9" s="190"/>
      <c r="I9" s="190"/>
      <c r="J9" s="190"/>
    </row>
    <row r="10" spans="1:10" ht="31.5" hidden="1" outlineLevel="1">
      <c r="A10" s="225">
        <v>1</v>
      </c>
      <c r="B10" s="226" t="s">
        <v>659</v>
      </c>
      <c r="C10" s="227" t="s">
        <v>660</v>
      </c>
      <c r="D10" s="190"/>
      <c r="E10" s="190"/>
      <c r="F10" s="190"/>
      <c r="G10" s="190"/>
      <c r="H10" s="190"/>
      <c r="I10" s="190"/>
      <c r="J10" s="190"/>
    </row>
    <row r="11" spans="1:10" ht="15.75" hidden="1" outlineLevel="1">
      <c r="A11" s="225">
        <v>2</v>
      </c>
      <c r="B11" s="226" t="s">
        <v>661</v>
      </c>
      <c r="C11" s="227" t="s">
        <v>331</v>
      </c>
      <c r="D11" s="190"/>
      <c r="E11" s="190"/>
      <c r="F11" s="190"/>
      <c r="G11" s="190"/>
      <c r="H11" s="190"/>
      <c r="I11" s="190"/>
      <c r="J11" s="190"/>
    </row>
    <row r="12" spans="1:10" ht="15.75" hidden="1" outlineLevel="1">
      <c r="A12" s="225">
        <v>3</v>
      </c>
      <c r="B12" s="226" t="s">
        <v>662</v>
      </c>
      <c r="C12" s="227" t="s">
        <v>331</v>
      </c>
      <c r="D12" s="190"/>
      <c r="E12" s="190"/>
      <c r="F12" s="190"/>
      <c r="G12" s="190"/>
      <c r="H12" s="190"/>
      <c r="I12" s="190"/>
      <c r="J12" s="190"/>
    </row>
    <row r="13" spans="1:10" ht="15.75" hidden="1" outlineLevel="1">
      <c r="A13" s="225">
        <v>4</v>
      </c>
      <c r="B13" s="226" t="s">
        <v>663</v>
      </c>
      <c r="C13" s="227"/>
      <c r="D13" s="190"/>
      <c r="E13" s="190"/>
      <c r="F13" s="190"/>
      <c r="G13" s="190"/>
      <c r="H13" s="190"/>
      <c r="I13" s="190"/>
      <c r="J13" s="190"/>
    </row>
    <row r="14" spans="1:10" ht="15.75" hidden="1" outlineLevel="1">
      <c r="A14" s="225">
        <v>5</v>
      </c>
      <c r="B14" s="226" t="s">
        <v>664</v>
      </c>
      <c r="C14" s="227" t="s">
        <v>331</v>
      </c>
      <c r="D14" s="190"/>
      <c r="E14" s="190"/>
      <c r="F14" s="190"/>
      <c r="G14" s="190"/>
      <c r="H14" s="190"/>
      <c r="I14" s="190"/>
      <c r="J14" s="190"/>
    </row>
    <row r="15" spans="1:10" s="193" customFormat="1" ht="31.5" hidden="1" outlineLevel="1">
      <c r="A15" s="228"/>
      <c r="B15" s="229" t="s">
        <v>665</v>
      </c>
      <c r="C15" s="230"/>
      <c r="D15" s="192"/>
      <c r="E15" s="192"/>
      <c r="F15" s="192"/>
      <c r="G15" s="192"/>
      <c r="H15" s="192"/>
      <c r="I15" s="192"/>
      <c r="J15" s="192"/>
    </row>
    <row r="16" spans="1:10" s="193" customFormat="1" ht="15.75" hidden="1" outlineLevel="1">
      <c r="A16" s="228"/>
      <c r="B16" s="229" t="s">
        <v>666</v>
      </c>
      <c r="C16" s="230"/>
      <c r="D16" s="192"/>
      <c r="E16" s="192"/>
      <c r="F16" s="192"/>
      <c r="G16" s="192"/>
      <c r="H16" s="192"/>
      <c r="I16" s="192"/>
      <c r="J16" s="192"/>
    </row>
    <row r="17" spans="1:10" s="193" customFormat="1" ht="31.5" hidden="1" outlineLevel="1">
      <c r="A17" s="228"/>
      <c r="B17" s="229" t="s">
        <v>667</v>
      </c>
      <c r="C17" s="230"/>
      <c r="D17" s="192"/>
      <c r="E17" s="192"/>
      <c r="F17" s="192"/>
      <c r="G17" s="192"/>
      <c r="H17" s="192"/>
      <c r="I17" s="192"/>
      <c r="J17" s="192"/>
    </row>
    <row r="18" spans="1:10" ht="15.75" hidden="1" outlineLevel="1">
      <c r="A18" s="231" t="s">
        <v>39</v>
      </c>
      <c r="B18" s="232" t="s">
        <v>668</v>
      </c>
      <c r="C18" s="223"/>
      <c r="D18" s="190"/>
      <c r="E18" s="190"/>
      <c r="F18" s="190"/>
      <c r="G18" s="190"/>
      <c r="H18" s="190"/>
      <c r="I18" s="190"/>
      <c r="J18" s="190"/>
    </row>
    <row r="19" spans="1:10" ht="31.5" hidden="1" outlineLevel="1">
      <c r="A19" s="225">
        <v>1</v>
      </c>
      <c r="B19" s="233" t="s">
        <v>669</v>
      </c>
      <c r="C19" s="227" t="s">
        <v>660</v>
      </c>
      <c r="D19" s="190"/>
      <c r="E19" s="190"/>
      <c r="F19" s="190"/>
      <c r="G19" s="190"/>
      <c r="H19" s="190"/>
      <c r="I19" s="190"/>
      <c r="J19" s="190"/>
    </row>
    <row r="20" spans="1:10" s="193" customFormat="1" ht="31.5" hidden="1" outlineLevel="1">
      <c r="A20" s="234"/>
      <c r="B20" s="235" t="s">
        <v>670</v>
      </c>
      <c r="C20" s="230"/>
      <c r="D20" s="192"/>
      <c r="E20" s="192"/>
      <c r="F20" s="192"/>
      <c r="G20" s="192"/>
      <c r="H20" s="192"/>
      <c r="I20" s="192"/>
      <c r="J20" s="192"/>
    </row>
    <row r="21" spans="1:10" ht="31.5" hidden="1" outlineLevel="1">
      <c r="A21" s="219">
        <v>2</v>
      </c>
      <c r="B21" s="48" t="s">
        <v>671</v>
      </c>
      <c r="C21" s="227" t="s">
        <v>660</v>
      </c>
      <c r="D21" s="190"/>
      <c r="E21" s="190"/>
      <c r="F21" s="190"/>
      <c r="G21" s="190"/>
      <c r="H21" s="190"/>
      <c r="I21" s="190"/>
      <c r="J21" s="190"/>
    </row>
    <row r="22" spans="1:10" ht="31.5" hidden="1" outlineLevel="1">
      <c r="A22" s="219">
        <v>3</v>
      </c>
      <c r="B22" s="48" t="s">
        <v>672</v>
      </c>
      <c r="C22" s="227" t="s">
        <v>660</v>
      </c>
      <c r="D22" s="190"/>
      <c r="E22" s="190"/>
      <c r="F22" s="190"/>
      <c r="G22" s="190"/>
      <c r="H22" s="190"/>
      <c r="I22" s="190"/>
      <c r="J22" s="190"/>
    </row>
    <row r="23" spans="1:10" s="193" customFormat="1" ht="31.5" hidden="1" outlineLevel="1">
      <c r="A23" s="215"/>
      <c r="B23" s="235" t="s">
        <v>673</v>
      </c>
      <c r="C23" s="230"/>
      <c r="D23" s="192"/>
      <c r="E23" s="192"/>
      <c r="F23" s="192"/>
      <c r="G23" s="192"/>
      <c r="H23" s="192"/>
      <c r="I23" s="192"/>
      <c r="J23" s="192"/>
    </row>
    <row r="24" spans="1:10" ht="31.5" hidden="1" outlineLevel="1">
      <c r="A24" s="219">
        <v>4</v>
      </c>
      <c r="B24" s="48" t="s">
        <v>674</v>
      </c>
      <c r="C24" s="227" t="s">
        <v>660</v>
      </c>
      <c r="D24" s="190"/>
      <c r="E24" s="190"/>
      <c r="F24" s="190"/>
      <c r="G24" s="190"/>
      <c r="H24" s="190"/>
      <c r="I24" s="190"/>
      <c r="J24" s="190"/>
    </row>
    <row r="25" spans="1:10" ht="31.5" hidden="1" outlineLevel="1">
      <c r="A25" s="219">
        <v>5</v>
      </c>
      <c r="B25" s="226" t="s">
        <v>675</v>
      </c>
      <c r="C25" s="227" t="s">
        <v>660</v>
      </c>
      <c r="D25" s="190"/>
      <c r="E25" s="190"/>
      <c r="F25" s="190"/>
      <c r="G25" s="190"/>
      <c r="H25" s="190"/>
      <c r="I25" s="190"/>
      <c r="J25" s="190"/>
    </row>
    <row r="26" spans="1:10" ht="15.75" hidden="1" outlineLevel="1">
      <c r="A26" s="219">
        <v>6</v>
      </c>
      <c r="B26" s="226" t="s">
        <v>676</v>
      </c>
      <c r="C26" s="227"/>
      <c r="D26" s="190"/>
      <c r="E26" s="190"/>
      <c r="F26" s="190"/>
      <c r="G26" s="190"/>
      <c r="H26" s="190"/>
      <c r="I26" s="190"/>
      <c r="J26" s="190"/>
    </row>
    <row r="27" spans="1:10" ht="15.75" hidden="1" outlineLevel="1">
      <c r="A27" s="219">
        <v>7</v>
      </c>
      <c r="B27" s="226" t="s">
        <v>677</v>
      </c>
      <c r="C27" s="1" t="s">
        <v>73</v>
      </c>
      <c r="D27" s="190"/>
      <c r="E27" s="190"/>
      <c r="F27" s="190"/>
      <c r="G27" s="190"/>
      <c r="H27" s="190"/>
      <c r="I27" s="190"/>
      <c r="J27" s="190"/>
    </row>
    <row r="28" spans="1:10" ht="15.75" hidden="1" outlineLevel="1">
      <c r="A28" s="219">
        <v>8</v>
      </c>
      <c r="B28" s="226" t="s">
        <v>678</v>
      </c>
      <c r="C28" s="227" t="s">
        <v>331</v>
      </c>
      <c r="D28" s="190"/>
      <c r="E28" s="190"/>
      <c r="F28" s="190"/>
      <c r="G28" s="190"/>
      <c r="H28" s="190"/>
      <c r="I28" s="190"/>
      <c r="J28" s="190"/>
    </row>
    <row r="29" spans="1:10" ht="15.75" hidden="1" outlineLevel="1">
      <c r="A29" s="219">
        <v>9</v>
      </c>
      <c r="B29" s="226" t="s">
        <v>679</v>
      </c>
      <c r="C29" s="227" t="s">
        <v>331</v>
      </c>
      <c r="D29" s="190"/>
      <c r="E29" s="190"/>
      <c r="F29" s="190"/>
      <c r="G29" s="190"/>
      <c r="H29" s="190"/>
      <c r="I29" s="190"/>
      <c r="J29" s="190"/>
    </row>
    <row r="30" spans="1:10" ht="31.5" hidden="1" outlineLevel="1">
      <c r="A30" s="219"/>
      <c r="B30" s="233" t="s">
        <v>680</v>
      </c>
      <c r="C30" s="227"/>
      <c r="D30" s="190"/>
      <c r="E30" s="190"/>
      <c r="F30" s="190"/>
      <c r="G30" s="190"/>
      <c r="H30" s="190"/>
      <c r="I30" s="190"/>
      <c r="J30" s="190"/>
    </row>
    <row r="31" spans="1:10" ht="15.75" hidden="1" outlineLevel="1">
      <c r="A31" s="219"/>
      <c r="B31" s="233" t="s">
        <v>492</v>
      </c>
      <c r="C31" s="227"/>
      <c r="D31" s="190"/>
      <c r="E31" s="190"/>
      <c r="F31" s="190"/>
      <c r="G31" s="190"/>
      <c r="H31" s="190"/>
      <c r="I31" s="190"/>
      <c r="J31" s="190"/>
    </row>
    <row r="32" spans="1:10" ht="15.75" hidden="1" outlineLevel="1">
      <c r="A32" s="219"/>
      <c r="B32" s="233" t="s">
        <v>681</v>
      </c>
      <c r="C32" s="227"/>
      <c r="D32" s="190"/>
      <c r="E32" s="190"/>
      <c r="F32" s="190"/>
      <c r="G32" s="190"/>
      <c r="H32" s="190"/>
      <c r="I32" s="190"/>
      <c r="J32" s="190"/>
    </row>
    <row r="33" spans="1:10" ht="15.75" hidden="1" outlineLevel="1">
      <c r="A33" s="219"/>
      <c r="B33" s="233" t="s">
        <v>682</v>
      </c>
      <c r="C33" s="227"/>
      <c r="D33" s="190"/>
      <c r="E33" s="190"/>
      <c r="F33" s="190"/>
      <c r="G33" s="190"/>
      <c r="H33" s="190"/>
      <c r="I33" s="190"/>
      <c r="J33" s="190"/>
    </row>
    <row r="34" spans="1:10" ht="15.75" hidden="1" outlineLevel="1">
      <c r="A34" s="219"/>
      <c r="B34" s="233" t="s">
        <v>663</v>
      </c>
      <c r="C34" s="227"/>
      <c r="D34" s="190"/>
      <c r="E34" s="190"/>
      <c r="F34" s="190"/>
      <c r="G34" s="190"/>
      <c r="H34" s="190"/>
      <c r="I34" s="190"/>
      <c r="J34" s="190"/>
    </row>
    <row r="35" spans="1:10" ht="15.75" hidden="1" outlineLevel="1">
      <c r="A35" s="219"/>
      <c r="B35" s="233" t="s">
        <v>683</v>
      </c>
      <c r="C35" s="227"/>
      <c r="D35" s="190"/>
      <c r="E35" s="190"/>
      <c r="F35" s="190"/>
      <c r="G35" s="190"/>
      <c r="H35" s="190"/>
      <c r="I35" s="190"/>
      <c r="J35" s="190"/>
    </row>
    <row r="36" spans="1:10" ht="15.75" hidden="1" outlineLevel="1">
      <c r="A36" s="219"/>
      <c r="B36" s="233" t="s">
        <v>684</v>
      </c>
      <c r="C36" s="227"/>
      <c r="D36" s="190"/>
      <c r="E36" s="190"/>
      <c r="F36" s="190"/>
      <c r="G36" s="190"/>
      <c r="H36" s="190"/>
      <c r="I36" s="190"/>
      <c r="J36" s="190"/>
    </row>
    <row r="37" spans="1:10" ht="31.5" hidden="1" outlineLevel="1">
      <c r="A37" s="219"/>
      <c r="B37" s="233" t="s">
        <v>685</v>
      </c>
      <c r="C37" s="227"/>
      <c r="D37" s="190"/>
      <c r="E37" s="190"/>
      <c r="F37" s="190"/>
      <c r="G37" s="190"/>
      <c r="H37" s="190"/>
      <c r="I37" s="190"/>
      <c r="J37" s="190"/>
    </row>
    <row r="38" spans="1:10" s="183" customFormat="1" ht="15.75" collapsed="1">
      <c r="A38" s="167"/>
      <c r="B38" s="204" t="s">
        <v>686</v>
      </c>
      <c r="C38" s="167"/>
      <c r="D38" s="281"/>
      <c r="E38" s="281"/>
      <c r="F38" s="281"/>
      <c r="G38" s="281"/>
      <c r="H38" s="281"/>
      <c r="I38" s="281"/>
      <c r="J38" s="281"/>
    </row>
    <row r="39" spans="1:10" ht="16.5" customHeight="1">
      <c r="A39" s="236" t="s">
        <v>38</v>
      </c>
      <c r="B39" s="237" t="s">
        <v>687</v>
      </c>
      <c r="C39" s="236"/>
      <c r="D39" s="282"/>
      <c r="E39" s="282"/>
      <c r="F39" s="282"/>
      <c r="G39" s="282"/>
      <c r="H39" s="282"/>
      <c r="I39" s="282"/>
      <c r="J39" s="282"/>
    </row>
    <row r="40" spans="1:10" s="193" customFormat="1" ht="19.5" customHeight="1">
      <c r="A40" s="260">
        <v>1</v>
      </c>
      <c r="B40" s="261" t="s">
        <v>710</v>
      </c>
      <c r="C40" s="260" t="s">
        <v>687</v>
      </c>
      <c r="D40" s="282">
        <v>6</v>
      </c>
      <c r="E40" s="282">
        <v>9</v>
      </c>
      <c r="F40" s="282">
        <v>8</v>
      </c>
      <c r="G40" s="282">
        <v>9</v>
      </c>
      <c r="H40" s="58">
        <f>IFERROR(G40/D40%,"")</f>
        <v>150</v>
      </c>
      <c r="I40" s="282">
        <v>11</v>
      </c>
      <c r="J40" s="58">
        <f>IFERROR(I40/G40%,"")</f>
        <v>122.22222222222223</v>
      </c>
    </row>
    <row r="41" spans="1:10" ht="19.5" customHeight="1">
      <c r="A41" s="260"/>
      <c r="B41" s="238" t="s">
        <v>70</v>
      </c>
      <c r="C41" s="260"/>
      <c r="D41" s="282"/>
      <c r="E41" s="282"/>
      <c r="F41" s="282"/>
      <c r="G41" s="282"/>
      <c r="H41" s="58" t="str">
        <f>IFERROR(G41/D41%,"")</f>
        <v/>
      </c>
      <c r="I41" s="282"/>
      <c r="J41" s="282"/>
    </row>
    <row r="42" spans="1:10" s="193" customFormat="1" ht="19.5" customHeight="1">
      <c r="A42" s="262" t="s">
        <v>155</v>
      </c>
      <c r="B42" s="261" t="s">
        <v>688</v>
      </c>
      <c r="C42" s="260" t="s">
        <v>687</v>
      </c>
      <c r="D42" s="282">
        <v>3</v>
      </c>
      <c r="E42" s="282">
        <v>3</v>
      </c>
      <c r="F42" s="282">
        <v>3</v>
      </c>
      <c r="G42" s="282">
        <v>3</v>
      </c>
      <c r="H42" s="58">
        <f>IFERROR(G42/D42%,"")</f>
        <v>100</v>
      </c>
      <c r="I42" s="282">
        <v>3</v>
      </c>
      <c r="J42" s="58">
        <f>IFERROR(I42/G42%,"")</f>
        <v>100</v>
      </c>
    </row>
    <row r="43" spans="1:10" ht="19.5" customHeight="1">
      <c r="A43" s="262" t="s">
        <v>155</v>
      </c>
      <c r="B43" s="261" t="s">
        <v>689</v>
      </c>
      <c r="C43" s="260" t="s">
        <v>687</v>
      </c>
      <c r="D43" s="282"/>
      <c r="E43" s="282"/>
      <c r="F43" s="282"/>
      <c r="G43" s="282"/>
      <c r="H43" s="282"/>
      <c r="I43" s="282"/>
      <c r="J43" s="282"/>
    </row>
    <row r="44" spans="1:10" s="193" customFormat="1" ht="19.5" customHeight="1">
      <c r="A44" s="260">
        <v>2</v>
      </c>
      <c r="B44" s="261" t="s">
        <v>690</v>
      </c>
      <c r="C44" s="260" t="s">
        <v>73</v>
      </c>
      <c r="D44" s="282">
        <v>89</v>
      </c>
      <c r="E44" s="282">
        <v>110</v>
      </c>
      <c r="F44" s="282">
        <v>110</v>
      </c>
      <c r="G44" s="282">
        <v>111</v>
      </c>
      <c r="H44" s="58">
        <f>IFERROR(G44/D44%,"")</f>
        <v>124.71910112359551</v>
      </c>
      <c r="I44" s="282">
        <v>132</v>
      </c>
      <c r="J44" s="58">
        <f>IFERROR(I44/G44%,"")</f>
        <v>118.91891891891891</v>
      </c>
    </row>
    <row r="45" spans="1:10" ht="19.5" hidden="1" customHeight="1" outlineLevel="1">
      <c r="A45" s="260">
        <v>3</v>
      </c>
      <c r="B45" s="261" t="s">
        <v>691</v>
      </c>
      <c r="C45" s="260" t="s">
        <v>73</v>
      </c>
      <c r="D45" s="282"/>
      <c r="E45" s="282"/>
      <c r="F45" s="282"/>
      <c r="G45" s="282"/>
      <c r="H45" s="282"/>
      <c r="I45" s="282"/>
      <c r="J45" s="282"/>
    </row>
    <row r="46" spans="1:10" s="193" customFormat="1" ht="29.25" hidden="1" customHeight="1" outlineLevel="1">
      <c r="A46" s="260"/>
      <c r="B46" s="238" t="s">
        <v>692</v>
      </c>
      <c r="C46" s="260" t="s">
        <v>73</v>
      </c>
      <c r="D46" s="282"/>
      <c r="E46" s="282"/>
      <c r="F46" s="282"/>
      <c r="G46" s="282"/>
      <c r="H46" s="282"/>
      <c r="I46" s="282"/>
      <c r="J46" s="282"/>
    </row>
    <row r="47" spans="1:10" s="193" customFormat="1" ht="19.5" hidden="1" customHeight="1" outlineLevel="1">
      <c r="A47" s="260">
        <v>4</v>
      </c>
      <c r="B47" s="261" t="s">
        <v>693</v>
      </c>
      <c r="C47" s="260" t="s">
        <v>331</v>
      </c>
      <c r="D47" s="282"/>
      <c r="E47" s="282"/>
      <c r="F47" s="282"/>
      <c r="G47" s="282"/>
      <c r="H47" s="282"/>
      <c r="I47" s="282"/>
      <c r="J47" s="282"/>
    </row>
    <row r="48" spans="1:10" s="193" customFormat="1" ht="19.5" hidden="1" customHeight="1" outlineLevel="1">
      <c r="A48" s="260"/>
      <c r="B48" s="267" t="s">
        <v>694</v>
      </c>
      <c r="C48" s="239" t="s">
        <v>331</v>
      </c>
      <c r="D48" s="282"/>
      <c r="E48" s="282"/>
      <c r="F48" s="282"/>
      <c r="G48" s="282"/>
      <c r="H48" s="282"/>
      <c r="I48" s="282"/>
      <c r="J48" s="282"/>
    </row>
    <row r="49" spans="1:10" s="240" customFormat="1" ht="19.5" hidden="1" customHeight="1" outlineLevel="1">
      <c r="A49" s="260">
        <v>5</v>
      </c>
      <c r="B49" s="263" t="s">
        <v>695</v>
      </c>
      <c r="C49" s="260" t="s">
        <v>331</v>
      </c>
      <c r="D49" s="283"/>
      <c r="E49" s="283"/>
      <c r="F49" s="283"/>
      <c r="G49" s="283"/>
      <c r="H49" s="283"/>
      <c r="I49" s="283"/>
      <c r="J49" s="283"/>
    </row>
    <row r="50" spans="1:10" ht="19.5" hidden="1" customHeight="1" outlineLevel="1">
      <c r="A50" s="236" t="s">
        <v>39</v>
      </c>
      <c r="B50" s="237" t="s">
        <v>696</v>
      </c>
      <c r="C50" s="260"/>
      <c r="D50" s="282"/>
      <c r="E50" s="282"/>
      <c r="F50" s="282"/>
      <c r="G50" s="282"/>
      <c r="H50" s="282"/>
      <c r="I50" s="282"/>
      <c r="J50" s="282"/>
    </row>
    <row r="51" spans="1:10" ht="31.5" hidden="1" outlineLevel="1">
      <c r="A51" s="262" t="s">
        <v>155</v>
      </c>
      <c r="B51" s="261" t="s">
        <v>697</v>
      </c>
      <c r="C51" s="260" t="s">
        <v>696</v>
      </c>
      <c r="D51" s="282"/>
      <c r="E51" s="282"/>
      <c r="F51" s="282"/>
      <c r="G51" s="282"/>
      <c r="H51" s="282"/>
      <c r="I51" s="282"/>
      <c r="J51" s="282"/>
    </row>
    <row r="52" spans="1:10" s="193" customFormat="1" ht="31.5" hidden="1" outlineLevel="1">
      <c r="A52" s="260"/>
      <c r="B52" s="264" t="s">
        <v>698</v>
      </c>
      <c r="C52" s="260" t="s">
        <v>696</v>
      </c>
      <c r="D52" s="282"/>
      <c r="E52" s="282"/>
      <c r="F52" s="282"/>
      <c r="G52" s="282"/>
      <c r="H52" s="282"/>
      <c r="I52" s="282"/>
      <c r="J52" s="282"/>
    </row>
    <row r="53" spans="1:10" ht="15.75" collapsed="1">
      <c r="A53" s="236" t="s">
        <v>39</v>
      </c>
      <c r="B53" s="237" t="s">
        <v>699</v>
      </c>
      <c r="C53" s="236"/>
      <c r="D53" s="282"/>
      <c r="E53" s="282"/>
      <c r="F53" s="282"/>
      <c r="G53" s="282"/>
      <c r="H53" s="282"/>
      <c r="I53" s="282"/>
      <c r="J53" s="282"/>
    </row>
    <row r="54" spans="1:10" ht="19.5" customHeight="1">
      <c r="A54" s="260">
        <v>1</v>
      </c>
      <c r="B54" s="261" t="s">
        <v>700</v>
      </c>
      <c r="C54" s="260" t="s">
        <v>701</v>
      </c>
      <c r="D54" s="282">
        <v>10</v>
      </c>
      <c r="E54" s="282">
        <v>14</v>
      </c>
      <c r="F54" s="282">
        <v>10</v>
      </c>
      <c r="G54" s="282">
        <f>E54</f>
        <v>14</v>
      </c>
      <c r="H54" s="58">
        <f>IFERROR(G54/D54%,"")</f>
        <v>140</v>
      </c>
      <c r="I54" s="282">
        <v>20</v>
      </c>
      <c r="J54" s="58">
        <f>IFERROR(I54/G54%,"")</f>
        <v>142.85714285714283</v>
      </c>
    </row>
    <row r="55" spans="1:10" s="193" customFormat="1" ht="19.5" customHeight="1">
      <c r="A55" s="260"/>
      <c r="B55" s="261" t="s">
        <v>702</v>
      </c>
      <c r="C55" s="260" t="s">
        <v>701</v>
      </c>
      <c r="D55" s="282">
        <v>10</v>
      </c>
      <c r="E55" s="282">
        <v>14</v>
      </c>
      <c r="F55" s="282">
        <v>10</v>
      </c>
      <c r="G55" s="282">
        <f>E55</f>
        <v>14</v>
      </c>
      <c r="H55" s="58">
        <f>IFERROR(G55/D55%,"")</f>
        <v>140</v>
      </c>
      <c r="I55" s="282">
        <v>20</v>
      </c>
      <c r="J55" s="58">
        <f>IFERROR(I55/G55%,"")</f>
        <v>142.85714285714283</v>
      </c>
    </row>
    <row r="56" spans="1:10" ht="19.5" customHeight="1">
      <c r="A56" s="260">
        <v>2</v>
      </c>
      <c r="B56" s="261" t="s">
        <v>703</v>
      </c>
      <c r="C56" s="260" t="s">
        <v>704</v>
      </c>
      <c r="D56" s="282">
        <v>47</v>
      </c>
      <c r="E56" s="282">
        <f>E55*5</f>
        <v>70</v>
      </c>
      <c r="F56" s="282">
        <v>47</v>
      </c>
      <c r="G56" s="282">
        <f>E56</f>
        <v>70</v>
      </c>
      <c r="H56" s="58">
        <f>IFERROR(G56/D56%,"")</f>
        <v>148.93617021276597</v>
      </c>
      <c r="I56" s="282">
        <f>I55*5</f>
        <v>100</v>
      </c>
      <c r="J56" s="58">
        <f>IFERROR(I56/G56%,"")</f>
        <v>142.85714285714286</v>
      </c>
    </row>
    <row r="57" spans="1:10" ht="15.75">
      <c r="A57" s="265"/>
      <c r="B57" s="265"/>
      <c r="C57" s="265"/>
      <c r="D57" s="278"/>
      <c r="E57" s="278"/>
      <c r="F57" s="278"/>
      <c r="G57" s="278"/>
      <c r="H57" s="278"/>
      <c r="I57" s="278"/>
      <c r="J57" s="278"/>
    </row>
  </sheetData>
  <mergeCells count="9">
    <mergeCell ref="A2:J2"/>
    <mergeCell ref="A3:J3"/>
    <mergeCell ref="A5:A6"/>
    <mergeCell ref="B5:B6"/>
    <mergeCell ref="C5:C6"/>
    <mergeCell ref="D5:D6"/>
    <mergeCell ref="E5:H5"/>
    <mergeCell ref="I5:I6"/>
    <mergeCell ref="J5:J6"/>
  </mergeCells>
  <pageMargins left="0.39370078740157483" right="0.19685039370078741" top="0.59055118110236227" bottom="0.39370078740157483" header="0.31496062992125984" footer="0.19685039370078741"/>
  <pageSetup paperSize="9" scale="8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195"/>
  <sheetViews>
    <sheetView zoomScale="85" zoomScaleNormal="85" zoomScaleSheetLayoutView="100" workbookViewId="0">
      <pane xSplit="2" ySplit="7" topLeftCell="C110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9.140625" defaultRowHeight="15.75" outlineLevelRow="1" outlineLevelCol="1"/>
  <cols>
    <col min="1" max="1" width="5.5703125" style="65" customWidth="1"/>
    <col min="2" max="2" width="41.7109375" style="5" customWidth="1"/>
    <col min="3" max="3" width="12.5703125" style="65" customWidth="1"/>
    <col min="4" max="5" width="12.140625" style="5" hidden="1" customWidth="1" outlineLevel="1"/>
    <col min="6" max="6" width="12.42578125" style="5" customWidth="1" collapsed="1"/>
    <col min="7" max="9" width="12.42578125" style="5" customWidth="1"/>
    <col min="10" max="10" width="10" style="5" bestFit="1" customWidth="1"/>
    <col min="11" max="11" width="11.85546875" style="5" bestFit="1" customWidth="1"/>
    <col min="12" max="16384" width="9.140625" style="5"/>
  </cols>
  <sheetData>
    <row r="1" spans="1:11" ht="18.75" hidden="1" outlineLevel="1">
      <c r="A1" s="768" t="s">
        <v>166</v>
      </c>
      <c r="B1" s="768"/>
      <c r="C1" s="768"/>
      <c r="D1" s="768"/>
      <c r="E1" s="768"/>
      <c r="F1" s="768"/>
      <c r="G1" s="768"/>
      <c r="H1" s="768"/>
      <c r="I1" s="768"/>
    </row>
    <row r="2" spans="1:11" ht="18.75" hidden="1" outlineLevel="1">
      <c r="A2" s="769" t="s">
        <v>717</v>
      </c>
      <c r="B2" s="769"/>
      <c r="C2" s="769"/>
      <c r="D2" s="769"/>
      <c r="E2" s="769"/>
      <c r="F2" s="769"/>
      <c r="G2" s="769"/>
      <c r="H2" s="769"/>
      <c r="I2" s="769"/>
    </row>
    <row r="3" spans="1:11" ht="16.5" hidden="1" outlineLevel="1">
      <c r="A3" s="796" t="s">
        <v>400</v>
      </c>
      <c r="B3" s="796"/>
      <c r="C3" s="796"/>
      <c r="D3" s="796"/>
      <c r="E3" s="796"/>
      <c r="F3" s="796"/>
      <c r="G3" s="796"/>
      <c r="H3" s="796"/>
      <c r="I3" s="796"/>
    </row>
    <row r="4" spans="1:11" hidden="1" outlineLevel="1">
      <c r="A4" s="7"/>
      <c r="B4" s="2"/>
      <c r="C4" s="8"/>
      <c r="D4" s="2"/>
      <c r="E4" s="2"/>
      <c r="F4" s="2"/>
      <c r="G4" s="2"/>
      <c r="H4" s="2"/>
    </row>
    <row r="5" spans="1:11" ht="16.5" customHeight="1" collapsed="1">
      <c r="A5" s="764" t="s">
        <v>55</v>
      </c>
      <c r="B5" s="766" t="s">
        <v>69</v>
      </c>
      <c r="C5" s="766" t="s">
        <v>18</v>
      </c>
      <c r="D5" s="766" t="s">
        <v>361</v>
      </c>
      <c r="E5" s="766" t="s">
        <v>415</v>
      </c>
      <c r="F5" s="797" t="s">
        <v>387</v>
      </c>
      <c r="G5" s="772" t="s">
        <v>718</v>
      </c>
      <c r="H5" s="766" t="s">
        <v>438</v>
      </c>
      <c r="I5" s="766" t="s">
        <v>75</v>
      </c>
    </row>
    <row r="6" spans="1:11">
      <c r="A6" s="765"/>
      <c r="B6" s="767"/>
      <c r="C6" s="767"/>
      <c r="D6" s="767"/>
      <c r="E6" s="767"/>
      <c r="F6" s="798"/>
      <c r="G6" s="771"/>
      <c r="H6" s="767"/>
      <c r="I6" s="767"/>
    </row>
    <row r="7" spans="1:11">
      <c r="A7" s="287">
        <v>1</v>
      </c>
      <c r="B7" s="287">
        <v>2</v>
      </c>
      <c r="C7" s="287">
        <v>3</v>
      </c>
      <c r="D7" s="287"/>
      <c r="E7" s="287"/>
      <c r="F7" s="287">
        <v>4</v>
      </c>
      <c r="G7" s="287">
        <v>5</v>
      </c>
      <c r="H7" s="287" t="s">
        <v>453</v>
      </c>
      <c r="I7" s="287">
        <v>7</v>
      </c>
    </row>
    <row r="8" spans="1:11" ht="23.25" customHeight="1">
      <c r="A8" s="118"/>
      <c r="B8" s="119" t="s">
        <v>167</v>
      </c>
      <c r="C8" s="118"/>
      <c r="D8" s="120"/>
      <c r="E8" s="118"/>
      <c r="F8" s="118"/>
      <c r="G8" s="118"/>
      <c r="H8" s="121"/>
      <c r="I8" s="128"/>
    </row>
    <row r="9" spans="1:11" ht="21" customHeight="1" collapsed="1">
      <c r="A9" s="106" t="s">
        <v>40</v>
      </c>
      <c r="B9" s="107" t="s">
        <v>332</v>
      </c>
      <c r="C9" s="108"/>
      <c r="D9" s="109"/>
      <c r="E9" s="109"/>
      <c r="F9" s="109"/>
      <c r="G9" s="109"/>
      <c r="H9" s="110"/>
      <c r="I9" s="110"/>
      <c r="J9" s="14"/>
    </row>
    <row r="10" spans="1:11" s="18" customFormat="1" ht="25.5" customHeight="1">
      <c r="A10" s="11" t="s">
        <v>38</v>
      </c>
      <c r="B10" s="15" t="s">
        <v>172</v>
      </c>
      <c r="C10" s="12" t="s">
        <v>130</v>
      </c>
      <c r="D10" s="16">
        <v>347871</v>
      </c>
      <c r="E10" s="16">
        <v>313038</v>
      </c>
      <c r="F10" s="16">
        <v>277205</v>
      </c>
      <c r="G10" s="16"/>
      <c r="H10" s="66">
        <f t="shared" ref="H10:H73" si="0">IFERROR(G10/F10%,"")</f>
        <v>0</v>
      </c>
      <c r="I10" s="83"/>
      <c r="J10" s="17"/>
    </row>
    <row r="11" spans="1:11" ht="21" customHeight="1">
      <c r="A11" s="19" t="s">
        <v>155</v>
      </c>
      <c r="B11" s="20" t="s">
        <v>173</v>
      </c>
      <c r="C11" s="21" t="s">
        <v>130</v>
      </c>
      <c r="D11" s="22">
        <v>90496</v>
      </c>
      <c r="E11" s="22">
        <v>104622</v>
      </c>
      <c r="F11" s="22">
        <v>82860</v>
      </c>
      <c r="G11" s="22"/>
      <c r="H11" s="58">
        <f t="shared" si="0"/>
        <v>0</v>
      </c>
      <c r="I11" s="3"/>
      <c r="J11" s="14"/>
    </row>
    <row r="12" spans="1:11" s="42" customFormat="1" ht="21" customHeight="1">
      <c r="A12" s="71"/>
      <c r="B12" s="62" t="s">
        <v>455</v>
      </c>
      <c r="C12" s="41" t="s">
        <v>130</v>
      </c>
      <c r="D12" s="72">
        <v>84999</v>
      </c>
      <c r="E12" s="72">
        <v>71796</v>
      </c>
      <c r="F12" s="72">
        <v>70788</v>
      </c>
      <c r="G12" s="72"/>
      <c r="H12" s="85">
        <f t="shared" si="0"/>
        <v>0</v>
      </c>
      <c r="I12" s="84"/>
      <c r="J12" s="14"/>
      <c r="K12" s="138"/>
    </row>
    <row r="13" spans="1:11" s="18" customFormat="1" ht="20.25" customHeight="1">
      <c r="A13" s="11" t="s">
        <v>39</v>
      </c>
      <c r="B13" s="15" t="s">
        <v>174</v>
      </c>
      <c r="C13" s="12" t="s">
        <v>130</v>
      </c>
      <c r="D13" s="16">
        <v>308217</v>
      </c>
      <c r="E13" s="16">
        <v>300633</v>
      </c>
      <c r="F13" s="16">
        <v>265133</v>
      </c>
      <c r="G13" s="16"/>
      <c r="H13" s="66">
        <f t="shared" si="0"/>
        <v>0</v>
      </c>
      <c r="I13" s="83"/>
      <c r="J13" s="17"/>
    </row>
    <row r="14" spans="1:11" ht="24" customHeight="1">
      <c r="A14" s="19" t="s">
        <v>155</v>
      </c>
      <c r="B14" s="20" t="s">
        <v>175</v>
      </c>
      <c r="C14" s="21" t="s">
        <v>130</v>
      </c>
      <c r="D14" s="22">
        <v>239615</v>
      </c>
      <c r="E14" s="22">
        <v>264543</v>
      </c>
      <c r="F14" s="22">
        <v>232779</v>
      </c>
      <c r="G14" s="22"/>
      <c r="H14" s="58">
        <f t="shared" si="0"/>
        <v>0</v>
      </c>
      <c r="I14" s="3"/>
      <c r="J14" s="14"/>
    </row>
    <row r="15" spans="1:11" ht="20.25" customHeight="1">
      <c r="A15" s="106" t="s">
        <v>43</v>
      </c>
      <c r="B15" s="111" t="s">
        <v>177</v>
      </c>
      <c r="C15" s="112"/>
      <c r="D15" s="113"/>
      <c r="E15" s="113"/>
      <c r="F15" s="113"/>
      <c r="G15" s="113"/>
      <c r="H15" s="110" t="str">
        <f t="shared" si="0"/>
        <v/>
      </c>
      <c r="I15" s="110"/>
    </row>
    <row r="16" spans="1:11" ht="20.25" customHeight="1">
      <c r="A16" s="32" t="s">
        <v>56</v>
      </c>
      <c r="B16" s="35" t="s">
        <v>401</v>
      </c>
      <c r="C16" s="32" t="s">
        <v>37</v>
      </c>
      <c r="D16" s="29">
        <f>D17+D70</f>
        <v>17898.73</v>
      </c>
      <c r="E16" s="29">
        <f>E17+E70</f>
        <v>17734.400000000001</v>
      </c>
      <c r="F16" s="29">
        <f>F17+F70</f>
        <v>18028.099999999999</v>
      </c>
      <c r="G16" s="29">
        <f>G17+G70</f>
        <v>17365.57</v>
      </c>
      <c r="H16" s="58">
        <f t="shared" si="0"/>
        <v>96.325014837947435</v>
      </c>
      <c r="I16" s="3"/>
    </row>
    <row r="17" spans="1:11" ht="17.25" customHeight="1">
      <c r="A17" s="11" t="s">
        <v>38</v>
      </c>
      <c r="B17" s="30" t="s">
        <v>439</v>
      </c>
      <c r="C17" s="11" t="s">
        <v>37</v>
      </c>
      <c r="D17" s="27">
        <f>D20+D49+D56+D52+D65</f>
        <v>8084.73</v>
      </c>
      <c r="E17" s="27">
        <f>E20+E49+E56+E52+E65</f>
        <v>7662.8</v>
      </c>
      <c r="F17" s="27">
        <f>F20+F49+F56+F52+F65</f>
        <v>7906</v>
      </c>
      <c r="G17" s="27">
        <f>G20+G49+G56+G52+G65</f>
        <v>7034.8700000000008</v>
      </c>
      <c r="H17" s="66">
        <f t="shared" si="0"/>
        <v>88.981406526688602</v>
      </c>
      <c r="I17" s="3"/>
      <c r="K17" s="77"/>
    </row>
    <row r="18" spans="1:11" ht="17.25" customHeight="1">
      <c r="A18" s="32" t="s">
        <v>56</v>
      </c>
      <c r="B18" s="35" t="s">
        <v>504</v>
      </c>
      <c r="C18" s="32" t="s">
        <v>37</v>
      </c>
      <c r="D18" s="29"/>
      <c r="E18" s="29"/>
      <c r="F18" s="29">
        <f>F28+F43+F52+F59</f>
        <v>747</v>
      </c>
      <c r="G18" s="29">
        <f>G28+G43+G52+G59</f>
        <v>743.77</v>
      </c>
      <c r="H18" s="58">
        <f t="shared" si="0"/>
        <v>99.567603748326647</v>
      </c>
      <c r="I18" s="3"/>
      <c r="K18" s="77"/>
    </row>
    <row r="19" spans="1:11" ht="17.25" customHeight="1">
      <c r="A19" s="32" t="s">
        <v>56</v>
      </c>
      <c r="B19" s="35" t="s">
        <v>503</v>
      </c>
      <c r="C19" s="32" t="s">
        <v>37</v>
      </c>
      <c r="D19" s="29"/>
      <c r="E19" s="29"/>
      <c r="F19" s="29">
        <f>F31+F46+F49+F62</f>
        <v>7127</v>
      </c>
      <c r="G19" s="29">
        <f>G31+G46+G49+G62</f>
        <v>6277.1</v>
      </c>
      <c r="H19" s="58">
        <f t="shared" si="0"/>
        <v>88.074926336466973</v>
      </c>
      <c r="I19" s="3"/>
      <c r="K19" s="77"/>
    </row>
    <row r="20" spans="1:11" s="18" customFormat="1" ht="17.25" customHeight="1">
      <c r="A20" s="11">
        <v>1</v>
      </c>
      <c r="B20" s="30" t="s">
        <v>22</v>
      </c>
      <c r="C20" s="11" t="s">
        <v>37</v>
      </c>
      <c r="D20" s="27">
        <f>D25+D40</f>
        <v>1649.23</v>
      </c>
      <c r="E20" s="27">
        <f>E25+E40</f>
        <v>1641.6</v>
      </c>
      <c r="F20" s="27">
        <f>F25+F40</f>
        <v>1614</v>
      </c>
      <c r="G20" s="27">
        <f>G25+G40</f>
        <v>1533.67</v>
      </c>
      <c r="H20" s="66">
        <f t="shared" si="0"/>
        <v>95.022924411400254</v>
      </c>
      <c r="I20" s="83"/>
      <c r="K20" s="177"/>
    </row>
    <row r="21" spans="1:11" ht="17.25" customHeight="1">
      <c r="A21" s="32" t="s">
        <v>56</v>
      </c>
      <c r="B21" s="35" t="s">
        <v>23</v>
      </c>
      <c r="C21" s="34" t="s">
        <v>20</v>
      </c>
      <c r="D21" s="29">
        <f>SUM(D22:D23)</f>
        <v>6733.6763900000005</v>
      </c>
      <c r="E21" s="29">
        <f>SUM(E22:E23)</f>
        <v>7129.6886000000004</v>
      </c>
      <c r="F21" s="29">
        <f>SUM(F22:F23)</f>
        <v>7071.0429999999997</v>
      </c>
      <c r="G21" s="29">
        <f>SUM(G22:G23)</f>
        <v>2859.4050999999999</v>
      </c>
      <c r="H21" s="58">
        <f t="shared" si="0"/>
        <v>40.438236622235216</v>
      </c>
      <c r="I21" s="3"/>
    </row>
    <row r="22" spans="1:11" ht="17.25" customHeight="1">
      <c r="A22" s="32"/>
      <c r="B22" s="33" t="s">
        <v>24</v>
      </c>
      <c r="C22" s="34" t="s">
        <v>76</v>
      </c>
      <c r="D22" s="29">
        <f>D27</f>
        <v>6298.7078300000003</v>
      </c>
      <c r="E22" s="29">
        <f>E27</f>
        <v>6644.7176000000009</v>
      </c>
      <c r="F22" s="29">
        <f>F27</f>
        <v>6644.5429999999997</v>
      </c>
      <c r="G22" s="29">
        <f>G27</f>
        <v>2714.4050999999999</v>
      </c>
      <c r="H22" s="58">
        <f t="shared" si="0"/>
        <v>40.851644725604153</v>
      </c>
      <c r="I22" s="3"/>
    </row>
    <row r="23" spans="1:11" ht="17.25" customHeight="1">
      <c r="A23" s="32"/>
      <c r="B23" s="35" t="s">
        <v>137</v>
      </c>
      <c r="C23" s="34" t="s">
        <v>76</v>
      </c>
      <c r="D23" s="29">
        <f>D42</f>
        <v>434.96856000000002</v>
      </c>
      <c r="E23" s="29">
        <f>E42</f>
        <v>484.97099999999995</v>
      </c>
      <c r="F23" s="29">
        <f>F42</f>
        <v>426.5</v>
      </c>
      <c r="G23" s="29">
        <f>G42</f>
        <v>145</v>
      </c>
      <c r="H23" s="58">
        <f t="shared" si="0"/>
        <v>33.997655334114889</v>
      </c>
      <c r="I23" s="3"/>
    </row>
    <row r="24" spans="1:11" ht="17.25" customHeight="1">
      <c r="A24" s="32" t="s">
        <v>56</v>
      </c>
      <c r="B24" s="35" t="s">
        <v>25</v>
      </c>
      <c r="C24" s="32" t="s">
        <v>57</v>
      </c>
      <c r="D24" s="29">
        <f>D21/D130*1000</f>
        <v>150.81697702024726</v>
      </c>
      <c r="E24" s="29">
        <f>E21/E130*1000</f>
        <v>155.51047178659456</v>
      </c>
      <c r="F24" s="29">
        <f>F21/F130*1000</f>
        <v>150.60152922133241</v>
      </c>
      <c r="G24" s="29" t="str">
        <f>IFERROR(G21/G130*1000,"")</f>
        <v/>
      </c>
      <c r="H24" s="58" t="str">
        <f t="shared" si="0"/>
        <v/>
      </c>
      <c r="I24" s="3"/>
    </row>
    <row r="25" spans="1:11" s="18" customFormat="1" ht="17.25" customHeight="1">
      <c r="A25" s="11" t="s">
        <v>34</v>
      </c>
      <c r="B25" s="44" t="s">
        <v>440</v>
      </c>
      <c r="C25" s="11" t="s">
        <v>37</v>
      </c>
      <c r="D25" s="16">
        <f>D28+D31</f>
        <v>1558.31</v>
      </c>
      <c r="E25" s="16">
        <f>E28+E31</f>
        <v>1540</v>
      </c>
      <c r="F25" s="16">
        <f>F28+F31</f>
        <v>1531</v>
      </c>
      <c r="G25" s="16">
        <f>G28+G31</f>
        <v>1464.67</v>
      </c>
      <c r="H25" s="66">
        <f t="shared" si="0"/>
        <v>95.667537557152187</v>
      </c>
      <c r="I25" s="83"/>
    </row>
    <row r="26" spans="1:11" ht="17.25" customHeight="1">
      <c r="A26" s="32"/>
      <c r="B26" s="37" t="s">
        <v>27</v>
      </c>
      <c r="C26" s="34" t="s">
        <v>21</v>
      </c>
      <c r="D26" s="38">
        <f>D27/D25*10</f>
        <v>40.420120707689748</v>
      </c>
      <c r="E26" s="38">
        <f>E27/E25*10</f>
        <v>43.147516883116886</v>
      </c>
      <c r="F26" s="38">
        <f>F27/F25*10</f>
        <v>43.400019595035921</v>
      </c>
      <c r="G26" s="38">
        <f>G27/G25*10</f>
        <v>18.532537021991299</v>
      </c>
      <c r="H26" s="58">
        <f t="shared" si="0"/>
        <v>42.701678927608235</v>
      </c>
      <c r="I26" s="3"/>
    </row>
    <row r="27" spans="1:11" ht="17.25" customHeight="1">
      <c r="A27" s="32"/>
      <c r="B27" s="37" t="s">
        <v>28</v>
      </c>
      <c r="C27" s="34" t="s">
        <v>76</v>
      </c>
      <c r="D27" s="22">
        <f>D30+D33</f>
        <v>6298.7078300000003</v>
      </c>
      <c r="E27" s="22">
        <f>E30+E33</f>
        <v>6644.7176000000009</v>
      </c>
      <c r="F27" s="22">
        <f>F30+F33</f>
        <v>6644.5429999999997</v>
      </c>
      <c r="G27" s="22">
        <f>G30+G33</f>
        <v>2714.4050999999999</v>
      </c>
      <c r="H27" s="58">
        <f t="shared" si="0"/>
        <v>40.851644725604153</v>
      </c>
      <c r="I27" s="3"/>
    </row>
    <row r="28" spans="1:11" ht="17.25" customHeight="1">
      <c r="A28" s="32" t="s">
        <v>420</v>
      </c>
      <c r="B28" s="116" t="s">
        <v>441</v>
      </c>
      <c r="C28" s="32" t="s">
        <v>37</v>
      </c>
      <c r="D28" s="22">
        <v>597.30999999999995</v>
      </c>
      <c r="E28" s="137">
        <v>570.5</v>
      </c>
      <c r="F28" s="59">
        <v>571</v>
      </c>
      <c r="G28" s="59">
        <v>573.87</v>
      </c>
      <c r="H28" s="58">
        <f t="shared" si="0"/>
        <v>100.50262697022767</v>
      </c>
      <c r="I28" s="3"/>
    </row>
    <row r="29" spans="1:11" ht="17.25" customHeight="1">
      <c r="A29" s="32"/>
      <c r="B29" s="116" t="s">
        <v>27</v>
      </c>
      <c r="C29" s="34" t="s">
        <v>21</v>
      </c>
      <c r="D29" s="25">
        <v>39.33</v>
      </c>
      <c r="E29" s="38">
        <v>47.2</v>
      </c>
      <c r="F29" s="58">
        <v>47.33</v>
      </c>
      <c r="G29" s="58">
        <v>47.3</v>
      </c>
      <c r="H29" s="58">
        <f t="shared" si="0"/>
        <v>99.936615254595395</v>
      </c>
      <c r="I29" s="3"/>
    </row>
    <row r="30" spans="1:11" ht="17.25" customHeight="1">
      <c r="A30" s="32"/>
      <c r="B30" s="117" t="s">
        <v>28</v>
      </c>
      <c r="C30" s="34" t="s">
        <v>76</v>
      </c>
      <c r="D30" s="22">
        <f>D28*D29/10</f>
        <v>2349.2202299999999</v>
      </c>
      <c r="E30" s="22">
        <f>E28*E29/10</f>
        <v>2692.76</v>
      </c>
      <c r="F30" s="22">
        <f>F28*F29/10</f>
        <v>2702.5430000000001</v>
      </c>
      <c r="G30" s="22">
        <f>G28*G29/10</f>
        <v>2714.4050999999999</v>
      </c>
      <c r="H30" s="58">
        <f t="shared" si="0"/>
        <v>100.43892363599765</v>
      </c>
      <c r="I30" s="3"/>
    </row>
    <row r="31" spans="1:11" ht="17.25" customHeight="1">
      <c r="A31" s="32" t="s">
        <v>421</v>
      </c>
      <c r="B31" s="116" t="s">
        <v>442</v>
      </c>
      <c r="C31" s="32" t="s">
        <v>37</v>
      </c>
      <c r="D31" s="22">
        <f>D34+D37</f>
        <v>961</v>
      </c>
      <c r="E31" s="29">
        <f>E34+E37</f>
        <v>969.5</v>
      </c>
      <c r="F31" s="29">
        <f>F34+F37</f>
        <v>960</v>
      </c>
      <c r="G31" s="29">
        <f>G34+G37</f>
        <v>890.8</v>
      </c>
      <c r="H31" s="58">
        <f t="shared" si="0"/>
        <v>92.791666666666671</v>
      </c>
      <c r="I31" s="3"/>
    </row>
    <row r="32" spans="1:11" ht="17.25" customHeight="1">
      <c r="A32" s="32"/>
      <c r="B32" s="117" t="s">
        <v>27</v>
      </c>
      <c r="C32" s="34" t="s">
        <v>21</v>
      </c>
      <c r="D32" s="38">
        <f>D33/D31*10</f>
        <v>41.097685744016658</v>
      </c>
      <c r="E32" s="28">
        <f>E33/E31*10</f>
        <v>40.762842702423939</v>
      </c>
      <c r="F32" s="28">
        <f>F33/F31*10</f>
        <v>41.0625</v>
      </c>
      <c r="G32" s="28">
        <f>G33/G31*10</f>
        <v>0</v>
      </c>
      <c r="H32" s="58">
        <f t="shared" si="0"/>
        <v>0</v>
      </c>
      <c r="I32" s="3"/>
    </row>
    <row r="33" spans="1:9" ht="17.25" customHeight="1">
      <c r="A33" s="32"/>
      <c r="B33" s="117" t="s">
        <v>28</v>
      </c>
      <c r="C33" s="34" t="s">
        <v>76</v>
      </c>
      <c r="D33" s="22">
        <f>D36+D39</f>
        <v>3949.4876000000004</v>
      </c>
      <c r="E33" s="29">
        <f>E36+E39</f>
        <v>3951.9576000000006</v>
      </c>
      <c r="F33" s="29">
        <f>F36+F39</f>
        <v>3942</v>
      </c>
      <c r="G33" s="29">
        <f>G36+G39</f>
        <v>0</v>
      </c>
      <c r="H33" s="58">
        <f t="shared" si="0"/>
        <v>0</v>
      </c>
      <c r="I33" s="3"/>
    </row>
    <row r="34" spans="1:9" ht="17.25" customHeight="1">
      <c r="A34" s="32"/>
      <c r="B34" s="114" t="s">
        <v>443</v>
      </c>
      <c r="C34" s="32" t="s">
        <v>37</v>
      </c>
      <c r="D34" s="22">
        <v>906.4</v>
      </c>
      <c r="E34" s="38">
        <v>903.3</v>
      </c>
      <c r="F34" s="22">
        <v>900</v>
      </c>
      <c r="G34" s="22">
        <v>796.8</v>
      </c>
      <c r="H34" s="58">
        <f t="shared" si="0"/>
        <v>88.533333333333331</v>
      </c>
      <c r="I34" s="3"/>
    </row>
    <row r="35" spans="1:9" ht="17.25" customHeight="1">
      <c r="A35" s="32"/>
      <c r="B35" s="115" t="s">
        <v>27</v>
      </c>
      <c r="C35" s="34" t="s">
        <v>21</v>
      </c>
      <c r="D35" s="25">
        <v>42.83</v>
      </c>
      <c r="E35" s="38">
        <v>42.84</v>
      </c>
      <c r="F35" s="38">
        <v>43</v>
      </c>
      <c r="G35" s="38"/>
      <c r="H35" s="58">
        <f t="shared" si="0"/>
        <v>0</v>
      </c>
      <c r="I35" s="3"/>
    </row>
    <row r="36" spans="1:9" ht="17.25" customHeight="1">
      <c r="A36" s="32"/>
      <c r="B36" s="115" t="s">
        <v>28</v>
      </c>
      <c r="C36" s="34" t="s">
        <v>76</v>
      </c>
      <c r="D36" s="22">
        <f>D35*D34/10</f>
        <v>3882.1112000000003</v>
      </c>
      <c r="E36" s="22">
        <f>E34*E35/10</f>
        <v>3869.7372000000005</v>
      </c>
      <c r="F36" s="22">
        <f>F34*F35/10</f>
        <v>3870</v>
      </c>
      <c r="G36" s="180">
        <f>G34*G35/10</f>
        <v>0</v>
      </c>
      <c r="H36" s="58">
        <f t="shared" si="0"/>
        <v>0</v>
      </c>
      <c r="I36" s="3"/>
    </row>
    <row r="37" spans="1:9" ht="17.25" customHeight="1">
      <c r="A37" s="32"/>
      <c r="B37" s="114" t="s">
        <v>456</v>
      </c>
      <c r="C37" s="32" t="s">
        <v>37</v>
      </c>
      <c r="D37" s="22">
        <v>54.6</v>
      </c>
      <c r="E37" s="22">
        <v>66.2</v>
      </c>
      <c r="F37" s="22">
        <v>60</v>
      </c>
      <c r="G37" s="22">
        <v>94</v>
      </c>
      <c r="H37" s="58">
        <f t="shared" si="0"/>
        <v>156.66666666666669</v>
      </c>
      <c r="I37" s="3"/>
    </row>
    <row r="38" spans="1:9" ht="17.25" customHeight="1">
      <c r="A38" s="32"/>
      <c r="B38" s="115" t="s">
        <v>27</v>
      </c>
      <c r="C38" s="34" t="s">
        <v>21</v>
      </c>
      <c r="D38" s="38">
        <v>12.34</v>
      </c>
      <c r="E38" s="38">
        <v>12.42</v>
      </c>
      <c r="F38" s="38">
        <v>12</v>
      </c>
      <c r="G38" s="38"/>
      <c r="H38" s="58">
        <f t="shared" si="0"/>
        <v>0</v>
      </c>
      <c r="I38" s="3"/>
    </row>
    <row r="39" spans="1:9" ht="17.25" customHeight="1">
      <c r="A39" s="32"/>
      <c r="B39" s="115" t="s">
        <v>28</v>
      </c>
      <c r="C39" s="34" t="s">
        <v>76</v>
      </c>
      <c r="D39" s="22">
        <f>D38*D37/10</f>
        <v>67.376400000000004</v>
      </c>
      <c r="E39" s="22">
        <f>E38*E37/10</f>
        <v>82.220400000000012</v>
      </c>
      <c r="F39" s="22">
        <f>F38*F37/10</f>
        <v>72</v>
      </c>
      <c r="G39" s="180">
        <f>G38*G37/10</f>
        <v>0</v>
      </c>
      <c r="H39" s="58">
        <f t="shared" si="0"/>
        <v>0</v>
      </c>
      <c r="I39" s="3"/>
    </row>
    <row r="40" spans="1:9" s="18" customFormat="1" ht="17.25" customHeight="1">
      <c r="A40" s="11" t="s">
        <v>35</v>
      </c>
      <c r="B40" s="44" t="s">
        <v>444</v>
      </c>
      <c r="C40" s="11" t="s">
        <v>37</v>
      </c>
      <c r="D40" s="16">
        <f>D43+D46</f>
        <v>90.92</v>
      </c>
      <c r="E40" s="16">
        <f>E43+E46</f>
        <v>101.6</v>
      </c>
      <c r="F40" s="16">
        <f>F43+F46</f>
        <v>83</v>
      </c>
      <c r="G40" s="16">
        <f>G43+G46</f>
        <v>69</v>
      </c>
      <c r="H40" s="66">
        <f t="shared" si="0"/>
        <v>83.132530120481931</v>
      </c>
      <c r="I40" s="83"/>
    </row>
    <row r="41" spans="1:9" ht="17.25" customHeight="1">
      <c r="A41" s="32"/>
      <c r="B41" s="37" t="s">
        <v>27</v>
      </c>
      <c r="C41" s="34" t="s">
        <v>21</v>
      </c>
      <c r="D41" s="38">
        <f>D42/D40*10</f>
        <v>47.840800703915534</v>
      </c>
      <c r="E41" s="38">
        <f>E42/E40*10</f>
        <v>47.733366141732283</v>
      </c>
      <c r="F41" s="38">
        <f>F42/F40*10</f>
        <v>51.385542168674696</v>
      </c>
      <c r="G41" s="38">
        <f>G42/G40*10</f>
        <v>21.014492753623188</v>
      </c>
      <c r="H41" s="58">
        <f t="shared" si="0"/>
        <v>40.89573032944255</v>
      </c>
      <c r="I41" s="3"/>
    </row>
    <row r="42" spans="1:9" ht="17.25" customHeight="1">
      <c r="A42" s="32"/>
      <c r="B42" s="37" t="s">
        <v>28</v>
      </c>
      <c r="C42" s="34" t="s">
        <v>76</v>
      </c>
      <c r="D42" s="22">
        <f>D45+D48</f>
        <v>434.96856000000002</v>
      </c>
      <c r="E42" s="22">
        <f>E45+E48</f>
        <v>484.97099999999995</v>
      </c>
      <c r="F42" s="22">
        <f>F45+F48</f>
        <v>426.5</v>
      </c>
      <c r="G42" s="22">
        <f>G45+G48</f>
        <v>145</v>
      </c>
      <c r="H42" s="58">
        <f t="shared" si="0"/>
        <v>33.997655334114889</v>
      </c>
      <c r="I42" s="3"/>
    </row>
    <row r="43" spans="1:9" ht="17.25" customHeight="1">
      <c r="A43" s="32" t="s">
        <v>423</v>
      </c>
      <c r="B43" s="116" t="s">
        <v>457</v>
      </c>
      <c r="C43" s="32" t="s">
        <v>37</v>
      </c>
      <c r="D43" s="29">
        <v>28.22</v>
      </c>
      <c r="E43" s="29">
        <v>38.700000000000003</v>
      </c>
      <c r="F43" s="29">
        <v>23</v>
      </c>
      <c r="G43" s="29">
        <v>25</v>
      </c>
      <c r="H43" s="58">
        <f t="shared" si="0"/>
        <v>108.69565217391303</v>
      </c>
      <c r="I43" s="3"/>
    </row>
    <row r="44" spans="1:9" ht="17.25" customHeight="1">
      <c r="A44" s="32"/>
      <c r="B44" s="116" t="s">
        <v>27</v>
      </c>
      <c r="C44" s="34" t="s">
        <v>21</v>
      </c>
      <c r="D44" s="28">
        <v>56.13</v>
      </c>
      <c r="E44" s="28">
        <v>47.3</v>
      </c>
      <c r="F44" s="28">
        <v>55</v>
      </c>
      <c r="G44" s="28">
        <v>58</v>
      </c>
      <c r="H44" s="58">
        <f t="shared" si="0"/>
        <v>105.45454545454544</v>
      </c>
      <c r="I44" s="3"/>
    </row>
    <row r="45" spans="1:9" ht="17.25" customHeight="1">
      <c r="A45" s="32"/>
      <c r="B45" s="117" t="s">
        <v>28</v>
      </c>
      <c r="C45" s="34" t="s">
        <v>76</v>
      </c>
      <c r="D45" s="29">
        <f>D44*D43/10</f>
        <v>158.39885999999998</v>
      </c>
      <c r="E45" s="29">
        <f>E44*E43/10</f>
        <v>183.05099999999999</v>
      </c>
      <c r="F45" s="29">
        <f>F44*F43/10</f>
        <v>126.5</v>
      </c>
      <c r="G45" s="29">
        <f>G44*G43/10</f>
        <v>145</v>
      </c>
      <c r="H45" s="58">
        <f t="shared" si="0"/>
        <v>114.62450592885376</v>
      </c>
      <c r="I45" s="3"/>
    </row>
    <row r="46" spans="1:9" ht="17.25" customHeight="1">
      <c r="A46" s="32" t="s">
        <v>424</v>
      </c>
      <c r="B46" s="116" t="s">
        <v>458</v>
      </c>
      <c r="C46" s="32" t="s">
        <v>37</v>
      </c>
      <c r="D46" s="29">
        <v>62.7</v>
      </c>
      <c r="E46" s="29">
        <v>62.9</v>
      </c>
      <c r="F46" s="29">
        <v>60</v>
      </c>
      <c r="G46" s="29">
        <v>44</v>
      </c>
      <c r="H46" s="58">
        <f t="shared" si="0"/>
        <v>73.333333333333343</v>
      </c>
      <c r="I46" s="3"/>
    </row>
    <row r="47" spans="1:9" ht="17.25" customHeight="1">
      <c r="A47" s="32"/>
      <c r="B47" s="116" t="s">
        <v>27</v>
      </c>
      <c r="C47" s="34" t="s">
        <v>21</v>
      </c>
      <c r="D47" s="28">
        <v>44.11</v>
      </c>
      <c r="E47" s="28">
        <v>48</v>
      </c>
      <c r="F47" s="28">
        <v>50</v>
      </c>
      <c r="G47" s="28"/>
      <c r="H47" s="58">
        <f t="shared" si="0"/>
        <v>0</v>
      </c>
      <c r="I47" s="3"/>
    </row>
    <row r="48" spans="1:9" ht="17.25" customHeight="1">
      <c r="A48" s="32"/>
      <c r="B48" s="117" t="s">
        <v>28</v>
      </c>
      <c r="C48" s="34" t="s">
        <v>76</v>
      </c>
      <c r="D48" s="29">
        <f>D46*D47/10</f>
        <v>276.56970000000001</v>
      </c>
      <c r="E48" s="29">
        <f>E47*E46/10</f>
        <v>301.91999999999996</v>
      </c>
      <c r="F48" s="29">
        <f>F47*F46/10</f>
        <v>300</v>
      </c>
      <c r="G48" s="29">
        <f>G47*G46/10</f>
        <v>0</v>
      </c>
      <c r="H48" s="58">
        <f t="shared" si="0"/>
        <v>0</v>
      </c>
      <c r="I48" s="3"/>
    </row>
    <row r="49" spans="1:9" ht="19.5" customHeight="1">
      <c r="A49" s="11">
        <v>2</v>
      </c>
      <c r="B49" s="30" t="s">
        <v>29</v>
      </c>
      <c r="C49" s="32" t="s">
        <v>37</v>
      </c>
      <c r="D49" s="27">
        <v>6199.5</v>
      </c>
      <c r="E49" s="27">
        <v>5720.5</v>
      </c>
      <c r="F49" s="27">
        <v>6000</v>
      </c>
      <c r="G49" s="27">
        <v>5281.3</v>
      </c>
      <c r="H49" s="66">
        <f t="shared" si="0"/>
        <v>88.021666666666675</v>
      </c>
      <c r="I49" s="3"/>
    </row>
    <row r="50" spans="1:9" ht="19.5" customHeight="1">
      <c r="A50" s="39"/>
      <c r="B50" s="37" t="s">
        <v>27</v>
      </c>
      <c r="C50" s="34" t="s">
        <v>21</v>
      </c>
      <c r="D50" s="28">
        <f>D51/D49*10</f>
        <v>148.34260827486088</v>
      </c>
      <c r="E50" s="28">
        <v>148.51</v>
      </c>
      <c r="F50" s="28">
        <v>145</v>
      </c>
      <c r="G50" s="28"/>
      <c r="H50" s="66">
        <f t="shared" si="0"/>
        <v>0</v>
      </c>
      <c r="I50" s="3"/>
    </row>
    <row r="51" spans="1:9" ht="19.5" customHeight="1">
      <c r="A51" s="39"/>
      <c r="B51" s="37" t="s">
        <v>28</v>
      </c>
      <c r="C51" s="34" t="s">
        <v>76</v>
      </c>
      <c r="D51" s="29">
        <v>91965</v>
      </c>
      <c r="E51" s="29">
        <f>E50*E49/10</f>
        <v>84955.145499999999</v>
      </c>
      <c r="F51" s="29">
        <f>F50*F49/10</f>
        <v>87000</v>
      </c>
      <c r="G51" s="29">
        <f>G50*G49/10</f>
        <v>0</v>
      </c>
      <c r="H51" s="66">
        <f t="shared" si="0"/>
        <v>0</v>
      </c>
      <c r="I51" s="3"/>
    </row>
    <row r="52" spans="1:9" s="18" customFormat="1" ht="19.5" customHeight="1">
      <c r="A52" s="11">
        <v>3</v>
      </c>
      <c r="B52" s="30" t="s">
        <v>317</v>
      </c>
      <c r="C52" s="11" t="s">
        <v>37</v>
      </c>
      <c r="D52" s="27">
        <v>9.1999999999999993</v>
      </c>
      <c r="E52" s="27">
        <v>10.5</v>
      </c>
      <c r="F52" s="27">
        <v>30</v>
      </c>
      <c r="G52" s="27">
        <v>29.1</v>
      </c>
      <c r="H52" s="66">
        <f t="shared" si="0"/>
        <v>97.000000000000014</v>
      </c>
      <c r="I52" s="83"/>
    </row>
    <row r="53" spans="1:9" ht="19.5" customHeight="1">
      <c r="A53" s="32"/>
      <c r="B53" s="33" t="s">
        <v>123</v>
      </c>
      <c r="C53" s="32" t="s">
        <v>37</v>
      </c>
      <c r="D53" s="29"/>
      <c r="E53" s="29"/>
      <c r="F53" s="29">
        <v>20</v>
      </c>
      <c r="G53" s="29">
        <v>19.100000000000001</v>
      </c>
      <c r="H53" s="58">
        <f t="shared" si="0"/>
        <v>95.5</v>
      </c>
      <c r="I53" s="3"/>
    </row>
    <row r="54" spans="1:9" ht="19.5" customHeight="1">
      <c r="A54" s="39"/>
      <c r="B54" s="37" t="s">
        <v>27</v>
      </c>
      <c r="C54" s="34" t="s">
        <v>21</v>
      </c>
      <c r="D54" s="28"/>
      <c r="E54" s="28">
        <v>600</v>
      </c>
      <c r="F54" s="28">
        <v>733.3</v>
      </c>
      <c r="G54" s="28"/>
      <c r="H54" s="58">
        <f t="shared" si="0"/>
        <v>0</v>
      </c>
      <c r="I54" s="3"/>
    </row>
    <row r="55" spans="1:9" ht="19.5" customHeight="1">
      <c r="A55" s="39"/>
      <c r="B55" s="37" t="s">
        <v>28</v>
      </c>
      <c r="C55" s="34" t="s">
        <v>76</v>
      </c>
      <c r="D55" s="29">
        <f>D54*D52/10</f>
        <v>0</v>
      </c>
      <c r="E55" s="29">
        <f>E54*E52/10</f>
        <v>630</v>
      </c>
      <c r="F55" s="29">
        <f>F54*F52/10</f>
        <v>2199.9</v>
      </c>
      <c r="G55" s="29">
        <f>G54*G52/10</f>
        <v>0</v>
      </c>
      <c r="H55" s="58">
        <f t="shared" si="0"/>
        <v>0</v>
      </c>
      <c r="I55" s="3"/>
    </row>
    <row r="56" spans="1:9" ht="19.5" customHeight="1">
      <c r="A56" s="11">
        <v>4</v>
      </c>
      <c r="B56" s="30" t="s">
        <v>136</v>
      </c>
      <c r="C56" s="32" t="s">
        <v>37</v>
      </c>
      <c r="D56" s="27">
        <f>D59+D62</f>
        <v>219.3</v>
      </c>
      <c r="E56" s="27">
        <f>E59+E62</f>
        <v>259</v>
      </c>
      <c r="F56" s="27">
        <f>F59+F62</f>
        <v>230</v>
      </c>
      <c r="G56" s="27">
        <f>G59+G62</f>
        <v>176.8</v>
      </c>
      <c r="H56" s="66">
        <f t="shared" si="0"/>
        <v>76.869565217391312</v>
      </c>
      <c r="I56" s="3"/>
    </row>
    <row r="57" spans="1:9" ht="19.5" customHeight="1">
      <c r="A57" s="39"/>
      <c r="B57" s="37" t="s">
        <v>27</v>
      </c>
      <c r="C57" s="34" t="s">
        <v>21</v>
      </c>
      <c r="D57" s="28">
        <f>D58/D56*10</f>
        <v>119.96580027359781</v>
      </c>
      <c r="E57" s="28">
        <f>E58/E56*10</f>
        <v>134.57142857142858</v>
      </c>
      <c r="F57" s="28">
        <f>F58/F56*10</f>
        <v>136.63173913043477</v>
      </c>
      <c r="G57" s="28">
        <f>G58/G56*10</f>
        <v>99.556561085972831</v>
      </c>
      <c r="H57" s="58">
        <f t="shared" si="0"/>
        <v>72.864886094241754</v>
      </c>
      <c r="I57" s="3"/>
    </row>
    <row r="58" spans="1:9" ht="19.5" customHeight="1">
      <c r="A58" s="39"/>
      <c r="B58" s="37" t="s">
        <v>28</v>
      </c>
      <c r="C58" s="34" t="s">
        <v>76</v>
      </c>
      <c r="D58" s="29">
        <f>D61+D64</f>
        <v>2630.85</v>
      </c>
      <c r="E58" s="29">
        <f>E61+E64</f>
        <v>3485.4</v>
      </c>
      <c r="F58" s="29">
        <f>F61+F64</f>
        <v>3142.5299999999997</v>
      </c>
      <c r="G58" s="29">
        <f>G61+G64</f>
        <v>1760.1599999999999</v>
      </c>
      <c r="H58" s="58">
        <f t="shared" si="0"/>
        <v>56.010921136791062</v>
      </c>
      <c r="I58" s="3"/>
    </row>
    <row r="59" spans="1:9" ht="19.5" customHeight="1">
      <c r="A59" s="32"/>
      <c r="B59" s="136" t="s">
        <v>459</v>
      </c>
      <c r="C59" s="21" t="s">
        <v>37</v>
      </c>
      <c r="D59" s="22">
        <v>97.3</v>
      </c>
      <c r="E59" s="22">
        <v>137</v>
      </c>
      <c r="F59" s="22">
        <v>123</v>
      </c>
      <c r="G59" s="22">
        <v>115.8</v>
      </c>
      <c r="H59" s="58">
        <f t="shared" si="0"/>
        <v>94.146341463414629</v>
      </c>
      <c r="I59" s="3"/>
    </row>
    <row r="60" spans="1:9" ht="19.5" customHeight="1">
      <c r="A60" s="32"/>
      <c r="B60" s="136" t="s">
        <v>27</v>
      </c>
      <c r="C60" s="21" t="s">
        <v>21</v>
      </c>
      <c r="D60" s="38">
        <v>145</v>
      </c>
      <c r="E60" s="38">
        <v>152</v>
      </c>
      <c r="F60" s="38">
        <v>151.1</v>
      </c>
      <c r="G60" s="38">
        <v>152</v>
      </c>
      <c r="H60" s="58">
        <f t="shared" si="0"/>
        <v>100.59563203176705</v>
      </c>
      <c r="I60" s="3"/>
    </row>
    <row r="61" spans="1:9" ht="19.5" customHeight="1">
      <c r="A61" s="32"/>
      <c r="B61" s="136" t="s">
        <v>28</v>
      </c>
      <c r="C61" s="21" t="s">
        <v>76</v>
      </c>
      <c r="D61" s="22">
        <f>D60*D59/10</f>
        <v>1410.85</v>
      </c>
      <c r="E61" s="22">
        <f>E60*E59/10</f>
        <v>2082.4</v>
      </c>
      <c r="F61" s="22">
        <f>F60*F59/10</f>
        <v>1858.53</v>
      </c>
      <c r="G61" s="22">
        <f>G60*G59/10</f>
        <v>1760.1599999999999</v>
      </c>
      <c r="H61" s="58">
        <f t="shared" si="0"/>
        <v>94.707107229907493</v>
      </c>
      <c r="I61" s="3"/>
    </row>
    <row r="62" spans="1:9" ht="19.5" customHeight="1">
      <c r="A62" s="32"/>
      <c r="B62" s="136" t="s">
        <v>460</v>
      </c>
      <c r="C62" s="21" t="s">
        <v>37</v>
      </c>
      <c r="D62" s="22">
        <v>122</v>
      </c>
      <c r="E62" s="22">
        <v>122</v>
      </c>
      <c r="F62" s="22">
        <v>107</v>
      </c>
      <c r="G62" s="22">
        <v>61</v>
      </c>
      <c r="H62" s="58">
        <f t="shared" si="0"/>
        <v>57.009345794392523</v>
      </c>
      <c r="I62" s="3"/>
    </row>
    <row r="63" spans="1:9" ht="19.5" customHeight="1">
      <c r="A63" s="32"/>
      <c r="B63" s="136" t="s">
        <v>27</v>
      </c>
      <c r="C63" s="21" t="s">
        <v>21</v>
      </c>
      <c r="D63" s="38">
        <v>100</v>
      </c>
      <c r="E63" s="38">
        <v>115</v>
      </c>
      <c r="F63" s="38">
        <v>120</v>
      </c>
      <c r="G63" s="38"/>
      <c r="H63" s="58">
        <f t="shared" si="0"/>
        <v>0</v>
      </c>
      <c r="I63" s="3"/>
    </row>
    <row r="64" spans="1:9" ht="19.5" customHeight="1">
      <c r="A64" s="32"/>
      <c r="B64" s="136" t="s">
        <v>28</v>
      </c>
      <c r="C64" s="21" t="s">
        <v>76</v>
      </c>
      <c r="D64" s="22">
        <f>D63*D62/10</f>
        <v>1220</v>
      </c>
      <c r="E64" s="22">
        <f>E63*E62/10</f>
        <v>1403</v>
      </c>
      <c r="F64" s="22">
        <f>F63*F62/10</f>
        <v>1284</v>
      </c>
      <c r="G64" s="22">
        <f>G63*G62/10</f>
        <v>0</v>
      </c>
      <c r="H64" s="58">
        <f t="shared" si="0"/>
        <v>0</v>
      </c>
      <c r="I64" s="3"/>
    </row>
    <row r="65" spans="1:10" s="18" customFormat="1" ht="31.5">
      <c r="A65" s="11">
        <v>5</v>
      </c>
      <c r="B65" s="30" t="s">
        <v>411</v>
      </c>
      <c r="C65" s="11" t="s">
        <v>37</v>
      </c>
      <c r="D65" s="36">
        <f>SUM(D66:D68)</f>
        <v>7.5</v>
      </c>
      <c r="E65" s="36">
        <f>SUM(E66:E68)</f>
        <v>31.2</v>
      </c>
      <c r="F65" s="36">
        <f>SUM(F66:F69)</f>
        <v>32</v>
      </c>
      <c r="G65" s="36">
        <v>14</v>
      </c>
      <c r="H65" s="66">
        <f t="shared" si="0"/>
        <v>43.75</v>
      </c>
      <c r="I65" s="83"/>
    </row>
    <row r="66" spans="1:10" s="104" customFormat="1" ht="19.5" hidden="1" customHeight="1" outlineLevel="1">
      <c r="A66" s="100"/>
      <c r="B66" s="157" t="s">
        <v>402</v>
      </c>
      <c r="C66" s="100" t="s">
        <v>37</v>
      </c>
      <c r="D66" s="159">
        <v>3.7</v>
      </c>
      <c r="E66" s="159">
        <v>4</v>
      </c>
      <c r="F66" s="159">
        <v>4</v>
      </c>
      <c r="G66" s="159">
        <v>2.5</v>
      </c>
      <c r="H66" s="103">
        <f t="shared" si="0"/>
        <v>62.5</v>
      </c>
      <c r="I66" s="129"/>
    </row>
    <row r="67" spans="1:10" s="104" customFormat="1" ht="19.5" hidden="1" customHeight="1" outlineLevel="1">
      <c r="A67" s="100"/>
      <c r="B67" s="157" t="s">
        <v>403</v>
      </c>
      <c r="C67" s="100" t="s">
        <v>37</v>
      </c>
      <c r="D67" s="159">
        <v>3.8</v>
      </c>
      <c r="E67" s="159">
        <v>4</v>
      </c>
      <c r="F67" s="159">
        <v>4</v>
      </c>
      <c r="G67" s="159">
        <v>0.8</v>
      </c>
      <c r="H67" s="103">
        <f t="shared" si="0"/>
        <v>20</v>
      </c>
      <c r="I67" s="129"/>
    </row>
    <row r="68" spans="1:10" s="104" customFormat="1" ht="19.5" hidden="1" customHeight="1" outlineLevel="1">
      <c r="A68" s="100"/>
      <c r="B68" s="157" t="s">
        <v>404</v>
      </c>
      <c r="C68" s="100" t="s">
        <v>37</v>
      </c>
      <c r="D68" s="159"/>
      <c r="E68" s="159">
        <v>23.2</v>
      </c>
      <c r="F68" s="159">
        <v>24</v>
      </c>
      <c r="G68" s="159">
        <v>15.1</v>
      </c>
      <c r="H68" s="103">
        <f t="shared" si="0"/>
        <v>62.916666666666664</v>
      </c>
      <c r="I68" s="129"/>
    </row>
    <row r="69" spans="1:10" s="104" customFormat="1" ht="19.5" hidden="1" customHeight="1" outlineLevel="1">
      <c r="A69" s="100"/>
      <c r="B69" s="157" t="s">
        <v>498</v>
      </c>
      <c r="C69" s="100" t="s">
        <v>37</v>
      </c>
      <c r="D69" s="159"/>
      <c r="E69" s="159"/>
      <c r="F69" s="159"/>
      <c r="G69" s="159"/>
      <c r="H69" s="103" t="str">
        <f t="shared" si="0"/>
        <v/>
      </c>
      <c r="I69" s="129"/>
    </row>
    <row r="70" spans="1:10" ht="17.25" customHeight="1" collapsed="1">
      <c r="A70" s="24" t="s">
        <v>39</v>
      </c>
      <c r="B70" s="30" t="s">
        <v>122</v>
      </c>
      <c r="C70" s="11" t="s">
        <v>37</v>
      </c>
      <c r="D70" s="27">
        <f>D71+D84+D85</f>
        <v>9814</v>
      </c>
      <c r="E70" s="27">
        <f>E71+E84+E85</f>
        <v>10071.6</v>
      </c>
      <c r="F70" s="27">
        <f>F71+F84+F85</f>
        <v>10122.1</v>
      </c>
      <c r="G70" s="27">
        <f>G71+G84+G85</f>
        <v>10330.699999999999</v>
      </c>
      <c r="H70" s="66">
        <f t="shared" si="0"/>
        <v>102.06083717805592</v>
      </c>
      <c r="I70" s="3"/>
    </row>
    <row r="71" spans="1:10" s="18" customFormat="1" ht="17.25" customHeight="1">
      <c r="A71" s="24">
        <v>1</v>
      </c>
      <c r="B71" s="23" t="s">
        <v>448</v>
      </c>
      <c r="C71" s="11" t="s">
        <v>37</v>
      </c>
      <c r="D71" s="27">
        <f>D72+D78</f>
        <v>9537.2999999999993</v>
      </c>
      <c r="E71" s="27">
        <f>E72+E78</f>
        <v>9722.1</v>
      </c>
      <c r="F71" s="27">
        <f>F72+F78</f>
        <v>9772.1</v>
      </c>
      <c r="G71" s="27">
        <f>G72+G78</f>
        <v>9981.7999999999993</v>
      </c>
      <c r="H71" s="66">
        <f t="shared" si="0"/>
        <v>102.14590517903008</v>
      </c>
      <c r="I71" s="83"/>
    </row>
    <row r="72" spans="1:10" s="18" customFormat="1" ht="17.25" customHeight="1">
      <c r="A72" s="11" t="s">
        <v>34</v>
      </c>
      <c r="B72" s="30" t="s">
        <v>445</v>
      </c>
      <c r="C72" s="11" t="s">
        <v>37</v>
      </c>
      <c r="D72" s="16">
        <v>1743.8</v>
      </c>
      <c r="E72" s="16">
        <f>D72+E73</f>
        <v>1919.5</v>
      </c>
      <c r="F72" s="16">
        <f>E72+F73</f>
        <v>1969.5</v>
      </c>
      <c r="G72" s="16">
        <f>E72+G73-G74</f>
        <v>2246.5</v>
      </c>
      <c r="H72" s="66">
        <f t="shared" si="0"/>
        <v>114.06448337141406</v>
      </c>
      <c r="I72" s="83"/>
    </row>
    <row r="73" spans="1:10" ht="17.25" customHeight="1">
      <c r="A73" s="32"/>
      <c r="B73" s="35" t="s">
        <v>123</v>
      </c>
      <c r="C73" s="32" t="s">
        <v>37</v>
      </c>
      <c r="D73" s="38">
        <v>185.9</v>
      </c>
      <c r="E73" s="38">
        <v>175.7</v>
      </c>
      <c r="F73" s="38">
        <v>50</v>
      </c>
      <c r="G73" s="38">
        <v>333</v>
      </c>
      <c r="H73" s="58">
        <f t="shared" si="0"/>
        <v>666</v>
      </c>
      <c r="I73" s="3"/>
    </row>
    <row r="74" spans="1:10" ht="17.25" customHeight="1">
      <c r="A74" s="32"/>
      <c r="B74" s="35" t="s">
        <v>321</v>
      </c>
      <c r="C74" s="32" t="s">
        <v>37</v>
      </c>
      <c r="D74" s="38"/>
      <c r="E74" s="38"/>
      <c r="F74" s="38"/>
      <c r="G74" s="38">
        <v>6</v>
      </c>
      <c r="H74" s="58"/>
      <c r="I74" s="3"/>
    </row>
    <row r="75" spans="1:10" ht="17.25" customHeight="1">
      <c r="A75" s="32"/>
      <c r="B75" s="35" t="s">
        <v>124</v>
      </c>
      <c r="C75" s="32" t="s">
        <v>37</v>
      </c>
      <c r="D75" s="22">
        <v>1246</v>
      </c>
      <c r="E75" s="22">
        <v>1384</v>
      </c>
      <c r="F75" s="22">
        <v>1559</v>
      </c>
      <c r="G75" s="22"/>
      <c r="H75" s="58">
        <f t="shared" ref="H75:H90" si="1">IFERROR(G75/F75%,"")</f>
        <v>0</v>
      </c>
      <c r="I75" s="3"/>
      <c r="J75" s="81"/>
    </row>
    <row r="76" spans="1:10" ht="17.25" customHeight="1">
      <c r="A76" s="32"/>
      <c r="B76" s="35" t="s">
        <v>125</v>
      </c>
      <c r="C76" s="32" t="s">
        <v>21</v>
      </c>
      <c r="D76" s="38">
        <v>31.73</v>
      </c>
      <c r="E76" s="38">
        <v>35.65</v>
      </c>
      <c r="F76" s="38">
        <v>35</v>
      </c>
      <c r="G76" s="38"/>
      <c r="H76" s="58">
        <f t="shared" si="1"/>
        <v>0</v>
      </c>
      <c r="I76" s="3"/>
    </row>
    <row r="77" spans="1:10" ht="17.25" customHeight="1">
      <c r="A77" s="32"/>
      <c r="B77" s="35" t="s">
        <v>320</v>
      </c>
      <c r="C77" s="32" t="s">
        <v>76</v>
      </c>
      <c r="D77" s="22">
        <f>D75*D76/10</f>
        <v>3953.558</v>
      </c>
      <c r="E77" s="22">
        <f>E75*E76/10</f>
        <v>4933.96</v>
      </c>
      <c r="F77" s="22">
        <f>F75*F76/10</f>
        <v>5456.5</v>
      </c>
      <c r="G77" s="180">
        <f>G75*G76/10</f>
        <v>0</v>
      </c>
      <c r="H77" s="58">
        <f t="shared" si="1"/>
        <v>0</v>
      </c>
      <c r="I77" s="3"/>
    </row>
    <row r="78" spans="1:10" s="18" customFormat="1" ht="17.25" customHeight="1">
      <c r="A78" s="11" t="s">
        <v>35</v>
      </c>
      <c r="B78" s="30" t="s">
        <v>446</v>
      </c>
      <c r="C78" s="11" t="s">
        <v>37</v>
      </c>
      <c r="D78" s="16">
        <v>7793.5</v>
      </c>
      <c r="E78" s="16">
        <f>D78+E79-E80</f>
        <v>7802.6</v>
      </c>
      <c r="F78" s="16">
        <f>E78+F79-F80</f>
        <v>7802.6</v>
      </c>
      <c r="G78" s="16">
        <f>E78+G79-G80</f>
        <v>7735.3</v>
      </c>
      <c r="H78" s="66">
        <f t="shared" si="1"/>
        <v>99.137466998180088</v>
      </c>
      <c r="I78" s="83"/>
    </row>
    <row r="79" spans="1:10" ht="17.25" customHeight="1">
      <c r="A79" s="32"/>
      <c r="B79" s="35" t="s">
        <v>123</v>
      </c>
      <c r="C79" s="32" t="s">
        <v>37</v>
      </c>
      <c r="D79" s="43">
        <v>0</v>
      </c>
      <c r="E79" s="28">
        <v>24.6</v>
      </c>
      <c r="F79" s="43"/>
      <c r="G79" s="43">
        <v>14.3</v>
      </c>
      <c r="H79" s="58" t="str">
        <f t="shared" si="1"/>
        <v/>
      </c>
      <c r="I79" s="3"/>
    </row>
    <row r="80" spans="1:10" ht="17.25" customHeight="1">
      <c r="A80" s="32"/>
      <c r="B80" s="35" t="s">
        <v>321</v>
      </c>
      <c r="C80" s="32" t="s">
        <v>37</v>
      </c>
      <c r="D80" s="28">
        <v>81.5</v>
      </c>
      <c r="E80" s="28">
        <v>15.5</v>
      </c>
      <c r="F80" s="43"/>
      <c r="G80" s="43">
        <v>81.599999999999994</v>
      </c>
      <c r="H80" s="58" t="str">
        <f t="shared" si="1"/>
        <v/>
      </c>
      <c r="I80" s="3"/>
    </row>
    <row r="81" spans="1:11" ht="17.25" customHeight="1">
      <c r="A81" s="32"/>
      <c r="B81" s="35" t="s">
        <v>124</v>
      </c>
      <c r="C81" s="32" t="s">
        <v>37</v>
      </c>
      <c r="D81" s="22">
        <v>4821</v>
      </c>
      <c r="E81" s="22">
        <v>5385</v>
      </c>
      <c r="F81" s="22">
        <v>5755</v>
      </c>
      <c r="G81" s="22">
        <v>5724</v>
      </c>
      <c r="H81" s="58">
        <f t="shared" si="1"/>
        <v>99.461337966985241</v>
      </c>
      <c r="I81" s="3"/>
    </row>
    <row r="82" spans="1:11" ht="17.25" customHeight="1">
      <c r="A82" s="32"/>
      <c r="B82" s="35" t="s">
        <v>126</v>
      </c>
      <c r="C82" s="32" t="s">
        <v>21</v>
      </c>
      <c r="D82" s="38">
        <v>12.33</v>
      </c>
      <c r="E82" s="38">
        <v>12.35</v>
      </c>
      <c r="F82" s="38">
        <v>12.5</v>
      </c>
      <c r="G82" s="38"/>
      <c r="H82" s="58">
        <f t="shared" si="1"/>
        <v>0</v>
      </c>
      <c r="I82" s="3"/>
    </row>
    <row r="83" spans="1:11" ht="17.25" customHeight="1">
      <c r="A83" s="32"/>
      <c r="B83" s="35" t="s">
        <v>474</v>
      </c>
      <c r="C83" s="32" t="s">
        <v>76</v>
      </c>
      <c r="D83" s="22">
        <f>D81*D82/10</f>
        <v>5944.2929999999997</v>
      </c>
      <c r="E83" s="22">
        <f>E81*E82/10</f>
        <v>6650.4750000000004</v>
      </c>
      <c r="F83" s="22">
        <f>F81*F82/10</f>
        <v>7193.75</v>
      </c>
      <c r="G83" s="180">
        <f>G81*G82/10</f>
        <v>0</v>
      </c>
      <c r="H83" s="58">
        <f t="shared" si="1"/>
        <v>0</v>
      </c>
      <c r="I83" s="3"/>
    </row>
    <row r="84" spans="1:11" s="18" customFormat="1" ht="17.25" customHeight="1">
      <c r="A84" s="11">
        <v>2</v>
      </c>
      <c r="B84" s="30" t="s">
        <v>181</v>
      </c>
      <c r="C84" s="11" t="s">
        <v>37</v>
      </c>
      <c r="D84" s="16">
        <v>155.19999999999999</v>
      </c>
      <c r="E84" s="16">
        <v>218.9</v>
      </c>
      <c r="F84" s="16">
        <v>220</v>
      </c>
      <c r="G84" s="16">
        <v>218.9</v>
      </c>
      <c r="H84" s="66">
        <f t="shared" si="1"/>
        <v>99.5</v>
      </c>
      <c r="I84" s="83"/>
    </row>
    <row r="85" spans="1:11" s="18" customFormat="1" ht="31.5">
      <c r="A85" s="11">
        <v>3</v>
      </c>
      <c r="B85" s="30" t="s">
        <v>410</v>
      </c>
      <c r="C85" s="11" t="s">
        <v>37</v>
      </c>
      <c r="D85" s="16">
        <f>SUM(D86:D90)</f>
        <v>121.5</v>
      </c>
      <c r="E85" s="16">
        <f>SUM(E86:E90)</f>
        <v>130.60000000000002</v>
      </c>
      <c r="F85" s="16">
        <f>SUM(F86:F90)</f>
        <v>130</v>
      </c>
      <c r="G85" s="16">
        <v>130</v>
      </c>
      <c r="H85" s="66">
        <f t="shared" si="1"/>
        <v>100</v>
      </c>
      <c r="I85" s="83"/>
      <c r="J85" s="87"/>
      <c r="K85" s="87"/>
    </row>
    <row r="86" spans="1:11" s="104" customFormat="1" ht="17.25" hidden="1" customHeight="1" outlineLevel="1">
      <c r="A86" s="100"/>
      <c r="B86" s="157" t="s">
        <v>405</v>
      </c>
      <c r="C86" s="100" t="s">
        <v>37</v>
      </c>
      <c r="D86" s="158">
        <v>18.5</v>
      </c>
      <c r="E86" s="158">
        <v>17</v>
      </c>
      <c r="F86" s="158">
        <v>17</v>
      </c>
      <c r="G86" s="158"/>
      <c r="H86" s="123">
        <f t="shared" si="1"/>
        <v>0</v>
      </c>
      <c r="I86" s="129"/>
    </row>
    <row r="87" spans="1:11" s="104" customFormat="1" ht="17.25" hidden="1" customHeight="1" outlineLevel="1">
      <c r="A87" s="100"/>
      <c r="B87" s="157" t="s">
        <v>406</v>
      </c>
      <c r="C87" s="100" t="s">
        <v>37</v>
      </c>
      <c r="D87" s="158">
        <v>54.6</v>
      </c>
      <c r="E87" s="158">
        <v>61.9</v>
      </c>
      <c r="F87" s="158">
        <v>62</v>
      </c>
      <c r="G87" s="158"/>
      <c r="H87" s="123">
        <f t="shared" si="1"/>
        <v>0</v>
      </c>
      <c r="I87" s="129"/>
    </row>
    <row r="88" spans="1:11" s="104" customFormat="1" ht="17.25" hidden="1" customHeight="1" outlineLevel="1">
      <c r="A88" s="100"/>
      <c r="B88" s="157" t="s">
        <v>407</v>
      </c>
      <c r="C88" s="100" t="s">
        <v>37</v>
      </c>
      <c r="D88" s="158">
        <v>2</v>
      </c>
      <c r="E88" s="158">
        <v>2</v>
      </c>
      <c r="F88" s="158">
        <v>2</v>
      </c>
      <c r="G88" s="158"/>
      <c r="H88" s="123">
        <f t="shared" si="1"/>
        <v>0</v>
      </c>
      <c r="I88" s="129"/>
    </row>
    <row r="89" spans="1:11" s="104" customFormat="1" ht="17.25" hidden="1" customHeight="1" outlineLevel="1">
      <c r="A89" s="100"/>
      <c r="B89" s="157" t="s">
        <v>408</v>
      </c>
      <c r="C89" s="100" t="s">
        <v>37</v>
      </c>
      <c r="D89" s="158">
        <v>46.4</v>
      </c>
      <c r="E89" s="158">
        <v>30.4</v>
      </c>
      <c r="F89" s="158">
        <v>30</v>
      </c>
      <c r="G89" s="158"/>
      <c r="H89" s="123">
        <f t="shared" si="1"/>
        <v>0</v>
      </c>
      <c r="I89" s="129"/>
    </row>
    <row r="90" spans="1:11" s="104" customFormat="1" ht="17.25" hidden="1" customHeight="1" outlineLevel="1">
      <c r="A90" s="100"/>
      <c r="B90" s="157" t="s">
        <v>409</v>
      </c>
      <c r="C90" s="100" t="s">
        <v>37</v>
      </c>
      <c r="D90" s="158"/>
      <c r="E90" s="158">
        <v>19.3</v>
      </c>
      <c r="F90" s="158">
        <v>19</v>
      </c>
      <c r="G90" s="158"/>
      <c r="H90" s="123">
        <f t="shared" si="1"/>
        <v>0</v>
      </c>
      <c r="I90" s="129"/>
    </row>
    <row r="91" spans="1:11" s="104" customFormat="1" ht="17.25" hidden="1" customHeight="1" outlineLevel="1">
      <c r="A91" s="100"/>
      <c r="B91" s="157" t="s">
        <v>498</v>
      </c>
      <c r="C91" s="100" t="s">
        <v>37</v>
      </c>
      <c r="D91" s="158"/>
      <c r="E91" s="158"/>
      <c r="F91" s="158"/>
      <c r="G91" s="158"/>
      <c r="H91" s="123"/>
      <c r="I91" s="129"/>
    </row>
    <row r="92" spans="1:11" ht="18.75" customHeight="1" collapsed="1">
      <c r="A92" s="11" t="s">
        <v>47</v>
      </c>
      <c r="B92" s="30" t="s">
        <v>96</v>
      </c>
      <c r="C92" s="32"/>
      <c r="D92" s="28"/>
      <c r="E92" s="38"/>
      <c r="F92" s="38"/>
      <c r="G92" s="38"/>
      <c r="H92" s="66" t="str">
        <f t="shared" ref="H92:H118" si="2">IFERROR(G92/F92%,"")</f>
        <v/>
      </c>
      <c r="I92" s="3"/>
    </row>
    <row r="93" spans="1:11" s="18" customFormat="1" ht="18.75" customHeight="1">
      <c r="A93" s="11">
        <v>1</v>
      </c>
      <c r="B93" s="30" t="s">
        <v>447</v>
      </c>
      <c r="C93" s="11" t="s">
        <v>54</v>
      </c>
      <c r="D93" s="27">
        <f>SUM(D94:D96)</f>
        <v>20219</v>
      </c>
      <c r="E93" s="27">
        <f>SUM(E94:E96)</f>
        <v>18350</v>
      </c>
      <c r="F93" s="27">
        <f>SUM(F94:F96)</f>
        <v>20650</v>
      </c>
      <c r="G93" s="27">
        <f>SUM(G94:G96)</f>
        <v>20225</v>
      </c>
      <c r="H93" s="66">
        <f t="shared" si="2"/>
        <v>97.941888619854723</v>
      </c>
      <c r="I93" s="83"/>
    </row>
    <row r="94" spans="1:11" ht="18.75" customHeight="1">
      <c r="A94" s="32"/>
      <c r="B94" s="35" t="s">
        <v>322</v>
      </c>
      <c r="C94" s="32" t="s">
        <v>54</v>
      </c>
      <c r="D94" s="29">
        <v>2461</v>
      </c>
      <c r="E94" s="29">
        <v>2550</v>
      </c>
      <c r="F94" s="29">
        <v>2650</v>
      </c>
      <c r="G94" s="29">
        <v>2579</v>
      </c>
      <c r="H94" s="58">
        <f t="shared" si="2"/>
        <v>97.320754716981128</v>
      </c>
      <c r="I94" s="3"/>
    </row>
    <row r="95" spans="1:11" ht="18.75" customHeight="1">
      <c r="A95" s="32"/>
      <c r="B95" s="35" t="s">
        <v>323</v>
      </c>
      <c r="C95" s="32" t="s">
        <v>54</v>
      </c>
      <c r="D95" s="29">
        <v>4034</v>
      </c>
      <c r="E95" s="29">
        <v>4800</v>
      </c>
      <c r="F95" s="29">
        <v>5000</v>
      </c>
      <c r="G95" s="29">
        <v>5075</v>
      </c>
      <c r="H95" s="58">
        <f t="shared" si="2"/>
        <v>101.5</v>
      </c>
      <c r="I95" s="3"/>
    </row>
    <row r="96" spans="1:11" ht="18.75" customHeight="1">
      <c r="A96" s="32"/>
      <c r="B96" s="35" t="s">
        <v>324</v>
      </c>
      <c r="C96" s="32" t="s">
        <v>54</v>
      </c>
      <c r="D96" s="29">
        <v>13724</v>
      </c>
      <c r="E96" s="29">
        <v>11000</v>
      </c>
      <c r="F96" s="29">
        <v>13000</v>
      </c>
      <c r="G96" s="29">
        <v>12571</v>
      </c>
      <c r="H96" s="58">
        <f t="shared" si="2"/>
        <v>96.7</v>
      </c>
      <c r="I96" s="3"/>
    </row>
    <row r="97" spans="1:11" s="18" customFormat="1" ht="18.75" customHeight="1">
      <c r="A97" s="11">
        <v>2</v>
      </c>
      <c r="B97" s="44" t="s">
        <v>31</v>
      </c>
      <c r="C97" s="11" t="s">
        <v>54</v>
      </c>
      <c r="D97" s="27">
        <v>77894</v>
      </c>
      <c r="E97" s="27">
        <v>87000</v>
      </c>
      <c r="F97" s="27">
        <v>87000</v>
      </c>
      <c r="G97" s="27">
        <v>84840</v>
      </c>
      <c r="H97" s="66">
        <f t="shared" si="2"/>
        <v>97.517241379310349</v>
      </c>
      <c r="I97" s="83"/>
    </row>
    <row r="98" spans="1:11" s="18" customFormat="1" ht="18.75" customHeight="1">
      <c r="A98" s="11" t="s">
        <v>48</v>
      </c>
      <c r="B98" s="45" t="s">
        <v>325</v>
      </c>
      <c r="C98" s="11"/>
      <c r="D98" s="27"/>
      <c r="E98" s="27"/>
      <c r="F98" s="27"/>
      <c r="G98" s="27"/>
      <c r="H98" s="66" t="str">
        <f t="shared" si="2"/>
        <v/>
      </c>
      <c r="I98" s="83"/>
    </row>
    <row r="99" spans="1:11" ht="18.75" customHeight="1">
      <c r="A99" s="32">
        <v>1</v>
      </c>
      <c r="B99" s="46" t="s">
        <v>326</v>
      </c>
      <c r="C99" s="32" t="s">
        <v>37</v>
      </c>
      <c r="D99" s="28">
        <v>85</v>
      </c>
      <c r="E99" s="28">
        <v>85.5</v>
      </c>
      <c r="F99" s="28">
        <v>85.5</v>
      </c>
      <c r="G99" s="28">
        <v>85.4</v>
      </c>
      <c r="H99" s="58">
        <f t="shared" si="2"/>
        <v>99.883040935672526</v>
      </c>
      <c r="I99" s="3"/>
    </row>
    <row r="100" spans="1:11" ht="18.75" customHeight="1">
      <c r="A100" s="32">
        <v>2</v>
      </c>
      <c r="B100" s="46" t="s">
        <v>327</v>
      </c>
      <c r="C100" s="32" t="s">
        <v>76</v>
      </c>
      <c r="D100" s="29">
        <f>D101+D102</f>
        <v>427.4</v>
      </c>
      <c r="E100" s="29">
        <f>E101+E102</f>
        <v>320</v>
      </c>
      <c r="F100" s="29">
        <f>F101+F102</f>
        <v>335</v>
      </c>
      <c r="G100" s="29">
        <f>G101+G102</f>
        <v>105.7</v>
      </c>
      <c r="H100" s="58">
        <f t="shared" si="2"/>
        <v>31.552238805970148</v>
      </c>
      <c r="I100" s="3"/>
    </row>
    <row r="101" spans="1:11" ht="18.75" customHeight="1">
      <c r="A101" s="32"/>
      <c r="B101" s="48" t="s">
        <v>328</v>
      </c>
      <c r="C101" s="32" t="s">
        <v>76</v>
      </c>
      <c r="D101" s="29">
        <v>211.9</v>
      </c>
      <c r="E101" s="29">
        <v>210</v>
      </c>
      <c r="F101" s="29">
        <v>210</v>
      </c>
      <c r="G101" s="29">
        <v>74.5</v>
      </c>
      <c r="H101" s="58">
        <f t="shared" si="2"/>
        <v>35.476190476190474</v>
      </c>
      <c r="I101" s="3"/>
    </row>
    <row r="102" spans="1:11" ht="18.75" customHeight="1">
      <c r="A102" s="32"/>
      <c r="B102" s="48" t="s">
        <v>329</v>
      </c>
      <c r="C102" s="32" t="s">
        <v>76</v>
      </c>
      <c r="D102" s="29">
        <v>215.5</v>
      </c>
      <c r="E102" s="29">
        <v>110</v>
      </c>
      <c r="F102" s="29">
        <v>125</v>
      </c>
      <c r="G102" s="29">
        <v>31.2</v>
      </c>
      <c r="H102" s="58">
        <f t="shared" si="2"/>
        <v>24.96</v>
      </c>
      <c r="I102" s="3"/>
    </row>
    <row r="103" spans="1:11">
      <c r="A103" s="49" t="s">
        <v>50</v>
      </c>
      <c r="B103" s="50" t="s">
        <v>104</v>
      </c>
      <c r="C103" s="49"/>
      <c r="D103" s="13"/>
      <c r="E103" s="13"/>
      <c r="F103" s="13"/>
      <c r="G103" s="13"/>
      <c r="H103" s="66" t="str">
        <f t="shared" si="2"/>
        <v/>
      </c>
      <c r="I103" s="3"/>
    </row>
    <row r="104" spans="1:11" ht="19.5" customHeight="1">
      <c r="A104" s="175">
        <v>1</v>
      </c>
      <c r="B104" s="52" t="s">
        <v>501</v>
      </c>
      <c r="C104" s="1" t="s">
        <v>37</v>
      </c>
      <c r="D104" s="53">
        <v>500.3</v>
      </c>
      <c r="E104" s="53">
        <v>4</v>
      </c>
      <c r="F104" s="53"/>
      <c r="G104" s="53"/>
      <c r="H104" s="66" t="str">
        <f t="shared" si="2"/>
        <v/>
      </c>
      <c r="I104" s="3"/>
    </row>
    <row r="105" spans="1:11" s="42" customFormat="1" ht="19.5" customHeight="1">
      <c r="A105" s="171"/>
      <c r="B105" s="172" t="s">
        <v>123</v>
      </c>
      <c r="C105" s="173" t="s">
        <v>37</v>
      </c>
      <c r="D105" s="174">
        <v>500.3</v>
      </c>
      <c r="E105" s="174">
        <v>4</v>
      </c>
      <c r="F105" s="174"/>
      <c r="G105" s="174"/>
      <c r="H105" s="160" t="str">
        <f t="shared" si="2"/>
        <v/>
      </c>
      <c r="I105" s="84"/>
    </row>
    <row r="106" spans="1:11" ht="17.25" customHeight="1">
      <c r="A106" s="32">
        <v>2</v>
      </c>
      <c r="B106" s="35" t="s">
        <v>30</v>
      </c>
      <c r="C106" s="32" t="s">
        <v>37</v>
      </c>
      <c r="D106" s="22">
        <v>1646</v>
      </c>
      <c r="E106" s="22">
        <f>D106+E107</f>
        <v>1675</v>
      </c>
      <c r="F106" s="22">
        <f>E106+F107</f>
        <v>1710</v>
      </c>
      <c r="G106" s="22">
        <f>E106+G107</f>
        <v>1702</v>
      </c>
      <c r="H106" s="58">
        <f t="shared" si="2"/>
        <v>99.532163742690045</v>
      </c>
      <c r="I106" s="3"/>
      <c r="J106" s="81"/>
    </row>
    <row r="107" spans="1:11" ht="17.25" customHeight="1">
      <c r="A107" s="32"/>
      <c r="B107" s="35" t="s">
        <v>123</v>
      </c>
      <c r="C107" s="32" t="s">
        <v>37</v>
      </c>
      <c r="D107" s="22">
        <v>57.2</v>
      </c>
      <c r="E107" s="22">
        <v>29</v>
      </c>
      <c r="F107" s="22">
        <v>35</v>
      </c>
      <c r="G107" s="22">
        <v>27</v>
      </c>
      <c r="H107" s="58">
        <f t="shared" si="2"/>
        <v>77.142857142857153</v>
      </c>
      <c r="I107" s="3"/>
    </row>
    <row r="108" spans="1:11" s="18" customFormat="1" ht="21.75" customHeight="1">
      <c r="A108" s="106" t="s">
        <v>176</v>
      </c>
      <c r="B108" s="124" t="s">
        <v>183</v>
      </c>
      <c r="C108" s="106"/>
      <c r="D108" s="125"/>
      <c r="E108" s="125"/>
      <c r="F108" s="125"/>
      <c r="G108" s="125"/>
      <c r="H108" s="110" t="str">
        <f t="shared" si="2"/>
        <v/>
      </c>
      <c r="I108" s="110"/>
    </row>
    <row r="109" spans="1:11" s="18" customFormat="1" ht="22.5" customHeight="1">
      <c r="A109" s="11">
        <v>1</v>
      </c>
      <c r="B109" s="54" t="s">
        <v>449</v>
      </c>
      <c r="C109" s="11" t="s">
        <v>331</v>
      </c>
      <c r="D109" s="27">
        <v>676693</v>
      </c>
      <c r="E109" s="27">
        <v>708000</v>
      </c>
      <c r="F109" s="27">
        <v>722000</v>
      </c>
      <c r="G109" s="27">
        <v>410000</v>
      </c>
      <c r="H109" s="66">
        <f t="shared" si="2"/>
        <v>56.78670360110803</v>
      </c>
      <c r="I109" s="83"/>
      <c r="K109" s="179"/>
    </row>
    <row r="110" spans="1:11" s="18" customFormat="1" ht="20.25" customHeight="1">
      <c r="A110" s="11">
        <v>2</v>
      </c>
      <c r="B110" s="15" t="s">
        <v>333</v>
      </c>
      <c r="C110" s="11"/>
      <c r="D110" s="149"/>
      <c r="E110" s="149"/>
      <c r="F110" s="149"/>
      <c r="G110" s="149"/>
      <c r="H110" s="66" t="str">
        <f t="shared" si="2"/>
        <v/>
      </c>
      <c r="I110" s="83"/>
    </row>
    <row r="111" spans="1:11" ht="20.25" customHeight="1">
      <c r="A111" s="32"/>
      <c r="B111" s="20" t="s">
        <v>334</v>
      </c>
      <c r="C111" s="32" t="s">
        <v>65</v>
      </c>
      <c r="D111" s="29">
        <v>40</v>
      </c>
      <c r="E111" s="29">
        <v>42</v>
      </c>
      <c r="F111" s="29">
        <v>40</v>
      </c>
      <c r="G111" s="29">
        <v>35</v>
      </c>
      <c r="H111" s="58">
        <f t="shared" si="2"/>
        <v>87.5</v>
      </c>
      <c r="I111" s="3"/>
    </row>
    <row r="112" spans="1:11" ht="20.25" customHeight="1">
      <c r="A112" s="32"/>
      <c r="B112" s="20" t="s">
        <v>340</v>
      </c>
      <c r="C112" s="32" t="s">
        <v>65</v>
      </c>
      <c r="D112" s="29">
        <v>35</v>
      </c>
      <c r="E112" s="29">
        <v>30</v>
      </c>
      <c r="F112" s="29">
        <v>40</v>
      </c>
      <c r="G112" s="29"/>
      <c r="H112" s="58">
        <f t="shared" si="2"/>
        <v>0</v>
      </c>
      <c r="I112" s="3"/>
    </row>
    <row r="113" spans="1:11" ht="20.25" customHeight="1">
      <c r="A113" s="32"/>
      <c r="B113" s="20" t="s">
        <v>335</v>
      </c>
      <c r="C113" s="32" t="s">
        <v>76</v>
      </c>
      <c r="D113" s="29">
        <v>57219</v>
      </c>
      <c r="E113" s="29">
        <v>60000</v>
      </c>
      <c r="F113" s="29">
        <v>55000</v>
      </c>
      <c r="G113" s="29">
        <v>33083</v>
      </c>
      <c r="H113" s="58">
        <f t="shared" si="2"/>
        <v>60.150909090909089</v>
      </c>
      <c r="I113" s="3"/>
    </row>
    <row r="114" spans="1:11" ht="20.25" customHeight="1">
      <c r="A114" s="32"/>
      <c r="B114" s="20" t="s">
        <v>336</v>
      </c>
      <c r="C114" s="32" t="s">
        <v>76</v>
      </c>
      <c r="D114" s="29">
        <v>12363</v>
      </c>
      <c r="E114" s="29">
        <v>13000</v>
      </c>
      <c r="F114" s="29">
        <v>12000</v>
      </c>
      <c r="G114" s="29">
        <v>6300</v>
      </c>
      <c r="H114" s="58">
        <f t="shared" si="2"/>
        <v>52.5</v>
      </c>
      <c r="I114" s="3"/>
    </row>
    <row r="115" spans="1:11" ht="20.25" customHeight="1">
      <c r="A115" s="32"/>
      <c r="B115" s="20" t="s">
        <v>337</v>
      </c>
      <c r="C115" s="32" t="s">
        <v>466</v>
      </c>
      <c r="D115" s="29">
        <v>39713</v>
      </c>
      <c r="E115" s="29">
        <v>41000</v>
      </c>
      <c r="F115" s="29">
        <v>60000</v>
      </c>
      <c r="G115" s="29"/>
      <c r="H115" s="58">
        <f t="shared" si="2"/>
        <v>0</v>
      </c>
      <c r="I115" s="3"/>
    </row>
    <row r="116" spans="1:11" ht="20.25" customHeight="1">
      <c r="A116" s="32"/>
      <c r="B116" s="20" t="s">
        <v>338</v>
      </c>
      <c r="C116" s="32" t="s">
        <v>466</v>
      </c>
      <c r="D116" s="29">
        <v>34500</v>
      </c>
      <c r="E116" s="29">
        <v>35000</v>
      </c>
      <c r="F116" s="29">
        <v>54000</v>
      </c>
      <c r="G116" s="29"/>
      <c r="H116" s="58">
        <f t="shared" si="2"/>
        <v>0</v>
      </c>
      <c r="I116" s="3"/>
    </row>
    <row r="117" spans="1:11" s="18" customFormat="1">
      <c r="A117" s="106" t="s">
        <v>182</v>
      </c>
      <c r="B117" s="126" t="s">
        <v>450</v>
      </c>
      <c r="C117" s="106"/>
      <c r="D117" s="127"/>
      <c r="E117" s="127"/>
      <c r="F117" s="127"/>
      <c r="G117" s="127"/>
      <c r="H117" s="110" t="str">
        <f t="shared" si="2"/>
        <v/>
      </c>
      <c r="I117" s="110"/>
    </row>
    <row r="118" spans="1:11" ht="22.5" customHeight="1">
      <c r="A118" s="32">
        <v>1</v>
      </c>
      <c r="B118" s="20" t="s">
        <v>184</v>
      </c>
      <c r="C118" s="32" t="s">
        <v>331</v>
      </c>
      <c r="D118" s="29">
        <v>560310</v>
      </c>
      <c r="E118" s="29">
        <v>595000</v>
      </c>
      <c r="F118" s="29">
        <v>696000</v>
      </c>
      <c r="G118" s="29">
        <v>338300</v>
      </c>
      <c r="H118" s="58">
        <f t="shared" si="2"/>
        <v>48.606321839080458</v>
      </c>
      <c r="I118" s="3"/>
    </row>
    <row r="119" spans="1:11" s="18" customFormat="1" ht="22.5" hidden="1" customHeight="1" outlineLevel="1">
      <c r="A119" s="11">
        <v>2</v>
      </c>
      <c r="B119" s="168" t="s">
        <v>489</v>
      </c>
      <c r="C119" s="1"/>
      <c r="D119" s="27"/>
      <c r="E119" s="27"/>
      <c r="F119" s="27"/>
      <c r="G119" s="27"/>
      <c r="H119" s="66"/>
      <c r="I119" s="83"/>
    </row>
    <row r="120" spans="1:11" ht="22.5" hidden="1" customHeight="1" outlineLevel="1">
      <c r="A120" s="32"/>
      <c r="B120" s="170" t="s">
        <v>490</v>
      </c>
      <c r="C120" s="1" t="s">
        <v>494</v>
      </c>
      <c r="D120" s="29"/>
      <c r="E120" s="29"/>
      <c r="F120" s="29"/>
      <c r="G120" s="29"/>
      <c r="H120" s="58" t="str">
        <f t="shared" ref="H120:H148" si="3">IFERROR(G120/F120%,"")</f>
        <v/>
      </c>
      <c r="I120" s="3"/>
    </row>
    <row r="121" spans="1:11" ht="22.5" hidden="1" customHeight="1" outlineLevel="1">
      <c r="A121" s="32"/>
      <c r="B121" s="170" t="s">
        <v>491</v>
      </c>
      <c r="C121" s="1" t="s">
        <v>49</v>
      </c>
      <c r="D121" s="29"/>
      <c r="E121" s="29"/>
      <c r="F121" s="29"/>
      <c r="G121" s="29"/>
      <c r="H121" s="58" t="str">
        <f t="shared" si="3"/>
        <v/>
      </c>
      <c r="I121" s="3"/>
    </row>
    <row r="122" spans="1:11" ht="22.5" hidden="1" customHeight="1" outlineLevel="1">
      <c r="A122" s="32"/>
      <c r="B122" s="170" t="s">
        <v>492</v>
      </c>
      <c r="C122" s="1" t="s">
        <v>331</v>
      </c>
      <c r="D122" s="29"/>
      <c r="E122" s="29"/>
      <c r="F122" s="29"/>
      <c r="G122" s="29"/>
      <c r="H122" s="58" t="str">
        <f t="shared" si="3"/>
        <v/>
      </c>
      <c r="I122" s="3"/>
    </row>
    <row r="123" spans="1:11" ht="22.5" hidden="1" customHeight="1" outlineLevel="1">
      <c r="A123" s="32"/>
      <c r="B123" s="170" t="s">
        <v>493</v>
      </c>
      <c r="C123" s="1" t="s">
        <v>33</v>
      </c>
      <c r="D123" s="29"/>
      <c r="E123" s="29"/>
      <c r="F123" s="29"/>
      <c r="G123" s="29"/>
      <c r="H123" s="58" t="str">
        <f t="shared" si="3"/>
        <v/>
      </c>
      <c r="I123" s="3"/>
    </row>
    <row r="124" spans="1:11" ht="22.5" customHeight="1" collapsed="1">
      <c r="A124" s="100"/>
      <c r="B124" s="122" t="s">
        <v>454</v>
      </c>
      <c r="C124" s="100"/>
      <c r="D124" s="102"/>
      <c r="E124" s="102"/>
      <c r="F124" s="102"/>
      <c r="G124" s="102"/>
      <c r="H124" s="123" t="str">
        <f t="shared" si="3"/>
        <v/>
      </c>
      <c r="I124" s="3"/>
    </row>
    <row r="125" spans="1:11" s="18" customFormat="1" ht="22.5" customHeight="1">
      <c r="A125" s="106" t="s">
        <v>38</v>
      </c>
      <c r="B125" s="126" t="s">
        <v>352</v>
      </c>
      <c r="C125" s="106"/>
      <c r="D125" s="125"/>
      <c r="E125" s="125"/>
      <c r="F125" s="125"/>
      <c r="G125" s="125"/>
      <c r="H125" s="110" t="str">
        <f t="shared" si="3"/>
        <v/>
      </c>
      <c r="I125" s="130"/>
    </row>
    <row r="126" spans="1:11" s="104" customFormat="1" ht="22.5" hidden="1" customHeight="1" outlineLevel="1">
      <c r="A126" s="100">
        <v>1</v>
      </c>
      <c r="B126" s="101" t="s">
        <v>353</v>
      </c>
      <c r="C126" s="100" t="s">
        <v>62</v>
      </c>
      <c r="D126" s="155">
        <v>10520</v>
      </c>
      <c r="E126" s="155">
        <f>D127</f>
        <v>10685</v>
      </c>
      <c r="F126" s="155">
        <f>E127</f>
        <v>11120</v>
      </c>
      <c r="G126" s="155"/>
      <c r="H126" s="123">
        <f t="shared" si="3"/>
        <v>0</v>
      </c>
      <c r="I126" s="129"/>
      <c r="K126" s="156"/>
    </row>
    <row r="127" spans="1:11" s="104" customFormat="1" ht="22.5" hidden="1" customHeight="1" outlineLevel="1">
      <c r="A127" s="100">
        <v>2</v>
      </c>
      <c r="B127" s="101" t="s">
        <v>207</v>
      </c>
      <c r="C127" s="100" t="s">
        <v>62</v>
      </c>
      <c r="D127" s="155">
        <v>10685</v>
      </c>
      <c r="E127" s="155">
        <v>11120</v>
      </c>
      <c r="F127" s="155">
        <v>11380</v>
      </c>
      <c r="G127" s="155"/>
      <c r="H127" s="123">
        <f t="shared" si="3"/>
        <v>0</v>
      </c>
      <c r="I127" s="129"/>
      <c r="J127" s="156"/>
    </row>
    <row r="128" spans="1:11" ht="22.5" customHeight="1" collapsed="1">
      <c r="A128" s="32">
        <v>1</v>
      </c>
      <c r="B128" s="20" t="s">
        <v>131</v>
      </c>
      <c r="C128" s="32" t="s">
        <v>73</v>
      </c>
      <c r="D128" s="29">
        <v>44006</v>
      </c>
      <c r="E128" s="29">
        <f>D129</f>
        <v>45290</v>
      </c>
      <c r="F128" s="29">
        <f>E129</f>
        <v>46404</v>
      </c>
      <c r="G128" s="29"/>
      <c r="H128" s="58">
        <f t="shared" si="3"/>
        <v>0</v>
      </c>
      <c r="I128" s="3"/>
    </row>
    <row r="129" spans="1:10" ht="22.5" customHeight="1">
      <c r="A129" s="32">
        <v>2</v>
      </c>
      <c r="B129" s="20" t="s">
        <v>132</v>
      </c>
      <c r="C129" s="32" t="s">
        <v>73</v>
      </c>
      <c r="D129" s="29">
        <v>45290</v>
      </c>
      <c r="E129" s="29">
        <v>46404</v>
      </c>
      <c r="F129" s="29">
        <v>47500</v>
      </c>
      <c r="G129" s="29"/>
      <c r="H129" s="58">
        <f t="shared" si="3"/>
        <v>0</v>
      </c>
      <c r="I129" s="3"/>
    </row>
    <row r="130" spans="1:10" ht="22.5" customHeight="1">
      <c r="A130" s="32">
        <v>3</v>
      </c>
      <c r="B130" s="20" t="s">
        <v>339</v>
      </c>
      <c r="C130" s="32" t="s">
        <v>73</v>
      </c>
      <c r="D130" s="29">
        <f>(D128+D129)/2</f>
        <v>44648</v>
      </c>
      <c r="E130" s="29">
        <f>(E128+E129)/2</f>
        <v>45847</v>
      </c>
      <c r="F130" s="29">
        <f>(F128+F129)/2</f>
        <v>46952</v>
      </c>
      <c r="G130" s="29"/>
      <c r="H130" s="58">
        <f t="shared" si="3"/>
        <v>0</v>
      </c>
      <c r="I130" s="3"/>
    </row>
    <row r="131" spans="1:10" ht="22.5" customHeight="1">
      <c r="A131" s="32">
        <v>4</v>
      </c>
      <c r="B131" s="48" t="s">
        <v>392</v>
      </c>
      <c r="C131" s="21" t="s">
        <v>170</v>
      </c>
      <c r="D131" s="74">
        <v>22.62</v>
      </c>
      <c r="E131" s="74">
        <v>22.92</v>
      </c>
      <c r="F131" s="74">
        <v>22</v>
      </c>
      <c r="G131" s="74"/>
      <c r="H131" s="66">
        <f t="shared" si="3"/>
        <v>0</v>
      </c>
      <c r="I131" s="3"/>
    </row>
    <row r="132" spans="1:10" s="18" customFormat="1" ht="21" customHeight="1">
      <c r="A132" s="106" t="s">
        <v>39</v>
      </c>
      <c r="B132" s="126" t="s">
        <v>163</v>
      </c>
      <c r="C132" s="106"/>
      <c r="D132" s="131"/>
      <c r="E132" s="131"/>
      <c r="F132" s="131"/>
      <c r="G132" s="131"/>
      <c r="H132" s="110" t="str">
        <f t="shared" si="3"/>
        <v/>
      </c>
      <c r="I132" s="130"/>
    </row>
    <row r="133" spans="1:10" ht="21" customHeight="1">
      <c r="A133" s="32">
        <v>1</v>
      </c>
      <c r="B133" s="20" t="s">
        <v>393</v>
      </c>
      <c r="C133" s="32" t="s">
        <v>33</v>
      </c>
      <c r="D133" s="58">
        <v>42.86</v>
      </c>
      <c r="E133" s="58">
        <v>43</v>
      </c>
      <c r="F133" s="58">
        <v>44</v>
      </c>
      <c r="G133" s="58"/>
      <c r="H133" s="58">
        <f t="shared" si="3"/>
        <v>0</v>
      </c>
      <c r="I133" s="3"/>
    </row>
    <row r="134" spans="1:10" ht="27.75" customHeight="1">
      <c r="A134" s="32"/>
      <c r="B134" s="20" t="s">
        <v>394</v>
      </c>
      <c r="C134" s="32" t="s">
        <v>33</v>
      </c>
      <c r="D134" s="58">
        <v>32</v>
      </c>
      <c r="E134" s="58">
        <v>35</v>
      </c>
      <c r="F134" s="58">
        <v>36</v>
      </c>
      <c r="G134" s="58"/>
      <c r="H134" s="58">
        <f t="shared" si="3"/>
        <v>0</v>
      </c>
      <c r="I134" s="3"/>
    </row>
    <row r="135" spans="1:10" ht="47.25">
      <c r="A135" s="32">
        <v>2</v>
      </c>
      <c r="B135" s="20" t="s">
        <v>357</v>
      </c>
      <c r="C135" s="32" t="s">
        <v>120</v>
      </c>
      <c r="D135" s="59">
        <f>174+50</f>
        <v>224</v>
      </c>
      <c r="E135" s="59">
        <v>175</v>
      </c>
      <c r="F135" s="59">
        <v>250</v>
      </c>
      <c r="G135" s="59"/>
      <c r="H135" s="58">
        <f t="shared" si="3"/>
        <v>0</v>
      </c>
      <c r="I135" s="3"/>
    </row>
    <row r="136" spans="1:10" ht="32.25" customHeight="1">
      <c r="A136" s="32"/>
      <c r="B136" s="20" t="s">
        <v>396</v>
      </c>
      <c r="C136" s="32" t="s">
        <v>397</v>
      </c>
      <c r="D136" s="20">
        <v>111</v>
      </c>
      <c r="E136" s="20">
        <v>115</v>
      </c>
      <c r="F136" s="20">
        <v>120</v>
      </c>
      <c r="G136" s="20"/>
      <c r="H136" s="58">
        <f t="shared" si="3"/>
        <v>0</v>
      </c>
      <c r="I136" s="3"/>
    </row>
    <row r="137" spans="1:10" ht="21" customHeight="1">
      <c r="A137" s="106" t="s">
        <v>512</v>
      </c>
      <c r="B137" s="126" t="s">
        <v>288</v>
      </c>
      <c r="C137" s="132"/>
      <c r="D137" s="133"/>
      <c r="E137" s="133"/>
      <c r="F137" s="133"/>
      <c r="G137" s="133"/>
      <c r="H137" s="110" t="str">
        <f t="shared" si="3"/>
        <v/>
      </c>
      <c r="I137" s="134"/>
    </row>
    <row r="138" spans="1:10" ht="37.5" customHeight="1">
      <c r="A138" s="60">
        <v>1</v>
      </c>
      <c r="B138" s="61" t="s">
        <v>355</v>
      </c>
      <c r="C138" s="32" t="s">
        <v>33</v>
      </c>
      <c r="D138" s="67" t="s">
        <v>358</v>
      </c>
      <c r="E138" s="88">
        <f>D139-E139</f>
        <v>3.1799999999999997</v>
      </c>
      <c r="F138" s="67" t="s">
        <v>388</v>
      </c>
      <c r="G138" s="88"/>
      <c r="H138" s="66" t="str">
        <f t="shared" si="3"/>
        <v/>
      </c>
      <c r="I138" s="3"/>
    </row>
    <row r="139" spans="1:10" ht="25.5" customHeight="1">
      <c r="A139" s="60">
        <v>2</v>
      </c>
      <c r="B139" s="61" t="s">
        <v>395</v>
      </c>
      <c r="C139" s="32" t="s">
        <v>33</v>
      </c>
      <c r="D139" s="80">
        <v>17.32</v>
      </c>
      <c r="E139" s="80">
        <v>14.14</v>
      </c>
      <c r="F139" s="80">
        <f>E139-3</f>
        <v>11.14</v>
      </c>
      <c r="G139" s="80"/>
      <c r="H139" s="58">
        <f t="shared" si="3"/>
        <v>0</v>
      </c>
      <c r="I139" s="3"/>
      <c r="J139" s="89"/>
    </row>
    <row r="140" spans="1:10" s="18" customFormat="1" ht="20.25" customHeight="1">
      <c r="A140" s="106" t="s">
        <v>48</v>
      </c>
      <c r="B140" s="126" t="s">
        <v>6</v>
      </c>
      <c r="C140" s="106"/>
      <c r="D140" s="125"/>
      <c r="E140" s="125"/>
      <c r="F140" s="125"/>
      <c r="G140" s="125"/>
      <c r="H140" s="110" t="str">
        <f t="shared" si="3"/>
        <v/>
      </c>
      <c r="I140" s="130"/>
    </row>
    <row r="141" spans="1:10" s="18" customFormat="1" ht="31.5" customHeight="1">
      <c r="A141" s="11">
        <v>1</v>
      </c>
      <c r="B141" s="15" t="s">
        <v>506</v>
      </c>
      <c r="C141" s="11" t="s">
        <v>8</v>
      </c>
      <c r="D141" s="27">
        <f>SUM(D142:D148)</f>
        <v>13999</v>
      </c>
      <c r="E141" s="27">
        <f>SUM(E142:E148)</f>
        <v>14102</v>
      </c>
      <c r="F141" s="27">
        <f>F142+F146+F147+F148</f>
        <v>14530</v>
      </c>
      <c r="G141" s="27">
        <f>G142+G146+G147+G148</f>
        <v>0</v>
      </c>
      <c r="H141" s="66">
        <f t="shared" si="3"/>
        <v>0</v>
      </c>
      <c r="I141" s="83"/>
    </row>
    <row r="142" spans="1:10" ht="21" customHeight="1">
      <c r="A142" s="32"/>
      <c r="B142" s="20" t="s">
        <v>188</v>
      </c>
      <c r="C142" s="32" t="s">
        <v>8</v>
      </c>
      <c r="D142" s="90">
        <v>4325</v>
      </c>
      <c r="E142" s="90">
        <v>4401</v>
      </c>
      <c r="F142" s="90">
        <f>F143+F145</f>
        <v>4430</v>
      </c>
      <c r="G142" s="90">
        <f>G143+G145</f>
        <v>0</v>
      </c>
      <c r="H142" s="58">
        <f t="shared" si="3"/>
        <v>0</v>
      </c>
      <c r="I142" s="3"/>
      <c r="J142" s="81"/>
    </row>
    <row r="143" spans="1:10" s="42" customFormat="1" ht="21" hidden="1" customHeight="1" outlineLevel="1">
      <c r="A143" s="39"/>
      <c r="B143" s="62" t="s">
        <v>399</v>
      </c>
      <c r="C143" s="32" t="s">
        <v>12</v>
      </c>
      <c r="D143" s="91"/>
      <c r="E143" s="91"/>
      <c r="F143" s="91">
        <v>450</v>
      </c>
      <c r="G143" s="91"/>
      <c r="H143" s="58">
        <f t="shared" si="3"/>
        <v>0</v>
      </c>
      <c r="I143" s="84"/>
      <c r="J143" s="82"/>
    </row>
    <row r="144" spans="1:10" s="42" customFormat="1" ht="21" hidden="1" customHeight="1" outlineLevel="1">
      <c r="A144" s="39"/>
      <c r="B144" s="62" t="s">
        <v>425</v>
      </c>
      <c r="C144" s="32" t="s">
        <v>12</v>
      </c>
      <c r="D144" s="91"/>
      <c r="E144" s="91"/>
      <c r="F144" s="91">
        <v>350</v>
      </c>
      <c r="G144" s="91"/>
      <c r="H144" s="58">
        <f t="shared" si="3"/>
        <v>0</v>
      </c>
      <c r="I144" s="84"/>
      <c r="J144" s="82"/>
    </row>
    <row r="145" spans="1:10" s="42" customFormat="1" ht="21" hidden="1" customHeight="1" outlineLevel="1">
      <c r="A145" s="39"/>
      <c r="B145" s="62" t="s">
        <v>190</v>
      </c>
      <c r="C145" s="32" t="s">
        <v>12</v>
      </c>
      <c r="D145" s="91"/>
      <c r="E145" s="91"/>
      <c r="F145" s="91">
        <v>3980</v>
      </c>
      <c r="G145" s="91"/>
      <c r="H145" s="58">
        <f t="shared" si="3"/>
        <v>0</v>
      </c>
      <c r="I145" s="84"/>
      <c r="J145" s="82"/>
    </row>
    <row r="146" spans="1:10" ht="21" customHeight="1" collapsed="1">
      <c r="A146" s="32"/>
      <c r="B146" s="20" t="s">
        <v>272</v>
      </c>
      <c r="C146" s="32" t="s">
        <v>8</v>
      </c>
      <c r="D146" s="90">
        <v>5412</v>
      </c>
      <c r="E146" s="90">
        <v>5400</v>
      </c>
      <c r="F146" s="90">
        <v>5700</v>
      </c>
      <c r="G146" s="90"/>
      <c r="H146" s="58">
        <f t="shared" si="3"/>
        <v>0</v>
      </c>
      <c r="I146" s="3"/>
      <c r="J146" s="81"/>
    </row>
    <row r="147" spans="1:10" ht="21" customHeight="1">
      <c r="A147" s="32"/>
      <c r="B147" s="20" t="s">
        <v>273</v>
      </c>
      <c r="C147" s="32" t="s">
        <v>8</v>
      </c>
      <c r="D147" s="90">
        <v>3521</v>
      </c>
      <c r="E147" s="90">
        <v>3560</v>
      </c>
      <c r="F147" s="90">
        <v>3570</v>
      </c>
      <c r="G147" s="90"/>
      <c r="H147" s="58">
        <f t="shared" si="3"/>
        <v>0</v>
      </c>
      <c r="I147" s="3"/>
    </row>
    <row r="148" spans="1:10" ht="21" customHeight="1">
      <c r="A148" s="32"/>
      <c r="B148" s="20" t="s">
        <v>342</v>
      </c>
      <c r="C148" s="32" t="s">
        <v>8</v>
      </c>
      <c r="D148" s="90">
        <v>741</v>
      </c>
      <c r="E148" s="90">
        <v>741</v>
      </c>
      <c r="F148" s="90">
        <v>830</v>
      </c>
      <c r="G148" s="151"/>
      <c r="H148" s="58">
        <f t="shared" si="3"/>
        <v>0</v>
      </c>
      <c r="I148" s="3"/>
    </row>
    <row r="149" spans="1:10" s="18" customFormat="1" ht="21" customHeight="1">
      <c r="A149" s="11">
        <v>2</v>
      </c>
      <c r="B149" s="15" t="s">
        <v>436</v>
      </c>
      <c r="C149" s="11"/>
      <c r="D149" s="176"/>
      <c r="E149" s="176"/>
      <c r="F149" s="176"/>
      <c r="G149" s="176"/>
      <c r="H149" s="66"/>
      <c r="I149" s="83"/>
    </row>
    <row r="150" spans="1:10" ht="21" customHeight="1">
      <c r="A150" s="32"/>
      <c r="B150" s="46" t="s">
        <v>60</v>
      </c>
      <c r="C150" s="32" t="s">
        <v>8</v>
      </c>
      <c r="D150" s="90"/>
      <c r="E150" s="90"/>
      <c r="F150" s="90">
        <v>60</v>
      </c>
      <c r="G150" s="90"/>
      <c r="H150" s="58">
        <f t="shared" ref="H150:H191" si="4">IFERROR(G150/F150%,"")</f>
        <v>0</v>
      </c>
      <c r="I150" s="3"/>
    </row>
    <row r="151" spans="1:10" ht="21" customHeight="1">
      <c r="A151" s="32"/>
      <c r="B151" s="46" t="s">
        <v>59</v>
      </c>
      <c r="C151" s="32" t="s">
        <v>8</v>
      </c>
      <c r="D151" s="90"/>
      <c r="E151" s="90"/>
      <c r="F151" s="90">
        <v>60</v>
      </c>
      <c r="G151" s="90"/>
      <c r="H151" s="58">
        <f t="shared" si="4"/>
        <v>0</v>
      </c>
      <c r="I151" s="3"/>
    </row>
    <row r="152" spans="1:10" s="165" customFormat="1" ht="22.5" hidden="1" customHeight="1" outlineLevel="1">
      <c r="A152" s="161">
        <v>3</v>
      </c>
      <c r="B152" s="162" t="s">
        <v>398</v>
      </c>
      <c r="C152" s="161"/>
      <c r="D152" s="163">
        <f>SUM(D154:D158)</f>
        <v>37</v>
      </c>
      <c r="E152" s="163">
        <f>SUM(E154:E158)</f>
        <v>38</v>
      </c>
      <c r="F152" s="163">
        <f>SUM(F154:F158)</f>
        <v>38</v>
      </c>
      <c r="G152" s="163">
        <f>SUM(G154:G158)</f>
        <v>38</v>
      </c>
      <c r="H152" s="123">
        <f t="shared" si="4"/>
        <v>100</v>
      </c>
      <c r="I152" s="164"/>
    </row>
    <row r="153" spans="1:10" s="104" customFormat="1" ht="22.5" hidden="1" customHeight="1" outlineLevel="1">
      <c r="A153" s="100"/>
      <c r="B153" s="105" t="s">
        <v>341</v>
      </c>
      <c r="C153" s="100"/>
      <c r="D153" s="102"/>
      <c r="E153" s="102"/>
      <c r="F153" s="102"/>
      <c r="G153" s="102"/>
      <c r="H153" s="103" t="str">
        <f t="shared" si="4"/>
        <v/>
      </c>
      <c r="I153" s="129"/>
    </row>
    <row r="154" spans="1:10" s="104" customFormat="1" ht="22.5" hidden="1" customHeight="1" outlineLevel="1">
      <c r="A154" s="100"/>
      <c r="B154" s="101" t="s">
        <v>343</v>
      </c>
      <c r="C154" s="100" t="s">
        <v>143</v>
      </c>
      <c r="D154" s="102">
        <v>13</v>
      </c>
      <c r="E154" s="102">
        <v>13</v>
      </c>
      <c r="F154" s="102">
        <f>E154</f>
        <v>13</v>
      </c>
      <c r="G154" s="102">
        <f>E154</f>
        <v>13</v>
      </c>
      <c r="H154" s="103">
        <f t="shared" si="4"/>
        <v>100</v>
      </c>
      <c r="I154" s="129"/>
    </row>
    <row r="155" spans="1:10" s="104" customFormat="1" ht="22.5" hidden="1" customHeight="1" outlineLevel="1">
      <c r="A155" s="100"/>
      <c r="B155" s="101" t="s">
        <v>344</v>
      </c>
      <c r="C155" s="100" t="s">
        <v>143</v>
      </c>
      <c r="D155" s="102">
        <v>13</v>
      </c>
      <c r="E155" s="102">
        <v>14</v>
      </c>
      <c r="F155" s="102">
        <f>E155</f>
        <v>14</v>
      </c>
      <c r="G155" s="102">
        <f>E155</f>
        <v>14</v>
      </c>
      <c r="H155" s="103">
        <f t="shared" si="4"/>
        <v>99.999999999999986</v>
      </c>
      <c r="I155" s="129"/>
    </row>
    <row r="156" spans="1:10" s="104" customFormat="1" ht="22.5" hidden="1" customHeight="1" outlineLevel="1">
      <c r="A156" s="100"/>
      <c r="B156" s="101" t="s">
        <v>345</v>
      </c>
      <c r="C156" s="100" t="s">
        <v>143</v>
      </c>
      <c r="D156" s="102">
        <v>9</v>
      </c>
      <c r="E156" s="102">
        <v>9</v>
      </c>
      <c r="F156" s="102">
        <f>E156</f>
        <v>9</v>
      </c>
      <c r="G156" s="102">
        <f>E156</f>
        <v>9</v>
      </c>
      <c r="H156" s="103">
        <f t="shared" si="4"/>
        <v>100</v>
      </c>
      <c r="I156" s="129"/>
    </row>
    <row r="157" spans="1:10" s="104" customFormat="1" ht="22.5" hidden="1" customHeight="1" outlineLevel="1">
      <c r="A157" s="100"/>
      <c r="B157" s="101" t="s">
        <v>346</v>
      </c>
      <c r="C157" s="100" t="s">
        <v>143</v>
      </c>
      <c r="D157" s="102">
        <v>1</v>
      </c>
      <c r="E157" s="102">
        <v>1</v>
      </c>
      <c r="F157" s="102">
        <f>E157</f>
        <v>1</v>
      </c>
      <c r="G157" s="102">
        <f>E157</f>
        <v>1</v>
      </c>
      <c r="H157" s="103">
        <f t="shared" si="4"/>
        <v>100</v>
      </c>
      <c r="I157" s="129"/>
    </row>
    <row r="158" spans="1:10" s="104" customFormat="1" ht="22.5" hidden="1" customHeight="1" outlineLevel="1">
      <c r="A158" s="100"/>
      <c r="B158" s="101" t="s">
        <v>347</v>
      </c>
      <c r="C158" s="100" t="s">
        <v>143</v>
      </c>
      <c r="D158" s="102">
        <v>1</v>
      </c>
      <c r="E158" s="102">
        <v>1</v>
      </c>
      <c r="F158" s="102">
        <f>E158</f>
        <v>1</v>
      </c>
      <c r="G158" s="102">
        <f>E158</f>
        <v>1</v>
      </c>
      <c r="H158" s="103">
        <f t="shared" si="4"/>
        <v>100</v>
      </c>
      <c r="I158" s="129"/>
    </row>
    <row r="159" spans="1:10" s="165" customFormat="1" ht="22.5" hidden="1" customHeight="1" outlineLevel="1">
      <c r="A159" s="161">
        <v>4</v>
      </c>
      <c r="B159" s="162" t="s">
        <v>348</v>
      </c>
      <c r="C159" s="161" t="s">
        <v>143</v>
      </c>
      <c r="D159" s="163">
        <f>SUM(D161:D165)</f>
        <v>20</v>
      </c>
      <c r="E159" s="163">
        <f>SUM(E161:E165)</f>
        <v>22</v>
      </c>
      <c r="F159" s="163">
        <f>SUM(F161:F165)</f>
        <v>25</v>
      </c>
      <c r="G159" s="163">
        <f>SUM(G161:G165)</f>
        <v>0</v>
      </c>
      <c r="H159" s="123">
        <f t="shared" si="4"/>
        <v>0</v>
      </c>
      <c r="I159" s="164"/>
    </row>
    <row r="160" spans="1:10" s="104" customFormat="1" ht="22.5" hidden="1" customHeight="1" outlineLevel="1">
      <c r="A160" s="100"/>
      <c r="B160" s="105" t="s">
        <v>341</v>
      </c>
      <c r="C160" s="100"/>
      <c r="D160" s="102"/>
      <c r="E160" s="102"/>
      <c r="F160" s="102"/>
      <c r="G160" s="102"/>
      <c r="H160" s="103" t="str">
        <f t="shared" si="4"/>
        <v/>
      </c>
      <c r="I160" s="129"/>
    </row>
    <row r="161" spans="1:9" s="104" customFormat="1" ht="22.5" hidden="1" customHeight="1" outlineLevel="1">
      <c r="A161" s="100"/>
      <c r="B161" s="101" t="s">
        <v>343</v>
      </c>
      <c r="C161" s="100" t="s">
        <v>143</v>
      </c>
      <c r="D161" s="102">
        <v>5</v>
      </c>
      <c r="E161" s="102">
        <v>7</v>
      </c>
      <c r="F161" s="102">
        <v>8</v>
      </c>
      <c r="G161" s="102"/>
      <c r="H161" s="103">
        <f t="shared" si="4"/>
        <v>0</v>
      </c>
      <c r="I161" s="129"/>
    </row>
    <row r="162" spans="1:9" s="104" customFormat="1" ht="22.5" hidden="1" customHeight="1" outlineLevel="1">
      <c r="A162" s="100"/>
      <c r="B162" s="101" t="s">
        <v>344</v>
      </c>
      <c r="C162" s="100" t="s">
        <v>143</v>
      </c>
      <c r="D162" s="102">
        <v>9</v>
      </c>
      <c r="E162" s="102">
        <v>9</v>
      </c>
      <c r="F162" s="102">
        <v>10</v>
      </c>
      <c r="G162" s="102"/>
      <c r="H162" s="103">
        <f t="shared" si="4"/>
        <v>0</v>
      </c>
      <c r="I162" s="129"/>
    </row>
    <row r="163" spans="1:9" s="104" customFormat="1" ht="22.5" hidden="1" customHeight="1" outlineLevel="1">
      <c r="A163" s="100"/>
      <c r="B163" s="101" t="s">
        <v>345</v>
      </c>
      <c r="C163" s="100" t="s">
        <v>143</v>
      </c>
      <c r="D163" s="102">
        <v>4</v>
      </c>
      <c r="E163" s="102">
        <v>4</v>
      </c>
      <c r="F163" s="102">
        <v>5</v>
      </c>
      <c r="G163" s="102"/>
      <c r="H163" s="103">
        <f t="shared" si="4"/>
        <v>0</v>
      </c>
      <c r="I163" s="129"/>
    </row>
    <row r="164" spans="1:9" s="104" customFormat="1" ht="22.5" hidden="1" customHeight="1" outlineLevel="1">
      <c r="A164" s="100"/>
      <c r="B164" s="101" t="s">
        <v>346</v>
      </c>
      <c r="C164" s="100" t="s">
        <v>143</v>
      </c>
      <c r="D164" s="102">
        <v>1</v>
      </c>
      <c r="E164" s="102">
        <v>1</v>
      </c>
      <c r="F164" s="102">
        <v>1</v>
      </c>
      <c r="G164" s="102"/>
      <c r="H164" s="103">
        <f t="shared" si="4"/>
        <v>0</v>
      </c>
      <c r="I164" s="129"/>
    </row>
    <row r="165" spans="1:9" s="104" customFormat="1" ht="22.5" hidden="1" customHeight="1" outlineLevel="1">
      <c r="A165" s="100"/>
      <c r="B165" s="101" t="s">
        <v>347</v>
      </c>
      <c r="C165" s="100" t="s">
        <v>143</v>
      </c>
      <c r="D165" s="102">
        <v>1</v>
      </c>
      <c r="E165" s="102">
        <v>1</v>
      </c>
      <c r="F165" s="102">
        <v>1</v>
      </c>
      <c r="G165" s="102"/>
      <c r="H165" s="103">
        <f t="shared" si="4"/>
        <v>0</v>
      </c>
      <c r="I165" s="129"/>
    </row>
    <row r="166" spans="1:9" s="18" customFormat="1" ht="22.5" customHeight="1" collapsed="1">
      <c r="A166" s="11">
        <v>3</v>
      </c>
      <c r="B166" s="15" t="s">
        <v>144</v>
      </c>
      <c r="C166" s="11" t="s">
        <v>33</v>
      </c>
      <c r="D166" s="166">
        <f>D159/D152%</f>
        <v>54.054054054054056</v>
      </c>
      <c r="E166" s="166">
        <f>E159/E152%</f>
        <v>57.89473684210526</v>
      </c>
      <c r="F166" s="166">
        <f>F159/F152%</f>
        <v>65.78947368421052</v>
      </c>
      <c r="G166" s="166">
        <f>G159/G152%</f>
        <v>0</v>
      </c>
      <c r="H166" s="66">
        <f t="shared" si="4"/>
        <v>0</v>
      </c>
      <c r="I166" s="83"/>
    </row>
    <row r="167" spans="1:9" ht="22.5" hidden="1" customHeight="1" outlineLevel="1">
      <c r="A167" s="32"/>
      <c r="B167" s="62" t="s">
        <v>341</v>
      </c>
      <c r="C167" s="32"/>
      <c r="D167" s="55"/>
      <c r="E167" s="55"/>
      <c r="F167" s="55"/>
      <c r="G167" s="55"/>
      <c r="H167" s="66" t="str">
        <f t="shared" si="4"/>
        <v/>
      </c>
      <c r="I167" s="3"/>
    </row>
    <row r="168" spans="1:9" ht="22.5" hidden="1" customHeight="1" outlineLevel="1">
      <c r="A168" s="32"/>
      <c r="B168" s="20" t="s">
        <v>343</v>
      </c>
      <c r="C168" s="32" t="s">
        <v>33</v>
      </c>
      <c r="D168" s="55">
        <f t="shared" ref="D168:G172" si="5">D161/D154%</f>
        <v>38.46153846153846</v>
      </c>
      <c r="E168" s="55">
        <f t="shared" si="5"/>
        <v>53.846153846153847</v>
      </c>
      <c r="F168" s="55">
        <f t="shared" si="5"/>
        <v>61.538461538461533</v>
      </c>
      <c r="G168" s="55">
        <f t="shared" si="5"/>
        <v>0</v>
      </c>
      <c r="H168" s="58">
        <f t="shared" si="4"/>
        <v>0</v>
      </c>
      <c r="I168" s="3"/>
    </row>
    <row r="169" spans="1:9" ht="22.5" hidden="1" customHeight="1" outlineLevel="1">
      <c r="A169" s="32"/>
      <c r="B169" s="20" t="s">
        <v>344</v>
      </c>
      <c r="C169" s="32" t="s">
        <v>33</v>
      </c>
      <c r="D169" s="55">
        <f t="shared" si="5"/>
        <v>69.230769230769226</v>
      </c>
      <c r="E169" s="55">
        <f t="shared" si="5"/>
        <v>64.285714285714278</v>
      </c>
      <c r="F169" s="55">
        <f t="shared" si="5"/>
        <v>71.428571428571416</v>
      </c>
      <c r="G169" s="55">
        <f t="shared" si="5"/>
        <v>0</v>
      </c>
      <c r="H169" s="58">
        <f t="shared" si="4"/>
        <v>0</v>
      </c>
      <c r="I169" s="3"/>
    </row>
    <row r="170" spans="1:9" ht="22.5" hidden="1" customHeight="1" outlineLevel="1">
      <c r="A170" s="32"/>
      <c r="B170" s="20" t="s">
        <v>345</v>
      </c>
      <c r="C170" s="32" t="s">
        <v>33</v>
      </c>
      <c r="D170" s="55">
        <f t="shared" si="5"/>
        <v>44.444444444444443</v>
      </c>
      <c r="E170" s="55">
        <f t="shared" si="5"/>
        <v>44.444444444444443</v>
      </c>
      <c r="F170" s="55">
        <f t="shared" si="5"/>
        <v>55.555555555555557</v>
      </c>
      <c r="G170" s="55">
        <f t="shared" si="5"/>
        <v>0</v>
      </c>
      <c r="H170" s="58">
        <f t="shared" si="4"/>
        <v>0</v>
      </c>
      <c r="I170" s="3"/>
    </row>
    <row r="171" spans="1:9" ht="22.5" hidden="1" customHeight="1" outlineLevel="1">
      <c r="A171" s="32"/>
      <c r="B171" s="20" t="s">
        <v>346</v>
      </c>
      <c r="C171" s="32" t="s">
        <v>33</v>
      </c>
      <c r="D171" s="55">
        <f t="shared" si="5"/>
        <v>100</v>
      </c>
      <c r="E171" s="55">
        <f t="shared" si="5"/>
        <v>100</v>
      </c>
      <c r="F171" s="55">
        <f t="shared" si="5"/>
        <v>100</v>
      </c>
      <c r="G171" s="55">
        <f t="shared" si="5"/>
        <v>0</v>
      </c>
      <c r="H171" s="58">
        <f t="shared" si="4"/>
        <v>0</v>
      </c>
      <c r="I171" s="3"/>
    </row>
    <row r="172" spans="1:9" ht="22.5" hidden="1" customHeight="1" outlineLevel="1">
      <c r="A172" s="32"/>
      <c r="B172" s="20" t="s">
        <v>347</v>
      </c>
      <c r="C172" s="32" t="s">
        <v>33</v>
      </c>
      <c r="D172" s="55">
        <f t="shared" si="5"/>
        <v>100</v>
      </c>
      <c r="E172" s="55">
        <f t="shared" si="5"/>
        <v>100</v>
      </c>
      <c r="F172" s="55">
        <f t="shared" si="5"/>
        <v>100</v>
      </c>
      <c r="G172" s="55">
        <f t="shared" si="5"/>
        <v>0</v>
      </c>
      <c r="H172" s="58">
        <f t="shared" si="4"/>
        <v>0</v>
      </c>
      <c r="I172" s="3"/>
    </row>
    <row r="173" spans="1:9" ht="22.5" customHeight="1" collapsed="1">
      <c r="A173" s="106" t="s">
        <v>51</v>
      </c>
      <c r="B173" s="126" t="s">
        <v>350</v>
      </c>
      <c r="C173" s="132"/>
      <c r="D173" s="135"/>
      <c r="E173" s="135"/>
      <c r="F173" s="135"/>
      <c r="G173" s="135"/>
      <c r="H173" s="110" t="str">
        <f t="shared" si="4"/>
        <v/>
      </c>
      <c r="I173" s="134"/>
    </row>
    <row r="174" spans="1:9" ht="22.5" customHeight="1">
      <c r="A174" s="32">
        <v>1</v>
      </c>
      <c r="B174" s="20" t="s">
        <v>351</v>
      </c>
      <c r="C174" s="32" t="s">
        <v>145</v>
      </c>
      <c r="D174" s="13">
        <v>130</v>
      </c>
      <c r="E174" s="13">
        <v>130</v>
      </c>
      <c r="F174" s="13">
        <v>135</v>
      </c>
      <c r="G174" s="13">
        <v>130</v>
      </c>
      <c r="H174" s="58">
        <f t="shared" si="4"/>
        <v>96.296296296296291</v>
      </c>
      <c r="I174" s="3"/>
    </row>
    <row r="175" spans="1:9" ht="24" customHeight="1">
      <c r="A175" s="32">
        <v>2</v>
      </c>
      <c r="B175" s="20" t="s">
        <v>451</v>
      </c>
      <c r="C175" s="32" t="s">
        <v>349</v>
      </c>
      <c r="D175" s="13">
        <v>2</v>
      </c>
      <c r="E175" s="13">
        <v>6</v>
      </c>
      <c r="F175" s="13">
        <v>7</v>
      </c>
      <c r="G175" s="13">
        <v>4</v>
      </c>
      <c r="H175" s="58">
        <f t="shared" si="4"/>
        <v>57.142857142857139</v>
      </c>
      <c r="I175" s="3"/>
    </row>
    <row r="176" spans="1:9" ht="25.5" customHeight="1">
      <c r="A176" s="32"/>
      <c r="B176" s="47" t="s">
        <v>452</v>
      </c>
      <c r="C176" s="32" t="s">
        <v>33</v>
      </c>
      <c r="D176" s="55">
        <f>D175/9%</f>
        <v>22.222222222222221</v>
      </c>
      <c r="E176" s="55">
        <f>E175/9%</f>
        <v>66.666666666666671</v>
      </c>
      <c r="F176" s="55">
        <f>F175/9%</f>
        <v>77.777777777777786</v>
      </c>
      <c r="G176" s="55">
        <f>G175/9%</f>
        <v>44.444444444444443</v>
      </c>
      <c r="H176" s="58">
        <f t="shared" si="4"/>
        <v>57.142857142857132</v>
      </c>
      <c r="I176" s="3"/>
    </row>
    <row r="177" spans="1:9" ht="21.75" customHeight="1">
      <c r="A177" s="32">
        <v>3</v>
      </c>
      <c r="B177" s="46" t="s">
        <v>187</v>
      </c>
      <c r="C177" s="32" t="s">
        <v>33</v>
      </c>
      <c r="D177" s="55">
        <v>83.5</v>
      </c>
      <c r="E177" s="55">
        <v>87</v>
      </c>
      <c r="F177" s="55">
        <v>90</v>
      </c>
      <c r="G177" s="55"/>
      <c r="H177" s="66">
        <f t="shared" si="4"/>
        <v>0</v>
      </c>
      <c r="I177" s="3"/>
    </row>
    <row r="178" spans="1:9" ht="31.5">
      <c r="A178" s="32">
        <v>4</v>
      </c>
      <c r="B178" s="46" t="s">
        <v>412</v>
      </c>
      <c r="C178" s="32" t="s">
        <v>33</v>
      </c>
      <c r="D178" s="74">
        <v>33.1</v>
      </c>
      <c r="E178" s="55">
        <v>31.8</v>
      </c>
      <c r="F178" s="55">
        <v>31.3</v>
      </c>
      <c r="G178" s="55"/>
      <c r="H178" s="66">
        <f t="shared" si="4"/>
        <v>0</v>
      </c>
      <c r="I178" s="3"/>
    </row>
    <row r="179" spans="1:9" ht="31.5">
      <c r="A179" s="32">
        <v>5</v>
      </c>
      <c r="B179" s="46" t="s">
        <v>413</v>
      </c>
      <c r="C179" s="32" t="s">
        <v>33</v>
      </c>
      <c r="D179" s="74">
        <v>20.6</v>
      </c>
      <c r="E179" s="55">
        <v>20</v>
      </c>
      <c r="F179" s="55">
        <v>19.5</v>
      </c>
      <c r="G179" s="55"/>
      <c r="H179" s="66">
        <f t="shared" si="4"/>
        <v>0</v>
      </c>
      <c r="I179" s="3"/>
    </row>
    <row r="180" spans="1:9" ht="31.5">
      <c r="A180" s="106" t="s">
        <v>63</v>
      </c>
      <c r="B180" s="107" t="s">
        <v>192</v>
      </c>
      <c r="C180" s="108"/>
      <c r="D180" s="135"/>
      <c r="E180" s="135"/>
      <c r="F180" s="135"/>
      <c r="G180" s="135"/>
      <c r="H180" s="110" t="str">
        <f t="shared" si="4"/>
        <v/>
      </c>
      <c r="I180" s="134"/>
    </row>
    <row r="181" spans="1:9" ht="22.5" customHeight="1">
      <c r="A181" s="11">
        <v>1</v>
      </c>
      <c r="B181" s="63" t="s">
        <v>193</v>
      </c>
      <c r="C181" s="12"/>
      <c r="D181" s="13"/>
      <c r="E181" s="13"/>
      <c r="F181" s="13"/>
      <c r="G181" s="13"/>
      <c r="H181" s="66" t="str">
        <f t="shared" si="4"/>
        <v/>
      </c>
      <c r="I181" s="3"/>
    </row>
    <row r="182" spans="1:9" ht="22.5" customHeight="1">
      <c r="A182" s="19"/>
      <c r="B182" s="48" t="s">
        <v>194</v>
      </c>
      <c r="C182" s="21" t="s">
        <v>16</v>
      </c>
      <c r="D182" s="59">
        <v>1560</v>
      </c>
      <c r="E182" s="59">
        <v>1560</v>
      </c>
      <c r="F182" s="59">
        <f>E182</f>
        <v>1560</v>
      </c>
      <c r="G182" s="59"/>
      <c r="H182" s="58">
        <f t="shared" si="4"/>
        <v>0</v>
      </c>
      <c r="I182" s="3"/>
    </row>
    <row r="183" spans="1:9" ht="22.5" customHeight="1">
      <c r="A183" s="19"/>
      <c r="B183" s="48" t="s">
        <v>195</v>
      </c>
      <c r="C183" s="21" t="s">
        <v>16</v>
      </c>
      <c r="D183" s="59">
        <v>21800</v>
      </c>
      <c r="E183" s="59">
        <v>21800</v>
      </c>
      <c r="F183" s="59">
        <f>E183</f>
        <v>21800</v>
      </c>
      <c r="G183" s="59"/>
      <c r="H183" s="58">
        <f t="shared" si="4"/>
        <v>0</v>
      </c>
      <c r="I183" s="3"/>
    </row>
    <row r="184" spans="1:9" ht="22.5" hidden="1" customHeight="1" outlineLevel="1">
      <c r="A184" s="11">
        <v>2</v>
      </c>
      <c r="B184" s="63" t="s">
        <v>196</v>
      </c>
      <c r="C184" s="21"/>
      <c r="D184" s="59"/>
      <c r="E184" s="59"/>
      <c r="F184" s="59"/>
      <c r="G184" s="59"/>
      <c r="H184" s="66" t="str">
        <f t="shared" si="4"/>
        <v/>
      </c>
      <c r="I184" s="3"/>
    </row>
    <row r="185" spans="1:9" ht="22.5" hidden="1" customHeight="1" outlineLevel="1">
      <c r="A185" s="32"/>
      <c r="B185" s="48" t="s">
        <v>198</v>
      </c>
      <c r="C185" s="21" t="s">
        <v>199</v>
      </c>
      <c r="D185" s="59">
        <v>9233</v>
      </c>
      <c r="E185" s="59">
        <v>10000</v>
      </c>
      <c r="F185" s="59">
        <v>10250</v>
      </c>
      <c r="G185" s="59"/>
      <c r="H185" s="66">
        <f t="shared" si="4"/>
        <v>0</v>
      </c>
      <c r="I185" s="3"/>
    </row>
    <row r="186" spans="1:9" ht="22.5" hidden="1" customHeight="1" outlineLevel="1">
      <c r="A186" s="32" t="s">
        <v>197</v>
      </c>
      <c r="B186" s="48" t="s">
        <v>200</v>
      </c>
      <c r="C186" s="41" t="s">
        <v>33</v>
      </c>
      <c r="D186" s="59">
        <v>85.6</v>
      </c>
      <c r="E186" s="59">
        <f>E185/E127%</f>
        <v>89.928057553956833</v>
      </c>
      <c r="F186" s="59">
        <f>F185/F127%</f>
        <v>90.070298769771526</v>
      </c>
      <c r="G186" s="59"/>
      <c r="H186" s="58">
        <f t="shared" si="4"/>
        <v>0</v>
      </c>
      <c r="I186" s="3"/>
    </row>
    <row r="187" spans="1:9" ht="22.5" hidden="1" customHeight="1" outlineLevel="1">
      <c r="A187" s="32"/>
      <c r="B187" s="48" t="s">
        <v>202</v>
      </c>
      <c r="C187" s="21" t="s">
        <v>203</v>
      </c>
      <c r="D187" s="6">
        <v>58</v>
      </c>
      <c r="E187" s="6">
        <v>61</v>
      </c>
      <c r="F187" s="6">
        <v>61</v>
      </c>
      <c r="G187" s="6"/>
      <c r="H187" s="58">
        <f t="shared" si="4"/>
        <v>0</v>
      </c>
      <c r="I187" s="3"/>
    </row>
    <row r="188" spans="1:9" ht="22.5" hidden="1" customHeight="1" outlineLevel="1">
      <c r="A188" s="32" t="s">
        <v>201</v>
      </c>
      <c r="B188" s="48" t="s">
        <v>171</v>
      </c>
      <c r="C188" s="41" t="s">
        <v>33</v>
      </c>
      <c r="D188" s="59">
        <f>D187/67%</f>
        <v>86.567164179104466</v>
      </c>
      <c r="E188" s="59">
        <f>E187/67%</f>
        <v>91.044776119402982</v>
      </c>
      <c r="F188" s="59">
        <f>F187/67%</f>
        <v>91.044776119402982</v>
      </c>
      <c r="G188" s="59"/>
      <c r="H188" s="58">
        <f t="shared" si="4"/>
        <v>0</v>
      </c>
      <c r="I188" s="3"/>
    </row>
    <row r="189" spans="1:9" ht="22.5" hidden="1" customHeight="1" outlineLevel="1">
      <c r="A189" s="32" t="s">
        <v>204</v>
      </c>
      <c r="B189" s="48" t="s">
        <v>205</v>
      </c>
      <c r="C189" s="21" t="s">
        <v>206</v>
      </c>
      <c r="D189" s="59">
        <v>88</v>
      </c>
      <c r="E189" s="59">
        <v>90</v>
      </c>
      <c r="F189" s="59">
        <v>90</v>
      </c>
      <c r="G189" s="59"/>
      <c r="H189" s="58">
        <f t="shared" si="4"/>
        <v>0</v>
      </c>
      <c r="I189" s="3"/>
    </row>
    <row r="190" spans="1:9" ht="22.5" hidden="1" customHeight="1" outlineLevel="1">
      <c r="A190" s="32" t="s">
        <v>354</v>
      </c>
      <c r="B190" s="20" t="s">
        <v>356</v>
      </c>
      <c r="C190" s="32" t="s">
        <v>61</v>
      </c>
      <c r="D190" s="59">
        <v>4</v>
      </c>
      <c r="E190" s="59">
        <v>4</v>
      </c>
      <c r="F190" s="59">
        <v>4</v>
      </c>
      <c r="G190" s="59">
        <v>4</v>
      </c>
      <c r="H190" s="58">
        <f t="shared" si="4"/>
        <v>100</v>
      </c>
      <c r="I190" s="3"/>
    </row>
    <row r="191" spans="1:9" ht="36.75" hidden="1" customHeight="1" outlineLevel="1">
      <c r="A191" s="100"/>
      <c r="B191" s="122" t="s">
        <v>502</v>
      </c>
      <c r="C191" s="100"/>
      <c r="D191" s="102"/>
      <c r="E191" s="102"/>
      <c r="F191" s="102"/>
      <c r="G191" s="102"/>
      <c r="H191" s="123" t="str">
        <f t="shared" si="4"/>
        <v/>
      </c>
      <c r="I191" s="3"/>
    </row>
    <row r="192" spans="1:9" ht="23.25" hidden="1" customHeight="1" outlineLevel="1">
      <c r="A192" s="32">
        <v>1</v>
      </c>
      <c r="B192" s="20" t="s">
        <v>299</v>
      </c>
      <c r="C192" s="32" t="s">
        <v>33</v>
      </c>
      <c r="D192" s="20"/>
      <c r="E192" s="20"/>
      <c r="F192" s="20">
        <v>100</v>
      </c>
      <c r="G192" s="20"/>
      <c r="H192" s="20"/>
      <c r="I192" s="20"/>
    </row>
    <row r="193" spans="1:9" ht="15" customHeight="1" collapsed="1">
      <c r="A193" s="97"/>
      <c r="B193" s="98"/>
      <c r="C193" s="97"/>
      <c r="D193" s="98"/>
      <c r="E193" s="98"/>
      <c r="F193" s="98"/>
      <c r="G193" s="98"/>
      <c r="H193" s="98"/>
      <c r="I193" s="98"/>
    </row>
    <row r="194" spans="1:9">
      <c r="A194" s="92"/>
      <c r="B194" s="56"/>
      <c r="C194" s="92"/>
      <c r="D194" s="56"/>
      <c r="E194" s="56"/>
      <c r="F194" s="56"/>
      <c r="G194" s="56"/>
      <c r="H194" s="56"/>
      <c r="I194" s="56"/>
    </row>
    <row r="195" spans="1:9">
      <c r="A195" s="92"/>
      <c r="B195" s="56"/>
      <c r="C195" s="92"/>
      <c r="D195" s="56"/>
      <c r="E195" s="56"/>
      <c r="F195" s="56"/>
      <c r="G195" s="56"/>
      <c r="H195" s="56"/>
      <c r="I195" s="56"/>
    </row>
  </sheetData>
  <mergeCells count="12"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ageMargins left="0.47244094488188981" right="0.39370078740157483" top="0.59055118110236227" bottom="0.47244094488188981" header="0.31496062992125984" footer="0.31496062992125984"/>
  <pageSetup paperSize="9" scale="87" fitToHeight="0" orientation="portrait" r:id="rId1"/>
  <headerFooter>
    <oddFooter>&amp;R&amp;"Times New Roman,Regular"&amp;P/&amp;N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200"/>
  <sheetViews>
    <sheetView zoomScale="85" zoomScaleNormal="85" zoomScaleSheetLayoutView="100" workbookViewId="0">
      <pane xSplit="2" ySplit="7" topLeftCell="C32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9.140625" defaultRowHeight="15.75" outlineLevelRow="1" outlineLevelCol="1"/>
  <cols>
    <col min="1" max="1" width="5.5703125" style="65" customWidth="1"/>
    <col min="2" max="2" width="41.7109375" style="5" customWidth="1"/>
    <col min="3" max="3" width="12.5703125" style="65" customWidth="1"/>
    <col min="4" max="5" width="12.140625" style="5" hidden="1" customWidth="1" outlineLevel="1"/>
    <col min="6" max="6" width="12.42578125" style="5" customWidth="1" collapsed="1"/>
    <col min="7" max="9" width="12.42578125" style="5" customWidth="1"/>
    <col min="10" max="10" width="12.7109375" style="5" customWidth="1"/>
    <col min="11" max="11" width="11.85546875" style="5" bestFit="1" customWidth="1"/>
    <col min="12" max="16384" width="9.140625" style="5"/>
  </cols>
  <sheetData>
    <row r="1" spans="1:11" ht="18.75" hidden="1" outlineLevel="1">
      <c r="A1" s="768" t="s">
        <v>166</v>
      </c>
      <c r="B1" s="768"/>
      <c r="C1" s="768"/>
      <c r="D1" s="768"/>
      <c r="E1" s="768"/>
      <c r="F1" s="768"/>
      <c r="G1" s="768"/>
      <c r="H1" s="768"/>
      <c r="I1" s="768"/>
    </row>
    <row r="2" spans="1:11" ht="18.75" hidden="1" outlineLevel="1">
      <c r="A2" s="769" t="s">
        <v>719</v>
      </c>
      <c r="B2" s="769"/>
      <c r="C2" s="769"/>
      <c r="D2" s="769"/>
      <c r="E2" s="769"/>
      <c r="F2" s="769"/>
      <c r="G2" s="769"/>
      <c r="H2" s="769"/>
      <c r="I2" s="769"/>
    </row>
    <row r="3" spans="1:11" ht="16.5" hidden="1" outlineLevel="1">
      <c r="A3" s="796" t="s">
        <v>400</v>
      </c>
      <c r="B3" s="796"/>
      <c r="C3" s="796"/>
      <c r="D3" s="796"/>
      <c r="E3" s="796"/>
      <c r="F3" s="796"/>
      <c r="G3" s="796"/>
      <c r="H3" s="796"/>
      <c r="I3" s="796"/>
    </row>
    <row r="4" spans="1:11" hidden="1" outlineLevel="1">
      <c r="A4" s="7"/>
      <c r="B4" s="2"/>
      <c r="C4" s="8"/>
      <c r="D4" s="2"/>
      <c r="E4" s="2"/>
      <c r="F4" s="2"/>
      <c r="G4" s="2"/>
      <c r="H4" s="2"/>
    </row>
    <row r="5" spans="1:11" ht="16.5" customHeight="1" collapsed="1">
      <c r="A5" s="764" t="s">
        <v>55</v>
      </c>
      <c r="B5" s="766" t="s">
        <v>69</v>
      </c>
      <c r="C5" s="766" t="s">
        <v>18</v>
      </c>
      <c r="D5" s="766" t="s">
        <v>361</v>
      </c>
      <c r="E5" s="766" t="s">
        <v>415</v>
      </c>
      <c r="F5" s="797" t="s">
        <v>387</v>
      </c>
      <c r="G5" s="772" t="s">
        <v>720</v>
      </c>
      <c r="H5" s="766" t="s">
        <v>438</v>
      </c>
      <c r="I5" s="766" t="s">
        <v>75</v>
      </c>
    </row>
    <row r="6" spans="1:11">
      <c r="A6" s="765"/>
      <c r="B6" s="767"/>
      <c r="C6" s="767"/>
      <c r="D6" s="767"/>
      <c r="E6" s="767"/>
      <c r="F6" s="798"/>
      <c r="G6" s="771"/>
      <c r="H6" s="767"/>
      <c r="I6" s="767"/>
    </row>
    <row r="7" spans="1:11">
      <c r="A7" s="289">
        <v>1</v>
      </c>
      <c r="B7" s="289">
        <v>2</v>
      </c>
      <c r="C7" s="289">
        <v>3</v>
      </c>
      <c r="D7" s="289"/>
      <c r="E7" s="289"/>
      <c r="F7" s="289">
        <v>4</v>
      </c>
      <c r="G7" s="289">
        <v>5</v>
      </c>
      <c r="H7" s="289" t="s">
        <v>453</v>
      </c>
      <c r="I7" s="289">
        <v>7</v>
      </c>
    </row>
    <row r="8" spans="1:11" ht="23.25" customHeight="1">
      <c r="A8" s="118"/>
      <c r="B8" s="119" t="s">
        <v>167</v>
      </c>
      <c r="C8" s="118"/>
      <c r="D8" s="120"/>
      <c r="E8" s="118"/>
      <c r="F8" s="118"/>
      <c r="G8" s="118"/>
      <c r="H8" s="121"/>
      <c r="I8" s="128"/>
    </row>
    <row r="9" spans="1:11" ht="21" customHeight="1" collapsed="1">
      <c r="A9" s="106" t="s">
        <v>40</v>
      </c>
      <c r="B9" s="107" t="s">
        <v>332</v>
      </c>
      <c r="C9" s="108"/>
      <c r="D9" s="109"/>
      <c r="E9" s="109"/>
      <c r="F9" s="109"/>
      <c r="G9" s="109"/>
      <c r="H9" s="110"/>
      <c r="I9" s="110"/>
      <c r="J9" s="14"/>
    </row>
    <row r="10" spans="1:11" s="18" customFormat="1" ht="25.5" customHeight="1">
      <c r="A10" s="11" t="s">
        <v>38</v>
      </c>
      <c r="B10" s="15" t="s">
        <v>172</v>
      </c>
      <c r="C10" s="12" t="s">
        <v>130</v>
      </c>
      <c r="D10" s="16">
        <v>347871</v>
      </c>
      <c r="E10" s="16">
        <v>313038</v>
      </c>
      <c r="F10" s="16">
        <v>277205</v>
      </c>
      <c r="G10" s="16">
        <v>192306</v>
      </c>
      <c r="H10" s="66">
        <f t="shared" ref="H10:H73" si="0">IFERROR(G10/F10%,"")</f>
        <v>69.3732075539763</v>
      </c>
      <c r="I10" s="83"/>
      <c r="J10" s="17"/>
    </row>
    <row r="11" spans="1:11" ht="21" customHeight="1">
      <c r="A11" s="19" t="s">
        <v>155</v>
      </c>
      <c r="B11" s="20" t="s">
        <v>173</v>
      </c>
      <c r="C11" s="21" t="s">
        <v>130</v>
      </c>
      <c r="D11" s="22">
        <v>90496</v>
      </c>
      <c r="E11" s="22">
        <v>104622</v>
      </c>
      <c r="F11" s="22">
        <v>82860</v>
      </c>
      <c r="G11" s="22">
        <v>76682</v>
      </c>
      <c r="H11" s="58">
        <f t="shared" si="0"/>
        <v>92.544050205165334</v>
      </c>
      <c r="I11" s="3"/>
      <c r="J11" s="14"/>
    </row>
    <row r="12" spans="1:11" s="42" customFormat="1" ht="21" customHeight="1">
      <c r="A12" s="71"/>
      <c r="B12" s="62" t="s">
        <v>455</v>
      </c>
      <c r="C12" s="41" t="s">
        <v>130</v>
      </c>
      <c r="D12" s="72">
        <v>84999</v>
      </c>
      <c r="E12" s="72">
        <v>71796</v>
      </c>
      <c r="F12" s="72">
        <v>70788</v>
      </c>
      <c r="G12" s="72">
        <v>60840</v>
      </c>
      <c r="H12" s="85">
        <f t="shared" si="0"/>
        <v>85.946770639091369</v>
      </c>
      <c r="I12" s="84"/>
      <c r="J12" s="14"/>
      <c r="K12" s="138"/>
    </row>
    <row r="13" spans="1:11" s="18" customFormat="1" ht="20.25" customHeight="1">
      <c r="A13" s="11" t="s">
        <v>39</v>
      </c>
      <c r="B13" s="15" t="s">
        <v>174</v>
      </c>
      <c r="C13" s="12" t="s">
        <v>130</v>
      </c>
      <c r="D13" s="16">
        <v>308217</v>
      </c>
      <c r="E13" s="16">
        <v>300633</v>
      </c>
      <c r="F13" s="16">
        <v>265133</v>
      </c>
      <c r="G13" s="16">
        <v>161283</v>
      </c>
      <c r="H13" s="66">
        <f t="shared" si="0"/>
        <v>60.830979168945397</v>
      </c>
      <c r="I13" s="83"/>
      <c r="J13" s="17"/>
    </row>
    <row r="14" spans="1:11" ht="24" customHeight="1">
      <c r="A14" s="19" t="s">
        <v>155</v>
      </c>
      <c r="B14" s="20" t="s">
        <v>175</v>
      </c>
      <c r="C14" s="21" t="s">
        <v>130</v>
      </c>
      <c r="D14" s="22">
        <v>239615</v>
      </c>
      <c r="E14" s="22">
        <v>264543</v>
      </c>
      <c r="F14" s="22">
        <v>232779</v>
      </c>
      <c r="G14" s="22">
        <v>136351</v>
      </c>
      <c r="H14" s="58">
        <f t="shared" si="0"/>
        <v>58.575301036605538</v>
      </c>
      <c r="I14" s="3"/>
      <c r="J14" s="14"/>
    </row>
    <row r="15" spans="1:11" ht="20.25" customHeight="1">
      <c r="A15" s="106" t="s">
        <v>43</v>
      </c>
      <c r="B15" s="111" t="s">
        <v>177</v>
      </c>
      <c r="C15" s="112"/>
      <c r="D15" s="113"/>
      <c r="E15" s="113"/>
      <c r="F15" s="113"/>
      <c r="G15" s="113"/>
      <c r="H15" s="110" t="str">
        <f t="shared" si="0"/>
        <v/>
      </c>
      <c r="I15" s="110"/>
    </row>
    <row r="16" spans="1:11" ht="20.25" customHeight="1">
      <c r="A16" s="32" t="s">
        <v>56</v>
      </c>
      <c r="B16" s="35" t="s">
        <v>401</v>
      </c>
      <c r="C16" s="32" t="s">
        <v>37</v>
      </c>
      <c r="D16" s="29">
        <f>D17+D70</f>
        <v>17898.73</v>
      </c>
      <c r="E16" s="29">
        <f>E17+E70</f>
        <v>17734.400000000001</v>
      </c>
      <c r="F16" s="29">
        <f>F17+F70</f>
        <v>18028.099999999999</v>
      </c>
      <c r="G16" s="29">
        <f>G17+G70</f>
        <v>17639.370000000003</v>
      </c>
      <c r="H16" s="58">
        <f t="shared" si="0"/>
        <v>97.843755026874746</v>
      </c>
      <c r="I16" s="3"/>
    </row>
    <row r="17" spans="1:11" ht="17.25" customHeight="1">
      <c r="A17" s="11" t="s">
        <v>38</v>
      </c>
      <c r="B17" s="30" t="s">
        <v>439</v>
      </c>
      <c r="C17" s="11" t="s">
        <v>37</v>
      </c>
      <c r="D17" s="27">
        <f>D20+D49+D56+D52+D65</f>
        <v>8084.73</v>
      </c>
      <c r="E17" s="27">
        <f>E20+E49+E56+E52+E65</f>
        <v>7662.8</v>
      </c>
      <c r="F17" s="27">
        <f>F20+F49+F56+F52+F65</f>
        <v>7906</v>
      </c>
      <c r="G17" s="27">
        <f>G20+G49+G56+G52+G65</f>
        <v>7169.3700000000008</v>
      </c>
      <c r="H17" s="66">
        <f t="shared" si="0"/>
        <v>90.682646091576032</v>
      </c>
      <c r="I17" s="3"/>
      <c r="K17" s="77"/>
    </row>
    <row r="18" spans="1:11" ht="17.25" customHeight="1">
      <c r="A18" s="32" t="s">
        <v>56</v>
      </c>
      <c r="B18" s="35" t="s">
        <v>504</v>
      </c>
      <c r="C18" s="32" t="s">
        <v>37</v>
      </c>
      <c r="D18" s="29"/>
      <c r="E18" s="29"/>
      <c r="F18" s="29">
        <f>F28+F43+F52+F59</f>
        <v>747</v>
      </c>
      <c r="G18" s="29">
        <f>G28+G43+G52+G59</f>
        <v>743.77</v>
      </c>
      <c r="H18" s="58">
        <f t="shared" si="0"/>
        <v>99.567603748326647</v>
      </c>
      <c r="I18" s="3"/>
      <c r="K18" s="77"/>
    </row>
    <row r="19" spans="1:11" ht="17.25" customHeight="1">
      <c r="A19" s="32" t="s">
        <v>56</v>
      </c>
      <c r="B19" s="35" t="s">
        <v>503</v>
      </c>
      <c r="C19" s="32" t="s">
        <v>37</v>
      </c>
      <c r="D19" s="29"/>
      <c r="E19" s="29"/>
      <c r="F19" s="29">
        <f>F31+F46+F49+F62</f>
        <v>7127</v>
      </c>
      <c r="G19" s="29">
        <f>G31+G46+G49+G62</f>
        <v>6411.6</v>
      </c>
      <c r="H19" s="58">
        <f t="shared" si="0"/>
        <v>89.962115897291994</v>
      </c>
      <c r="I19" s="3"/>
      <c r="K19" s="77"/>
    </row>
    <row r="20" spans="1:11" s="18" customFormat="1" ht="17.25" customHeight="1">
      <c r="A20" s="11">
        <v>1</v>
      </c>
      <c r="B20" s="30" t="s">
        <v>22</v>
      </c>
      <c r="C20" s="11" t="s">
        <v>37</v>
      </c>
      <c r="D20" s="27">
        <f>D25+D40</f>
        <v>1649.23</v>
      </c>
      <c r="E20" s="27">
        <f>E25+E40</f>
        <v>1641.6</v>
      </c>
      <c r="F20" s="27">
        <f>F25+F40</f>
        <v>1614</v>
      </c>
      <c r="G20" s="27">
        <f>G25+G40</f>
        <v>1646.17</v>
      </c>
      <c r="H20" s="66">
        <f t="shared" si="0"/>
        <v>101.99318463444858</v>
      </c>
      <c r="I20" s="83"/>
      <c r="K20" s="177"/>
    </row>
    <row r="21" spans="1:11" ht="17.25" customHeight="1">
      <c r="A21" s="32" t="s">
        <v>56</v>
      </c>
      <c r="B21" s="35" t="s">
        <v>23</v>
      </c>
      <c r="C21" s="34" t="s">
        <v>20</v>
      </c>
      <c r="D21" s="29">
        <f>SUM(D22:D23)</f>
        <v>6733.6763900000005</v>
      </c>
      <c r="E21" s="29">
        <f>SUM(E22:E23)</f>
        <v>7129.6886000000004</v>
      </c>
      <c r="F21" s="29">
        <f>SUM(F22:F23)</f>
        <v>7071.0429999999997</v>
      </c>
      <c r="G21" s="29">
        <f>SUM(G22:G23)</f>
        <v>2859.4050999999999</v>
      </c>
      <c r="H21" s="58">
        <f t="shared" si="0"/>
        <v>40.438236622235216</v>
      </c>
      <c r="I21" s="3"/>
    </row>
    <row r="22" spans="1:11" ht="17.25" customHeight="1">
      <c r="A22" s="32"/>
      <c r="B22" s="33" t="s">
        <v>24</v>
      </c>
      <c r="C22" s="34" t="s">
        <v>76</v>
      </c>
      <c r="D22" s="29">
        <f>D27</f>
        <v>6298.7078300000003</v>
      </c>
      <c r="E22" s="29">
        <f>E27</f>
        <v>6644.7176000000009</v>
      </c>
      <c r="F22" s="29">
        <f>F27</f>
        <v>6644.5429999999997</v>
      </c>
      <c r="G22" s="29">
        <f>G27</f>
        <v>2714.4050999999999</v>
      </c>
      <c r="H22" s="58">
        <f t="shared" si="0"/>
        <v>40.851644725604153</v>
      </c>
      <c r="I22" s="3"/>
    </row>
    <row r="23" spans="1:11" ht="17.25" customHeight="1">
      <c r="A23" s="32"/>
      <c r="B23" s="35" t="s">
        <v>137</v>
      </c>
      <c r="C23" s="34" t="s">
        <v>76</v>
      </c>
      <c r="D23" s="29">
        <f>D42</f>
        <v>434.96856000000002</v>
      </c>
      <c r="E23" s="29">
        <f>E42</f>
        <v>484.97099999999995</v>
      </c>
      <c r="F23" s="29">
        <f>F42</f>
        <v>426.5</v>
      </c>
      <c r="G23" s="29">
        <f>G42</f>
        <v>145</v>
      </c>
      <c r="H23" s="58">
        <f t="shared" si="0"/>
        <v>33.997655334114889</v>
      </c>
      <c r="I23" s="3"/>
    </row>
    <row r="24" spans="1:11" ht="17.25" customHeight="1">
      <c r="A24" s="32" t="s">
        <v>56</v>
      </c>
      <c r="B24" s="35" t="s">
        <v>25</v>
      </c>
      <c r="C24" s="32" t="s">
        <v>57</v>
      </c>
      <c r="D24" s="29">
        <f>D21/D135*1000</f>
        <v>150.81697702024726</v>
      </c>
      <c r="E24" s="29">
        <f>E21/E135*1000</f>
        <v>155.51047178659456</v>
      </c>
      <c r="F24" s="29">
        <f>F21/F135*1000</f>
        <v>150.60152922133241</v>
      </c>
      <c r="G24" s="29" t="str">
        <f>IFERROR(G21/G135*1000,"")</f>
        <v/>
      </c>
      <c r="H24" s="58" t="str">
        <f t="shared" si="0"/>
        <v/>
      </c>
      <c r="I24" s="3"/>
    </row>
    <row r="25" spans="1:11" s="18" customFormat="1" ht="17.25" customHeight="1">
      <c r="A25" s="11" t="s">
        <v>34</v>
      </c>
      <c r="B25" s="44" t="s">
        <v>440</v>
      </c>
      <c r="C25" s="11" t="s">
        <v>37</v>
      </c>
      <c r="D25" s="16">
        <f>D28+D31</f>
        <v>1558.31</v>
      </c>
      <c r="E25" s="16">
        <f>E28+E31</f>
        <v>1540</v>
      </c>
      <c r="F25" s="16">
        <f>F28+F31</f>
        <v>1531</v>
      </c>
      <c r="G25" s="16">
        <f>G28+G31</f>
        <v>1560.97</v>
      </c>
      <c r="H25" s="66">
        <f t="shared" si="0"/>
        <v>101.95754408883083</v>
      </c>
      <c r="I25" s="83"/>
    </row>
    <row r="26" spans="1:11" ht="17.25" customHeight="1">
      <c r="A26" s="32"/>
      <c r="B26" s="37" t="s">
        <v>27</v>
      </c>
      <c r="C26" s="34" t="s">
        <v>21</v>
      </c>
      <c r="D26" s="38">
        <f>D27/D25*10</f>
        <v>40.420120707689748</v>
      </c>
      <c r="E26" s="38">
        <f>E27/E25*10</f>
        <v>43.147516883116886</v>
      </c>
      <c r="F26" s="38">
        <f>F27/F25*10</f>
        <v>43.400019595035921</v>
      </c>
      <c r="G26" s="38">
        <f>G27/G25*10</f>
        <v>17.389220164384966</v>
      </c>
      <c r="H26" s="58">
        <f t="shared" si="0"/>
        <v>40.067309477376227</v>
      </c>
      <c r="I26" s="3"/>
    </row>
    <row r="27" spans="1:11" ht="17.25" customHeight="1">
      <c r="A27" s="32"/>
      <c r="B27" s="37" t="s">
        <v>28</v>
      </c>
      <c r="C27" s="34" t="s">
        <v>76</v>
      </c>
      <c r="D27" s="22">
        <f>D30+D33</f>
        <v>6298.7078300000003</v>
      </c>
      <c r="E27" s="22">
        <f>E30+E33</f>
        <v>6644.7176000000009</v>
      </c>
      <c r="F27" s="22">
        <f>F30+F33</f>
        <v>6644.5429999999997</v>
      </c>
      <c r="G27" s="22">
        <f>G30+G33</f>
        <v>2714.4050999999999</v>
      </c>
      <c r="H27" s="58">
        <f t="shared" si="0"/>
        <v>40.851644725604153</v>
      </c>
      <c r="I27" s="3"/>
    </row>
    <row r="28" spans="1:11" ht="17.25" customHeight="1">
      <c r="A28" s="32" t="s">
        <v>420</v>
      </c>
      <c r="B28" s="116" t="s">
        <v>441</v>
      </c>
      <c r="C28" s="32" t="s">
        <v>37</v>
      </c>
      <c r="D28" s="22">
        <v>597.30999999999995</v>
      </c>
      <c r="E28" s="137">
        <v>570.5</v>
      </c>
      <c r="F28" s="59">
        <v>571</v>
      </c>
      <c r="G28" s="59">
        <v>573.87</v>
      </c>
      <c r="H28" s="58">
        <f t="shared" si="0"/>
        <v>100.50262697022767</v>
      </c>
      <c r="I28" s="3"/>
    </row>
    <row r="29" spans="1:11" ht="17.25" customHeight="1">
      <c r="A29" s="32"/>
      <c r="B29" s="116" t="s">
        <v>27</v>
      </c>
      <c r="C29" s="34" t="s">
        <v>21</v>
      </c>
      <c r="D29" s="25">
        <v>39.33</v>
      </c>
      <c r="E29" s="38">
        <v>47.2</v>
      </c>
      <c r="F29" s="58">
        <v>47.33</v>
      </c>
      <c r="G29" s="58">
        <v>47.3</v>
      </c>
      <c r="H29" s="58">
        <f t="shared" si="0"/>
        <v>99.936615254595395</v>
      </c>
      <c r="I29" s="3"/>
    </row>
    <row r="30" spans="1:11" ht="17.25" customHeight="1">
      <c r="A30" s="32"/>
      <c r="B30" s="117" t="s">
        <v>28</v>
      </c>
      <c r="C30" s="34" t="s">
        <v>76</v>
      </c>
      <c r="D30" s="22">
        <f>D28*D29/10</f>
        <v>2349.2202299999999</v>
      </c>
      <c r="E30" s="22">
        <f>E28*E29/10</f>
        <v>2692.76</v>
      </c>
      <c r="F30" s="22">
        <f>F28*F29/10</f>
        <v>2702.5430000000001</v>
      </c>
      <c r="G30" s="22">
        <f>G28*G29/10</f>
        <v>2714.4050999999999</v>
      </c>
      <c r="H30" s="58">
        <f t="shared" si="0"/>
        <v>100.43892363599765</v>
      </c>
      <c r="I30" s="3"/>
    </row>
    <row r="31" spans="1:11" ht="17.25" customHeight="1">
      <c r="A31" s="32" t="s">
        <v>421</v>
      </c>
      <c r="B31" s="116" t="s">
        <v>442</v>
      </c>
      <c r="C31" s="32" t="s">
        <v>37</v>
      </c>
      <c r="D31" s="22">
        <f>D34+D37</f>
        <v>961</v>
      </c>
      <c r="E31" s="29">
        <f>E34+E37</f>
        <v>969.5</v>
      </c>
      <c r="F31" s="29">
        <f>F34+F37</f>
        <v>960</v>
      </c>
      <c r="G31" s="29">
        <f>G34+G37</f>
        <v>987.1</v>
      </c>
      <c r="H31" s="58">
        <f t="shared" si="0"/>
        <v>102.82291666666667</v>
      </c>
      <c r="I31" s="3"/>
    </row>
    <row r="32" spans="1:11" ht="17.25" customHeight="1">
      <c r="A32" s="32"/>
      <c r="B32" s="117" t="s">
        <v>27</v>
      </c>
      <c r="C32" s="34" t="s">
        <v>21</v>
      </c>
      <c r="D32" s="38">
        <f>D33/D31*10</f>
        <v>41.097685744016658</v>
      </c>
      <c r="E32" s="28">
        <f>E33/E31*10</f>
        <v>40.762842702423939</v>
      </c>
      <c r="F32" s="28">
        <f>F33/F31*10</f>
        <v>41.0625</v>
      </c>
      <c r="G32" s="28">
        <f>G33/G31*10</f>
        <v>0</v>
      </c>
      <c r="H32" s="58">
        <f t="shared" si="0"/>
        <v>0</v>
      </c>
      <c r="I32" s="3"/>
    </row>
    <row r="33" spans="1:9" ht="17.25" customHeight="1">
      <c r="A33" s="32"/>
      <c r="B33" s="117" t="s">
        <v>28</v>
      </c>
      <c r="C33" s="34" t="s">
        <v>76</v>
      </c>
      <c r="D33" s="22">
        <f>D36+D39</f>
        <v>3949.4876000000004</v>
      </c>
      <c r="E33" s="29">
        <f>E36+E39</f>
        <v>3951.9576000000006</v>
      </c>
      <c r="F33" s="29">
        <f>F36+F39</f>
        <v>3942</v>
      </c>
      <c r="G33" s="29">
        <f>G36+G39</f>
        <v>0</v>
      </c>
      <c r="H33" s="58">
        <f t="shared" si="0"/>
        <v>0</v>
      </c>
      <c r="I33" s="3"/>
    </row>
    <row r="34" spans="1:9" ht="17.25" customHeight="1">
      <c r="A34" s="32"/>
      <c r="B34" s="114" t="s">
        <v>443</v>
      </c>
      <c r="C34" s="32" t="s">
        <v>37</v>
      </c>
      <c r="D34" s="22">
        <v>906.4</v>
      </c>
      <c r="E34" s="38">
        <v>903.3</v>
      </c>
      <c r="F34" s="22">
        <v>900</v>
      </c>
      <c r="G34" s="22">
        <v>893.2</v>
      </c>
      <c r="H34" s="58">
        <f t="shared" si="0"/>
        <v>99.244444444444454</v>
      </c>
      <c r="I34" s="3"/>
    </row>
    <row r="35" spans="1:9" ht="17.25" customHeight="1">
      <c r="A35" s="32"/>
      <c r="B35" s="115" t="s">
        <v>27</v>
      </c>
      <c r="C35" s="34" t="s">
        <v>21</v>
      </c>
      <c r="D35" s="25">
        <v>42.83</v>
      </c>
      <c r="E35" s="38">
        <v>42.84</v>
      </c>
      <c r="F35" s="38">
        <v>43</v>
      </c>
      <c r="G35" s="38"/>
      <c r="H35" s="58">
        <f t="shared" si="0"/>
        <v>0</v>
      </c>
      <c r="I35" s="3"/>
    </row>
    <row r="36" spans="1:9" ht="17.25" customHeight="1">
      <c r="A36" s="32"/>
      <c r="B36" s="115" t="s">
        <v>28</v>
      </c>
      <c r="C36" s="34" t="s">
        <v>76</v>
      </c>
      <c r="D36" s="22">
        <f>D35*D34/10</f>
        <v>3882.1112000000003</v>
      </c>
      <c r="E36" s="22">
        <f>E34*E35/10</f>
        <v>3869.7372000000005</v>
      </c>
      <c r="F36" s="22">
        <f>F34*F35/10</f>
        <v>3870</v>
      </c>
      <c r="G36" s="180">
        <f>G34*G35/10</f>
        <v>0</v>
      </c>
      <c r="H36" s="58">
        <f t="shared" si="0"/>
        <v>0</v>
      </c>
      <c r="I36" s="3"/>
    </row>
    <row r="37" spans="1:9" ht="17.25" customHeight="1">
      <c r="A37" s="32"/>
      <c r="B37" s="114" t="s">
        <v>456</v>
      </c>
      <c r="C37" s="32" t="s">
        <v>37</v>
      </c>
      <c r="D37" s="22">
        <v>54.6</v>
      </c>
      <c r="E37" s="22">
        <v>66.2</v>
      </c>
      <c r="F37" s="22">
        <v>60</v>
      </c>
      <c r="G37" s="22">
        <v>93.9</v>
      </c>
      <c r="H37" s="58">
        <f t="shared" si="0"/>
        <v>156.50000000000003</v>
      </c>
      <c r="I37" s="3"/>
    </row>
    <row r="38" spans="1:9" ht="17.25" customHeight="1">
      <c r="A38" s="32"/>
      <c r="B38" s="115" t="s">
        <v>27</v>
      </c>
      <c r="C38" s="34" t="s">
        <v>21</v>
      </c>
      <c r="D38" s="38">
        <v>12.34</v>
      </c>
      <c r="E38" s="38">
        <v>12.42</v>
      </c>
      <c r="F38" s="38">
        <v>12</v>
      </c>
      <c r="G38" s="38"/>
      <c r="H38" s="58">
        <f t="shared" si="0"/>
        <v>0</v>
      </c>
      <c r="I38" s="3"/>
    </row>
    <row r="39" spans="1:9" ht="17.25" customHeight="1">
      <c r="A39" s="32"/>
      <c r="B39" s="115" t="s">
        <v>28</v>
      </c>
      <c r="C39" s="34" t="s">
        <v>76</v>
      </c>
      <c r="D39" s="22">
        <f>D38*D37/10</f>
        <v>67.376400000000004</v>
      </c>
      <c r="E39" s="22">
        <f>E38*E37/10</f>
        <v>82.220400000000012</v>
      </c>
      <c r="F39" s="22">
        <f>F38*F37/10</f>
        <v>72</v>
      </c>
      <c r="G39" s="180">
        <f>G38*G37/10</f>
        <v>0</v>
      </c>
      <c r="H39" s="58">
        <f t="shared" si="0"/>
        <v>0</v>
      </c>
      <c r="I39" s="3"/>
    </row>
    <row r="40" spans="1:9" s="18" customFormat="1" ht="17.25" customHeight="1">
      <c r="A40" s="11" t="s">
        <v>35</v>
      </c>
      <c r="B40" s="44" t="s">
        <v>444</v>
      </c>
      <c r="C40" s="11" t="s">
        <v>37</v>
      </c>
      <c r="D40" s="16">
        <f>D43+D46</f>
        <v>90.92</v>
      </c>
      <c r="E40" s="16">
        <f>E43+E46</f>
        <v>101.6</v>
      </c>
      <c r="F40" s="16">
        <f>F43+F46</f>
        <v>83</v>
      </c>
      <c r="G40" s="16">
        <f>G43+G46</f>
        <v>85.2</v>
      </c>
      <c r="H40" s="66">
        <f t="shared" si="0"/>
        <v>102.65060240963857</v>
      </c>
      <c r="I40" s="83"/>
    </row>
    <row r="41" spans="1:9" ht="17.25" customHeight="1">
      <c r="A41" s="32"/>
      <c r="B41" s="37" t="s">
        <v>27</v>
      </c>
      <c r="C41" s="34" t="s">
        <v>21</v>
      </c>
      <c r="D41" s="38">
        <f>D42/D40*10</f>
        <v>47.840800703915534</v>
      </c>
      <c r="E41" s="38">
        <f>E42/E40*10</f>
        <v>47.733366141732283</v>
      </c>
      <c r="F41" s="38">
        <f>F42/F40*10</f>
        <v>51.385542168674696</v>
      </c>
      <c r="G41" s="38">
        <f>G42/G40*10</f>
        <v>17.018779342723004</v>
      </c>
      <c r="H41" s="58">
        <f t="shared" si="0"/>
        <v>33.119781604830237</v>
      </c>
      <c r="I41" s="3"/>
    </row>
    <row r="42" spans="1:9" ht="17.25" customHeight="1">
      <c r="A42" s="32"/>
      <c r="B42" s="37" t="s">
        <v>28</v>
      </c>
      <c r="C42" s="34" t="s">
        <v>76</v>
      </c>
      <c r="D42" s="22">
        <f>D45+D48</f>
        <v>434.96856000000002</v>
      </c>
      <c r="E42" s="22">
        <f>E45+E48</f>
        <v>484.97099999999995</v>
      </c>
      <c r="F42" s="22">
        <f>F45+F48</f>
        <v>426.5</v>
      </c>
      <c r="G42" s="22">
        <f>G45+G48</f>
        <v>145</v>
      </c>
      <c r="H42" s="58">
        <f t="shared" si="0"/>
        <v>33.997655334114889</v>
      </c>
      <c r="I42" s="3"/>
    </row>
    <row r="43" spans="1:9" ht="17.25" customHeight="1">
      <c r="A43" s="32" t="s">
        <v>423</v>
      </c>
      <c r="B43" s="116" t="s">
        <v>457</v>
      </c>
      <c r="C43" s="32" t="s">
        <v>37</v>
      </c>
      <c r="D43" s="29">
        <v>28.22</v>
      </c>
      <c r="E43" s="29">
        <v>38.700000000000003</v>
      </c>
      <c r="F43" s="29">
        <v>23</v>
      </c>
      <c r="G43" s="29">
        <v>25</v>
      </c>
      <c r="H43" s="58">
        <f t="shared" si="0"/>
        <v>108.69565217391303</v>
      </c>
      <c r="I43" s="3"/>
    </row>
    <row r="44" spans="1:9" ht="17.25" customHeight="1">
      <c r="A44" s="32"/>
      <c r="B44" s="116" t="s">
        <v>27</v>
      </c>
      <c r="C44" s="34" t="s">
        <v>21</v>
      </c>
      <c r="D44" s="28">
        <v>56.13</v>
      </c>
      <c r="E44" s="28">
        <v>47.3</v>
      </c>
      <c r="F44" s="28">
        <v>55</v>
      </c>
      <c r="G44" s="28">
        <v>58</v>
      </c>
      <c r="H44" s="58">
        <f t="shared" si="0"/>
        <v>105.45454545454544</v>
      </c>
      <c r="I44" s="3"/>
    </row>
    <row r="45" spans="1:9" ht="17.25" customHeight="1">
      <c r="A45" s="32"/>
      <c r="B45" s="117" t="s">
        <v>28</v>
      </c>
      <c r="C45" s="34" t="s">
        <v>76</v>
      </c>
      <c r="D45" s="29">
        <f>D44*D43/10</f>
        <v>158.39885999999998</v>
      </c>
      <c r="E45" s="29">
        <f>E44*E43/10</f>
        <v>183.05099999999999</v>
      </c>
      <c r="F45" s="29">
        <f>F44*F43/10</f>
        <v>126.5</v>
      </c>
      <c r="G45" s="29">
        <f>G44*G43/10</f>
        <v>145</v>
      </c>
      <c r="H45" s="58">
        <f t="shared" si="0"/>
        <v>114.62450592885376</v>
      </c>
      <c r="I45" s="3"/>
    </row>
    <row r="46" spans="1:9" ht="17.25" customHeight="1">
      <c r="A46" s="32" t="s">
        <v>424</v>
      </c>
      <c r="B46" s="116" t="s">
        <v>458</v>
      </c>
      <c r="C46" s="32" t="s">
        <v>37</v>
      </c>
      <c r="D46" s="29">
        <v>62.7</v>
      </c>
      <c r="E46" s="29">
        <v>62.9</v>
      </c>
      <c r="F46" s="29">
        <v>60</v>
      </c>
      <c r="G46" s="29">
        <v>60.2</v>
      </c>
      <c r="H46" s="58">
        <f t="shared" si="0"/>
        <v>100.33333333333334</v>
      </c>
      <c r="I46" s="3"/>
    </row>
    <row r="47" spans="1:9" ht="17.25" customHeight="1">
      <c r="A47" s="32"/>
      <c r="B47" s="116" t="s">
        <v>27</v>
      </c>
      <c r="C47" s="34" t="s">
        <v>21</v>
      </c>
      <c r="D47" s="28">
        <v>44.11</v>
      </c>
      <c r="E47" s="28">
        <v>48</v>
      </c>
      <c r="F47" s="28">
        <v>50</v>
      </c>
      <c r="G47" s="28"/>
      <c r="H47" s="58">
        <f t="shared" si="0"/>
        <v>0</v>
      </c>
      <c r="I47" s="3"/>
    </row>
    <row r="48" spans="1:9" ht="17.25" customHeight="1">
      <c r="A48" s="32"/>
      <c r="B48" s="117" t="s">
        <v>28</v>
      </c>
      <c r="C48" s="34" t="s">
        <v>76</v>
      </c>
      <c r="D48" s="29">
        <f>D46*D47/10</f>
        <v>276.56970000000001</v>
      </c>
      <c r="E48" s="29">
        <f>E47*E46/10</f>
        <v>301.91999999999996</v>
      </c>
      <c r="F48" s="29">
        <f>F47*F46/10</f>
        <v>300</v>
      </c>
      <c r="G48" s="29">
        <f>G47*G46/10</f>
        <v>0</v>
      </c>
      <c r="H48" s="58">
        <f t="shared" si="0"/>
        <v>0</v>
      </c>
      <c r="I48" s="3"/>
    </row>
    <row r="49" spans="1:9" ht="19.5" customHeight="1">
      <c r="A49" s="11">
        <v>2</v>
      </c>
      <c r="B49" s="30" t="s">
        <v>29</v>
      </c>
      <c r="C49" s="32" t="s">
        <v>37</v>
      </c>
      <c r="D49" s="27">
        <v>6199.5</v>
      </c>
      <c r="E49" s="27">
        <v>5720.5</v>
      </c>
      <c r="F49" s="27">
        <v>6000</v>
      </c>
      <c r="G49" s="27">
        <v>5281.3</v>
      </c>
      <c r="H49" s="66">
        <f t="shared" si="0"/>
        <v>88.021666666666675</v>
      </c>
      <c r="I49" s="3"/>
    </row>
    <row r="50" spans="1:9" ht="19.5" customHeight="1">
      <c r="A50" s="39"/>
      <c r="B50" s="37" t="s">
        <v>27</v>
      </c>
      <c r="C50" s="34" t="s">
        <v>21</v>
      </c>
      <c r="D50" s="28">
        <f>D51/D49*10</f>
        <v>148.34260827486088</v>
      </c>
      <c r="E50" s="28">
        <v>148.51</v>
      </c>
      <c r="F50" s="28">
        <v>145</v>
      </c>
      <c r="G50" s="28"/>
      <c r="H50" s="66">
        <f t="shared" si="0"/>
        <v>0</v>
      </c>
      <c r="I50" s="3"/>
    </row>
    <row r="51" spans="1:9" ht="19.5" customHeight="1">
      <c r="A51" s="39"/>
      <c r="B51" s="37" t="s">
        <v>28</v>
      </c>
      <c r="C51" s="34" t="s">
        <v>76</v>
      </c>
      <c r="D51" s="29">
        <v>91965</v>
      </c>
      <c r="E51" s="29">
        <f>E50*E49/10</f>
        <v>84955.145499999999</v>
      </c>
      <c r="F51" s="29">
        <f>F50*F49/10</f>
        <v>87000</v>
      </c>
      <c r="G51" s="29">
        <f>G50*G49/10</f>
        <v>0</v>
      </c>
      <c r="H51" s="66">
        <f t="shared" si="0"/>
        <v>0</v>
      </c>
      <c r="I51" s="3"/>
    </row>
    <row r="52" spans="1:9" s="18" customFormat="1" ht="19.5" customHeight="1">
      <c r="A52" s="11">
        <v>3</v>
      </c>
      <c r="B52" s="30" t="s">
        <v>317</v>
      </c>
      <c r="C52" s="11" t="s">
        <v>37</v>
      </c>
      <c r="D52" s="27">
        <v>9.1999999999999993</v>
      </c>
      <c r="E52" s="27">
        <v>10.5</v>
      </c>
      <c r="F52" s="27">
        <v>30</v>
      </c>
      <c r="G52" s="27">
        <v>29.1</v>
      </c>
      <c r="H52" s="66">
        <f t="shared" si="0"/>
        <v>97.000000000000014</v>
      </c>
      <c r="I52" s="83"/>
    </row>
    <row r="53" spans="1:9" ht="19.5" customHeight="1">
      <c r="A53" s="32"/>
      <c r="B53" s="33" t="s">
        <v>123</v>
      </c>
      <c r="C53" s="32" t="s">
        <v>37</v>
      </c>
      <c r="D53" s="29"/>
      <c r="E53" s="29"/>
      <c r="F53" s="29">
        <v>20</v>
      </c>
      <c r="G53" s="29">
        <v>19.100000000000001</v>
      </c>
      <c r="H53" s="58">
        <f t="shared" si="0"/>
        <v>95.5</v>
      </c>
      <c r="I53" s="3"/>
    </row>
    <row r="54" spans="1:9" ht="19.5" customHeight="1">
      <c r="A54" s="39"/>
      <c r="B54" s="37" t="s">
        <v>27</v>
      </c>
      <c r="C54" s="34" t="s">
        <v>21</v>
      </c>
      <c r="D54" s="28"/>
      <c r="E54" s="28">
        <v>600</v>
      </c>
      <c r="F54" s="28">
        <v>733.3</v>
      </c>
      <c r="G54" s="28"/>
      <c r="H54" s="58">
        <f t="shared" si="0"/>
        <v>0</v>
      </c>
      <c r="I54" s="3"/>
    </row>
    <row r="55" spans="1:9" ht="19.5" customHeight="1">
      <c r="A55" s="39"/>
      <c r="B55" s="37" t="s">
        <v>28</v>
      </c>
      <c r="C55" s="34" t="s">
        <v>76</v>
      </c>
      <c r="D55" s="29">
        <f>D54*D52/10</f>
        <v>0</v>
      </c>
      <c r="E55" s="29">
        <f>E54*E52/10</f>
        <v>630</v>
      </c>
      <c r="F55" s="29">
        <f>F54*F52/10</f>
        <v>2199.9</v>
      </c>
      <c r="G55" s="29">
        <f>G54*G52/10</f>
        <v>0</v>
      </c>
      <c r="H55" s="58">
        <f t="shared" si="0"/>
        <v>0</v>
      </c>
      <c r="I55" s="3"/>
    </row>
    <row r="56" spans="1:9" ht="19.5" customHeight="1">
      <c r="A56" s="11">
        <v>4</v>
      </c>
      <c r="B56" s="30" t="s">
        <v>136</v>
      </c>
      <c r="C56" s="32" t="s">
        <v>37</v>
      </c>
      <c r="D56" s="27">
        <f>D59+D62</f>
        <v>219.3</v>
      </c>
      <c r="E56" s="27">
        <f>E59+E62</f>
        <v>259</v>
      </c>
      <c r="F56" s="27">
        <f>F59+F62</f>
        <v>230</v>
      </c>
      <c r="G56" s="27">
        <f>G59+G62</f>
        <v>198.8</v>
      </c>
      <c r="H56" s="66">
        <f t="shared" si="0"/>
        <v>86.43478260869567</v>
      </c>
      <c r="I56" s="3"/>
    </row>
    <row r="57" spans="1:9" ht="19.5" customHeight="1">
      <c r="A57" s="39"/>
      <c r="B57" s="37" t="s">
        <v>27</v>
      </c>
      <c r="C57" s="34" t="s">
        <v>21</v>
      </c>
      <c r="D57" s="28">
        <f>D58/D56*10</f>
        <v>119.96580027359781</v>
      </c>
      <c r="E57" s="28">
        <f>E58/E56*10</f>
        <v>134.57142857142858</v>
      </c>
      <c r="F57" s="28">
        <f>F58/F56*10</f>
        <v>136.63173913043477</v>
      </c>
      <c r="G57" s="28">
        <f>G58/G56*10</f>
        <v>88.539235412474838</v>
      </c>
      <c r="H57" s="58">
        <f t="shared" si="0"/>
        <v>64.801367512384019</v>
      </c>
      <c r="I57" s="3"/>
    </row>
    <row r="58" spans="1:9" ht="19.5" customHeight="1">
      <c r="A58" s="39"/>
      <c r="B58" s="37" t="s">
        <v>28</v>
      </c>
      <c r="C58" s="34" t="s">
        <v>76</v>
      </c>
      <c r="D58" s="29">
        <f>D61+D64</f>
        <v>2630.85</v>
      </c>
      <c r="E58" s="29">
        <f>E61+E64</f>
        <v>3485.4</v>
      </c>
      <c r="F58" s="29">
        <f>F61+F64</f>
        <v>3142.5299999999997</v>
      </c>
      <c r="G58" s="29">
        <f>G61+G64</f>
        <v>1760.1599999999999</v>
      </c>
      <c r="H58" s="58">
        <f t="shared" si="0"/>
        <v>56.010921136791062</v>
      </c>
      <c r="I58" s="3"/>
    </row>
    <row r="59" spans="1:9" ht="19.5" customHeight="1">
      <c r="A59" s="32"/>
      <c r="B59" s="136" t="s">
        <v>459</v>
      </c>
      <c r="C59" s="21" t="s">
        <v>37</v>
      </c>
      <c r="D59" s="22">
        <v>97.3</v>
      </c>
      <c r="E59" s="22">
        <v>137</v>
      </c>
      <c r="F59" s="22">
        <v>123</v>
      </c>
      <c r="G59" s="22">
        <v>115.8</v>
      </c>
      <c r="H59" s="58">
        <f t="shared" si="0"/>
        <v>94.146341463414629</v>
      </c>
      <c r="I59" s="3"/>
    </row>
    <row r="60" spans="1:9" ht="19.5" customHeight="1">
      <c r="A60" s="32"/>
      <c r="B60" s="136" t="s">
        <v>27</v>
      </c>
      <c r="C60" s="21" t="s">
        <v>21</v>
      </c>
      <c r="D60" s="38">
        <v>145</v>
      </c>
      <c r="E60" s="38">
        <v>152</v>
      </c>
      <c r="F60" s="38">
        <v>151.1</v>
      </c>
      <c r="G60" s="38">
        <v>152</v>
      </c>
      <c r="H60" s="58">
        <f t="shared" si="0"/>
        <v>100.59563203176705</v>
      </c>
      <c r="I60" s="3"/>
    </row>
    <row r="61" spans="1:9" ht="19.5" customHeight="1">
      <c r="A61" s="32"/>
      <c r="B61" s="136" t="s">
        <v>28</v>
      </c>
      <c r="C61" s="21" t="s">
        <v>76</v>
      </c>
      <c r="D61" s="22">
        <f>D60*D59/10</f>
        <v>1410.85</v>
      </c>
      <c r="E61" s="22">
        <f>E60*E59/10</f>
        <v>2082.4</v>
      </c>
      <c r="F61" s="22">
        <f>F60*F59/10</f>
        <v>1858.53</v>
      </c>
      <c r="G61" s="22">
        <f>G60*G59/10</f>
        <v>1760.1599999999999</v>
      </c>
      <c r="H61" s="58">
        <f t="shared" si="0"/>
        <v>94.707107229907493</v>
      </c>
      <c r="I61" s="3"/>
    </row>
    <row r="62" spans="1:9" ht="19.5" customHeight="1">
      <c r="A62" s="32"/>
      <c r="B62" s="136" t="s">
        <v>460</v>
      </c>
      <c r="C62" s="21" t="s">
        <v>37</v>
      </c>
      <c r="D62" s="22">
        <v>122</v>
      </c>
      <c r="E62" s="22">
        <v>122</v>
      </c>
      <c r="F62" s="22">
        <v>107</v>
      </c>
      <c r="G62" s="22">
        <v>83</v>
      </c>
      <c r="H62" s="58">
        <f t="shared" si="0"/>
        <v>77.570093457943926</v>
      </c>
      <c r="I62" s="3"/>
    </row>
    <row r="63" spans="1:9" ht="19.5" customHeight="1">
      <c r="A63" s="32"/>
      <c r="B63" s="136" t="s">
        <v>27</v>
      </c>
      <c r="C63" s="21" t="s">
        <v>21</v>
      </c>
      <c r="D63" s="38">
        <v>100</v>
      </c>
      <c r="E63" s="38">
        <v>115</v>
      </c>
      <c r="F63" s="38">
        <v>120</v>
      </c>
      <c r="G63" s="38"/>
      <c r="H63" s="58">
        <f t="shared" si="0"/>
        <v>0</v>
      </c>
      <c r="I63" s="3"/>
    </row>
    <row r="64" spans="1:9" ht="19.5" customHeight="1">
      <c r="A64" s="32"/>
      <c r="B64" s="136" t="s">
        <v>28</v>
      </c>
      <c r="C64" s="21" t="s">
        <v>76</v>
      </c>
      <c r="D64" s="22">
        <f>D63*D62/10</f>
        <v>1220</v>
      </c>
      <c r="E64" s="22">
        <f>E63*E62/10</f>
        <v>1403</v>
      </c>
      <c r="F64" s="22">
        <f>F63*F62/10</f>
        <v>1284</v>
      </c>
      <c r="G64" s="22">
        <f>G63*G62/10</f>
        <v>0</v>
      </c>
      <c r="H64" s="58">
        <f t="shared" si="0"/>
        <v>0</v>
      </c>
      <c r="I64" s="3"/>
    </row>
    <row r="65" spans="1:10" s="18" customFormat="1" ht="31.5">
      <c r="A65" s="11">
        <v>5</v>
      </c>
      <c r="B65" s="30" t="s">
        <v>411</v>
      </c>
      <c r="C65" s="11" t="s">
        <v>37</v>
      </c>
      <c r="D65" s="36">
        <f>SUM(D66:D68)</f>
        <v>7.5</v>
      </c>
      <c r="E65" s="36">
        <f>SUM(E66:E68)</f>
        <v>31.2</v>
      </c>
      <c r="F65" s="36">
        <f>SUM(F66:F69)</f>
        <v>32</v>
      </c>
      <c r="G65" s="36">
        <v>14</v>
      </c>
      <c r="H65" s="66">
        <f t="shared" si="0"/>
        <v>43.75</v>
      </c>
      <c r="I65" s="83"/>
    </row>
    <row r="66" spans="1:10" s="104" customFormat="1" ht="19.5" hidden="1" customHeight="1" outlineLevel="1">
      <c r="A66" s="100"/>
      <c r="B66" s="157" t="s">
        <v>402</v>
      </c>
      <c r="C66" s="100" t="s">
        <v>37</v>
      </c>
      <c r="D66" s="159">
        <v>3.7</v>
      </c>
      <c r="E66" s="159">
        <v>4</v>
      </c>
      <c r="F66" s="159">
        <v>4</v>
      </c>
      <c r="G66" s="159">
        <v>2.5</v>
      </c>
      <c r="H66" s="103">
        <f t="shared" si="0"/>
        <v>62.5</v>
      </c>
      <c r="I66" s="129"/>
    </row>
    <row r="67" spans="1:10" s="104" customFormat="1" ht="19.5" hidden="1" customHeight="1" outlineLevel="1">
      <c r="A67" s="100"/>
      <c r="B67" s="157" t="s">
        <v>403</v>
      </c>
      <c r="C67" s="100" t="s">
        <v>37</v>
      </c>
      <c r="D67" s="159">
        <v>3.8</v>
      </c>
      <c r="E67" s="159">
        <v>4</v>
      </c>
      <c r="F67" s="159">
        <v>4</v>
      </c>
      <c r="G67" s="159">
        <v>0.8</v>
      </c>
      <c r="H67" s="103">
        <f t="shared" si="0"/>
        <v>20</v>
      </c>
      <c r="I67" s="129"/>
    </row>
    <row r="68" spans="1:10" s="104" customFormat="1" ht="19.5" hidden="1" customHeight="1" outlineLevel="1">
      <c r="A68" s="100"/>
      <c r="B68" s="157" t="s">
        <v>404</v>
      </c>
      <c r="C68" s="100" t="s">
        <v>37</v>
      </c>
      <c r="D68" s="159"/>
      <c r="E68" s="159">
        <v>23.2</v>
      </c>
      <c r="F68" s="159">
        <v>24</v>
      </c>
      <c r="G68" s="159">
        <v>15.1</v>
      </c>
      <c r="H68" s="103">
        <f t="shared" si="0"/>
        <v>62.916666666666664</v>
      </c>
      <c r="I68" s="129"/>
    </row>
    <row r="69" spans="1:10" s="104" customFormat="1" ht="19.5" hidden="1" customHeight="1" outlineLevel="1">
      <c r="A69" s="100"/>
      <c r="B69" s="157" t="s">
        <v>498</v>
      </c>
      <c r="C69" s="100" t="s">
        <v>37</v>
      </c>
      <c r="D69" s="159"/>
      <c r="E69" s="159"/>
      <c r="F69" s="159"/>
      <c r="G69" s="159"/>
      <c r="H69" s="103" t="str">
        <f t="shared" si="0"/>
        <v/>
      </c>
      <c r="I69" s="129"/>
    </row>
    <row r="70" spans="1:10" ht="17.25" customHeight="1" collapsed="1">
      <c r="A70" s="24" t="s">
        <v>39</v>
      </c>
      <c r="B70" s="30" t="s">
        <v>122</v>
      </c>
      <c r="C70" s="11" t="s">
        <v>37</v>
      </c>
      <c r="D70" s="27">
        <f>D71+D88+D89</f>
        <v>9814</v>
      </c>
      <c r="E70" s="27">
        <f>E71+E88+E89</f>
        <v>10071.6</v>
      </c>
      <c r="F70" s="27">
        <f>F71+F84+F88+F89</f>
        <v>10122.1</v>
      </c>
      <c r="G70" s="27">
        <f>G71+G84+G88+G89</f>
        <v>10470</v>
      </c>
      <c r="H70" s="66">
        <f t="shared" si="0"/>
        <v>103.43703381709329</v>
      </c>
      <c r="I70" s="3"/>
    </row>
    <row r="71" spans="1:10" s="18" customFormat="1" ht="17.25" customHeight="1">
      <c r="A71" s="24">
        <v>1</v>
      </c>
      <c r="B71" s="23" t="s">
        <v>448</v>
      </c>
      <c r="C71" s="11" t="s">
        <v>37</v>
      </c>
      <c r="D71" s="27">
        <f>D72+D78</f>
        <v>9537.2999999999993</v>
      </c>
      <c r="E71" s="27">
        <f>E72+E78</f>
        <v>9722.1</v>
      </c>
      <c r="F71" s="27">
        <f>F72+F78</f>
        <v>9772.1</v>
      </c>
      <c r="G71" s="27">
        <f>G72+G78</f>
        <v>10013</v>
      </c>
      <c r="H71" s="66">
        <f t="shared" si="0"/>
        <v>102.46518148606748</v>
      </c>
      <c r="I71" s="83"/>
    </row>
    <row r="72" spans="1:10" s="18" customFormat="1" ht="17.25" customHeight="1">
      <c r="A72" s="11" t="s">
        <v>34</v>
      </c>
      <c r="B72" s="30" t="s">
        <v>445</v>
      </c>
      <c r="C72" s="11" t="s">
        <v>37</v>
      </c>
      <c r="D72" s="16">
        <v>1743.8</v>
      </c>
      <c r="E72" s="16">
        <f>D72+E73</f>
        <v>1919.5</v>
      </c>
      <c r="F72" s="16">
        <f>E72+F73</f>
        <v>1969.5</v>
      </c>
      <c r="G72" s="16">
        <f>E72+G73-G74</f>
        <v>2287.9</v>
      </c>
      <c r="H72" s="66">
        <f t="shared" si="0"/>
        <v>116.16653973089618</v>
      </c>
      <c r="I72" s="83"/>
    </row>
    <row r="73" spans="1:10" ht="17.25" customHeight="1">
      <c r="A73" s="32"/>
      <c r="B73" s="35" t="s">
        <v>123</v>
      </c>
      <c r="C73" s="32" t="s">
        <v>37</v>
      </c>
      <c r="D73" s="38">
        <v>185.9</v>
      </c>
      <c r="E73" s="38">
        <v>175.7</v>
      </c>
      <c r="F73" s="38">
        <v>50</v>
      </c>
      <c r="G73" s="38">
        <v>374.4</v>
      </c>
      <c r="H73" s="58">
        <f t="shared" si="0"/>
        <v>748.8</v>
      </c>
      <c r="I73" s="3"/>
    </row>
    <row r="74" spans="1:10" ht="17.25" customHeight="1">
      <c r="A74" s="32"/>
      <c r="B74" s="35" t="s">
        <v>321</v>
      </c>
      <c r="C74" s="32" t="s">
        <v>37</v>
      </c>
      <c r="D74" s="38"/>
      <c r="E74" s="38"/>
      <c r="F74" s="38"/>
      <c r="G74" s="38">
        <v>6</v>
      </c>
      <c r="H74" s="58"/>
      <c r="I74" s="3"/>
    </row>
    <row r="75" spans="1:10" ht="17.25" customHeight="1">
      <c r="A75" s="32"/>
      <c r="B75" s="35" t="s">
        <v>124</v>
      </c>
      <c r="C75" s="32" t="s">
        <v>37</v>
      </c>
      <c r="D75" s="22">
        <v>1246</v>
      </c>
      <c r="E75" s="22">
        <v>1384</v>
      </c>
      <c r="F75" s="22">
        <v>1559</v>
      </c>
      <c r="G75" s="22"/>
      <c r="H75" s="58">
        <f t="shared" ref="H75:H94" si="1">IFERROR(G75/F75%,"")</f>
        <v>0</v>
      </c>
      <c r="I75" s="3"/>
      <c r="J75" s="81"/>
    </row>
    <row r="76" spans="1:10" ht="17.25" customHeight="1">
      <c r="A76" s="32"/>
      <c r="B76" s="35" t="s">
        <v>125</v>
      </c>
      <c r="C76" s="32" t="s">
        <v>21</v>
      </c>
      <c r="D76" s="38">
        <v>31.73</v>
      </c>
      <c r="E76" s="38">
        <v>35.65</v>
      </c>
      <c r="F76" s="38">
        <v>35</v>
      </c>
      <c r="G76" s="38"/>
      <c r="H76" s="58">
        <f t="shared" si="1"/>
        <v>0</v>
      </c>
      <c r="I76" s="3"/>
    </row>
    <row r="77" spans="1:10" ht="17.25" customHeight="1">
      <c r="A77" s="32"/>
      <c r="B77" s="35" t="s">
        <v>320</v>
      </c>
      <c r="C77" s="32" t="s">
        <v>76</v>
      </c>
      <c r="D77" s="22">
        <f>D75*D76/10</f>
        <v>3953.558</v>
      </c>
      <c r="E77" s="22">
        <f>E75*E76/10</f>
        <v>4933.96</v>
      </c>
      <c r="F77" s="22">
        <f>F75*F76/10</f>
        <v>5456.5</v>
      </c>
      <c r="G77" s="180">
        <f>G75*G76/10</f>
        <v>0</v>
      </c>
      <c r="H77" s="58">
        <f t="shared" si="1"/>
        <v>0</v>
      </c>
      <c r="I77" s="3"/>
    </row>
    <row r="78" spans="1:10" s="18" customFormat="1" ht="17.25" customHeight="1">
      <c r="A78" s="11" t="s">
        <v>35</v>
      </c>
      <c r="B78" s="30" t="s">
        <v>446</v>
      </c>
      <c r="C78" s="11" t="s">
        <v>37</v>
      </c>
      <c r="D78" s="16">
        <v>7793.5</v>
      </c>
      <c r="E78" s="16">
        <f>D78+E79-E80</f>
        <v>7802.6</v>
      </c>
      <c r="F78" s="16">
        <f>E78+F79-F80</f>
        <v>7802.6</v>
      </c>
      <c r="G78" s="16">
        <f>E78+G79-G80</f>
        <v>7725.1</v>
      </c>
      <c r="H78" s="66">
        <f t="shared" si="1"/>
        <v>99.006741342629368</v>
      </c>
      <c r="I78" s="83"/>
    </row>
    <row r="79" spans="1:10" ht="17.25" customHeight="1">
      <c r="A79" s="32"/>
      <c r="B79" s="35" t="s">
        <v>123</v>
      </c>
      <c r="C79" s="32" t="s">
        <v>37</v>
      </c>
      <c r="D79" s="43">
        <v>0</v>
      </c>
      <c r="E79" s="28">
        <v>24.6</v>
      </c>
      <c r="F79" s="43"/>
      <c r="G79" s="43">
        <v>33.299999999999997</v>
      </c>
      <c r="H79" s="58" t="str">
        <f t="shared" si="1"/>
        <v/>
      </c>
      <c r="I79" s="3"/>
    </row>
    <row r="80" spans="1:10" ht="17.25" customHeight="1">
      <c r="A80" s="32"/>
      <c r="B80" s="35" t="s">
        <v>321</v>
      </c>
      <c r="C80" s="32" t="s">
        <v>37</v>
      </c>
      <c r="D80" s="28">
        <v>81.5</v>
      </c>
      <c r="E80" s="28">
        <v>15.5</v>
      </c>
      <c r="F80" s="43"/>
      <c r="G80" s="43">
        <v>110.8</v>
      </c>
      <c r="H80" s="58" t="str">
        <f t="shared" si="1"/>
        <v/>
      </c>
      <c r="I80" s="3"/>
    </row>
    <row r="81" spans="1:11" ht="17.25" customHeight="1">
      <c r="A81" s="32"/>
      <c r="B81" s="35" t="s">
        <v>124</v>
      </c>
      <c r="C81" s="32" t="s">
        <v>37</v>
      </c>
      <c r="D81" s="22">
        <v>4821</v>
      </c>
      <c r="E81" s="22">
        <v>5385</v>
      </c>
      <c r="F81" s="22">
        <v>5755</v>
      </c>
      <c r="G81" s="22">
        <v>5724</v>
      </c>
      <c r="H81" s="58">
        <f t="shared" si="1"/>
        <v>99.461337966985241</v>
      </c>
      <c r="I81" s="3"/>
    </row>
    <row r="82" spans="1:11" ht="17.25" customHeight="1">
      <c r="A82" s="32"/>
      <c r="B82" s="35" t="s">
        <v>126</v>
      </c>
      <c r="C82" s="32" t="s">
        <v>21</v>
      </c>
      <c r="D82" s="38">
        <v>12.33</v>
      </c>
      <c r="E82" s="38">
        <v>12.35</v>
      </c>
      <c r="F82" s="38">
        <v>12.5</v>
      </c>
      <c r="G82" s="38"/>
      <c r="H82" s="58">
        <f t="shared" si="1"/>
        <v>0</v>
      </c>
      <c r="I82" s="3"/>
    </row>
    <row r="83" spans="1:11" ht="17.25" customHeight="1">
      <c r="A83" s="32"/>
      <c r="B83" s="35" t="s">
        <v>474</v>
      </c>
      <c r="C83" s="32" t="s">
        <v>76</v>
      </c>
      <c r="D83" s="22">
        <f>D81*D82/10</f>
        <v>5944.2929999999997</v>
      </c>
      <c r="E83" s="22">
        <f>E81*E82/10</f>
        <v>6650.4750000000004</v>
      </c>
      <c r="F83" s="22">
        <f>F81*F82/10</f>
        <v>7193.75</v>
      </c>
      <c r="G83" s="180">
        <f>G81*G82/10</f>
        <v>0</v>
      </c>
      <c r="H83" s="58">
        <f t="shared" si="1"/>
        <v>0</v>
      </c>
      <c r="I83" s="3"/>
    </row>
    <row r="84" spans="1:11" s="18" customFormat="1" ht="17.25" customHeight="1">
      <c r="A84" s="11">
        <v>2</v>
      </c>
      <c r="B84" s="30" t="s">
        <v>722</v>
      </c>
      <c r="C84" s="11" t="s">
        <v>37</v>
      </c>
      <c r="D84" s="16"/>
      <c r="E84" s="16"/>
      <c r="F84" s="16"/>
      <c r="G84" s="290">
        <v>108.1</v>
      </c>
      <c r="H84" s="66"/>
      <c r="I84" s="83"/>
    </row>
    <row r="85" spans="1:11" ht="17.25" customHeight="1">
      <c r="A85" s="11"/>
      <c r="B85" s="33" t="s">
        <v>123</v>
      </c>
      <c r="C85" s="32" t="s">
        <v>37</v>
      </c>
      <c r="D85" s="22"/>
      <c r="E85" s="22"/>
      <c r="F85" s="22"/>
      <c r="G85" s="180">
        <v>28.9</v>
      </c>
      <c r="H85" s="58"/>
      <c r="I85" s="3"/>
    </row>
    <row r="86" spans="1:11" ht="17.25" customHeight="1">
      <c r="A86" s="32"/>
      <c r="B86" s="37" t="s">
        <v>27</v>
      </c>
      <c r="C86" s="32" t="s">
        <v>21</v>
      </c>
      <c r="D86" s="22"/>
      <c r="E86" s="22"/>
      <c r="F86" s="22"/>
      <c r="G86" s="180"/>
      <c r="H86" s="58"/>
      <c r="I86" s="3"/>
    </row>
    <row r="87" spans="1:11" ht="17.25" customHeight="1">
      <c r="A87" s="32"/>
      <c r="B87" s="37" t="s">
        <v>28</v>
      </c>
      <c r="C87" s="32" t="s">
        <v>76</v>
      </c>
      <c r="D87" s="22"/>
      <c r="E87" s="22"/>
      <c r="F87" s="22"/>
      <c r="G87" s="180"/>
      <c r="H87" s="58"/>
      <c r="I87" s="3"/>
    </row>
    <row r="88" spans="1:11" s="18" customFormat="1" ht="17.25" customHeight="1">
      <c r="A88" s="11">
        <v>3</v>
      </c>
      <c r="B88" s="30" t="s">
        <v>181</v>
      </c>
      <c r="C88" s="11" t="s">
        <v>37</v>
      </c>
      <c r="D88" s="16">
        <v>155.19999999999999</v>
      </c>
      <c r="E88" s="16">
        <v>218.9</v>
      </c>
      <c r="F88" s="16">
        <v>220</v>
      </c>
      <c r="G88" s="16">
        <v>218.9</v>
      </c>
      <c r="H88" s="66">
        <f t="shared" si="1"/>
        <v>99.5</v>
      </c>
      <c r="I88" s="83"/>
    </row>
    <row r="89" spans="1:11" s="18" customFormat="1" ht="31.5">
      <c r="A89" s="11">
        <v>4</v>
      </c>
      <c r="B89" s="30" t="s">
        <v>410</v>
      </c>
      <c r="C89" s="11" t="s">
        <v>37</v>
      </c>
      <c r="D89" s="16">
        <f>SUM(D90:D94)</f>
        <v>121.5</v>
      </c>
      <c r="E89" s="16">
        <f>SUM(E90:E94)</f>
        <v>130.60000000000002</v>
      </c>
      <c r="F89" s="16">
        <f>SUM(F90:F94)</f>
        <v>130</v>
      </c>
      <c r="G89" s="16">
        <v>130</v>
      </c>
      <c r="H89" s="66">
        <f t="shared" si="1"/>
        <v>100</v>
      </c>
      <c r="I89" s="83"/>
      <c r="J89" s="87"/>
      <c r="K89" s="87"/>
    </row>
    <row r="90" spans="1:11" s="104" customFormat="1" ht="17.25" hidden="1" customHeight="1" outlineLevel="1">
      <c r="A90" s="100"/>
      <c r="B90" s="157" t="s">
        <v>405</v>
      </c>
      <c r="C90" s="100" t="s">
        <v>37</v>
      </c>
      <c r="D90" s="158">
        <v>18.5</v>
      </c>
      <c r="E90" s="158">
        <v>17</v>
      </c>
      <c r="F90" s="158">
        <v>17</v>
      </c>
      <c r="G90" s="158"/>
      <c r="H90" s="123">
        <f t="shared" si="1"/>
        <v>0</v>
      </c>
      <c r="I90" s="129"/>
    </row>
    <row r="91" spans="1:11" s="104" customFormat="1" ht="17.25" hidden="1" customHeight="1" outlineLevel="1">
      <c r="A91" s="100"/>
      <c r="B91" s="157" t="s">
        <v>406</v>
      </c>
      <c r="C91" s="100" t="s">
        <v>37</v>
      </c>
      <c r="D91" s="158">
        <v>54.6</v>
      </c>
      <c r="E91" s="158">
        <v>61.9</v>
      </c>
      <c r="F91" s="158">
        <v>62</v>
      </c>
      <c r="G91" s="158"/>
      <c r="H91" s="123">
        <f t="shared" si="1"/>
        <v>0</v>
      </c>
      <c r="I91" s="129"/>
    </row>
    <row r="92" spans="1:11" s="104" customFormat="1" ht="17.25" hidden="1" customHeight="1" outlineLevel="1">
      <c r="A92" s="100"/>
      <c r="B92" s="157" t="s">
        <v>407</v>
      </c>
      <c r="C92" s="100" t="s">
        <v>37</v>
      </c>
      <c r="D92" s="158">
        <v>2</v>
      </c>
      <c r="E92" s="158">
        <v>2</v>
      </c>
      <c r="F92" s="158">
        <v>2</v>
      </c>
      <c r="G92" s="158"/>
      <c r="H92" s="123">
        <f t="shared" si="1"/>
        <v>0</v>
      </c>
      <c r="I92" s="129"/>
    </row>
    <row r="93" spans="1:11" s="104" customFormat="1" ht="17.25" hidden="1" customHeight="1" outlineLevel="1">
      <c r="A93" s="100"/>
      <c r="B93" s="157" t="s">
        <v>408</v>
      </c>
      <c r="C93" s="100" t="s">
        <v>37</v>
      </c>
      <c r="D93" s="158">
        <v>46.4</v>
      </c>
      <c r="E93" s="158">
        <v>30.4</v>
      </c>
      <c r="F93" s="158">
        <v>30</v>
      </c>
      <c r="G93" s="158"/>
      <c r="H93" s="123">
        <f t="shared" si="1"/>
        <v>0</v>
      </c>
      <c r="I93" s="129"/>
    </row>
    <row r="94" spans="1:11" s="104" customFormat="1" ht="17.25" hidden="1" customHeight="1" outlineLevel="1">
      <c r="A94" s="100"/>
      <c r="B94" s="157" t="s">
        <v>409</v>
      </c>
      <c r="C94" s="100" t="s">
        <v>37</v>
      </c>
      <c r="D94" s="158"/>
      <c r="E94" s="158">
        <v>19.3</v>
      </c>
      <c r="F94" s="158">
        <v>19</v>
      </c>
      <c r="G94" s="158"/>
      <c r="H94" s="123">
        <f t="shared" si="1"/>
        <v>0</v>
      </c>
      <c r="I94" s="129"/>
    </row>
    <row r="95" spans="1:11" s="104" customFormat="1" ht="17.25" hidden="1" customHeight="1" outlineLevel="1">
      <c r="A95" s="100"/>
      <c r="B95" s="157" t="s">
        <v>498</v>
      </c>
      <c r="C95" s="100" t="s">
        <v>37</v>
      </c>
      <c r="D95" s="158"/>
      <c r="E95" s="158"/>
      <c r="F95" s="158"/>
      <c r="G95" s="158"/>
      <c r="H95" s="123"/>
      <c r="I95" s="129"/>
    </row>
    <row r="96" spans="1:11" ht="18.75" customHeight="1" collapsed="1">
      <c r="A96" s="11" t="s">
        <v>47</v>
      </c>
      <c r="B96" s="30" t="s">
        <v>96</v>
      </c>
      <c r="C96" s="32"/>
      <c r="D96" s="28"/>
      <c r="E96" s="38"/>
      <c r="F96" s="38"/>
      <c r="G96" s="38"/>
      <c r="H96" s="66" t="str">
        <f t="shared" ref="H96:H123" si="2">IFERROR(G96/F96%,"")</f>
        <v/>
      </c>
      <c r="I96" s="3"/>
    </row>
    <row r="97" spans="1:10" s="18" customFormat="1" ht="18.75" customHeight="1">
      <c r="A97" s="11">
        <v>1</v>
      </c>
      <c r="B97" s="30" t="s">
        <v>447</v>
      </c>
      <c r="C97" s="11" t="s">
        <v>54</v>
      </c>
      <c r="D97" s="27">
        <f>SUM(D98:D100)</f>
        <v>20219</v>
      </c>
      <c r="E97" s="27">
        <f>SUM(E98:E100)</f>
        <v>18350</v>
      </c>
      <c r="F97" s="27">
        <f>SUM(F98:F100)</f>
        <v>20650</v>
      </c>
      <c r="G97" s="27">
        <f>SUM(G98:G100)</f>
        <v>17340</v>
      </c>
      <c r="H97" s="66">
        <f t="shared" si="2"/>
        <v>83.970944309927361</v>
      </c>
      <c r="I97" s="83"/>
    </row>
    <row r="98" spans="1:10" ht="18.75" customHeight="1">
      <c r="A98" s="32"/>
      <c r="B98" s="35" t="s">
        <v>322</v>
      </c>
      <c r="C98" s="32" t="s">
        <v>54</v>
      </c>
      <c r="D98" s="29">
        <v>2461</v>
      </c>
      <c r="E98" s="29">
        <v>2550</v>
      </c>
      <c r="F98" s="29">
        <v>2650</v>
      </c>
      <c r="G98" s="29">
        <v>2560</v>
      </c>
      <c r="H98" s="58">
        <f t="shared" si="2"/>
        <v>96.603773584905667</v>
      </c>
      <c r="I98" s="3"/>
    </row>
    <row r="99" spans="1:10" ht="18.75" customHeight="1">
      <c r="A99" s="32"/>
      <c r="B99" s="35" t="s">
        <v>323</v>
      </c>
      <c r="C99" s="32" t="s">
        <v>54</v>
      </c>
      <c r="D99" s="29">
        <v>4034</v>
      </c>
      <c r="E99" s="29">
        <v>4800</v>
      </c>
      <c r="F99" s="29">
        <v>5000</v>
      </c>
      <c r="G99" s="29">
        <v>5113</v>
      </c>
      <c r="H99" s="58">
        <f t="shared" si="2"/>
        <v>102.26</v>
      </c>
      <c r="I99" s="3"/>
    </row>
    <row r="100" spans="1:10" ht="18.75" customHeight="1">
      <c r="A100" s="32"/>
      <c r="B100" s="35" t="s">
        <v>324</v>
      </c>
      <c r="C100" s="32" t="s">
        <v>54</v>
      </c>
      <c r="D100" s="29">
        <v>13724</v>
      </c>
      <c r="E100" s="29">
        <v>11000</v>
      </c>
      <c r="F100" s="29">
        <v>13000</v>
      </c>
      <c r="G100" s="29">
        <v>9667</v>
      </c>
      <c r="H100" s="58">
        <f t="shared" si="2"/>
        <v>74.361538461538458</v>
      </c>
      <c r="I100" s="3"/>
    </row>
    <row r="101" spans="1:10" s="18" customFormat="1" ht="18.75" customHeight="1">
      <c r="A101" s="11">
        <v>2</v>
      </c>
      <c r="B101" s="44" t="s">
        <v>31</v>
      </c>
      <c r="C101" s="11" t="s">
        <v>54</v>
      </c>
      <c r="D101" s="27">
        <v>77894</v>
      </c>
      <c r="E101" s="27">
        <v>87000</v>
      </c>
      <c r="F101" s="27">
        <v>87000</v>
      </c>
      <c r="G101" s="27">
        <v>73600</v>
      </c>
      <c r="H101" s="66">
        <f t="shared" si="2"/>
        <v>84.597701149425291</v>
      </c>
      <c r="I101" s="83"/>
    </row>
    <row r="102" spans="1:10" s="18" customFormat="1" ht="18.75" customHeight="1">
      <c r="A102" s="11" t="s">
        <v>48</v>
      </c>
      <c r="B102" s="45" t="s">
        <v>325</v>
      </c>
      <c r="C102" s="11"/>
      <c r="D102" s="27"/>
      <c r="E102" s="27"/>
      <c r="F102" s="27"/>
      <c r="G102" s="27"/>
      <c r="H102" s="66" t="str">
        <f t="shared" si="2"/>
        <v/>
      </c>
      <c r="I102" s="83"/>
    </row>
    <row r="103" spans="1:10" ht="18.75" customHeight="1">
      <c r="A103" s="32">
        <v>1</v>
      </c>
      <c r="B103" s="46" t="s">
        <v>326</v>
      </c>
      <c r="C103" s="32" t="s">
        <v>37</v>
      </c>
      <c r="D103" s="28">
        <v>85</v>
      </c>
      <c r="E103" s="28">
        <v>85.5</v>
      </c>
      <c r="F103" s="28">
        <v>85.5</v>
      </c>
      <c r="G103" s="28">
        <v>89.1</v>
      </c>
      <c r="H103" s="58">
        <f t="shared" si="2"/>
        <v>104.21052631578947</v>
      </c>
      <c r="I103" s="3"/>
    </row>
    <row r="104" spans="1:10" ht="18.75" customHeight="1">
      <c r="A104" s="32">
        <v>2</v>
      </c>
      <c r="B104" s="46" t="s">
        <v>327</v>
      </c>
      <c r="C104" s="32" t="s">
        <v>76</v>
      </c>
      <c r="D104" s="29">
        <f>D105+D106</f>
        <v>427.4</v>
      </c>
      <c r="E104" s="29">
        <f>E105+E106</f>
        <v>320</v>
      </c>
      <c r="F104" s="29">
        <f>F105+F106</f>
        <v>335</v>
      </c>
      <c r="G104" s="29">
        <f>G105+G106</f>
        <v>124</v>
      </c>
      <c r="H104" s="58">
        <f t="shared" si="2"/>
        <v>37.014925373134325</v>
      </c>
      <c r="I104" s="3"/>
    </row>
    <row r="105" spans="1:10" ht="18.75" customHeight="1">
      <c r="A105" s="32"/>
      <c r="B105" s="48" t="s">
        <v>328</v>
      </c>
      <c r="C105" s="32" t="s">
        <v>76</v>
      </c>
      <c r="D105" s="29">
        <v>211.9</v>
      </c>
      <c r="E105" s="29">
        <v>210</v>
      </c>
      <c r="F105" s="29">
        <v>210</v>
      </c>
      <c r="G105" s="29">
        <v>86.5</v>
      </c>
      <c r="H105" s="58">
        <f t="shared" si="2"/>
        <v>41.19047619047619</v>
      </c>
      <c r="I105" s="3"/>
    </row>
    <row r="106" spans="1:10" ht="18.75" customHeight="1">
      <c r="A106" s="32"/>
      <c r="B106" s="48" t="s">
        <v>329</v>
      </c>
      <c r="C106" s="32" t="s">
        <v>76</v>
      </c>
      <c r="D106" s="29">
        <v>215.5</v>
      </c>
      <c r="E106" s="29">
        <v>110</v>
      </c>
      <c r="F106" s="29">
        <v>125</v>
      </c>
      <c r="G106" s="29">
        <v>37.5</v>
      </c>
      <c r="H106" s="58">
        <f t="shared" si="2"/>
        <v>30</v>
      </c>
      <c r="I106" s="3"/>
    </row>
    <row r="107" spans="1:10">
      <c r="A107" s="49" t="s">
        <v>50</v>
      </c>
      <c r="B107" s="50" t="s">
        <v>104</v>
      </c>
      <c r="C107" s="49"/>
      <c r="D107" s="13"/>
      <c r="E107" s="13"/>
      <c r="F107" s="13"/>
      <c r="G107" s="13"/>
      <c r="H107" s="66" t="str">
        <f t="shared" si="2"/>
        <v/>
      </c>
      <c r="I107" s="3"/>
    </row>
    <row r="108" spans="1:10" ht="19.5" customHeight="1">
      <c r="A108" s="175">
        <v>1</v>
      </c>
      <c r="B108" s="52" t="s">
        <v>501</v>
      </c>
      <c r="C108" s="1" t="s">
        <v>37</v>
      </c>
      <c r="D108" s="53">
        <v>500.3</v>
      </c>
      <c r="E108" s="53">
        <v>4</v>
      </c>
      <c r="F108" s="53"/>
      <c r="G108" s="53"/>
      <c r="H108" s="66" t="str">
        <f t="shared" si="2"/>
        <v/>
      </c>
      <c r="I108" s="3"/>
    </row>
    <row r="109" spans="1:10" s="42" customFormat="1" ht="19.5" customHeight="1">
      <c r="A109" s="171"/>
      <c r="B109" s="172" t="s">
        <v>123</v>
      </c>
      <c r="C109" s="173" t="s">
        <v>37</v>
      </c>
      <c r="D109" s="174">
        <v>500.3</v>
      </c>
      <c r="E109" s="174">
        <v>4</v>
      </c>
      <c r="F109" s="174"/>
      <c r="G109" s="174"/>
      <c r="H109" s="160" t="str">
        <f t="shared" si="2"/>
        <v/>
      </c>
      <c r="I109" s="84"/>
    </row>
    <row r="110" spans="1:10" ht="17.25" customHeight="1">
      <c r="A110" s="32">
        <v>2</v>
      </c>
      <c r="B110" s="35" t="s">
        <v>30</v>
      </c>
      <c r="C110" s="32" t="s">
        <v>37</v>
      </c>
      <c r="D110" s="22">
        <v>1646</v>
      </c>
      <c r="E110" s="22">
        <f>D110+E111</f>
        <v>1675</v>
      </c>
      <c r="F110" s="22">
        <f>E110+F111</f>
        <v>1710</v>
      </c>
      <c r="G110" s="22">
        <f>E110+G111-G112</f>
        <v>1725</v>
      </c>
      <c r="H110" s="58">
        <f t="shared" si="2"/>
        <v>100.87719298245614</v>
      </c>
      <c r="I110" s="3"/>
      <c r="J110" s="81"/>
    </row>
    <row r="111" spans="1:10" ht="17.25" customHeight="1">
      <c r="A111" s="32"/>
      <c r="B111" s="35" t="s">
        <v>123</v>
      </c>
      <c r="C111" s="32" t="s">
        <v>37</v>
      </c>
      <c r="D111" s="22">
        <v>57.2</v>
      </c>
      <c r="E111" s="22">
        <v>29</v>
      </c>
      <c r="F111" s="22">
        <v>35</v>
      </c>
      <c r="G111" s="22">
        <v>54</v>
      </c>
      <c r="H111" s="58">
        <f t="shared" si="2"/>
        <v>154.28571428571431</v>
      </c>
      <c r="I111" s="3"/>
    </row>
    <row r="112" spans="1:10" ht="17.25" customHeight="1">
      <c r="A112" s="32"/>
      <c r="B112" s="35" t="s">
        <v>721</v>
      </c>
      <c r="C112" s="32" t="s">
        <v>37</v>
      </c>
      <c r="D112" s="22"/>
      <c r="E112" s="22"/>
      <c r="F112" s="22"/>
      <c r="G112" s="22">
        <v>4</v>
      </c>
      <c r="H112" s="58"/>
      <c r="I112" s="3"/>
    </row>
    <row r="113" spans="1:11" s="18" customFormat="1" ht="21.75" customHeight="1">
      <c r="A113" s="106" t="s">
        <v>176</v>
      </c>
      <c r="B113" s="124" t="s">
        <v>183</v>
      </c>
      <c r="C113" s="106"/>
      <c r="D113" s="125"/>
      <c r="E113" s="125"/>
      <c r="F113" s="125"/>
      <c r="G113" s="125"/>
      <c r="H113" s="110" t="str">
        <f t="shared" si="2"/>
        <v/>
      </c>
      <c r="I113" s="110"/>
    </row>
    <row r="114" spans="1:11" s="18" customFormat="1" ht="22.5" customHeight="1">
      <c r="A114" s="11">
        <v>1</v>
      </c>
      <c r="B114" s="54" t="s">
        <v>449</v>
      </c>
      <c r="C114" s="11" t="s">
        <v>331</v>
      </c>
      <c r="D114" s="27">
        <v>676693</v>
      </c>
      <c r="E114" s="27">
        <v>708000</v>
      </c>
      <c r="F114" s="27">
        <v>722000</v>
      </c>
      <c r="G114" s="27">
        <v>435000</v>
      </c>
      <c r="H114" s="66">
        <f t="shared" si="2"/>
        <v>60.249307479224377</v>
      </c>
      <c r="I114" s="83"/>
      <c r="J114" s="179"/>
      <c r="K114" s="179"/>
    </row>
    <row r="115" spans="1:11" s="18" customFormat="1" ht="20.25" customHeight="1">
      <c r="A115" s="11">
        <v>2</v>
      </c>
      <c r="B115" s="15" t="s">
        <v>333</v>
      </c>
      <c r="C115" s="11"/>
      <c r="D115" s="149"/>
      <c r="E115" s="149"/>
      <c r="F115" s="149"/>
      <c r="G115" s="149"/>
      <c r="H115" s="66" t="str">
        <f t="shared" si="2"/>
        <v/>
      </c>
      <c r="I115" s="83"/>
    </row>
    <row r="116" spans="1:11" ht="20.25" customHeight="1">
      <c r="A116" s="32"/>
      <c r="B116" s="20" t="s">
        <v>334</v>
      </c>
      <c r="C116" s="32" t="s">
        <v>65</v>
      </c>
      <c r="D116" s="29">
        <v>40</v>
      </c>
      <c r="E116" s="29">
        <v>42</v>
      </c>
      <c r="F116" s="29">
        <v>80</v>
      </c>
      <c r="G116" s="29">
        <v>55</v>
      </c>
      <c r="H116" s="58">
        <f t="shared" si="2"/>
        <v>68.75</v>
      </c>
      <c r="I116" s="3"/>
    </row>
    <row r="117" spans="1:11" ht="20.25" customHeight="1">
      <c r="A117" s="32"/>
      <c r="B117" s="20" t="s">
        <v>340</v>
      </c>
      <c r="C117" s="32" t="s">
        <v>65</v>
      </c>
      <c r="D117" s="29">
        <v>35</v>
      </c>
      <c r="E117" s="29">
        <v>30</v>
      </c>
      <c r="F117" s="29">
        <v>40</v>
      </c>
      <c r="G117" s="29"/>
      <c r="H117" s="58">
        <f t="shared" si="2"/>
        <v>0</v>
      </c>
      <c r="I117" s="3"/>
    </row>
    <row r="118" spans="1:11" ht="20.25" customHeight="1">
      <c r="A118" s="32"/>
      <c r="B118" s="20" t="s">
        <v>335</v>
      </c>
      <c r="C118" s="32" t="s">
        <v>76</v>
      </c>
      <c r="D118" s="29">
        <v>57219</v>
      </c>
      <c r="E118" s="29">
        <v>60000</v>
      </c>
      <c r="F118" s="29">
        <v>55000</v>
      </c>
      <c r="G118" s="29">
        <v>33292</v>
      </c>
      <c r="H118" s="58">
        <f t="shared" si="2"/>
        <v>60.530909090909091</v>
      </c>
      <c r="I118" s="3"/>
    </row>
    <row r="119" spans="1:11" ht="20.25" customHeight="1">
      <c r="A119" s="32"/>
      <c r="B119" s="20" t="s">
        <v>336</v>
      </c>
      <c r="C119" s="32" t="s">
        <v>76</v>
      </c>
      <c r="D119" s="29">
        <v>12363</v>
      </c>
      <c r="E119" s="29">
        <v>13000</v>
      </c>
      <c r="F119" s="29">
        <v>12000</v>
      </c>
      <c r="G119" s="29">
        <v>6786</v>
      </c>
      <c r="H119" s="58">
        <f t="shared" si="2"/>
        <v>56.55</v>
      </c>
      <c r="I119" s="3"/>
    </row>
    <row r="120" spans="1:11" ht="20.25" customHeight="1">
      <c r="A120" s="32"/>
      <c r="B120" s="20" t="s">
        <v>337</v>
      </c>
      <c r="C120" s="32" t="s">
        <v>466</v>
      </c>
      <c r="D120" s="29">
        <v>39713</v>
      </c>
      <c r="E120" s="29">
        <v>41000</v>
      </c>
      <c r="F120" s="29">
        <v>60000</v>
      </c>
      <c r="G120" s="29">
        <v>15900</v>
      </c>
      <c r="H120" s="58">
        <f t="shared" si="2"/>
        <v>26.5</v>
      </c>
      <c r="I120" s="3"/>
    </row>
    <row r="121" spans="1:11" ht="20.25" customHeight="1">
      <c r="A121" s="32"/>
      <c r="B121" s="20" t="s">
        <v>338</v>
      </c>
      <c r="C121" s="32" t="s">
        <v>466</v>
      </c>
      <c r="D121" s="29">
        <v>34500</v>
      </c>
      <c r="E121" s="29">
        <v>35000</v>
      </c>
      <c r="F121" s="29">
        <v>54000</v>
      </c>
      <c r="G121" s="29">
        <v>18500</v>
      </c>
      <c r="H121" s="58">
        <f t="shared" si="2"/>
        <v>34.25925925925926</v>
      </c>
      <c r="I121" s="3"/>
    </row>
    <row r="122" spans="1:11" s="18" customFormat="1">
      <c r="A122" s="106" t="s">
        <v>182</v>
      </c>
      <c r="B122" s="126" t="s">
        <v>450</v>
      </c>
      <c r="C122" s="106"/>
      <c r="D122" s="127"/>
      <c r="E122" s="127"/>
      <c r="F122" s="127"/>
      <c r="G122" s="127"/>
      <c r="H122" s="110" t="str">
        <f t="shared" si="2"/>
        <v/>
      </c>
      <c r="I122" s="110"/>
    </row>
    <row r="123" spans="1:11" ht="22.5" customHeight="1">
      <c r="A123" s="32">
        <v>1</v>
      </c>
      <c r="B123" s="20" t="s">
        <v>184</v>
      </c>
      <c r="C123" s="32" t="s">
        <v>331</v>
      </c>
      <c r="D123" s="29">
        <v>560310</v>
      </c>
      <c r="E123" s="29">
        <v>595000</v>
      </c>
      <c r="F123" s="29">
        <v>696000</v>
      </c>
      <c r="G123" s="29">
        <v>366000</v>
      </c>
      <c r="H123" s="58">
        <f t="shared" si="2"/>
        <v>52.586206896551722</v>
      </c>
      <c r="I123" s="3"/>
    </row>
    <row r="124" spans="1:11" s="18" customFormat="1" ht="22.5" hidden="1" customHeight="1" outlineLevel="1">
      <c r="A124" s="11">
        <v>2</v>
      </c>
      <c r="B124" s="168" t="s">
        <v>489</v>
      </c>
      <c r="C124" s="1"/>
      <c r="D124" s="27"/>
      <c r="E124" s="27"/>
      <c r="F124" s="27"/>
      <c r="G124" s="27"/>
      <c r="H124" s="66"/>
      <c r="I124" s="83"/>
    </row>
    <row r="125" spans="1:11" ht="22.5" hidden="1" customHeight="1" outlineLevel="1">
      <c r="A125" s="32"/>
      <c r="B125" s="170" t="s">
        <v>490</v>
      </c>
      <c r="C125" s="1" t="s">
        <v>494</v>
      </c>
      <c r="D125" s="29"/>
      <c r="E125" s="29"/>
      <c r="F125" s="29"/>
      <c r="G125" s="29"/>
      <c r="H125" s="58" t="str">
        <f t="shared" ref="H125:H153" si="3">IFERROR(G125/F125%,"")</f>
        <v/>
      </c>
      <c r="I125" s="3"/>
    </row>
    <row r="126" spans="1:11" ht="22.5" hidden="1" customHeight="1" outlineLevel="1">
      <c r="A126" s="32"/>
      <c r="B126" s="170" t="s">
        <v>491</v>
      </c>
      <c r="C126" s="1" t="s">
        <v>49</v>
      </c>
      <c r="D126" s="29"/>
      <c r="E126" s="29"/>
      <c r="F126" s="29"/>
      <c r="G126" s="29"/>
      <c r="H126" s="58" t="str">
        <f t="shared" si="3"/>
        <v/>
      </c>
      <c r="I126" s="3"/>
    </row>
    <row r="127" spans="1:11" ht="22.5" hidden="1" customHeight="1" outlineLevel="1">
      <c r="A127" s="32"/>
      <c r="B127" s="170" t="s">
        <v>492</v>
      </c>
      <c r="C127" s="1" t="s">
        <v>331</v>
      </c>
      <c r="D127" s="29"/>
      <c r="E127" s="29"/>
      <c r="F127" s="29"/>
      <c r="G127" s="29"/>
      <c r="H127" s="58" t="str">
        <f t="shared" si="3"/>
        <v/>
      </c>
      <c r="I127" s="3"/>
    </row>
    <row r="128" spans="1:11" ht="22.5" hidden="1" customHeight="1" outlineLevel="1">
      <c r="A128" s="32"/>
      <c r="B128" s="170" t="s">
        <v>493</v>
      </c>
      <c r="C128" s="1" t="s">
        <v>33</v>
      </c>
      <c r="D128" s="29"/>
      <c r="E128" s="29"/>
      <c r="F128" s="29"/>
      <c r="G128" s="29"/>
      <c r="H128" s="58" t="str">
        <f t="shared" si="3"/>
        <v/>
      </c>
      <c r="I128" s="3"/>
    </row>
    <row r="129" spans="1:11" ht="22.5" customHeight="1" collapsed="1">
      <c r="A129" s="100"/>
      <c r="B129" s="122" t="s">
        <v>454</v>
      </c>
      <c r="C129" s="100"/>
      <c r="D129" s="102"/>
      <c r="E129" s="102"/>
      <c r="F129" s="102"/>
      <c r="G129" s="102"/>
      <c r="H129" s="123" t="str">
        <f t="shared" si="3"/>
        <v/>
      </c>
      <c r="I129" s="3"/>
    </row>
    <row r="130" spans="1:11" s="18" customFormat="1" ht="22.5" customHeight="1">
      <c r="A130" s="106" t="s">
        <v>38</v>
      </c>
      <c r="B130" s="126" t="s">
        <v>352</v>
      </c>
      <c r="C130" s="106"/>
      <c r="D130" s="125"/>
      <c r="E130" s="125"/>
      <c r="F130" s="125"/>
      <c r="G130" s="125"/>
      <c r="H130" s="110" t="str">
        <f t="shared" si="3"/>
        <v/>
      </c>
      <c r="I130" s="130"/>
    </row>
    <row r="131" spans="1:11" s="104" customFormat="1" ht="22.5" hidden="1" customHeight="1" outlineLevel="1">
      <c r="A131" s="100">
        <v>1</v>
      </c>
      <c r="B131" s="101" t="s">
        <v>353</v>
      </c>
      <c r="C131" s="100" t="s">
        <v>62</v>
      </c>
      <c r="D131" s="155">
        <v>10520</v>
      </c>
      <c r="E131" s="155">
        <f>D132</f>
        <v>10685</v>
      </c>
      <c r="F131" s="155">
        <f>E132</f>
        <v>11120</v>
      </c>
      <c r="G131" s="155"/>
      <c r="H131" s="123">
        <f t="shared" si="3"/>
        <v>0</v>
      </c>
      <c r="I131" s="129"/>
      <c r="K131" s="156"/>
    </row>
    <row r="132" spans="1:11" s="104" customFormat="1" ht="22.5" hidden="1" customHeight="1" outlineLevel="1">
      <c r="A132" s="100">
        <v>2</v>
      </c>
      <c r="B132" s="101" t="s">
        <v>207</v>
      </c>
      <c r="C132" s="100" t="s">
        <v>62</v>
      </c>
      <c r="D132" s="155">
        <v>10685</v>
      </c>
      <c r="E132" s="155">
        <v>11120</v>
      </c>
      <c r="F132" s="155">
        <v>11380</v>
      </c>
      <c r="G132" s="155"/>
      <c r="H132" s="123">
        <f t="shared" si="3"/>
        <v>0</v>
      </c>
      <c r="I132" s="129"/>
      <c r="J132" s="156"/>
    </row>
    <row r="133" spans="1:11" ht="22.5" customHeight="1" collapsed="1">
      <c r="A133" s="32">
        <v>1</v>
      </c>
      <c r="B133" s="20" t="s">
        <v>131</v>
      </c>
      <c r="C133" s="32" t="s">
        <v>73</v>
      </c>
      <c r="D133" s="29">
        <v>44006</v>
      </c>
      <c r="E133" s="29">
        <f>D134</f>
        <v>45290</v>
      </c>
      <c r="F133" s="29">
        <f>E134</f>
        <v>46404</v>
      </c>
      <c r="G133" s="29"/>
      <c r="H133" s="58">
        <f t="shared" si="3"/>
        <v>0</v>
      </c>
      <c r="I133" s="3"/>
    </row>
    <row r="134" spans="1:11" ht="22.5" customHeight="1">
      <c r="A134" s="32">
        <v>2</v>
      </c>
      <c r="B134" s="20" t="s">
        <v>132</v>
      </c>
      <c r="C134" s="32" t="s">
        <v>73</v>
      </c>
      <c r="D134" s="29">
        <v>45290</v>
      </c>
      <c r="E134" s="29">
        <v>46404</v>
      </c>
      <c r="F134" s="29">
        <v>47500</v>
      </c>
      <c r="G134" s="29"/>
      <c r="H134" s="58">
        <f t="shared" si="3"/>
        <v>0</v>
      </c>
      <c r="I134" s="3"/>
    </row>
    <row r="135" spans="1:11" ht="22.5" customHeight="1">
      <c r="A135" s="32">
        <v>3</v>
      </c>
      <c r="B135" s="20" t="s">
        <v>339</v>
      </c>
      <c r="C135" s="32" t="s">
        <v>73</v>
      </c>
      <c r="D135" s="29">
        <f>(D133+D134)/2</f>
        <v>44648</v>
      </c>
      <c r="E135" s="29">
        <f>(E133+E134)/2</f>
        <v>45847</v>
      </c>
      <c r="F135" s="29">
        <f>(F133+F134)/2</f>
        <v>46952</v>
      </c>
      <c r="G135" s="29"/>
      <c r="H135" s="58">
        <f t="shared" si="3"/>
        <v>0</v>
      </c>
      <c r="I135" s="3"/>
    </row>
    <row r="136" spans="1:11" ht="22.5" customHeight="1">
      <c r="A136" s="32">
        <v>4</v>
      </c>
      <c r="B136" s="48" t="s">
        <v>392</v>
      </c>
      <c r="C136" s="21" t="s">
        <v>170</v>
      </c>
      <c r="D136" s="74">
        <v>22.62</v>
      </c>
      <c r="E136" s="74">
        <v>22.92</v>
      </c>
      <c r="F136" s="74">
        <v>22</v>
      </c>
      <c r="G136" s="74"/>
      <c r="H136" s="66">
        <f t="shared" si="3"/>
        <v>0</v>
      </c>
      <c r="I136" s="3"/>
    </row>
    <row r="137" spans="1:11" s="18" customFormat="1" ht="21" customHeight="1">
      <c r="A137" s="106" t="s">
        <v>39</v>
      </c>
      <c r="B137" s="126" t="s">
        <v>163</v>
      </c>
      <c r="C137" s="106"/>
      <c r="D137" s="131"/>
      <c r="E137" s="131"/>
      <c r="F137" s="131"/>
      <c r="G137" s="131"/>
      <c r="H137" s="110" t="str">
        <f t="shared" si="3"/>
        <v/>
      </c>
      <c r="I137" s="130"/>
    </row>
    <row r="138" spans="1:11" ht="21" customHeight="1">
      <c r="A138" s="32">
        <v>1</v>
      </c>
      <c r="B138" s="20" t="s">
        <v>393</v>
      </c>
      <c r="C138" s="32" t="s">
        <v>33</v>
      </c>
      <c r="D138" s="58">
        <v>42.86</v>
      </c>
      <c r="E138" s="58">
        <v>43</v>
      </c>
      <c r="F138" s="58">
        <v>44</v>
      </c>
      <c r="G138" s="58"/>
      <c r="H138" s="58">
        <f t="shared" si="3"/>
        <v>0</v>
      </c>
      <c r="I138" s="3"/>
    </row>
    <row r="139" spans="1:11" ht="27.75" customHeight="1">
      <c r="A139" s="32"/>
      <c r="B139" s="20" t="s">
        <v>394</v>
      </c>
      <c r="C139" s="32" t="s">
        <v>33</v>
      </c>
      <c r="D139" s="58">
        <v>32</v>
      </c>
      <c r="E139" s="58">
        <v>35</v>
      </c>
      <c r="F139" s="58">
        <v>36</v>
      </c>
      <c r="G139" s="58"/>
      <c r="H139" s="58">
        <f t="shared" si="3"/>
        <v>0</v>
      </c>
      <c r="I139" s="3"/>
    </row>
    <row r="140" spans="1:11" ht="47.25">
      <c r="A140" s="32">
        <v>2</v>
      </c>
      <c r="B140" s="20" t="s">
        <v>357</v>
      </c>
      <c r="C140" s="32" t="s">
        <v>120</v>
      </c>
      <c r="D140" s="59">
        <f>174+50</f>
        <v>224</v>
      </c>
      <c r="E140" s="59">
        <v>175</v>
      </c>
      <c r="F140" s="59">
        <v>250</v>
      </c>
      <c r="G140" s="59"/>
      <c r="H140" s="58">
        <f t="shared" si="3"/>
        <v>0</v>
      </c>
      <c r="I140" s="3"/>
    </row>
    <row r="141" spans="1:11" ht="32.25" customHeight="1">
      <c r="A141" s="32"/>
      <c r="B141" s="20" t="s">
        <v>396</v>
      </c>
      <c r="C141" s="32" t="s">
        <v>397</v>
      </c>
      <c r="D141" s="20">
        <v>111</v>
      </c>
      <c r="E141" s="20">
        <v>115</v>
      </c>
      <c r="F141" s="20">
        <v>120</v>
      </c>
      <c r="G141" s="20"/>
      <c r="H141" s="58">
        <f t="shared" si="3"/>
        <v>0</v>
      </c>
      <c r="I141" s="3"/>
    </row>
    <row r="142" spans="1:11" ht="21" customHeight="1">
      <c r="A142" s="106" t="s">
        <v>512</v>
      </c>
      <c r="B142" s="126" t="s">
        <v>288</v>
      </c>
      <c r="C142" s="132"/>
      <c r="D142" s="133"/>
      <c r="E142" s="133"/>
      <c r="F142" s="133"/>
      <c r="G142" s="133"/>
      <c r="H142" s="110" t="str">
        <f t="shared" si="3"/>
        <v/>
      </c>
      <c r="I142" s="134"/>
    </row>
    <row r="143" spans="1:11" ht="37.5" customHeight="1">
      <c r="A143" s="60">
        <v>1</v>
      </c>
      <c r="B143" s="61" t="s">
        <v>355</v>
      </c>
      <c r="C143" s="32" t="s">
        <v>33</v>
      </c>
      <c r="D143" s="67" t="s">
        <v>358</v>
      </c>
      <c r="E143" s="88">
        <f>D144-E144</f>
        <v>3.1799999999999997</v>
      </c>
      <c r="F143" s="67" t="s">
        <v>388</v>
      </c>
      <c r="G143" s="88"/>
      <c r="H143" s="66" t="str">
        <f t="shared" si="3"/>
        <v/>
      </c>
      <c r="I143" s="3"/>
    </row>
    <row r="144" spans="1:11" ht="25.5" customHeight="1">
      <c r="A144" s="60">
        <v>2</v>
      </c>
      <c r="B144" s="61" t="s">
        <v>395</v>
      </c>
      <c r="C144" s="32" t="s">
        <v>33</v>
      </c>
      <c r="D144" s="80">
        <v>17.32</v>
      </c>
      <c r="E144" s="80">
        <v>14.14</v>
      </c>
      <c r="F144" s="80">
        <f>E144-3</f>
        <v>11.14</v>
      </c>
      <c r="G144" s="80"/>
      <c r="H144" s="58">
        <f t="shared" si="3"/>
        <v>0</v>
      </c>
      <c r="I144" s="3"/>
      <c r="J144" s="89"/>
    </row>
    <row r="145" spans="1:10" s="18" customFormat="1" ht="20.25" customHeight="1">
      <c r="A145" s="106" t="s">
        <v>48</v>
      </c>
      <c r="B145" s="126" t="s">
        <v>6</v>
      </c>
      <c r="C145" s="106"/>
      <c r="D145" s="125"/>
      <c r="E145" s="125"/>
      <c r="F145" s="125"/>
      <c r="G145" s="125"/>
      <c r="H145" s="110" t="str">
        <f t="shared" si="3"/>
        <v/>
      </c>
      <c r="I145" s="130"/>
    </row>
    <row r="146" spans="1:10" s="18" customFormat="1" ht="31.5" customHeight="1">
      <c r="A146" s="11">
        <v>1</v>
      </c>
      <c r="B146" s="15" t="s">
        <v>506</v>
      </c>
      <c r="C146" s="11" t="s">
        <v>8</v>
      </c>
      <c r="D146" s="27">
        <f>SUM(D147:D153)</f>
        <v>13999</v>
      </c>
      <c r="E146" s="27">
        <f>SUM(E147:E153)</f>
        <v>14102</v>
      </c>
      <c r="F146" s="27">
        <f>F147+F151+F152+F153</f>
        <v>14530</v>
      </c>
      <c r="G146" s="27">
        <f>G147+G151+G152+G153</f>
        <v>0</v>
      </c>
      <c r="H146" s="66">
        <f t="shared" si="3"/>
        <v>0</v>
      </c>
      <c r="I146" s="83"/>
    </row>
    <row r="147" spans="1:10" ht="21" customHeight="1">
      <c r="A147" s="32"/>
      <c r="B147" s="20" t="s">
        <v>188</v>
      </c>
      <c r="C147" s="32" t="s">
        <v>8</v>
      </c>
      <c r="D147" s="90">
        <v>4325</v>
      </c>
      <c r="E147" s="90">
        <v>4401</v>
      </c>
      <c r="F147" s="90">
        <f>F148+F150</f>
        <v>4430</v>
      </c>
      <c r="G147" s="90">
        <f>G148+G150</f>
        <v>0</v>
      </c>
      <c r="H147" s="58">
        <f t="shared" si="3"/>
        <v>0</v>
      </c>
      <c r="I147" s="3"/>
      <c r="J147" s="81"/>
    </row>
    <row r="148" spans="1:10" s="42" customFormat="1" ht="21" hidden="1" customHeight="1" outlineLevel="1">
      <c r="A148" s="39"/>
      <c r="B148" s="62" t="s">
        <v>399</v>
      </c>
      <c r="C148" s="32" t="s">
        <v>12</v>
      </c>
      <c r="D148" s="91"/>
      <c r="E148" s="91"/>
      <c r="F148" s="91">
        <v>450</v>
      </c>
      <c r="G148" s="91"/>
      <c r="H148" s="58">
        <f t="shared" si="3"/>
        <v>0</v>
      </c>
      <c r="I148" s="84"/>
      <c r="J148" s="82"/>
    </row>
    <row r="149" spans="1:10" s="42" customFormat="1" ht="21" hidden="1" customHeight="1" outlineLevel="1">
      <c r="A149" s="39"/>
      <c r="B149" s="62" t="s">
        <v>425</v>
      </c>
      <c r="C149" s="32" t="s">
        <v>12</v>
      </c>
      <c r="D149" s="91"/>
      <c r="E149" s="91"/>
      <c r="F149" s="91">
        <v>350</v>
      </c>
      <c r="G149" s="91"/>
      <c r="H149" s="58">
        <f t="shared" si="3"/>
        <v>0</v>
      </c>
      <c r="I149" s="84"/>
      <c r="J149" s="82"/>
    </row>
    <row r="150" spans="1:10" s="42" customFormat="1" ht="21" hidden="1" customHeight="1" outlineLevel="1">
      <c r="A150" s="39"/>
      <c r="B150" s="62" t="s">
        <v>190</v>
      </c>
      <c r="C150" s="32" t="s">
        <v>12</v>
      </c>
      <c r="D150" s="91"/>
      <c r="E150" s="91"/>
      <c r="F150" s="91">
        <v>3980</v>
      </c>
      <c r="G150" s="91"/>
      <c r="H150" s="58">
        <f t="shared" si="3"/>
        <v>0</v>
      </c>
      <c r="I150" s="84"/>
      <c r="J150" s="82"/>
    </row>
    <row r="151" spans="1:10" ht="21" customHeight="1" collapsed="1">
      <c r="A151" s="32"/>
      <c r="B151" s="20" t="s">
        <v>272</v>
      </c>
      <c r="C151" s="32" t="s">
        <v>8</v>
      </c>
      <c r="D151" s="90">
        <v>5412</v>
      </c>
      <c r="E151" s="90">
        <v>5400</v>
      </c>
      <c r="F151" s="90">
        <v>5700</v>
      </c>
      <c r="G151" s="90"/>
      <c r="H151" s="58">
        <f t="shared" si="3"/>
        <v>0</v>
      </c>
      <c r="I151" s="3"/>
      <c r="J151" s="81"/>
    </row>
    <row r="152" spans="1:10" ht="21" customHeight="1">
      <c r="A152" s="32"/>
      <c r="B152" s="20" t="s">
        <v>273</v>
      </c>
      <c r="C152" s="32" t="s">
        <v>8</v>
      </c>
      <c r="D152" s="90">
        <v>3521</v>
      </c>
      <c r="E152" s="90">
        <v>3560</v>
      </c>
      <c r="F152" s="90">
        <v>3570</v>
      </c>
      <c r="G152" s="90"/>
      <c r="H152" s="58">
        <f t="shared" si="3"/>
        <v>0</v>
      </c>
      <c r="I152" s="3"/>
    </row>
    <row r="153" spans="1:10" ht="21" customHeight="1">
      <c r="A153" s="32"/>
      <c r="B153" s="20" t="s">
        <v>342</v>
      </c>
      <c r="C153" s="32" t="s">
        <v>8</v>
      </c>
      <c r="D153" s="90">
        <v>741</v>
      </c>
      <c r="E153" s="90">
        <v>741</v>
      </c>
      <c r="F153" s="90">
        <v>830</v>
      </c>
      <c r="G153" s="151"/>
      <c r="H153" s="58">
        <f t="shared" si="3"/>
        <v>0</v>
      </c>
      <c r="I153" s="3"/>
    </row>
    <row r="154" spans="1:10" s="18" customFormat="1" ht="21" customHeight="1">
      <c r="A154" s="11">
        <v>2</v>
      </c>
      <c r="B154" s="15" t="s">
        <v>436</v>
      </c>
      <c r="C154" s="11"/>
      <c r="D154" s="176"/>
      <c r="E154" s="176"/>
      <c r="F154" s="176"/>
      <c r="G154" s="176"/>
      <c r="H154" s="66"/>
      <c r="I154" s="83"/>
    </row>
    <row r="155" spans="1:10" ht="21" customHeight="1">
      <c r="A155" s="32"/>
      <c r="B155" s="46" t="s">
        <v>60</v>
      </c>
      <c r="C155" s="32" t="s">
        <v>8</v>
      </c>
      <c r="D155" s="90"/>
      <c r="E155" s="90"/>
      <c r="F155" s="90">
        <v>60</v>
      </c>
      <c r="G155" s="90"/>
      <c r="H155" s="58">
        <f t="shared" ref="H155:H196" si="4">IFERROR(G155/F155%,"")</f>
        <v>0</v>
      </c>
      <c r="I155" s="3"/>
    </row>
    <row r="156" spans="1:10" ht="21" customHeight="1">
      <c r="A156" s="32"/>
      <c r="B156" s="46" t="s">
        <v>59</v>
      </c>
      <c r="C156" s="32" t="s">
        <v>8</v>
      </c>
      <c r="D156" s="90"/>
      <c r="E156" s="90"/>
      <c r="F156" s="90">
        <v>60</v>
      </c>
      <c r="G156" s="90"/>
      <c r="H156" s="58">
        <f t="shared" si="4"/>
        <v>0</v>
      </c>
      <c r="I156" s="3"/>
    </row>
    <row r="157" spans="1:10" s="165" customFormat="1" ht="22.5" hidden="1" customHeight="1" outlineLevel="1">
      <c r="A157" s="161">
        <v>3</v>
      </c>
      <c r="B157" s="162" t="s">
        <v>398</v>
      </c>
      <c r="C157" s="161"/>
      <c r="D157" s="163">
        <f>SUM(D159:D163)</f>
        <v>37</v>
      </c>
      <c r="E157" s="163">
        <f>SUM(E159:E163)</f>
        <v>38</v>
      </c>
      <c r="F157" s="163">
        <f>SUM(F159:F163)</f>
        <v>38</v>
      </c>
      <c r="G157" s="163">
        <f>SUM(G159:G163)</f>
        <v>38</v>
      </c>
      <c r="H157" s="123">
        <f t="shared" si="4"/>
        <v>100</v>
      </c>
      <c r="I157" s="164"/>
    </row>
    <row r="158" spans="1:10" s="104" customFormat="1" ht="22.5" hidden="1" customHeight="1" outlineLevel="1">
      <c r="A158" s="100"/>
      <c r="B158" s="105" t="s">
        <v>341</v>
      </c>
      <c r="C158" s="100"/>
      <c r="D158" s="102"/>
      <c r="E158" s="102"/>
      <c r="F158" s="102"/>
      <c r="G158" s="102"/>
      <c r="H158" s="103" t="str">
        <f t="shared" si="4"/>
        <v/>
      </c>
      <c r="I158" s="129"/>
    </row>
    <row r="159" spans="1:10" s="104" customFormat="1" ht="22.5" hidden="1" customHeight="1" outlineLevel="1">
      <c r="A159" s="100"/>
      <c r="B159" s="101" t="s">
        <v>343</v>
      </c>
      <c r="C159" s="100" t="s">
        <v>143</v>
      </c>
      <c r="D159" s="102">
        <v>13</v>
      </c>
      <c r="E159" s="102">
        <v>13</v>
      </c>
      <c r="F159" s="102">
        <f>E159</f>
        <v>13</v>
      </c>
      <c r="G159" s="102">
        <f>E159</f>
        <v>13</v>
      </c>
      <c r="H159" s="103">
        <f t="shared" si="4"/>
        <v>100</v>
      </c>
      <c r="I159" s="129"/>
    </row>
    <row r="160" spans="1:10" s="104" customFormat="1" ht="22.5" hidden="1" customHeight="1" outlineLevel="1">
      <c r="A160" s="100"/>
      <c r="B160" s="101" t="s">
        <v>344</v>
      </c>
      <c r="C160" s="100" t="s">
        <v>143</v>
      </c>
      <c r="D160" s="102">
        <v>13</v>
      </c>
      <c r="E160" s="102">
        <v>14</v>
      </c>
      <c r="F160" s="102">
        <f>E160</f>
        <v>14</v>
      </c>
      <c r="G160" s="102">
        <f>E160</f>
        <v>14</v>
      </c>
      <c r="H160" s="103">
        <f t="shared" si="4"/>
        <v>99.999999999999986</v>
      </c>
      <c r="I160" s="129"/>
    </row>
    <row r="161" spans="1:9" s="104" customFormat="1" ht="22.5" hidden="1" customHeight="1" outlineLevel="1">
      <c r="A161" s="100"/>
      <c r="B161" s="101" t="s">
        <v>345</v>
      </c>
      <c r="C161" s="100" t="s">
        <v>143</v>
      </c>
      <c r="D161" s="102">
        <v>9</v>
      </c>
      <c r="E161" s="102">
        <v>9</v>
      </c>
      <c r="F161" s="102">
        <f>E161</f>
        <v>9</v>
      </c>
      <c r="G161" s="102">
        <f>E161</f>
        <v>9</v>
      </c>
      <c r="H161" s="103">
        <f t="shared" si="4"/>
        <v>100</v>
      </c>
      <c r="I161" s="129"/>
    </row>
    <row r="162" spans="1:9" s="104" customFormat="1" ht="22.5" hidden="1" customHeight="1" outlineLevel="1">
      <c r="A162" s="100"/>
      <c r="B162" s="101" t="s">
        <v>346</v>
      </c>
      <c r="C162" s="100" t="s">
        <v>143</v>
      </c>
      <c r="D162" s="102">
        <v>1</v>
      </c>
      <c r="E162" s="102">
        <v>1</v>
      </c>
      <c r="F162" s="102">
        <f>E162</f>
        <v>1</v>
      </c>
      <c r="G162" s="102">
        <f>E162</f>
        <v>1</v>
      </c>
      <c r="H162" s="103">
        <f t="shared" si="4"/>
        <v>100</v>
      </c>
      <c r="I162" s="129"/>
    </row>
    <row r="163" spans="1:9" s="104" customFormat="1" ht="22.5" hidden="1" customHeight="1" outlineLevel="1">
      <c r="A163" s="100"/>
      <c r="B163" s="101" t="s">
        <v>347</v>
      </c>
      <c r="C163" s="100" t="s">
        <v>143</v>
      </c>
      <c r="D163" s="102">
        <v>1</v>
      </c>
      <c r="E163" s="102">
        <v>1</v>
      </c>
      <c r="F163" s="102">
        <f>E163</f>
        <v>1</v>
      </c>
      <c r="G163" s="102">
        <f>E163</f>
        <v>1</v>
      </c>
      <c r="H163" s="103">
        <f t="shared" si="4"/>
        <v>100</v>
      </c>
      <c r="I163" s="129"/>
    </row>
    <row r="164" spans="1:9" s="165" customFormat="1" ht="22.5" hidden="1" customHeight="1" outlineLevel="1">
      <c r="A164" s="161">
        <v>4</v>
      </c>
      <c r="B164" s="162" t="s">
        <v>348</v>
      </c>
      <c r="C164" s="161" t="s">
        <v>143</v>
      </c>
      <c r="D164" s="163">
        <f>SUM(D166:D170)</f>
        <v>20</v>
      </c>
      <c r="E164" s="163">
        <f>SUM(E166:E170)</f>
        <v>22</v>
      </c>
      <c r="F164" s="163">
        <f>SUM(F166:F170)</f>
        <v>25</v>
      </c>
      <c r="G164" s="163">
        <f>SUM(G166:G170)</f>
        <v>0</v>
      </c>
      <c r="H164" s="123">
        <f t="shared" si="4"/>
        <v>0</v>
      </c>
      <c r="I164" s="164"/>
    </row>
    <row r="165" spans="1:9" s="104" customFormat="1" ht="22.5" hidden="1" customHeight="1" outlineLevel="1">
      <c r="A165" s="100"/>
      <c r="B165" s="105" t="s">
        <v>341</v>
      </c>
      <c r="C165" s="100"/>
      <c r="D165" s="102"/>
      <c r="E165" s="102"/>
      <c r="F165" s="102"/>
      <c r="G165" s="102"/>
      <c r="H165" s="103" t="str">
        <f t="shared" si="4"/>
        <v/>
      </c>
      <c r="I165" s="129"/>
    </row>
    <row r="166" spans="1:9" s="104" customFormat="1" ht="22.5" hidden="1" customHeight="1" outlineLevel="1">
      <c r="A166" s="100"/>
      <c r="B166" s="101" t="s">
        <v>343</v>
      </c>
      <c r="C166" s="100" t="s">
        <v>143</v>
      </c>
      <c r="D166" s="102">
        <v>5</v>
      </c>
      <c r="E166" s="102">
        <v>7</v>
      </c>
      <c r="F166" s="102">
        <v>8</v>
      </c>
      <c r="G166" s="102"/>
      <c r="H166" s="103">
        <f t="shared" si="4"/>
        <v>0</v>
      </c>
      <c r="I166" s="129"/>
    </row>
    <row r="167" spans="1:9" s="104" customFormat="1" ht="22.5" hidden="1" customHeight="1" outlineLevel="1">
      <c r="A167" s="100"/>
      <c r="B167" s="101" t="s">
        <v>344</v>
      </c>
      <c r="C167" s="100" t="s">
        <v>143</v>
      </c>
      <c r="D167" s="102">
        <v>9</v>
      </c>
      <c r="E167" s="102">
        <v>9</v>
      </c>
      <c r="F167" s="102">
        <v>10</v>
      </c>
      <c r="G167" s="102"/>
      <c r="H167" s="103">
        <f t="shared" si="4"/>
        <v>0</v>
      </c>
      <c r="I167" s="129"/>
    </row>
    <row r="168" spans="1:9" s="104" customFormat="1" ht="22.5" hidden="1" customHeight="1" outlineLevel="1">
      <c r="A168" s="100"/>
      <c r="B168" s="101" t="s">
        <v>345</v>
      </c>
      <c r="C168" s="100" t="s">
        <v>143</v>
      </c>
      <c r="D168" s="102">
        <v>4</v>
      </c>
      <c r="E168" s="102">
        <v>4</v>
      </c>
      <c r="F168" s="102">
        <v>5</v>
      </c>
      <c r="G168" s="102"/>
      <c r="H168" s="103">
        <f t="shared" si="4"/>
        <v>0</v>
      </c>
      <c r="I168" s="129"/>
    </row>
    <row r="169" spans="1:9" s="104" customFormat="1" ht="22.5" hidden="1" customHeight="1" outlineLevel="1">
      <c r="A169" s="100"/>
      <c r="B169" s="101" t="s">
        <v>346</v>
      </c>
      <c r="C169" s="100" t="s">
        <v>143</v>
      </c>
      <c r="D169" s="102">
        <v>1</v>
      </c>
      <c r="E169" s="102">
        <v>1</v>
      </c>
      <c r="F169" s="102">
        <v>1</v>
      </c>
      <c r="G169" s="102"/>
      <c r="H169" s="103">
        <f t="shared" si="4"/>
        <v>0</v>
      </c>
      <c r="I169" s="129"/>
    </row>
    <row r="170" spans="1:9" s="104" customFormat="1" ht="22.5" hidden="1" customHeight="1" outlineLevel="1">
      <c r="A170" s="100"/>
      <c r="B170" s="101" t="s">
        <v>347</v>
      </c>
      <c r="C170" s="100" t="s">
        <v>143</v>
      </c>
      <c r="D170" s="102">
        <v>1</v>
      </c>
      <c r="E170" s="102">
        <v>1</v>
      </c>
      <c r="F170" s="102">
        <v>1</v>
      </c>
      <c r="G170" s="102"/>
      <c r="H170" s="103">
        <f t="shared" si="4"/>
        <v>0</v>
      </c>
      <c r="I170" s="129"/>
    </row>
    <row r="171" spans="1:9" s="18" customFormat="1" ht="22.5" customHeight="1" collapsed="1">
      <c r="A171" s="11">
        <v>3</v>
      </c>
      <c r="B171" s="15" t="s">
        <v>144</v>
      </c>
      <c r="C171" s="11" t="s">
        <v>33</v>
      </c>
      <c r="D171" s="166">
        <f>D164/D157%</f>
        <v>54.054054054054056</v>
      </c>
      <c r="E171" s="166">
        <f>E164/E157%</f>
        <v>57.89473684210526</v>
      </c>
      <c r="F171" s="166">
        <f>F164/F157%</f>
        <v>65.78947368421052</v>
      </c>
      <c r="G171" s="166">
        <f>G164/G157%</f>
        <v>0</v>
      </c>
      <c r="H171" s="66">
        <f t="shared" si="4"/>
        <v>0</v>
      </c>
      <c r="I171" s="83"/>
    </row>
    <row r="172" spans="1:9" ht="22.5" hidden="1" customHeight="1" outlineLevel="1">
      <c r="A172" s="32"/>
      <c r="B172" s="62" t="s">
        <v>341</v>
      </c>
      <c r="C172" s="32"/>
      <c r="D172" s="55"/>
      <c r="E172" s="55"/>
      <c r="F172" s="55"/>
      <c r="G172" s="55"/>
      <c r="H172" s="66" t="str">
        <f t="shared" si="4"/>
        <v/>
      </c>
      <c r="I172" s="3"/>
    </row>
    <row r="173" spans="1:9" ht="22.5" hidden="1" customHeight="1" outlineLevel="1">
      <c r="A173" s="32"/>
      <c r="B173" s="20" t="s">
        <v>343</v>
      </c>
      <c r="C173" s="32" t="s">
        <v>33</v>
      </c>
      <c r="D173" s="55">
        <f t="shared" ref="D173:G177" si="5">D166/D159%</f>
        <v>38.46153846153846</v>
      </c>
      <c r="E173" s="55">
        <f t="shared" si="5"/>
        <v>53.846153846153847</v>
      </c>
      <c r="F173" s="55">
        <f t="shared" si="5"/>
        <v>61.538461538461533</v>
      </c>
      <c r="G173" s="55">
        <f t="shared" si="5"/>
        <v>0</v>
      </c>
      <c r="H173" s="58">
        <f t="shared" si="4"/>
        <v>0</v>
      </c>
      <c r="I173" s="3"/>
    </row>
    <row r="174" spans="1:9" ht="22.5" hidden="1" customHeight="1" outlineLevel="1">
      <c r="A174" s="32"/>
      <c r="B174" s="20" t="s">
        <v>344</v>
      </c>
      <c r="C174" s="32" t="s">
        <v>33</v>
      </c>
      <c r="D174" s="55">
        <f t="shared" si="5"/>
        <v>69.230769230769226</v>
      </c>
      <c r="E174" s="55">
        <f t="shared" si="5"/>
        <v>64.285714285714278</v>
      </c>
      <c r="F174" s="55">
        <f t="shared" si="5"/>
        <v>71.428571428571416</v>
      </c>
      <c r="G174" s="55">
        <f t="shared" si="5"/>
        <v>0</v>
      </c>
      <c r="H174" s="58">
        <f t="shared" si="4"/>
        <v>0</v>
      </c>
      <c r="I174" s="3"/>
    </row>
    <row r="175" spans="1:9" ht="22.5" hidden="1" customHeight="1" outlineLevel="1">
      <c r="A175" s="32"/>
      <c r="B175" s="20" t="s">
        <v>345</v>
      </c>
      <c r="C175" s="32" t="s">
        <v>33</v>
      </c>
      <c r="D175" s="55">
        <f t="shared" si="5"/>
        <v>44.444444444444443</v>
      </c>
      <c r="E175" s="55">
        <f t="shared" si="5"/>
        <v>44.444444444444443</v>
      </c>
      <c r="F175" s="55">
        <f t="shared" si="5"/>
        <v>55.555555555555557</v>
      </c>
      <c r="G175" s="55">
        <f t="shared" si="5"/>
        <v>0</v>
      </c>
      <c r="H175" s="58">
        <f t="shared" si="4"/>
        <v>0</v>
      </c>
      <c r="I175" s="3"/>
    </row>
    <row r="176" spans="1:9" ht="22.5" hidden="1" customHeight="1" outlineLevel="1">
      <c r="A176" s="32"/>
      <c r="B176" s="20" t="s">
        <v>346</v>
      </c>
      <c r="C176" s="32" t="s">
        <v>33</v>
      </c>
      <c r="D176" s="55">
        <f t="shared" si="5"/>
        <v>100</v>
      </c>
      <c r="E176" s="55">
        <f t="shared" si="5"/>
        <v>100</v>
      </c>
      <c r="F176" s="55">
        <f t="shared" si="5"/>
        <v>100</v>
      </c>
      <c r="G176" s="55">
        <f t="shared" si="5"/>
        <v>0</v>
      </c>
      <c r="H176" s="58">
        <f t="shared" si="4"/>
        <v>0</v>
      </c>
      <c r="I176" s="3"/>
    </row>
    <row r="177" spans="1:9" ht="22.5" hidden="1" customHeight="1" outlineLevel="1">
      <c r="A177" s="32"/>
      <c r="B177" s="20" t="s">
        <v>347</v>
      </c>
      <c r="C177" s="32" t="s">
        <v>33</v>
      </c>
      <c r="D177" s="55">
        <f t="shared" si="5"/>
        <v>100</v>
      </c>
      <c r="E177" s="55">
        <f t="shared" si="5"/>
        <v>100</v>
      </c>
      <c r="F177" s="55">
        <f t="shared" si="5"/>
        <v>100</v>
      </c>
      <c r="G177" s="55">
        <f t="shared" si="5"/>
        <v>0</v>
      </c>
      <c r="H177" s="58">
        <f t="shared" si="4"/>
        <v>0</v>
      </c>
      <c r="I177" s="3"/>
    </row>
    <row r="178" spans="1:9" ht="22.5" customHeight="1" collapsed="1">
      <c r="A178" s="106" t="s">
        <v>51</v>
      </c>
      <c r="B178" s="126" t="s">
        <v>350</v>
      </c>
      <c r="C178" s="132"/>
      <c r="D178" s="135"/>
      <c r="E178" s="135"/>
      <c r="F178" s="135"/>
      <c r="G178" s="135"/>
      <c r="H178" s="110" t="str">
        <f t="shared" si="4"/>
        <v/>
      </c>
      <c r="I178" s="134"/>
    </row>
    <row r="179" spans="1:9" ht="22.5" customHeight="1">
      <c r="A179" s="32">
        <v>1</v>
      </c>
      <c r="B179" s="20" t="s">
        <v>351</v>
      </c>
      <c r="C179" s="32" t="s">
        <v>145</v>
      </c>
      <c r="D179" s="13">
        <v>130</v>
      </c>
      <c r="E179" s="13">
        <v>130</v>
      </c>
      <c r="F179" s="13">
        <v>135</v>
      </c>
      <c r="G179" s="13">
        <v>130</v>
      </c>
      <c r="H179" s="58">
        <f t="shared" si="4"/>
        <v>96.296296296296291</v>
      </c>
      <c r="I179" s="3"/>
    </row>
    <row r="180" spans="1:9" ht="24" customHeight="1">
      <c r="A180" s="32">
        <v>2</v>
      </c>
      <c r="B180" s="20" t="s">
        <v>451</v>
      </c>
      <c r="C180" s="32" t="s">
        <v>349</v>
      </c>
      <c r="D180" s="13">
        <v>2</v>
      </c>
      <c r="E180" s="13">
        <v>6</v>
      </c>
      <c r="F180" s="13">
        <v>7</v>
      </c>
      <c r="G180" s="13">
        <v>4</v>
      </c>
      <c r="H180" s="58">
        <f t="shared" si="4"/>
        <v>57.142857142857139</v>
      </c>
      <c r="I180" s="3"/>
    </row>
    <row r="181" spans="1:9" ht="25.5" customHeight="1">
      <c r="A181" s="32"/>
      <c r="B181" s="47" t="s">
        <v>452</v>
      </c>
      <c r="C181" s="32" t="s">
        <v>33</v>
      </c>
      <c r="D181" s="55">
        <f>D180/9%</f>
        <v>22.222222222222221</v>
      </c>
      <c r="E181" s="55">
        <f>E180/9%</f>
        <v>66.666666666666671</v>
      </c>
      <c r="F181" s="55">
        <f>F180/9%</f>
        <v>77.777777777777786</v>
      </c>
      <c r="G181" s="55">
        <f>G180/9%</f>
        <v>44.444444444444443</v>
      </c>
      <c r="H181" s="58">
        <f t="shared" si="4"/>
        <v>57.142857142857132</v>
      </c>
      <c r="I181" s="3"/>
    </row>
    <row r="182" spans="1:9" ht="21.75" customHeight="1">
      <c r="A182" s="32">
        <v>3</v>
      </c>
      <c r="B182" s="46" t="s">
        <v>187</v>
      </c>
      <c r="C182" s="32" t="s">
        <v>33</v>
      </c>
      <c r="D182" s="55">
        <v>83.5</v>
      </c>
      <c r="E182" s="55">
        <v>87</v>
      </c>
      <c r="F182" s="55">
        <v>90</v>
      </c>
      <c r="G182" s="55"/>
      <c r="H182" s="66">
        <f t="shared" si="4"/>
        <v>0</v>
      </c>
      <c r="I182" s="3"/>
    </row>
    <row r="183" spans="1:9" ht="31.5">
      <c r="A183" s="32">
        <v>4</v>
      </c>
      <c r="B183" s="46" t="s">
        <v>412</v>
      </c>
      <c r="C183" s="32" t="s">
        <v>33</v>
      </c>
      <c r="D183" s="74">
        <v>33.1</v>
      </c>
      <c r="E183" s="55">
        <v>31.8</v>
      </c>
      <c r="F183" s="55">
        <v>31.3</v>
      </c>
      <c r="G183" s="55"/>
      <c r="H183" s="66">
        <f t="shared" si="4"/>
        <v>0</v>
      </c>
      <c r="I183" s="3"/>
    </row>
    <row r="184" spans="1:9" ht="31.5">
      <c r="A184" s="32">
        <v>5</v>
      </c>
      <c r="B184" s="46" t="s">
        <v>413</v>
      </c>
      <c r="C184" s="32" t="s">
        <v>33</v>
      </c>
      <c r="D184" s="74">
        <v>20.6</v>
      </c>
      <c r="E184" s="55">
        <v>20</v>
      </c>
      <c r="F184" s="55">
        <v>19.5</v>
      </c>
      <c r="G184" s="55"/>
      <c r="H184" s="66">
        <f t="shared" si="4"/>
        <v>0</v>
      </c>
      <c r="I184" s="3"/>
    </row>
    <row r="185" spans="1:9" ht="31.5">
      <c r="A185" s="106" t="s">
        <v>63</v>
      </c>
      <c r="B185" s="107" t="s">
        <v>192</v>
      </c>
      <c r="C185" s="108"/>
      <c r="D185" s="135"/>
      <c r="E185" s="135"/>
      <c r="F185" s="135"/>
      <c r="G185" s="135"/>
      <c r="H185" s="110" t="str">
        <f t="shared" si="4"/>
        <v/>
      </c>
      <c r="I185" s="134"/>
    </row>
    <row r="186" spans="1:9" ht="22.5" customHeight="1">
      <c r="A186" s="11">
        <v>1</v>
      </c>
      <c r="B186" s="63" t="s">
        <v>193</v>
      </c>
      <c r="C186" s="12"/>
      <c r="D186" s="13"/>
      <c r="E186" s="13"/>
      <c r="F186" s="13"/>
      <c r="G186" s="13"/>
      <c r="H186" s="66" t="str">
        <f t="shared" si="4"/>
        <v/>
      </c>
      <c r="I186" s="3"/>
    </row>
    <row r="187" spans="1:9" ht="22.5" customHeight="1">
      <c r="A187" s="19"/>
      <c r="B187" s="48" t="s">
        <v>194</v>
      </c>
      <c r="C187" s="21" t="s">
        <v>16</v>
      </c>
      <c r="D187" s="59">
        <v>1560</v>
      </c>
      <c r="E187" s="59">
        <v>1560</v>
      </c>
      <c r="F187" s="59">
        <f>E187</f>
        <v>1560</v>
      </c>
      <c r="G187" s="59"/>
      <c r="H187" s="58">
        <f t="shared" si="4"/>
        <v>0</v>
      </c>
      <c r="I187" s="3"/>
    </row>
    <row r="188" spans="1:9" ht="22.5" customHeight="1">
      <c r="A188" s="19"/>
      <c r="B188" s="48" t="s">
        <v>195</v>
      </c>
      <c r="C188" s="21" t="s">
        <v>16</v>
      </c>
      <c r="D188" s="59">
        <v>21800</v>
      </c>
      <c r="E188" s="59">
        <v>21800</v>
      </c>
      <c r="F188" s="59">
        <f>E188</f>
        <v>21800</v>
      </c>
      <c r="G188" s="59"/>
      <c r="H188" s="58">
        <f t="shared" si="4"/>
        <v>0</v>
      </c>
      <c r="I188" s="3"/>
    </row>
    <row r="189" spans="1:9" ht="22.5" hidden="1" customHeight="1" outlineLevel="1">
      <c r="A189" s="11">
        <v>2</v>
      </c>
      <c r="B189" s="63" t="s">
        <v>196</v>
      </c>
      <c r="C189" s="21"/>
      <c r="D189" s="59"/>
      <c r="E189" s="59"/>
      <c r="F189" s="59"/>
      <c r="G189" s="59"/>
      <c r="H189" s="66" t="str">
        <f t="shared" si="4"/>
        <v/>
      </c>
      <c r="I189" s="3"/>
    </row>
    <row r="190" spans="1:9" ht="22.5" hidden="1" customHeight="1" outlineLevel="1">
      <c r="A190" s="32"/>
      <c r="B190" s="48" t="s">
        <v>198</v>
      </c>
      <c r="C190" s="21" t="s">
        <v>199</v>
      </c>
      <c r="D190" s="59">
        <v>9233</v>
      </c>
      <c r="E190" s="59">
        <v>10000</v>
      </c>
      <c r="F190" s="59">
        <v>10250</v>
      </c>
      <c r="G190" s="59"/>
      <c r="H190" s="66">
        <f t="shared" si="4"/>
        <v>0</v>
      </c>
      <c r="I190" s="3"/>
    </row>
    <row r="191" spans="1:9" ht="22.5" hidden="1" customHeight="1" outlineLevel="1">
      <c r="A191" s="32" t="s">
        <v>197</v>
      </c>
      <c r="B191" s="48" t="s">
        <v>200</v>
      </c>
      <c r="C191" s="41" t="s">
        <v>33</v>
      </c>
      <c r="D191" s="59">
        <v>85.6</v>
      </c>
      <c r="E191" s="59">
        <f>E190/E132%</f>
        <v>89.928057553956833</v>
      </c>
      <c r="F191" s="59">
        <f>F190/F132%</f>
        <v>90.070298769771526</v>
      </c>
      <c r="G191" s="59"/>
      <c r="H191" s="58">
        <f t="shared" si="4"/>
        <v>0</v>
      </c>
      <c r="I191" s="3"/>
    </row>
    <row r="192" spans="1:9" ht="22.5" hidden="1" customHeight="1" outlineLevel="1">
      <c r="A192" s="32"/>
      <c r="B192" s="48" t="s">
        <v>202</v>
      </c>
      <c r="C192" s="21" t="s">
        <v>203</v>
      </c>
      <c r="D192" s="6">
        <v>58</v>
      </c>
      <c r="E192" s="6">
        <v>61</v>
      </c>
      <c r="F192" s="6">
        <v>61</v>
      </c>
      <c r="G192" s="6"/>
      <c r="H192" s="58">
        <f t="shared" si="4"/>
        <v>0</v>
      </c>
      <c r="I192" s="3"/>
    </row>
    <row r="193" spans="1:9" ht="22.5" hidden="1" customHeight="1" outlineLevel="1">
      <c r="A193" s="32" t="s">
        <v>201</v>
      </c>
      <c r="B193" s="48" t="s">
        <v>171</v>
      </c>
      <c r="C193" s="41" t="s">
        <v>33</v>
      </c>
      <c r="D193" s="59">
        <f>D192/67%</f>
        <v>86.567164179104466</v>
      </c>
      <c r="E193" s="59">
        <f>E192/67%</f>
        <v>91.044776119402982</v>
      </c>
      <c r="F193" s="59">
        <f>F192/67%</f>
        <v>91.044776119402982</v>
      </c>
      <c r="G193" s="59"/>
      <c r="H193" s="58">
        <f t="shared" si="4"/>
        <v>0</v>
      </c>
      <c r="I193" s="3"/>
    </row>
    <row r="194" spans="1:9" ht="22.5" hidden="1" customHeight="1" outlineLevel="1">
      <c r="A194" s="32" t="s">
        <v>204</v>
      </c>
      <c r="B194" s="48" t="s">
        <v>205</v>
      </c>
      <c r="C194" s="21" t="s">
        <v>206</v>
      </c>
      <c r="D194" s="59">
        <v>88</v>
      </c>
      <c r="E194" s="59">
        <v>90</v>
      </c>
      <c r="F194" s="59">
        <v>90</v>
      </c>
      <c r="G194" s="59"/>
      <c r="H194" s="58">
        <f t="shared" si="4"/>
        <v>0</v>
      </c>
      <c r="I194" s="3"/>
    </row>
    <row r="195" spans="1:9" ht="22.5" hidden="1" customHeight="1" outlineLevel="1">
      <c r="A195" s="32" t="s">
        <v>354</v>
      </c>
      <c r="B195" s="20" t="s">
        <v>356</v>
      </c>
      <c r="C195" s="32" t="s">
        <v>61</v>
      </c>
      <c r="D195" s="59">
        <v>4</v>
      </c>
      <c r="E195" s="59">
        <v>4</v>
      </c>
      <c r="F195" s="59">
        <v>4</v>
      </c>
      <c r="G195" s="59">
        <v>4</v>
      </c>
      <c r="H195" s="58">
        <f t="shared" si="4"/>
        <v>100</v>
      </c>
      <c r="I195" s="3"/>
    </row>
    <row r="196" spans="1:9" ht="36.75" hidden="1" customHeight="1" outlineLevel="1">
      <c r="A196" s="100"/>
      <c r="B196" s="122" t="s">
        <v>502</v>
      </c>
      <c r="C196" s="100"/>
      <c r="D196" s="102"/>
      <c r="E196" s="102"/>
      <c r="F196" s="102"/>
      <c r="G196" s="102"/>
      <c r="H196" s="123" t="str">
        <f t="shared" si="4"/>
        <v/>
      </c>
      <c r="I196" s="3"/>
    </row>
    <row r="197" spans="1:9" ht="23.25" hidden="1" customHeight="1" outlineLevel="1">
      <c r="A197" s="32">
        <v>1</v>
      </c>
      <c r="B197" s="20" t="s">
        <v>299</v>
      </c>
      <c r="C197" s="32" t="s">
        <v>33</v>
      </c>
      <c r="D197" s="20"/>
      <c r="E197" s="20"/>
      <c r="F197" s="20">
        <v>100</v>
      </c>
      <c r="G197" s="20"/>
      <c r="H197" s="20"/>
      <c r="I197" s="20"/>
    </row>
    <row r="198" spans="1:9" ht="15" customHeight="1" collapsed="1">
      <c r="A198" s="97"/>
      <c r="B198" s="98"/>
      <c r="C198" s="97"/>
      <c r="D198" s="98"/>
      <c r="E198" s="98"/>
      <c r="F198" s="98"/>
      <c r="G198" s="98"/>
      <c r="H198" s="98"/>
      <c r="I198" s="98"/>
    </row>
    <row r="199" spans="1:9">
      <c r="A199" s="92"/>
      <c r="B199" s="56"/>
      <c r="C199" s="92"/>
      <c r="D199" s="56"/>
      <c r="E199" s="56"/>
      <c r="F199" s="56"/>
      <c r="G199" s="56"/>
      <c r="H199" s="56"/>
      <c r="I199" s="56"/>
    </row>
    <row r="200" spans="1:9">
      <c r="A200" s="92"/>
      <c r="B200" s="56"/>
      <c r="C200" s="92"/>
      <c r="D200" s="56"/>
      <c r="E200" s="56"/>
      <c r="F200" s="56"/>
      <c r="G200" s="56"/>
      <c r="H200" s="56"/>
      <c r="I200" s="56"/>
    </row>
  </sheetData>
  <mergeCells count="12">
    <mergeCell ref="H5:H6"/>
    <mergeCell ref="I5:I6"/>
    <mergeCell ref="A1:I1"/>
    <mergeCell ref="A2:I2"/>
    <mergeCell ref="A3:I3"/>
    <mergeCell ref="A5:A6"/>
    <mergeCell ref="B5:B6"/>
    <mergeCell ref="C5:C6"/>
    <mergeCell ref="D5:D6"/>
    <mergeCell ref="E5:E6"/>
    <mergeCell ref="F5:F6"/>
    <mergeCell ref="G5:G6"/>
  </mergeCells>
  <pageMargins left="0.47244094488188981" right="0.39370078740157483" top="0.59055118110236227" bottom="0.47244094488188981" header="0.31496062992125984" footer="0.31496062992125984"/>
  <pageSetup paperSize="9" scale="87" fitToHeight="0" orientation="portrait" r:id="rId1"/>
  <headerFooter>
    <oddFooter>&amp;R&amp;"Times New Roman,Regular"&amp;P/&amp;N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183"/>
  <sheetViews>
    <sheetView topLeftCell="A5" zoomScale="85" zoomScaleNormal="85" zoomScaleSheetLayoutView="85" workbookViewId="0">
      <pane xSplit="2" ySplit="3" topLeftCell="C8" activePane="bottomRight" state="frozen"/>
      <selection activeCell="H29" sqref="H29"/>
      <selection pane="topRight" activeCell="H29" sqref="H29"/>
      <selection pane="bottomLeft" activeCell="H29" sqref="H29"/>
      <selection pane="bottomRight" activeCell="F14" sqref="F14"/>
    </sheetView>
  </sheetViews>
  <sheetFormatPr defaultColWidth="9.140625" defaultRowHeight="15.75" outlineLevelRow="1" outlineLevelCol="1"/>
  <cols>
    <col min="1" max="1" width="5.5703125" style="65" customWidth="1"/>
    <col min="2" max="2" width="39.140625" style="5" customWidth="1"/>
    <col min="3" max="3" width="12.5703125" style="65" customWidth="1"/>
    <col min="4" max="5" width="12.140625" style="5" hidden="1" customWidth="1" outlineLevel="1"/>
    <col min="6" max="6" width="13.7109375" style="5" customWidth="1" collapsed="1"/>
    <col min="7" max="10" width="13.7109375" style="5" customWidth="1"/>
    <col min="11" max="11" width="12.42578125" style="5" customWidth="1"/>
    <col min="12" max="12" width="10" style="5" bestFit="1" customWidth="1"/>
    <col min="13" max="13" width="13.140625" style="5" bestFit="1" customWidth="1"/>
    <col min="14" max="16384" width="9.140625" style="5"/>
  </cols>
  <sheetData>
    <row r="1" spans="1:12" ht="18.75">
      <c r="A1" s="768" t="s">
        <v>461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</row>
    <row r="2" spans="1:12" ht="18.75">
      <c r="A2" s="769" t="s">
        <v>467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</row>
    <row r="3" spans="1:12" ht="18.75">
      <c r="A3" s="770" t="s">
        <v>462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</row>
    <row r="4" spans="1:12" ht="9" customHeight="1">
      <c r="A4" s="7"/>
      <c r="B4" s="2"/>
      <c r="C4" s="8"/>
      <c r="D4" s="2"/>
      <c r="E4" s="2"/>
      <c r="F4" s="2"/>
      <c r="G4" s="2"/>
      <c r="H4" s="2"/>
      <c r="I4" s="2"/>
      <c r="J4" s="2"/>
    </row>
    <row r="5" spans="1:12" ht="27" customHeight="1">
      <c r="A5" s="764" t="s">
        <v>55</v>
      </c>
      <c r="B5" s="766" t="s">
        <v>69</v>
      </c>
      <c r="C5" s="766" t="s">
        <v>18</v>
      </c>
      <c r="D5" s="766" t="s">
        <v>361</v>
      </c>
      <c r="E5" s="766" t="s">
        <v>415</v>
      </c>
      <c r="F5" s="766" t="s">
        <v>472</v>
      </c>
      <c r="G5" s="766" t="s">
        <v>387</v>
      </c>
      <c r="H5" s="766" t="s">
        <v>473</v>
      </c>
      <c r="I5" s="799" t="s">
        <v>475</v>
      </c>
      <c r="J5" s="800"/>
      <c r="K5" s="766" t="s">
        <v>75</v>
      </c>
    </row>
    <row r="6" spans="1:12" ht="37.5" customHeight="1">
      <c r="A6" s="765"/>
      <c r="B6" s="767"/>
      <c r="C6" s="767"/>
      <c r="D6" s="767"/>
      <c r="E6" s="767"/>
      <c r="F6" s="767"/>
      <c r="G6" s="767"/>
      <c r="H6" s="767"/>
      <c r="I6" s="139" t="s">
        <v>470</v>
      </c>
      <c r="J6" s="139" t="s">
        <v>471</v>
      </c>
      <c r="K6" s="767"/>
    </row>
    <row r="7" spans="1:12">
      <c r="A7" s="9">
        <v>1</v>
      </c>
      <c r="B7" s="9">
        <v>2</v>
      </c>
      <c r="C7" s="9">
        <v>3</v>
      </c>
      <c r="D7" s="9"/>
      <c r="E7" s="9"/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</row>
    <row r="8" spans="1:12" ht="15" customHeight="1">
      <c r="A8" s="118"/>
      <c r="B8" s="119" t="s">
        <v>167</v>
      </c>
      <c r="C8" s="118"/>
      <c r="D8" s="120"/>
      <c r="E8" s="118"/>
      <c r="F8" s="118"/>
      <c r="G8" s="118"/>
      <c r="H8" s="118"/>
      <c r="I8" s="121"/>
      <c r="J8" s="121"/>
      <c r="K8" s="128"/>
    </row>
    <row r="9" spans="1:12" ht="16.5" customHeight="1" collapsed="1">
      <c r="A9" s="11" t="s">
        <v>40</v>
      </c>
      <c r="B9" s="142" t="s">
        <v>332</v>
      </c>
      <c r="C9" s="12"/>
      <c r="D9" s="143"/>
      <c r="E9" s="143"/>
      <c r="F9" s="143"/>
      <c r="G9" s="143"/>
      <c r="H9" s="143"/>
      <c r="I9" s="66"/>
      <c r="J9" s="66"/>
      <c r="K9" s="66"/>
      <c r="L9" s="14"/>
    </row>
    <row r="10" spans="1:12" s="18" customFormat="1" ht="17.25" customHeight="1">
      <c r="A10" s="11" t="s">
        <v>38</v>
      </c>
      <c r="B10" s="15" t="s">
        <v>172</v>
      </c>
      <c r="C10" s="12" t="s">
        <v>130</v>
      </c>
      <c r="D10" s="16">
        <v>347871</v>
      </c>
      <c r="E10" s="16">
        <v>313038</v>
      </c>
      <c r="F10" s="16">
        <v>16098</v>
      </c>
      <c r="G10" s="16">
        <v>277205</v>
      </c>
      <c r="H10" s="16">
        <v>100990</v>
      </c>
      <c r="I10" s="66">
        <f t="shared" ref="I10:I18" si="0">IFERROR(H10/G10%,"")</f>
        <v>36.431521797947362</v>
      </c>
      <c r="J10" s="66">
        <f>IFERROR(H10/F10%,"")</f>
        <v>627.34501180270843</v>
      </c>
      <c r="K10" s="83"/>
      <c r="L10" s="17"/>
    </row>
    <row r="11" spans="1:12" ht="15.75" customHeight="1">
      <c r="A11" s="19" t="s">
        <v>155</v>
      </c>
      <c r="B11" s="20" t="s">
        <v>463</v>
      </c>
      <c r="C11" s="21" t="s">
        <v>130</v>
      </c>
      <c r="D11" s="22">
        <v>90496</v>
      </c>
      <c r="E11" s="22">
        <v>104622</v>
      </c>
      <c r="F11" s="22">
        <v>14258</v>
      </c>
      <c r="G11" s="22">
        <v>82860</v>
      </c>
      <c r="H11" s="22">
        <v>29601</v>
      </c>
      <c r="I11" s="58">
        <f t="shared" si="0"/>
        <v>35.724112961622012</v>
      </c>
      <c r="J11" s="58">
        <f t="shared" ref="J11:J74" si="1">IFERROR(H11/F11%,"")</f>
        <v>207.60976294010379</v>
      </c>
      <c r="K11" s="3"/>
      <c r="L11" s="14"/>
    </row>
    <row r="12" spans="1:12" s="42" customFormat="1" ht="17.25" customHeight="1">
      <c r="A12" s="71"/>
      <c r="B12" s="62" t="s">
        <v>464</v>
      </c>
      <c r="C12" s="41" t="s">
        <v>130</v>
      </c>
      <c r="D12" s="72">
        <v>84999</v>
      </c>
      <c r="E12" s="72">
        <v>71796</v>
      </c>
      <c r="F12" s="72">
        <v>10048</v>
      </c>
      <c r="G12" s="72">
        <v>70788</v>
      </c>
      <c r="H12" s="72">
        <v>23624</v>
      </c>
      <c r="I12" s="85">
        <f t="shared" si="0"/>
        <v>33.372888060123188</v>
      </c>
      <c r="J12" s="58">
        <f t="shared" si="1"/>
        <v>235.11146496815286</v>
      </c>
      <c r="K12" s="84"/>
      <c r="L12" s="14"/>
    </row>
    <row r="13" spans="1:12" s="18" customFormat="1">
      <c r="A13" s="11" t="s">
        <v>39</v>
      </c>
      <c r="B13" s="15" t="s">
        <v>174</v>
      </c>
      <c r="C13" s="12" t="s">
        <v>130</v>
      </c>
      <c r="D13" s="16">
        <v>308217</v>
      </c>
      <c r="E13" s="16">
        <v>300633</v>
      </c>
      <c r="F13" s="16">
        <v>52777</v>
      </c>
      <c r="G13" s="16">
        <v>265133</v>
      </c>
      <c r="H13" s="16">
        <v>57166</v>
      </c>
      <c r="I13" s="66">
        <f t="shared" si="0"/>
        <v>21.561254163004982</v>
      </c>
      <c r="J13" s="66">
        <f t="shared" si="1"/>
        <v>108.316122553385</v>
      </c>
      <c r="K13" s="83"/>
      <c r="L13" s="17"/>
    </row>
    <row r="14" spans="1:12">
      <c r="A14" s="19" t="s">
        <v>155</v>
      </c>
      <c r="B14" s="20" t="s">
        <v>175</v>
      </c>
      <c r="C14" s="21" t="s">
        <v>130</v>
      </c>
      <c r="D14" s="22">
        <v>239615</v>
      </c>
      <c r="E14" s="22">
        <v>264543</v>
      </c>
      <c r="F14" s="22">
        <v>52777</v>
      </c>
      <c r="G14" s="22">
        <v>232779</v>
      </c>
      <c r="H14" s="22">
        <v>56857</v>
      </c>
      <c r="I14" s="58">
        <f t="shared" si="0"/>
        <v>24.425313279978006</v>
      </c>
      <c r="J14" s="58">
        <f t="shared" si="1"/>
        <v>107.73064024101409</v>
      </c>
      <c r="K14" s="3"/>
      <c r="L14" s="17"/>
    </row>
    <row r="15" spans="1:12" ht="20.25" customHeight="1">
      <c r="A15" s="11" t="s">
        <v>43</v>
      </c>
      <c r="B15" s="30" t="s">
        <v>177</v>
      </c>
      <c r="C15" s="24"/>
      <c r="D15" s="25"/>
      <c r="E15" s="25"/>
      <c r="F15" s="25"/>
      <c r="G15" s="25"/>
      <c r="H15" s="25"/>
      <c r="I15" s="66" t="str">
        <f t="shared" si="0"/>
        <v/>
      </c>
      <c r="J15" s="66" t="str">
        <f t="shared" si="1"/>
        <v/>
      </c>
      <c r="K15" s="66"/>
    </row>
    <row r="16" spans="1:12" ht="20.25" customHeight="1">
      <c r="A16" s="32"/>
      <c r="B16" s="35" t="s">
        <v>401</v>
      </c>
      <c r="C16" s="32" t="s">
        <v>37</v>
      </c>
      <c r="D16" s="29">
        <f>D17+D67</f>
        <v>10269.33</v>
      </c>
      <c r="E16" s="29">
        <f>E17+E67</f>
        <v>10478.800000000001</v>
      </c>
      <c r="F16" s="29">
        <f>F17+F67</f>
        <v>10259</v>
      </c>
      <c r="G16" s="29">
        <f>G17+G67</f>
        <v>10519.1</v>
      </c>
      <c r="H16" s="29">
        <f>H17+H67</f>
        <v>10447</v>
      </c>
      <c r="I16" s="58">
        <f t="shared" si="0"/>
        <v>99.314580144689188</v>
      </c>
      <c r="J16" s="58">
        <f t="shared" si="1"/>
        <v>101.8325372843357</v>
      </c>
      <c r="K16" s="3"/>
    </row>
    <row r="17" spans="1:12" ht="17.25" customHeight="1">
      <c r="A17" s="11" t="s">
        <v>38</v>
      </c>
      <c r="B17" s="30" t="s">
        <v>439</v>
      </c>
      <c r="C17" s="11" t="s">
        <v>37</v>
      </c>
      <c r="D17" s="27">
        <f>D18+D47+D54+D50+D63</f>
        <v>732.03</v>
      </c>
      <c r="E17" s="27">
        <f>E18+E47+E54+E50+E63</f>
        <v>756.7</v>
      </c>
      <c r="F17" s="27">
        <f>F18+F47+F54+F50+F63</f>
        <v>721.7</v>
      </c>
      <c r="G17" s="27">
        <f>G18+G47+G54+G50+G63</f>
        <v>747</v>
      </c>
      <c r="H17" s="27">
        <f>H18+H47+H54+H50+H63</f>
        <v>740.9</v>
      </c>
      <c r="I17" s="66">
        <f t="shared" si="0"/>
        <v>99.183400267737611</v>
      </c>
      <c r="J17" s="66">
        <f t="shared" si="1"/>
        <v>102.66038520160731</v>
      </c>
      <c r="K17" s="3"/>
      <c r="L17" s="77"/>
    </row>
    <row r="18" spans="1:12" ht="17.25" customHeight="1">
      <c r="A18" s="32">
        <v>1</v>
      </c>
      <c r="B18" s="35" t="s">
        <v>22</v>
      </c>
      <c r="C18" s="32" t="s">
        <v>37</v>
      </c>
      <c r="D18" s="29">
        <f>D23+D38</f>
        <v>625.53</v>
      </c>
      <c r="E18" s="29">
        <f>E23+E38</f>
        <v>609.20000000000005</v>
      </c>
      <c r="F18" s="29">
        <f>F23+F38</f>
        <v>600.70000000000005</v>
      </c>
      <c r="G18" s="29">
        <f>G23+G38</f>
        <v>594</v>
      </c>
      <c r="H18" s="29">
        <f>H23+H38</f>
        <v>599.1</v>
      </c>
      <c r="I18" s="58">
        <f t="shared" si="0"/>
        <v>100.85858585858585</v>
      </c>
      <c r="J18" s="58">
        <f t="shared" si="1"/>
        <v>99.733644081904444</v>
      </c>
      <c r="K18" s="3"/>
    </row>
    <row r="19" spans="1:12" ht="17.25" hidden="1" customHeight="1" outlineLevel="1">
      <c r="A19" s="32"/>
      <c r="B19" s="35"/>
      <c r="C19" s="34"/>
      <c r="D19" s="29"/>
      <c r="E19" s="29"/>
      <c r="F19" s="29"/>
      <c r="G19" s="29"/>
      <c r="H19" s="29"/>
      <c r="I19" s="58"/>
      <c r="J19" s="58" t="str">
        <f t="shared" si="1"/>
        <v/>
      </c>
      <c r="K19" s="3"/>
    </row>
    <row r="20" spans="1:12" ht="17.25" hidden="1" customHeight="1" outlineLevel="1">
      <c r="A20" s="32"/>
      <c r="B20" s="33"/>
      <c r="C20" s="34"/>
      <c r="D20" s="29"/>
      <c r="E20" s="29"/>
      <c r="F20" s="29"/>
      <c r="G20" s="29"/>
      <c r="H20" s="29"/>
      <c r="I20" s="66"/>
      <c r="J20" s="58" t="str">
        <f t="shared" si="1"/>
        <v/>
      </c>
      <c r="K20" s="3"/>
    </row>
    <row r="21" spans="1:12" ht="17.25" hidden="1" customHeight="1" outlineLevel="1">
      <c r="A21" s="32"/>
      <c r="B21" s="35"/>
      <c r="C21" s="34"/>
      <c r="D21" s="29"/>
      <c r="E21" s="29"/>
      <c r="F21" s="29"/>
      <c r="G21" s="29"/>
      <c r="H21" s="29"/>
      <c r="I21" s="66"/>
      <c r="J21" s="58" t="str">
        <f t="shared" si="1"/>
        <v/>
      </c>
      <c r="K21" s="3"/>
    </row>
    <row r="22" spans="1:12" ht="17.25" hidden="1" customHeight="1" outlineLevel="1">
      <c r="A22" s="32"/>
      <c r="B22" s="35"/>
      <c r="C22" s="32"/>
      <c r="D22" s="29"/>
      <c r="E22" s="29"/>
      <c r="F22" s="29"/>
      <c r="G22" s="29"/>
      <c r="H22" s="29"/>
      <c r="I22" s="58"/>
      <c r="J22" s="58" t="str">
        <f t="shared" si="1"/>
        <v/>
      </c>
      <c r="K22" s="3"/>
    </row>
    <row r="23" spans="1:12" s="18" customFormat="1" ht="17.25" hidden="1" customHeight="1" outlineLevel="1">
      <c r="A23" s="11" t="s">
        <v>34</v>
      </c>
      <c r="B23" s="44" t="s">
        <v>440</v>
      </c>
      <c r="C23" s="11" t="s">
        <v>37</v>
      </c>
      <c r="D23" s="16">
        <f>D26+D29</f>
        <v>597.30999999999995</v>
      </c>
      <c r="E23" s="16">
        <f>E26+E29</f>
        <v>570.5</v>
      </c>
      <c r="F23" s="16">
        <f>F26+F29</f>
        <v>570.5</v>
      </c>
      <c r="G23" s="16">
        <f>G26+G29</f>
        <v>571</v>
      </c>
      <c r="H23" s="16">
        <f>H26+H29</f>
        <v>573.9</v>
      </c>
      <c r="I23" s="66">
        <f>IFERROR(H23/G23%,"")</f>
        <v>100.50788091068301</v>
      </c>
      <c r="J23" s="58">
        <f t="shared" si="1"/>
        <v>100.59596844872918</v>
      </c>
      <c r="K23" s="83"/>
    </row>
    <row r="24" spans="1:12" ht="17.25" hidden="1" customHeight="1" outlineLevel="1">
      <c r="A24" s="32"/>
      <c r="B24" s="37" t="s">
        <v>27</v>
      </c>
      <c r="C24" s="34" t="s">
        <v>21</v>
      </c>
      <c r="D24" s="38">
        <f>D25/D23*10</f>
        <v>0</v>
      </c>
      <c r="E24" s="38">
        <f>E25/E23*10</f>
        <v>0</v>
      </c>
      <c r="F24" s="38">
        <f>F25/F23*10</f>
        <v>0</v>
      </c>
      <c r="G24" s="38">
        <f>G25/G23*10</f>
        <v>0</v>
      </c>
      <c r="H24" s="38">
        <f>H25/H23*10</f>
        <v>0</v>
      </c>
      <c r="I24" s="66" t="str">
        <f>IFERROR(H24/G24%,"")</f>
        <v/>
      </c>
      <c r="J24" s="58" t="str">
        <f t="shared" si="1"/>
        <v/>
      </c>
      <c r="K24" s="3"/>
    </row>
    <row r="25" spans="1:12" ht="17.25" hidden="1" customHeight="1" outlineLevel="1">
      <c r="A25" s="32"/>
      <c r="B25" s="37" t="s">
        <v>28</v>
      </c>
      <c r="C25" s="34" t="s">
        <v>76</v>
      </c>
      <c r="D25" s="22">
        <f>D28+D31</f>
        <v>0</v>
      </c>
      <c r="E25" s="22">
        <f>E28+E31</f>
        <v>0</v>
      </c>
      <c r="F25" s="22">
        <f>F28+F31</f>
        <v>0</v>
      </c>
      <c r="G25" s="22">
        <f>G28+G31</f>
        <v>0</v>
      </c>
      <c r="H25" s="22">
        <f>H28+H31</f>
        <v>0</v>
      </c>
      <c r="I25" s="66" t="str">
        <f>IFERROR(H25/G25%,"")</f>
        <v/>
      </c>
      <c r="J25" s="58" t="str">
        <f t="shared" si="1"/>
        <v/>
      </c>
      <c r="K25" s="3"/>
    </row>
    <row r="26" spans="1:12" ht="17.25" customHeight="1" collapsed="1">
      <c r="A26" s="32"/>
      <c r="B26" s="116" t="s">
        <v>441</v>
      </c>
      <c r="C26" s="32" t="s">
        <v>37</v>
      </c>
      <c r="D26" s="22">
        <v>597.30999999999995</v>
      </c>
      <c r="E26" s="137">
        <v>570.5</v>
      </c>
      <c r="F26" s="59">
        <v>570.5</v>
      </c>
      <c r="G26" s="59">
        <v>571</v>
      </c>
      <c r="H26" s="59">
        <v>573.9</v>
      </c>
      <c r="I26" s="58">
        <f>IFERROR(H26/G26%,"")</f>
        <v>100.50788091068301</v>
      </c>
      <c r="J26" s="58">
        <f t="shared" si="1"/>
        <v>100.59596844872918</v>
      </c>
      <c r="K26" s="3"/>
    </row>
    <row r="27" spans="1:12" ht="17.25" hidden="1" customHeight="1" outlineLevel="1">
      <c r="A27" s="32"/>
      <c r="B27" s="116"/>
      <c r="C27" s="34"/>
      <c r="D27" s="25"/>
      <c r="E27" s="38"/>
      <c r="F27" s="58"/>
      <c r="G27" s="58"/>
      <c r="H27" s="58"/>
      <c r="I27" s="58"/>
      <c r="J27" s="58" t="str">
        <f t="shared" si="1"/>
        <v/>
      </c>
      <c r="K27" s="3"/>
    </row>
    <row r="28" spans="1:12" ht="17.25" hidden="1" customHeight="1" outlineLevel="1">
      <c r="A28" s="32"/>
      <c r="B28" s="117"/>
      <c r="C28" s="34"/>
      <c r="D28" s="22"/>
      <c r="E28" s="22"/>
      <c r="F28" s="22"/>
      <c r="G28" s="22"/>
      <c r="H28" s="22"/>
      <c r="I28" s="58"/>
      <c r="J28" s="58" t="str">
        <f t="shared" si="1"/>
        <v/>
      </c>
      <c r="K28" s="3"/>
    </row>
    <row r="29" spans="1:12" ht="17.25" hidden="1" customHeight="1" outlineLevel="1">
      <c r="A29" s="32"/>
      <c r="B29" s="116"/>
      <c r="C29" s="32"/>
      <c r="D29" s="22"/>
      <c r="E29" s="29"/>
      <c r="F29" s="29"/>
      <c r="G29" s="29"/>
      <c r="H29" s="29"/>
      <c r="I29" s="58"/>
      <c r="J29" s="58" t="str">
        <f t="shared" si="1"/>
        <v/>
      </c>
      <c r="K29" s="3"/>
    </row>
    <row r="30" spans="1:12" ht="17.25" hidden="1" customHeight="1" outlineLevel="1">
      <c r="A30" s="32"/>
      <c r="B30" s="117"/>
      <c r="C30" s="34"/>
      <c r="D30" s="38"/>
      <c r="E30" s="28"/>
      <c r="F30" s="28"/>
      <c r="G30" s="28"/>
      <c r="H30" s="28"/>
      <c r="I30" s="58"/>
      <c r="J30" s="58" t="str">
        <f t="shared" si="1"/>
        <v/>
      </c>
      <c r="K30" s="3"/>
    </row>
    <row r="31" spans="1:12" ht="17.25" hidden="1" customHeight="1" outlineLevel="1">
      <c r="A31" s="32"/>
      <c r="B31" s="117"/>
      <c r="C31" s="34"/>
      <c r="D31" s="22"/>
      <c r="E31" s="29"/>
      <c r="F31" s="29"/>
      <c r="G31" s="29"/>
      <c r="H31" s="29"/>
      <c r="I31" s="58"/>
      <c r="J31" s="58" t="str">
        <f t="shared" si="1"/>
        <v/>
      </c>
      <c r="K31" s="3"/>
    </row>
    <row r="32" spans="1:12" ht="17.25" hidden="1" customHeight="1" outlineLevel="1">
      <c r="A32" s="32"/>
      <c r="B32" s="114"/>
      <c r="C32" s="32"/>
      <c r="D32" s="22"/>
      <c r="E32" s="38"/>
      <c r="F32" s="22"/>
      <c r="G32" s="22"/>
      <c r="H32" s="22"/>
      <c r="I32" s="58"/>
      <c r="J32" s="58" t="str">
        <f t="shared" si="1"/>
        <v/>
      </c>
      <c r="K32" s="3"/>
    </row>
    <row r="33" spans="1:11" ht="17.25" hidden="1" customHeight="1" outlineLevel="1">
      <c r="A33" s="32"/>
      <c r="B33" s="115"/>
      <c r="C33" s="34"/>
      <c r="D33" s="25"/>
      <c r="E33" s="38"/>
      <c r="F33" s="38"/>
      <c r="G33" s="38"/>
      <c r="H33" s="38"/>
      <c r="I33" s="58"/>
      <c r="J33" s="58" t="str">
        <f t="shared" si="1"/>
        <v/>
      </c>
      <c r="K33" s="3"/>
    </row>
    <row r="34" spans="1:11" ht="17.25" hidden="1" customHeight="1" outlineLevel="1">
      <c r="A34" s="32"/>
      <c r="B34" s="115"/>
      <c r="C34" s="34"/>
      <c r="D34" s="22"/>
      <c r="E34" s="22"/>
      <c r="F34" s="22"/>
      <c r="G34" s="22"/>
      <c r="H34" s="22"/>
      <c r="I34" s="58"/>
      <c r="J34" s="58" t="str">
        <f t="shared" si="1"/>
        <v/>
      </c>
      <c r="K34" s="3"/>
    </row>
    <row r="35" spans="1:11" ht="17.25" hidden="1" customHeight="1" outlineLevel="1">
      <c r="A35" s="32"/>
      <c r="B35" s="114"/>
      <c r="C35" s="32"/>
      <c r="D35" s="22"/>
      <c r="E35" s="22"/>
      <c r="F35" s="22"/>
      <c r="G35" s="22"/>
      <c r="H35" s="22"/>
      <c r="I35" s="58"/>
      <c r="J35" s="58" t="str">
        <f t="shared" si="1"/>
        <v/>
      </c>
      <c r="K35" s="3"/>
    </row>
    <row r="36" spans="1:11" ht="17.25" hidden="1" customHeight="1" outlineLevel="1">
      <c r="A36" s="32"/>
      <c r="B36" s="115"/>
      <c r="C36" s="34"/>
      <c r="D36" s="38"/>
      <c r="E36" s="38"/>
      <c r="F36" s="38"/>
      <c r="G36" s="38"/>
      <c r="H36" s="38"/>
      <c r="I36" s="58"/>
      <c r="J36" s="58" t="str">
        <f t="shared" si="1"/>
        <v/>
      </c>
      <c r="K36" s="3"/>
    </row>
    <row r="37" spans="1:11" ht="17.25" hidden="1" customHeight="1" outlineLevel="1">
      <c r="A37" s="32"/>
      <c r="B37" s="115"/>
      <c r="C37" s="34"/>
      <c r="D37" s="22"/>
      <c r="E37" s="22"/>
      <c r="F37" s="22"/>
      <c r="G37" s="22"/>
      <c r="H37" s="22"/>
      <c r="I37" s="58"/>
      <c r="J37" s="58" t="str">
        <f t="shared" si="1"/>
        <v/>
      </c>
      <c r="K37" s="3"/>
    </row>
    <row r="38" spans="1:11" ht="17.25" hidden="1" customHeight="1" outlineLevel="1">
      <c r="A38" s="32" t="s">
        <v>35</v>
      </c>
      <c r="B38" s="37" t="s">
        <v>444</v>
      </c>
      <c r="C38" s="32" t="s">
        <v>37</v>
      </c>
      <c r="D38" s="22">
        <f>D41+D44</f>
        <v>28.22</v>
      </c>
      <c r="E38" s="22">
        <f>E41+E44</f>
        <v>38.700000000000003</v>
      </c>
      <c r="F38" s="22">
        <f>F41+F44</f>
        <v>30.2</v>
      </c>
      <c r="G38" s="22">
        <f>G41+G44</f>
        <v>23</v>
      </c>
      <c r="H38" s="22">
        <f>H41+H44</f>
        <v>25.2</v>
      </c>
      <c r="I38" s="58">
        <f>IFERROR(H38/G38%,"")</f>
        <v>109.56521739130434</v>
      </c>
      <c r="J38" s="58">
        <f t="shared" si="1"/>
        <v>83.443708609271525</v>
      </c>
      <c r="K38" s="3"/>
    </row>
    <row r="39" spans="1:11" ht="17.25" hidden="1" customHeight="1" outlineLevel="1">
      <c r="A39" s="32"/>
      <c r="B39" s="37" t="s">
        <v>27</v>
      </c>
      <c r="C39" s="34" t="s">
        <v>21</v>
      </c>
      <c r="D39" s="38">
        <f>D40/D38*10</f>
        <v>0</v>
      </c>
      <c r="E39" s="38">
        <f>E40/E38*10</f>
        <v>0</v>
      </c>
      <c r="F39" s="38">
        <f>F40/F38*10</f>
        <v>0</v>
      </c>
      <c r="G39" s="38">
        <f>G40/G38*10</f>
        <v>0</v>
      </c>
      <c r="H39" s="38">
        <f>H40/H38*10</f>
        <v>0</v>
      </c>
      <c r="I39" s="58" t="str">
        <f>IFERROR(H39/G39%,"")</f>
        <v/>
      </c>
      <c r="J39" s="58" t="str">
        <f t="shared" si="1"/>
        <v/>
      </c>
      <c r="K39" s="3"/>
    </row>
    <row r="40" spans="1:11" ht="17.25" hidden="1" customHeight="1" outlineLevel="1">
      <c r="A40" s="32"/>
      <c r="B40" s="37" t="s">
        <v>28</v>
      </c>
      <c r="C40" s="34" t="s">
        <v>76</v>
      </c>
      <c r="D40" s="22">
        <f>D43+D46</f>
        <v>0</v>
      </c>
      <c r="E40" s="22">
        <f>E43+E46</f>
        <v>0</v>
      </c>
      <c r="F40" s="22">
        <f>F43+F46</f>
        <v>0</v>
      </c>
      <c r="G40" s="22">
        <f>G43+G46</f>
        <v>0</v>
      </c>
      <c r="H40" s="22">
        <f>H43+H46</f>
        <v>0</v>
      </c>
      <c r="I40" s="58" t="str">
        <f>IFERROR(H40/G40%,"")</f>
        <v/>
      </c>
      <c r="J40" s="58" t="str">
        <f t="shared" si="1"/>
        <v/>
      </c>
      <c r="K40" s="3"/>
    </row>
    <row r="41" spans="1:11" ht="17.25" customHeight="1" collapsed="1">
      <c r="A41" s="32"/>
      <c r="B41" s="116" t="s">
        <v>457</v>
      </c>
      <c r="C41" s="32" t="s">
        <v>37</v>
      </c>
      <c r="D41" s="29">
        <v>28.22</v>
      </c>
      <c r="E41" s="29">
        <v>38.700000000000003</v>
      </c>
      <c r="F41" s="29">
        <v>30.2</v>
      </c>
      <c r="G41" s="29">
        <v>23</v>
      </c>
      <c r="H41" s="29">
        <v>25.2</v>
      </c>
      <c r="I41" s="58">
        <f>IFERROR(H41/G41%,"")</f>
        <v>109.56521739130434</v>
      </c>
      <c r="J41" s="58">
        <f t="shared" si="1"/>
        <v>83.443708609271525</v>
      </c>
      <c r="K41" s="3"/>
    </row>
    <row r="42" spans="1:11" ht="17.25" hidden="1" customHeight="1" outlineLevel="1">
      <c r="A42" s="32"/>
      <c r="B42" s="116"/>
      <c r="C42" s="34"/>
      <c r="D42" s="28"/>
      <c r="E42" s="28"/>
      <c r="F42" s="28"/>
      <c r="G42" s="28"/>
      <c r="H42" s="28"/>
      <c r="I42" s="66"/>
      <c r="J42" s="58" t="str">
        <f t="shared" si="1"/>
        <v/>
      </c>
      <c r="K42" s="3"/>
    </row>
    <row r="43" spans="1:11" ht="17.25" hidden="1" customHeight="1" outlineLevel="1">
      <c r="A43" s="32"/>
      <c r="B43" s="117"/>
      <c r="C43" s="34"/>
      <c r="D43" s="29"/>
      <c r="E43" s="29"/>
      <c r="F43" s="29"/>
      <c r="G43" s="29"/>
      <c r="H43" s="29"/>
      <c r="I43" s="66"/>
      <c r="J43" s="58" t="str">
        <f t="shared" si="1"/>
        <v/>
      </c>
      <c r="K43" s="3"/>
    </row>
    <row r="44" spans="1:11" ht="17.25" hidden="1" customHeight="1" outlineLevel="1">
      <c r="A44" s="32"/>
      <c r="B44" s="116"/>
      <c r="C44" s="32"/>
      <c r="D44" s="29"/>
      <c r="E44" s="29"/>
      <c r="F44" s="29"/>
      <c r="G44" s="29"/>
      <c r="H44" s="29"/>
      <c r="I44" s="58"/>
      <c r="J44" s="58" t="str">
        <f t="shared" si="1"/>
        <v/>
      </c>
      <c r="K44" s="3"/>
    </row>
    <row r="45" spans="1:11" ht="17.25" hidden="1" customHeight="1" outlineLevel="1">
      <c r="A45" s="32"/>
      <c r="B45" s="116"/>
      <c r="C45" s="34"/>
      <c r="D45" s="28"/>
      <c r="E45" s="28"/>
      <c r="F45" s="28"/>
      <c r="G45" s="28"/>
      <c r="H45" s="28"/>
      <c r="I45" s="66"/>
      <c r="J45" s="58" t="str">
        <f t="shared" si="1"/>
        <v/>
      </c>
      <c r="K45" s="3"/>
    </row>
    <row r="46" spans="1:11" ht="17.25" hidden="1" customHeight="1" outlineLevel="1">
      <c r="A46" s="32"/>
      <c r="B46" s="117"/>
      <c r="C46" s="34"/>
      <c r="D46" s="29"/>
      <c r="E46" s="29"/>
      <c r="F46" s="29"/>
      <c r="G46" s="29"/>
      <c r="H46" s="29"/>
      <c r="I46" s="66"/>
      <c r="J46" s="58" t="str">
        <f t="shared" si="1"/>
        <v/>
      </c>
      <c r="K46" s="3"/>
    </row>
    <row r="47" spans="1:11" ht="19.5" hidden="1" customHeight="1" outlineLevel="1">
      <c r="A47" s="11"/>
      <c r="B47" s="30"/>
      <c r="C47" s="32"/>
      <c r="D47" s="27"/>
      <c r="E47" s="27"/>
      <c r="F47" s="27"/>
      <c r="G47" s="27"/>
      <c r="H47" s="27"/>
      <c r="I47" s="66"/>
      <c r="J47" s="58" t="str">
        <f t="shared" si="1"/>
        <v/>
      </c>
      <c r="K47" s="3"/>
    </row>
    <row r="48" spans="1:11" ht="19.5" hidden="1" customHeight="1" outlineLevel="1">
      <c r="A48" s="39"/>
      <c r="B48" s="37"/>
      <c r="C48" s="34"/>
      <c r="D48" s="28"/>
      <c r="E48" s="28"/>
      <c r="F48" s="28"/>
      <c r="G48" s="28"/>
      <c r="H48" s="28"/>
      <c r="I48" s="66"/>
      <c r="J48" s="58" t="str">
        <f t="shared" si="1"/>
        <v/>
      </c>
      <c r="K48" s="3"/>
    </row>
    <row r="49" spans="1:11" ht="19.5" hidden="1" customHeight="1" outlineLevel="1">
      <c r="A49" s="39"/>
      <c r="B49" s="37"/>
      <c r="C49" s="34"/>
      <c r="D49" s="29"/>
      <c r="E49" s="29"/>
      <c r="F49" s="29"/>
      <c r="G49" s="29"/>
      <c r="H49" s="29"/>
      <c r="I49" s="66"/>
      <c r="J49" s="58" t="str">
        <f t="shared" si="1"/>
        <v/>
      </c>
      <c r="K49" s="3"/>
    </row>
    <row r="50" spans="1:11" ht="19.5" customHeight="1" collapsed="1">
      <c r="A50" s="32">
        <v>2</v>
      </c>
      <c r="B50" s="35" t="s">
        <v>317</v>
      </c>
      <c r="C50" s="32" t="s">
        <v>37</v>
      </c>
      <c r="D50" s="29">
        <v>9.1999999999999993</v>
      </c>
      <c r="E50" s="29">
        <v>10.5</v>
      </c>
      <c r="F50" s="29">
        <v>10.5</v>
      </c>
      <c r="G50" s="29">
        <v>30</v>
      </c>
      <c r="H50" s="29">
        <v>29.1</v>
      </c>
      <c r="I50" s="58">
        <f>IFERROR(H50/G50%,"")</f>
        <v>97.000000000000014</v>
      </c>
      <c r="J50" s="58">
        <f t="shared" si="1"/>
        <v>277.14285714285717</v>
      </c>
      <c r="K50" s="3"/>
    </row>
    <row r="51" spans="1:11" ht="19.5" customHeight="1">
      <c r="A51" s="32"/>
      <c r="B51" s="35" t="s">
        <v>123</v>
      </c>
      <c r="C51" s="32" t="s">
        <v>37</v>
      </c>
      <c r="D51" s="29"/>
      <c r="E51" s="29"/>
      <c r="F51" s="29"/>
      <c r="G51" s="29">
        <v>20</v>
      </c>
      <c r="H51" s="29">
        <v>19.100000000000001</v>
      </c>
      <c r="I51" s="58">
        <f>IFERROR(H51/G51%,"")</f>
        <v>95.5</v>
      </c>
      <c r="J51" s="58" t="str">
        <f t="shared" si="1"/>
        <v/>
      </c>
      <c r="K51" s="3"/>
    </row>
    <row r="52" spans="1:11" ht="19.5" hidden="1" customHeight="1" outlineLevel="1">
      <c r="A52" s="39"/>
      <c r="B52" s="37"/>
      <c r="C52" s="34"/>
      <c r="D52" s="28"/>
      <c r="E52" s="28"/>
      <c r="F52" s="29"/>
      <c r="G52" s="28"/>
      <c r="H52" s="29"/>
      <c r="I52" s="66"/>
      <c r="J52" s="58" t="str">
        <f t="shared" si="1"/>
        <v/>
      </c>
      <c r="K52" s="3"/>
    </row>
    <row r="53" spans="1:11" ht="19.5" hidden="1" customHeight="1" outlineLevel="1">
      <c r="A53" s="39"/>
      <c r="B53" s="37"/>
      <c r="C53" s="34"/>
      <c r="D53" s="29"/>
      <c r="E53" s="29"/>
      <c r="F53" s="29"/>
      <c r="G53" s="29"/>
      <c r="H53" s="29"/>
      <c r="I53" s="66"/>
      <c r="J53" s="58" t="str">
        <f t="shared" si="1"/>
        <v/>
      </c>
      <c r="K53" s="3"/>
    </row>
    <row r="54" spans="1:11" ht="19.5" customHeight="1" collapsed="1">
      <c r="A54" s="32">
        <v>3</v>
      </c>
      <c r="B54" s="35" t="s">
        <v>136</v>
      </c>
      <c r="C54" s="32" t="s">
        <v>37</v>
      </c>
      <c r="D54" s="29">
        <f>D57+D60</f>
        <v>97.3</v>
      </c>
      <c r="E54" s="29">
        <f>E57+E60</f>
        <v>137</v>
      </c>
      <c r="F54" s="29">
        <f>F57+F60</f>
        <v>110.5</v>
      </c>
      <c r="G54" s="29">
        <f>G57+G60</f>
        <v>123</v>
      </c>
      <c r="H54" s="29">
        <f>H57+H60</f>
        <v>112.69999999999999</v>
      </c>
      <c r="I54" s="58">
        <f>IFERROR(H54/G54%,"")</f>
        <v>91.626016260162601</v>
      </c>
      <c r="J54" s="58">
        <f t="shared" si="1"/>
        <v>101.99095022624434</v>
      </c>
      <c r="K54" s="3"/>
    </row>
    <row r="55" spans="1:11" ht="19.5" hidden="1" customHeight="1" outlineLevel="1">
      <c r="A55" s="39"/>
      <c r="B55" s="37" t="s">
        <v>27</v>
      </c>
      <c r="C55" s="34" t="s">
        <v>21</v>
      </c>
      <c r="D55" s="28">
        <f>D56/D54*10</f>
        <v>0</v>
      </c>
      <c r="E55" s="28">
        <f>E56/E54*10</f>
        <v>0</v>
      </c>
      <c r="F55" s="29">
        <f>F56/F54*10</f>
        <v>0</v>
      </c>
      <c r="G55" s="28">
        <f>G56/G54*10</f>
        <v>0</v>
      </c>
      <c r="H55" s="29">
        <f>H56/H54*10</f>
        <v>0</v>
      </c>
      <c r="I55" s="66" t="str">
        <f>IFERROR(H55/G55%,"")</f>
        <v/>
      </c>
      <c r="J55" s="58" t="str">
        <f t="shared" si="1"/>
        <v/>
      </c>
      <c r="K55" s="3"/>
    </row>
    <row r="56" spans="1:11" ht="19.5" hidden="1" customHeight="1" outlineLevel="1">
      <c r="A56" s="39"/>
      <c r="B56" s="37" t="s">
        <v>28</v>
      </c>
      <c r="C56" s="34" t="s">
        <v>76</v>
      </c>
      <c r="D56" s="29">
        <f>D59+D62</f>
        <v>0</v>
      </c>
      <c r="E56" s="29">
        <f>E59+E62</f>
        <v>0</v>
      </c>
      <c r="F56" s="29">
        <f>F59+F62</f>
        <v>0</v>
      </c>
      <c r="G56" s="29">
        <f>G59+G62</f>
        <v>0</v>
      </c>
      <c r="H56" s="29">
        <f>H59+H62</f>
        <v>0</v>
      </c>
      <c r="I56" s="66" t="str">
        <f>IFERROR(H56/G56%,"")</f>
        <v/>
      </c>
      <c r="J56" s="58" t="str">
        <f t="shared" si="1"/>
        <v/>
      </c>
      <c r="K56" s="3"/>
    </row>
    <row r="57" spans="1:11" ht="19.5" customHeight="1" collapsed="1">
      <c r="A57" s="32"/>
      <c r="B57" s="136" t="s">
        <v>459</v>
      </c>
      <c r="C57" s="21" t="s">
        <v>37</v>
      </c>
      <c r="D57" s="22">
        <v>97.3</v>
      </c>
      <c r="E57" s="22">
        <v>137</v>
      </c>
      <c r="F57" s="26">
        <f>108+2.5</f>
        <v>110.5</v>
      </c>
      <c r="G57" s="22">
        <v>123</v>
      </c>
      <c r="H57" s="26">
        <v>112.69999999999999</v>
      </c>
      <c r="I57" s="58">
        <f>IFERROR(H57/G57%,"")</f>
        <v>91.626016260162601</v>
      </c>
      <c r="J57" s="58">
        <f t="shared" si="1"/>
        <v>101.99095022624434</v>
      </c>
      <c r="K57" s="3"/>
    </row>
    <row r="58" spans="1:11" ht="19.5" hidden="1" customHeight="1" outlineLevel="1">
      <c r="A58" s="32"/>
      <c r="B58" s="136"/>
      <c r="C58" s="21"/>
      <c r="D58" s="38"/>
      <c r="E58" s="38"/>
      <c r="F58" s="38"/>
      <c r="G58" s="38"/>
      <c r="H58" s="38"/>
      <c r="I58" s="66"/>
      <c r="J58" s="66" t="str">
        <f t="shared" si="1"/>
        <v/>
      </c>
      <c r="K58" s="3"/>
    </row>
    <row r="59" spans="1:11" ht="19.5" hidden="1" customHeight="1" outlineLevel="1">
      <c r="A59" s="32"/>
      <c r="B59" s="136"/>
      <c r="C59" s="21"/>
      <c r="D59" s="22"/>
      <c r="E59" s="22"/>
      <c r="F59" s="22"/>
      <c r="G59" s="22"/>
      <c r="H59" s="22"/>
      <c r="I59" s="66"/>
      <c r="J59" s="66" t="str">
        <f t="shared" si="1"/>
        <v/>
      </c>
      <c r="K59" s="3"/>
    </row>
    <row r="60" spans="1:11" ht="19.5" hidden="1" customHeight="1" outlineLevel="1">
      <c r="A60" s="32"/>
      <c r="B60" s="136"/>
      <c r="C60" s="21"/>
      <c r="D60" s="16"/>
      <c r="E60" s="16"/>
      <c r="F60" s="16"/>
      <c r="G60" s="16"/>
      <c r="H60" s="16"/>
      <c r="I60" s="66"/>
      <c r="J60" s="66" t="str">
        <f t="shared" si="1"/>
        <v/>
      </c>
      <c r="K60" s="3"/>
    </row>
    <row r="61" spans="1:11" ht="19.5" hidden="1" customHeight="1" outlineLevel="1">
      <c r="A61" s="32"/>
      <c r="B61" s="136"/>
      <c r="C61" s="21"/>
      <c r="D61" s="38"/>
      <c r="E61" s="38"/>
      <c r="F61" s="38"/>
      <c r="G61" s="38"/>
      <c r="H61" s="38"/>
      <c r="I61" s="66"/>
      <c r="J61" s="66" t="str">
        <f t="shared" si="1"/>
        <v/>
      </c>
      <c r="K61" s="3"/>
    </row>
    <row r="62" spans="1:11" ht="19.5" hidden="1" customHeight="1" outlineLevel="1">
      <c r="A62" s="32"/>
      <c r="B62" s="136"/>
      <c r="C62" s="21"/>
      <c r="D62" s="22"/>
      <c r="E62" s="22"/>
      <c r="F62" s="22"/>
      <c r="G62" s="22"/>
      <c r="H62" s="22"/>
      <c r="I62" s="66"/>
      <c r="J62" s="66" t="str">
        <f t="shared" si="1"/>
        <v/>
      </c>
      <c r="K62" s="3"/>
    </row>
    <row r="63" spans="1:11" s="18" customFormat="1" hidden="1" outlineLevel="1">
      <c r="A63" s="11"/>
      <c r="B63" s="30"/>
      <c r="C63" s="11"/>
      <c r="D63" s="36"/>
      <c r="E63" s="36"/>
      <c r="F63" s="36"/>
      <c r="G63" s="36"/>
      <c r="H63" s="36"/>
      <c r="I63" s="66"/>
      <c r="J63" s="66" t="str">
        <f t="shared" si="1"/>
        <v/>
      </c>
      <c r="K63" s="83"/>
    </row>
    <row r="64" spans="1:11" ht="19.5" hidden="1" customHeight="1" outlineLevel="1">
      <c r="A64" s="32"/>
      <c r="B64" s="35" t="s">
        <v>402</v>
      </c>
      <c r="C64" s="32" t="s">
        <v>37</v>
      </c>
      <c r="D64" s="28">
        <v>3.7</v>
      </c>
      <c r="E64" s="28">
        <v>4</v>
      </c>
      <c r="F64" s="28">
        <v>2.5</v>
      </c>
      <c r="G64" s="28">
        <v>4</v>
      </c>
      <c r="H64" s="28">
        <v>2.6</v>
      </c>
      <c r="I64" s="66">
        <f t="shared" ref="I64:I70" si="2">IFERROR(H64/G64%,"")</f>
        <v>65</v>
      </c>
      <c r="J64" s="66">
        <f t="shared" si="1"/>
        <v>104</v>
      </c>
      <c r="K64" s="3"/>
    </row>
    <row r="65" spans="1:13" ht="19.5" hidden="1" customHeight="1" outlineLevel="1">
      <c r="A65" s="32"/>
      <c r="B65" s="35" t="s">
        <v>403</v>
      </c>
      <c r="C65" s="32" t="s">
        <v>37</v>
      </c>
      <c r="D65" s="28">
        <v>3.8</v>
      </c>
      <c r="E65" s="28">
        <v>4</v>
      </c>
      <c r="F65" s="28">
        <v>1.5</v>
      </c>
      <c r="G65" s="28">
        <v>4</v>
      </c>
      <c r="H65" s="28">
        <v>0.9</v>
      </c>
      <c r="I65" s="66">
        <f t="shared" si="2"/>
        <v>22.5</v>
      </c>
      <c r="J65" s="66">
        <f t="shared" si="1"/>
        <v>60.000000000000007</v>
      </c>
      <c r="K65" s="3"/>
    </row>
    <row r="66" spans="1:13" ht="19.5" hidden="1" customHeight="1" outlineLevel="1">
      <c r="A66" s="32"/>
      <c r="B66" s="35" t="s">
        <v>404</v>
      </c>
      <c r="C66" s="32" t="s">
        <v>37</v>
      </c>
      <c r="D66" s="28"/>
      <c r="E66" s="28">
        <v>23.2</v>
      </c>
      <c r="F66" s="28"/>
      <c r="G66" s="28">
        <v>24</v>
      </c>
      <c r="H66" s="28"/>
      <c r="I66" s="66">
        <f t="shared" si="2"/>
        <v>0</v>
      </c>
      <c r="J66" s="66" t="str">
        <f t="shared" si="1"/>
        <v/>
      </c>
      <c r="K66" s="3"/>
    </row>
    <row r="67" spans="1:13" ht="17.25" customHeight="1" collapsed="1">
      <c r="A67" s="11" t="s">
        <v>39</v>
      </c>
      <c r="B67" s="30" t="s">
        <v>122</v>
      </c>
      <c r="C67" s="11" t="s">
        <v>37</v>
      </c>
      <c r="D67" s="27">
        <f>D68+D80+D81</f>
        <v>9537.2999999999993</v>
      </c>
      <c r="E67" s="27">
        <f>E68+E80+E81</f>
        <v>9722.1</v>
      </c>
      <c r="F67" s="27">
        <f>F68+F80+F81</f>
        <v>9537.2999999999993</v>
      </c>
      <c r="G67" s="27">
        <f>G68+G80+G81</f>
        <v>9772.1</v>
      </c>
      <c r="H67" s="27">
        <f>H68+H80+H81</f>
        <v>9706.1</v>
      </c>
      <c r="I67" s="66">
        <f t="shared" si="2"/>
        <v>99.324607812036305</v>
      </c>
      <c r="J67" s="66">
        <f t="shared" si="1"/>
        <v>101.76989294664109</v>
      </c>
      <c r="K67" s="3"/>
    </row>
    <row r="68" spans="1:13" ht="17.25" customHeight="1">
      <c r="A68" s="32">
        <v>1</v>
      </c>
      <c r="B68" s="35" t="s">
        <v>448</v>
      </c>
      <c r="C68" s="32" t="s">
        <v>37</v>
      </c>
      <c r="D68" s="29">
        <f>D69+D74</f>
        <v>9537.2999999999993</v>
      </c>
      <c r="E68" s="29">
        <f>E69+E74</f>
        <v>9722.1</v>
      </c>
      <c r="F68" s="29">
        <f>F69+F74</f>
        <v>9537.2999999999993</v>
      </c>
      <c r="G68" s="29">
        <f>G69+G74</f>
        <v>9772.1</v>
      </c>
      <c r="H68" s="29">
        <f>H69+H74</f>
        <v>9706.1</v>
      </c>
      <c r="I68" s="58">
        <f t="shared" si="2"/>
        <v>99.324607812036305</v>
      </c>
      <c r="J68" s="58">
        <f t="shared" si="1"/>
        <v>101.76989294664109</v>
      </c>
      <c r="K68" s="3"/>
    </row>
    <row r="69" spans="1:13" ht="17.25" customHeight="1">
      <c r="A69" s="32"/>
      <c r="B69" s="35" t="s">
        <v>445</v>
      </c>
      <c r="C69" s="32" t="s">
        <v>37</v>
      </c>
      <c r="D69" s="22">
        <v>1743.8</v>
      </c>
      <c r="E69" s="22">
        <f>D69+E70</f>
        <v>1919.5</v>
      </c>
      <c r="F69" s="22">
        <f>D69</f>
        <v>1743.8</v>
      </c>
      <c r="G69" s="22">
        <f>E69+G70</f>
        <v>1969.5</v>
      </c>
      <c r="H69" s="22">
        <f>E69+H70</f>
        <v>1919.5</v>
      </c>
      <c r="I69" s="58">
        <f t="shared" si="2"/>
        <v>97.461284589997462</v>
      </c>
      <c r="J69" s="58">
        <f t="shared" si="1"/>
        <v>110.07569675421495</v>
      </c>
      <c r="K69" s="3"/>
    </row>
    <row r="70" spans="1:13" ht="17.25" hidden="1" customHeight="1" outlineLevel="1">
      <c r="A70" s="32"/>
      <c r="B70" s="35" t="s">
        <v>123</v>
      </c>
      <c r="C70" s="32" t="s">
        <v>37</v>
      </c>
      <c r="D70" s="38">
        <v>185.9</v>
      </c>
      <c r="E70" s="38">
        <v>175.7</v>
      </c>
      <c r="F70" s="38"/>
      <c r="G70" s="38">
        <v>50</v>
      </c>
      <c r="H70" s="38"/>
      <c r="I70" s="66">
        <f t="shared" si="2"/>
        <v>0</v>
      </c>
      <c r="J70" s="58" t="str">
        <f t="shared" si="1"/>
        <v/>
      </c>
      <c r="K70" s="3"/>
    </row>
    <row r="71" spans="1:13" ht="17.25" hidden="1" customHeight="1" outlineLevel="1">
      <c r="A71" s="32"/>
      <c r="B71" s="35"/>
      <c r="C71" s="32"/>
      <c r="D71" s="22"/>
      <c r="E71" s="22"/>
      <c r="F71" s="22"/>
      <c r="G71" s="22"/>
      <c r="H71" s="22"/>
      <c r="I71" s="66"/>
      <c r="J71" s="58" t="str">
        <f t="shared" si="1"/>
        <v/>
      </c>
      <c r="K71" s="3"/>
      <c r="L71" s="81"/>
    </row>
    <row r="72" spans="1:13" ht="17.25" hidden="1" customHeight="1" outlineLevel="1">
      <c r="A72" s="32"/>
      <c r="B72" s="35"/>
      <c r="C72" s="32"/>
      <c r="D72" s="38"/>
      <c r="E72" s="38"/>
      <c r="F72" s="38"/>
      <c r="G72" s="38"/>
      <c r="H72" s="38"/>
      <c r="I72" s="66"/>
      <c r="J72" s="58" t="str">
        <f t="shared" si="1"/>
        <v/>
      </c>
      <c r="K72" s="3"/>
    </row>
    <row r="73" spans="1:13" ht="17.25" hidden="1" customHeight="1" outlineLevel="1">
      <c r="A73" s="32"/>
      <c r="B73" s="35"/>
      <c r="C73" s="32"/>
      <c r="D73" s="22"/>
      <c r="E73" s="22"/>
      <c r="F73" s="22"/>
      <c r="G73" s="22"/>
      <c r="H73" s="22"/>
      <c r="I73" s="66"/>
      <c r="J73" s="58" t="str">
        <f t="shared" si="1"/>
        <v/>
      </c>
      <c r="K73" s="3"/>
    </row>
    <row r="74" spans="1:13" ht="17.25" customHeight="1" collapsed="1">
      <c r="A74" s="32"/>
      <c r="B74" s="35" t="s">
        <v>446</v>
      </c>
      <c r="C74" s="32" t="s">
        <v>37</v>
      </c>
      <c r="D74" s="22">
        <v>7793.5</v>
      </c>
      <c r="E74" s="22">
        <f>D74+E75-E76</f>
        <v>7802.6</v>
      </c>
      <c r="F74" s="22">
        <f>D74</f>
        <v>7793.5</v>
      </c>
      <c r="G74" s="22">
        <f>E74+G75-G76</f>
        <v>7802.6</v>
      </c>
      <c r="H74" s="22">
        <f>E74+H75-H76</f>
        <v>7786.6</v>
      </c>
      <c r="I74" s="58">
        <f>IFERROR(H74/G74%,"")</f>
        <v>99.794940148155732</v>
      </c>
      <c r="J74" s="58">
        <f t="shared" si="1"/>
        <v>99.911464682106882</v>
      </c>
      <c r="K74" s="3"/>
      <c r="M74" s="89"/>
    </row>
    <row r="75" spans="1:13" ht="17.25" hidden="1" customHeight="1" outlineLevel="1">
      <c r="A75" s="32"/>
      <c r="B75" s="35" t="s">
        <v>123</v>
      </c>
      <c r="C75" s="32" t="s">
        <v>37</v>
      </c>
      <c r="D75" s="43">
        <v>0</v>
      </c>
      <c r="E75" s="28">
        <v>24.6</v>
      </c>
      <c r="F75" s="43"/>
      <c r="G75" s="43"/>
      <c r="H75" s="43"/>
      <c r="I75" s="66" t="str">
        <f t="shared" ref="I75:I138" si="3">IFERROR(H75/G75%,"")</f>
        <v/>
      </c>
      <c r="J75" s="66" t="str">
        <f t="shared" ref="J75:J138" si="4">IFERROR(H75/F75%,"")</f>
        <v/>
      </c>
      <c r="K75" s="3"/>
    </row>
    <row r="76" spans="1:13" ht="17.25" customHeight="1" collapsed="1">
      <c r="A76" s="32"/>
      <c r="B76" s="35" t="s">
        <v>469</v>
      </c>
      <c r="C76" s="32" t="s">
        <v>37</v>
      </c>
      <c r="D76" s="28">
        <v>81.5</v>
      </c>
      <c r="E76" s="28">
        <v>15.5</v>
      </c>
      <c r="F76" s="43"/>
      <c r="G76" s="43"/>
      <c r="H76" s="28">
        <v>16</v>
      </c>
      <c r="I76" s="66" t="str">
        <f t="shared" si="3"/>
        <v/>
      </c>
      <c r="J76" s="66" t="str">
        <f t="shared" si="4"/>
        <v/>
      </c>
      <c r="K76" s="3"/>
    </row>
    <row r="77" spans="1:13" ht="17.25" hidden="1" customHeight="1" outlineLevel="1">
      <c r="A77" s="32"/>
      <c r="B77" s="35"/>
      <c r="C77" s="32"/>
      <c r="D77" s="22"/>
      <c r="E77" s="22"/>
      <c r="F77" s="22"/>
      <c r="G77" s="22"/>
      <c r="H77" s="22"/>
      <c r="I77" s="66"/>
      <c r="J77" s="66" t="str">
        <f t="shared" si="4"/>
        <v/>
      </c>
      <c r="K77" s="3"/>
    </row>
    <row r="78" spans="1:13" ht="17.25" hidden="1" customHeight="1" outlineLevel="1">
      <c r="A78" s="32"/>
      <c r="B78" s="35"/>
      <c r="C78" s="32"/>
      <c r="D78" s="38"/>
      <c r="E78" s="38"/>
      <c r="F78" s="38"/>
      <c r="G78" s="38"/>
      <c r="H78" s="38"/>
      <c r="I78" s="66"/>
      <c r="J78" s="66" t="str">
        <f t="shared" si="4"/>
        <v/>
      </c>
      <c r="K78" s="3"/>
    </row>
    <row r="79" spans="1:13" ht="17.25" hidden="1" customHeight="1" outlineLevel="1">
      <c r="A79" s="32"/>
      <c r="B79" s="35"/>
      <c r="C79" s="32"/>
      <c r="D79" s="22"/>
      <c r="E79" s="22"/>
      <c r="F79" s="22"/>
      <c r="G79" s="22"/>
      <c r="H79" s="22"/>
      <c r="I79" s="66"/>
      <c r="J79" s="66" t="str">
        <f t="shared" si="4"/>
        <v/>
      </c>
      <c r="K79" s="3"/>
    </row>
    <row r="80" spans="1:13" s="18" customFormat="1" ht="17.25" hidden="1" customHeight="1" outlineLevel="1">
      <c r="A80" s="11"/>
      <c r="B80" s="30"/>
      <c r="C80" s="11"/>
      <c r="D80" s="16"/>
      <c r="E80" s="16"/>
      <c r="F80" s="16"/>
      <c r="G80" s="16"/>
      <c r="H80" s="16"/>
      <c r="I80" s="66"/>
      <c r="J80" s="66" t="str">
        <f t="shared" si="4"/>
        <v/>
      </c>
      <c r="K80" s="83"/>
    </row>
    <row r="81" spans="1:12" s="18" customFormat="1" hidden="1" outlineLevel="1">
      <c r="A81" s="11"/>
      <c r="B81" s="30"/>
      <c r="C81" s="11"/>
      <c r="D81" s="16"/>
      <c r="E81" s="16"/>
      <c r="F81" s="16"/>
      <c r="G81" s="16"/>
      <c r="H81" s="16"/>
      <c r="I81" s="66"/>
      <c r="J81" s="66" t="str">
        <f t="shared" si="4"/>
        <v/>
      </c>
      <c r="K81" s="83"/>
      <c r="L81" s="87"/>
    </row>
    <row r="82" spans="1:12" ht="17.25" hidden="1" customHeight="1" outlineLevel="1">
      <c r="A82" s="32"/>
      <c r="B82" s="35"/>
      <c r="C82" s="32"/>
      <c r="D82" s="38"/>
      <c r="E82" s="38"/>
      <c r="F82" s="38"/>
      <c r="G82" s="38"/>
      <c r="H82" s="38"/>
      <c r="I82" s="66"/>
      <c r="J82" s="66" t="str">
        <f t="shared" si="4"/>
        <v/>
      </c>
      <c r="K82" s="3"/>
    </row>
    <row r="83" spans="1:12" ht="17.25" hidden="1" customHeight="1" outlineLevel="1">
      <c r="A83" s="32"/>
      <c r="B83" s="35"/>
      <c r="C83" s="32"/>
      <c r="D83" s="38"/>
      <c r="E83" s="38"/>
      <c r="F83" s="38"/>
      <c r="G83" s="38"/>
      <c r="H83" s="38"/>
      <c r="I83" s="66"/>
      <c r="J83" s="66" t="str">
        <f t="shared" si="4"/>
        <v/>
      </c>
      <c r="K83" s="3"/>
    </row>
    <row r="84" spans="1:12" ht="17.25" hidden="1" customHeight="1" outlineLevel="1">
      <c r="A84" s="32"/>
      <c r="B84" s="35"/>
      <c r="C84" s="32"/>
      <c r="D84" s="38"/>
      <c r="E84" s="38"/>
      <c r="F84" s="38"/>
      <c r="G84" s="38"/>
      <c r="H84" s="38"/>
      <c r="I84" s="66"/>
      <c r="J84" s="66" t="str">
        <f t="shared" si="4"/>
        <v/>
      </c>
      <c r="K84" s="3"/>
    </row>
    <row r="85" spans="1:12" ht="17.25" hidden="1" customHeight="1" outlineLevel="1">
      <c r="A85" s="32"/>
      <c r="B85" s="35"/>
      <c r="C85" s="32"/>
      <c r="D85" s="38"/>
      <c r="E85" s="38"/>
      <c r="F85" s="38"/>
      <c r="G85" s="38"/>
      <c r="H85" s="38"/>
      <c r="I85" s="66"/>
      <c r="J85" s="66" t="str">
        <f t="shared" si="4"/>
        <v/>
      </c>
      <c r="K85" s="3"/>
    </row>
    <row r="86" spans="1:12" ht="17.25" hidden="1" customHeight="1" outlineLevel="1">
      <c r="A86" s="32"/>
      <c r="B86" s="35"/>
      <c r="C86" s="32"/>
      <c r="D86" s="38"/>
      <c r="E86" s="38"/>
      <c r="F86" s="38"/>
      <c r="G86" s="38"/>
      <c r="H86" s="38"/>
      <c r="I86" s="66"/>
      <c r="J86" s="66" t="str">
        <f t="shared" si="4"/>
        <v/>
      </c>
      <c r="K86" s="3"/>
    </row>
    <row r="87" spans="1:12" ht="18.75" customHeight="1" collapsed="1">
      <c r="A87" s="11" t="s">
        <v>47</v>
      </c>
      <c r="B87" s="30" t="s">
        <v>96</v>
      </c>
      <c r="C87" s="32"/>
      <c r="D87" s="28"/>
      <c r="E87" s="38"/>
      <c r="F87" s="38"/>
      <c r="G87" s="38"/>
      <c r="H87" s="38"/>
      <c r="I87" s="66" t="str">
        <f t="shared" si="3"/>
        <v/>
      </c>
      <c r="J87" s="66" t="str">
        <f t="shared" si="4"/>
        <v/>
      </c>
      <c r="K87" s="3"/>
    </row>
    <row r="88" spans="1:12" ht="18.75" customHeight="1">
      <c r="A88" s="11">
        <v>1</v>
      </c>
      <c r="B88" s="30" t="s">
        <v>447</v>
      </c>
      <c r="C88" s="11" t="s">
        <v>54</v>
      </c>
      <c r="D88" s="27">
        <f>SUM(D89:D91)</f>
        <v>20219</v>
      </c>
      <c r="E88" s="27">
        <f>SUM(E89:E91)</f>
        <v>18350</v>
      </c>
      <c r="F88" s="27">
        <f>SUM(F89:F91)</f>
        <v>19227</v>
      </c>
      <c r="G88" s="27">
        <f>SUM(G89:G91)</f>
        <v>20650</v>
      </c>
      <c r="H88" s="27">
        <f>SUM(H89:H91)</f>
        <v>19629</v>
      </c>
      <c r="I88" s="66">
        <f t="shared" si="3"/>
        <v>95.055690072639223</v>
      </c>
      <c r="J88" s="66">
        <f t="shared" si="4"/>
        <v>102.09080979872054</v>
      </c>
      <c r="K88" s="83"/>
    </row>
    <row r="89" spans="1:12" ht="18.75" customHeight="1">
      <c r="A89" s="32"/>
      <c r="B89" s="35" t="s">
        <v>322</v>
      </c>
      <c r="C89" s="32" t="s">
        <v>54</v>
      </c>
      <c r="D89" s="29">
        <v>2461</v>
      </c>
      <c r="E89" s="29">
        <v>2550</v>
      </c>
      <c r="F89" s="144">
        <v>2463</v>
      </c>
      <c r="G89" s="29">
        <v>2650</v>
      </c>
      <c r="H89" s="144">
        <v>2497</v>
      </c>
      <c r="I89" s="58">
        <f t="shared" si="3"/>
        <v>94.226415094339629</v>
      </c>
      <c r="J89" s="58">
        <f t="shared" si="4"/>
        <v>101.38043036946813</v>
      </c>
      <c r="K89" s="3"/>
    </row>
    <row r="90" spans="1:12" ht="18.75" customHeight="1">
      <c r="A90" s="32"/>
      <c r="B90" s="35" t="s">
        <v>323</v>
      </c>
      <c r="C90" s="32" t="s">
        <v>54</v>
      </c>
      <c r="D90" s="29">
        <v>4034</v>
      </c>
      <c r="E90" s="29">
        <v>4800</v>
      </c>
      <c r="F90" s="144">
        <v>4688</v>
      </c>
      <c r="G90" s="29">
        <v>5000</v>
      </c>
      <c r="H90" s="144">
        <v>4754</v>
      </c>
      <c r="I90" s="58">
        <f t="shared" si="3"/>
        <v>95.08</v>
      </c>
      <c r="J90" s="58">
        <f t="shared" si="4"/>
        <v>101.40784982935153</v>
      </c>
      <c r="K90" s="3"/>
    </row>
    <row r="91" spans="1:12" ht="18.75" customHeight="1">
      <c r="A91" s="32"/>
      <c r="B91" s="35" t="s">
        <v>324</v>
      </c>
      <c r="C91" s="32" t="s">
        <v>54</v>
      </c>
      <c r="D91" s="29">
        <v>13724</v>
      </c>
      <c r="E91" s="29">
        <v>11000</v>
      </c>
      <c r="F91" s="144">
        <v>12076</v>
      </c>
      <c r="G91" s="29">
        <v>13000</v>
      </c>
      <c r="H91" s="144">
        <v>12378</v>
      </c>
      <c r="I91" s="58">
        <f t="shared" si="3"/>
        <v>95.215384615384622</v>
      </c>
      <c r="J91" s="58">
        <f t="shared" si="4"/>
        <v>102.50082808877112</v>
      </c>
      <c r="K91" s="3"/>
    </row>
    <row r="92" spans="1:12" ht="18.75" customHeight="1">
      <c r="A92" s="11">
        <v>2</v>
      </c>
      <c r="B92" s="44" t="s">
        <v>31</v>
      </c>
      <c r="C92" s="11" t="s">
        <v>54</v>
      </c>
      <c r="D92" s="27">
        <v>77894</v>
      </c>
      <c r="E92" s="27">
        <v>87000</v>
      </c>
      <c r="F92" s="27">
        <v>73787</v>
      </c>
      <c r="G92" s="27">
        <v>87000</v>
      </c>
      <c r="H92" s="27">
        <v>74800</v>
      </c>
      <c r="I92" s="66">
        <f t="shared" si="3"/>
        <v>85.977011494252878</v>
      </c>
      <c r="J92" s="66">
        <f t="shared" si="4"/>
        <v>101.37287055985472</v>
      </c>
      <c r="K92" s="83"/>
    </row>
    <row r="93" spans="1:12" s="18" customFormat="1" ht="18.75" customHeight="1">
      <c r="A93" s="11" t="s">
        <v>48</v>
      </c>
      <c r="B93" s="45" t="s">
        <v>325</v>
      </c>
      <c r="C93" s="11"/>
      <c r="D93" s="27"/>
      <c r="E93" s="27"/>
      <c r="F93" s="27"/>
      <c r="G93" s="27"/>
      <c r="H93" s="27"/>
      <c r="I93" s="66" t="str">
        <f t="shared" si="3"/>
        <v/>
      </c>
      <c r="J93" s="66" t="str">
        <f t="shared" si="4"/>
        <v/>
      </c>
      <c r="K93" s="83"/>
    </row>
    <row r="94" spans="1:12" ht="18.75" customHeight="1">
      <c r="A94" s="32">
        <v>1</v>
      </c>
      <c r="B94" s="46" t="s">
        <v>326</v>
      </c>
      <c r="C94" s="32" t="s">
        <v>37</v>
      </c>
      <c r="D94" s="28">
        <v>85</v>
      </c>
      <c r="E94" s="28">
        <v>85.5</v>
      </c>
      <c r="F94" s="28">
        <v>86</v>
      </c>
      <c r="G94" s="28">
        <v>85.5</v>
      </c>
      <c r="H94" s="28">
        <v>86.1</v>
      </c>
      <c r="I94" s="58">
        <f t="shared" si="3"/>
        <v>100.7017543859649</v>
      </c>
      <c r="J94" s="58">
        <f t="shared" si="4"/>
        <v>100.11627906976744</v>
      </c>
      <c r="K94" s="3"/>
    </row>
    <row r="95" spans="1:12" ht="18.75" customHeight="1">
      <c r="A95" s="32">
        <v>2</v>
      </c>
      <c r="B95" s="46" t="s">
        <v>327</v>
      </c>
      <c r="C95" s="32" t="s">
        <v>76</v>
      </c>
      <c r="D95" s="29">
        <f>D96+D97</f>
        <v>427.4</v>
      </c>
      <c r="E95" s="29">
        <f>E96+E97</f>
        <v>320</v>
      </c>
      <c r="F95" s="29">
        <f>F96+F97</f>
        <v>46.099999999999994</v>
      </c>
      <c r="G95" s="29">
        <f>G96+G97</f>
        <v>335</v>
      </c>
      <c r="H95" s="29">
        <f>H96+H97</f>
        <v>46.699999999999996</v>
      </c>
      <c r="I95" s="58">
        <f t="shared" si="3"/>
        <v>13.940298507462686</v>
      </c>
      <c r="J95" s="58">
        <f t="shared" si="4"/>
        <v>101.30151843817788</v>
      </c>
      <c r="K95" s="3"/>
    </row>
    <row r="96" spans="1:12" ht="18.75" customHeight="1">
      <c r="A96" s="32"/>
      <c r="B96" s="48" t="s">
        <v>328</v>
      </c>
      <c r="C96" s="32" t="s">
        <v>76</v>
      </c>
      <c r="D96" s="29">
        <v>211.9</v>
      </c>
      <c r="E96" s="29">
        <v>210</v>
      </c>
      <c r="F96" s="29">
        <v>32.9</v>
      </c>
      <c r="G96" s="29">
        <v>210</v>
      </c>
      <c r="H96" s="29">
        <v>33.299999999999997</v>
      </c>
      <c r="I96" s="58">
        <f t="shared" si="3"/>
        <v>15.857142857142856</v>
      </c>
      <c r="J96" s="58">
        <f t="shared" si="4"/>
        <v>101.21580547112463</v>
      </c>
      <c r="K96" s="3"/>
    </row>
    <row r="97" spans="1:13" ht="18.75" customHeight="1">
      <c r="A97" s="32"/>
      <c r="B97" s="48" t="s">
        <v>329</v>
      </c>
      <c r="C97" s="32" t="s">
        <v>76</v>
      </c>
      <c r="D97" s="29">
        <v>215.5</v>
      </c>
      <c r="E97" s="29">
        <v>110</v>
      </c>
      <c r="F97" s="29">
        <v>13.2</v>
      </c>
      <c r="G97" s="29">
        <v>125</v>
      </c>
      <c r="H97" s="29">
        <v>13.4</v>
      </c>
      <c r="I97" s="58">
        <f t="shared" si="3"/>
        <v>10.72</v>
      </c>
      <c r="J97" s="58">
        <f t="shared" si="4"/>
        <v>101.51515151515152</v>
      </c>
      <c r="K97" s="3"/>
    </row>
    <row r="98" spans="1:13" hidden="1" outlineLevel="1">
      <c r="A98" s="145"/>
      <c r="B98" s="146"/>
      <c r="C98" s="145"/>
      <c r="D98" s="13"/>
      <c r="E98" s="13"/>
      <c r="F98" s="13"/>
      <c r="G98" s="13"/>
      <c r="H98" s="13"/>
      <c r="I98" s="66"/>
      <c r="J98" s="66" t="str">
        <f t="shared" si="4"/>
        <v/>
      </c>
      <c r="K98" s="3"/>
    </row>
    <row r="99" spans="1:13" ht="19.5" hidden="1" customHeight="1" outlineLevel="1">
      <c r="A99" s="147"/>
      <c r="B99" s="148"/>
      <c r="C99" s="32"/>
      <c r="D99" s="53"/>
      <c r="E99" s="53"/>
      <c r="F99" s="53"/>
      <c r="G99" s="53"/>
      <c r="H99" s="53"/>
      <c r="I99" s="66"/>
      <c r="J99" s="66" t="str">
        <f t="shared" si="4"/>
        <v/>
      </c>
      <c r="K99" s="3"/>
    </row>
    <row r="100" spans="1:13" ht="17.25" hidden="1" customHeight="1" outlineLevel="1">
      <c r="A100" s="32"/>
      <c r="B100" s="35"/>
      <c r="C100" s="32"/>
      <c r="D100" s="22"/>
      <c r="E100" s="22"/>
      <c r="F100" s="22"/>
      <c r="G100" s="22"/>
      <c r="H100" s="22"/>
      <c r="I100" s="58"/>
      <c r="J100" s="66" t="str">
        <f t="shared" si="4"/>
        <v/>
      </c>
      <c r="K100" s="3"/>
      <c r="L100" s="81"/>
    </row>
    <row r="101" spans="1:13" ht="17.25" hidden="1" customHeight="1" outlineLevel="1">
      <c r="A101" s="32"/>
      <c r="B101" s="35"/>
      <c r="C101" s="32"/>
      <c r="D101" s="22"/>
      <c r="E101" s="22"/>
      <c r="F101" s="22"/>
      <c r="G101" s="22"/>
      <c r="H101" s="22"/>
      <c r="I101" s="66"/>
      <c r="J101" s="66" t="str">
        <f t="shared" si="4"/>
        <v/>
      </c>
      <c r="K101" s="3"/>
    </row>
    <row r="102" spans="1:13" s="18" customFormat="1" collapsed="1">
      <c r="A102" s="11" t="s">
        <v>176</v>
      </c>
      <c r="B102" s="54" t="s">
        <v>183</v>
      </c>
      <c r="C102" s="11"/>
      <c r="D102" s="149"/>
      <c r="E102" s="149"/>
      <c r="F102" s="149"/>
      <c r="G102" s="149"/>
      <c r="H102" s="149"/>
      <c r="I102" s="66" t="str">
        <f t="shared" si="3"/>
        <v/>
      </c>
      <c r="J102" s="66" t="str">
        <f t="shared" si="4"/>
        <v/>
      </c>
      <c r="K102" s="66"/>
    </row>
    <row r="103" spans="1:13" ht="22.5" customHeight="1">
      <c r="A103" s="32">
        <v>1</v>
      </c>
      <c r="B103" s="95" t="s">
        <v>449</v>
      </c>
      <c r="C103" s="32" t="s">
        <v>331</v>
      </c>
      <c r="D103" s="29">
        <v>676693</v>
      </c>
      <c r="E103" s="29">
        <v>708000</v>
      </c>
      <c r="F103" s="29">
        <v>175450</v>
      </c>
      <c r="G103" s="29">
        <v>722000</v>
      </c>
      <c r="H103" s="29">
        <v>190200</v>
      </c>
      <c r="I103" s="58">
        <f t="shared" si="3"/>
        <v>26.343490304709142</v>
      </c>
      <c r="J103" s="58">
        <f t="shared" si="4"/>
        <v>108.40695354801937</v>
      </c>
      <c r="K103" s="3"/>
    </row>
    <row r="104" spans="1:13" ht="24" customHeight="1">
      <c r="A104" s="32">
        <v>2</v>
      </c>
      <c r="B104" s="20" t="s">
        <v>333</v>
      </c>
      <c r="C104" s="32"/>
      <c r="D104" s="13"/>
      <c r="E104" s="13"/>
      <c r="F104" s="13"/>
      <c r="G104" s="13"/>
      <c r="H104" s="13"/>
      <c r="I104" s="58" t="str">
        <f t="shared" si="3"/>
        <v/>
      </c>
      <c r="J104" s="58" t="str">
        <f t="shared" si="4"/>
        <v/>
      </c>
      <c r="K104" s="3"/>
    </row>
    <row r="105" spans="1:13" ht="20.25" customHeight="1">
      <c r="A105" s="32"/>
      <c r="B105" s="20" t="s">
        <v>334</v>
      </c>
      <c r="C105" s="32" t="s">
        <v>65</v>
      </c>
      <c r="D105" s="29">
        <v>40</v>
      </c>
      <c r="E105" s="29">
        <v>42</v>
      </c>
      <c r="F105" s="29">
        <v>11</v>
      </c>
      <c r="G105" s="29">
        <v>40</v>
      </c>
      <c r="H105" s="29">
        <v>12</v>
      </c>
      <c r="I105" s="58">
        <f t="shared" si="3"/>
        <v>30</v>
      </c>
      <c r="J105" s="58">
        <f t="shared" si="4"/>
        <v>109.09090909090909</v>
      </c>
      <c r="K105" s="3"/>
      <c r="M105" s="77"/>
    </row>
    <row r="106" spans="1:13" ht="20.25" customHeight="1">
      <c r="A106" s="32"/>
      <c r="B106" s="20" t="s">
        <v>340</v>
      </c>
      <c r="C106" s="32" t="s">
        <v>65</v>
      </c>
      <c r="D106" s="29">
        <v>35</v>
      </c>
      <c r="E106" s="29">
        <v>30</v>
      </c>
      <c r="F106" s="29">
        <v>8</v>
      </c>
      <c r="G106" s="29">
        <v>40</v>
      </c>
      <c r="H106" s="29">
        <v>9</v>
      </c>
      <c r="I106" s="58">
        <f t="shared" si="3"/>
        <v>22.5</v>
      </c>
      <c r="J106" s="58">
        <f t="shared" si="4"/>
        <v>112.5</v>
      </c>
      <c r="K106" s="3"/>
      <c r="M106" s="77"/>
    </row>
    <row r="107" spans="1:13" ht="20.25" customHeight="1">
      <c r="A107" s="32"/>
      <c r="B107" s="20" t="s">
        <v>335</v>
      </c>
      <c r="C107" s="32" t="s">
        <v>76</v>
      </c>
      <c r="D107" s="29">
        <v>57219</v>
      </c>
      <c r="E107" s="29">
        <v>60000</v>
      </c>
      <c r="F107" s="29">
        <v>8750</v>
      </c>
      <c r="G107" s="29">
        <v>55000</v>
      </c>
      <c r="H107" s="29">
        <v>9000</v>
      </c>
      <c r="I107" s="58">
        <f t="shared" si="3"/>
        <v>16.363636363636363</v>
      </c>
      <c r="J107" s="58">
        <f t="shared" si="4"/>
        <v>102.85714285714286</v>
      </c>
      <c r="K107" s="3"/>
      <c r="M107" s="77"/>
    </row>
    <row r="108" spans="1:13" ht="20.25" customHeight="1">
      <c r="A108" s="32"/>
      <c r="B108" s="20" t="s">
        <v>336</v>
      </c>
      <c r="C108" s="32" t="s">
        <v>76</v>
      </c>
      <c r="D108" s="29">
        <v>12363</v>
      </c>
      <c r="E108" s="29">
        <v>13000</v>
      </c>
      <c r="F108" s="150">
        <v>5000</v>
      </c>
      <c r="G108" s="29">
        <v>12000</v>
      </c>
      <c r="H108" s="150">
        <v>5400</v>
      </c>
      <c r="I108" s="58">
        <f t="shared" si="3"/>
        <v>45</v>
      </c>
      <c r="J108" s="58">
        <f t="shared" si="4"/>
        <v>108</v>
      </c>
      <c r="K108" s="3"/>
      <c r="M108" s="77"/>
    </row>
    <row r="109" spans="1:13" ht="20.25" customHeight="1">
      <c r="A109" s="32"/>
      <c r="B109" s="20" t="s">
        <v>337</v>
      </c>
      <c r="C109" s="32" t="s">
        <v>466</v>
      </c>
      <c r="D109" s="29">
        <v>39713</v>
      </c>
      <c r="E109" s="29">
        <v>41000</v>
      </c>
      <c r="F109" s="150">
        <v>5200</v>
      </c>
      <c r="G109" s="29">
        <v>60000</v>
      </c>
      <c r="H109" s="150">
        <v>5350</v>
      </c>
      <c r="I109" s="58">
        <f t="shared" si="3"/>
        <v>8.9166666666666661</v>
      </c>
      <c r="J109" s="58">
        <f t="shared" si="4"/>
        <v>102.88461538461539</v>
      </c>
      <c r="K109" s="3"/>
      <c r="M109" s="77"/>
    </row>
    <row r="110" spans="1:13" ht="20.25" customHeight="1">
      <c r="A110" s="32"/>
      <c r="B110" s="20" t="s">
        <v>338</v>
      </c>
      <c r="C110" s="32" t="s">
        <v>466</v>
      </c>
      <c r="D110" s="29">
        <v>34500</v>
      </c>
      <c r="E110" s="29">
        <v>35000</v>
      </c>
      <c r="F110" s="29"/>
      <c r="G110" s="29">
        <v>54000</v>
      </c>
      <c r="H110" s="29"/>
      <c r="I110" s="58">
        <f t="shared" si="3"/>
        <v>0</v>
      </c>
      <c r="J110" s="58" t="str">
        <f t="shared" si="4"/>
        <v/>
      </c>
      <c r="K110" s="3"/>
      <c r="M110" s="77"/>
    </row>
    <row r="111" spans="1:13" s="18" customFormat="1">
      <c r="A111" s="11" t="s">
        <v>182</v>
      </c>
      <c r="B111" s="15" t="s">
        <v>450</v>
      </c>
      <c r="C111" s="11"/>
      <c r="D111" s="29"/>
      <c r="E111" s="29"/>
      <c r="F111" s="29"/>
      <c r="G111" s="29"/>
      <c r="H111" s="29"/>
      <c r="I111" s="66" t="str">
        <f t="shared" si="3"/>
        <v/>
      </c>
      <c r="J111" s="66" t="str">
        <f t="shared" si="4"/>
        <v/>
      </c>
      <c r="K111" s="66"/>
    </row>
    <row r="112" spans="1:13" ht="22.5" customHeight="1">
      <c r="A112" s="32">
        <v>1</v>
      </c>
      <c r="B112" s="20" t="s">
        <v>184</v>
      </c>
      <c r="C112" s="32" t="s">
        <v>331</v>
      </c>
      <c r="D112" s="29">
        <v>560310</v>
      </c>
      <c r="E112" s="29">
        <v>595000</v>
      </c>
      <c r="F112" s="29">
        <v>135000</v>
      </c>
      <c r="G112" s="29">
        <v>696000</v>
      </c>
      <c r="H112" s="29">
        <v>149000</v>
      </c>
      <c r="I112" s="58">
        <f>IFERROR(H112/G112%,"")</f>
        <v>21.408045977011493</v>
      </c>
      <c r="J112" s="58">
        <f t="shared" si="4"/>
        <v>110.37037037037037</v>
      </c>
      <c r="K112" s="3"/>
    </row>
    <row r="113" spans="1:13" ht="21.75" customHeight="1">
      <c r="A113" s="100"/>
      <c r="B113" s="122" t="s">
        <v>454</v>
      </c>
      <c r="C113" s="100"/>
      <c r="D113" s="102"/>
      <c r="E113" s="102"/>
      <c r="F113" s="102"/>
      <c r="G113" s="102"/>
      <c r="H113" s="102"/>
      <c r="I113" s="123" t="str">
        <f t="shared" si="3"/>
        <v/>
      </c>
      <c r="J113" s="58" t="str">
        <f t="shared" si="4"/>
        <v/>
      </c>
      <c r="K113" s="3"/>
    </row>
    <row r="114" spans="1:13" s="18" customFormat="1" ht="22.5" customHeight="1">
      <c r="A114" s="11" t="s">
        <v>38</v>
      </c>
      <c r="B114" s="15" t="s">
        <v>352</v>
      </c>
      <c r="C114" s="11"/>
      <c r="D114" s="149"/>
      <c r="E114" s="149"/>
      <c r="F114" s="149"/>
      <c r="G114" s="149"/>
      <c r="H114" s="149"/>
      <c r="I114" s="66" t="str">
        <f t="shared" si="3"/>
        <v/>
      </c>
      <c r="J114" s="66" t="str">
        <f t="shared" si="4"/>
        <v/>
      </c>
      <c r="K114" s="83"/>
    </row>
    <row r="115" spans="1:13" ht="22.5" hidden="1" customHeight="1" outlineLevel="1">
      <c r="A115" s="32">
        <v>1</v>
      </c>
      <c r="B115" s="20" t="s">
        <v>353</v>
      </c>
      <c r="C115" s="32" t="s">
        <v>62</v>
      </c>
      <c r="D115" s="29">
        <v>10520</v>
      </c>
      <c r="E115" s="29">
        <f>D116</f>
        <v>10685</v>
      </c>
      <c r="F115" s="29"/>
      <c r="G115" s="29">
        <f>E116</f>
        <v>11120</v>
      </c>
      <c r="H115" s="29"/>
      <c r="I115" s="66">
        <f t="shared" si="3"/>
        <v>0</v>
      </c>
      <c r="J115" s="58" t="str">
        <f t="shared" si="4"/>
        <v/>
      </c>
      <c r="K115" s="3"/>
      <c r="M115" s="77"/>
    </row>
    <row r="116" spans="1:13" ht="22.5" hidden="1" customHeight="1" outlineLevel="1">
      <c r="A116" s="32">
        <v>2</v>
      </c>
      <c r="B116" s="20" t="s">
        <v>207</v>
      </c>
      <c r="C116" s="32" t="s">
        <v>62</v>
      </c>
      <c r="D116" s="29">
        <v>10685</v>
      </c>
      <c r="E116" s="29">
        <v>11120</v>
      </c>
      <c r="F116" s="29"/>
      <c r="G116" s="29">
        <v>11380</v>
      </c>
      <c r="H116" s="29"/>
      <c r="I116" s="66">
        <f t="shared" si="3"/>
        <v>0</v>
      </c>
      <c r="J116" s="58" t="str">
        <f t="shared" si="4"/>
        <v/>
      </c>
      <c r="K116" s="3"/>
      <c r="L116" s="77"/>
    </row>
    <row r="117" spans="1:13" ht="22.5" customHeight="1" collapsed="1">
      <c r="A117" s="32">
        <v>1</v>
      </c>
      <c r="B117" s="20" t="s">
        <v>131</v>
      </c>
      <c r="C117" s="32" t="s">
        <v>73</v>
      </c>
      <c r="D117" s="29">
        <v>44006</v>
      </c>
      <c r="E117" s="29">
        <f>D118</f>
        <v>45290</v>
      </c>
      <c r="F117" s="29"/>
      <c r="G117" s="29">
        <f>E118</f>
        <v>46404</v>
      </c>
      <c r="H117" s="29"/>
      <c r="I117" s="58">
        <f t="shared" si="3"/>
        <v>0</v>
      </c>
      <c r="J117" s="58" t="str">
        <f t="shared" si="4"/>
        <v/>
      </c>
      <c r="K117" s="3"/>
    </row>
    <row r="118" spans="1:13" ht="22.5" customHeight="1">
      <c r="A118" s="32">
        <v>2</v>
      </c>
      <c r="B118" s="20" t="s">
        <v>132</v>
      </c>
      <c r="C118" s="32" t="s">
        <v>73</v>
      </c>
      <c r="D118" s="29">
        <v>45290</v>
      </c>
      <c r="E118" s="29">
        <v>46404</v>
      </c>
      <c r="F118" s="29"/>
      <c r="G118" s="29">
        <v>47500</v>
      </c>
      <c r="H118" s="29"/>
      <c r="I118" s="58">
        <f t="shared" si="3"/>
        <v>0</v>
      </c>
      <c r="J118" s="58" t="str">
        <f t="shared" si="4"/>
        <v/>
      </c>
      <c r="K118" s="3"/>
    </row>
    <row r="119" spans="1:13" ht="22.5" customHeight="1">
      <c r="A119" s="32">
        <v>3</v>
      </c>
      <c r="B119" s="20" t="s">
        <v>339</v>
      </c>
      <c r="C119" s="32" t="s">
        <v>73</v>
      </c>
      <c r="D119" s="29">
        <f>(D117+D118)/2</f>
        <v>44648</v>
      </c>
      <c r="E119" s="29">
        <f>(E117+E118)/2</f>
        <v>45847</v>
      </c>
      <c r="F119" s="29">
        <f>(F117+F118)/2</f>
        <v>0</v>
      </c>
      <c r="G119" s="29">
        <f>(G117+G118)/2</f>
        <v>46952</v>
      </c>
      <c r="H119" s="29">
        <f>(H117+H118)/2</f>
        <v>0</v>
      </c>
      <c r="I119" s="58">
        <f t="shared" si="3"/>
        <v>0</v>
      </c>
      <c r="J119" s="58" t="str">
        <f t="shared" si="4"/>
        <v/>
      </c>
      <c r="K119" s="3"/>
    </row>
    <row r="120" spans="1:13" ht="22.5" customHeight="1">
      <c r="A120" s="32">
        <v>4</v>
      </c>
      <c r="B120" s="48" t="s">
        <v>392</v>
      </c>
      <c r="C120" s="21" t="s">
        <v>170</v>
      </c>
      <c r="D120" s="74">
        <v>22.62</v>
      </c>
      <c r="E120" s="74">
        <v>22.92</v>
      </c>
      <c r="F120" s="74"/>
      <c r="G120" s="74">
        <v>22</v>
      </c>
      <c r="H120" s="74"/>
      <c r="I120" s="66">
        <f t="shared" si="3"/>
        <v>0</v>
      </c>
      <c r="J120" s="58" t="str">
        <f t="shared" si="4"/>
        <v/>
      </c>
      <c r="K120" s="3"/>
    </row>
    <row r="121" spans="1:13" s="18" customFormat="1" ht="21" customHeight="1">
      <c r="A121" s="11" t="s">
        <v>39</v>
      </c>
      <c r="B121" s="15" t="s">
        <v>163</v>
      </c>
      <c r="C121" s="11"/>
      <c r="D121" s="57"/>
      <c r="E121" s="57"/>
      <c r="F121" s="57"/>
      <c r="G121" s="57"/>
      <c r="H121" s="57"/>
      <c r="I121" s="66" t="str">
        <f t="shared" si="3"/>
        <v/>
      </c>
      <c r="J121" s="66" t="str">
        <f t="shared" si="4"/>
        <v/>
      </c>
      <c r="K121" s="83"/>
    </row>
    <row r="122" spans="1:13" ht="21" customHeight="1">
      <c r="A122" s="32">
        <v>1</v>
      </c>
      <c r="B122" s="20" t="s">
        <v>393</v>
      </c>
      <c r="C122" s="32" t="s">
        <v>33</v>
      </c>
      <c r="D122" s="58">
        <v>42.86</v>
      </c>
      <c r="E122" s="58">
        <v>43</v>
      </c>
      <c r="F122" s="58"/>
      <c r="G122" s="58">
        <v>44</v>
      </c>
      <c r="H122" s="58"/>
      <c r="I122" s="66">
        <f t="shared" si="3"/>
        <v>0</v>
      </c>
      <c r="J122" s="58" t="str">
        <f t="shared" si="4"/>
        <v/>
      </c>
      <c r="K122" s="3"/>
    </row>
    <row r="123" spans="1:13" ht="21" customHeight="1">
      <c r="A123" s="32"/>
      <c r="B123" s="20" t="s">
        <v>394</v>
      </c>
      <c r="C123" s="32" t="s">
        <v>33</v>
      </c>
      <c r="D123" s="58">
        <v>32</v>
      </c>
      <c r="E123" s="58">
        <v>35</v>
      </c>
      <c r="F123" s="58"/>
      <c r="G123" s="58">
        <v>36</v>
      </c>
      <c r="H123" s="58"/>
      <c r="I123" s="66">
        <f t="shared" si="3"/>
        <v>0</v>
      </c>
      <c r="J123" s="58" t="str">
        <f t="shared" si="4"/>
        <v/>
      </c>
      <c r="K123" s="3"/>
    </row>
    <row r="124" spans="1:13" ht="47.25">
      <c r="A124" s="32">
        <v>2</v>
      </c>
      <c r="B124" s="20" t="s">
        <v>357</v>
      </c>
      <c r="C124" s="32" t="s">
        <v>120</v>
      </c>
      <c r="D124" s="59">
        <f>174+50</f>
        <v>224</v>
      </c>
      <c r="E124" s="59">
        <v>175</v>
      </c>
      <c r="F124" s="59"/>
      <c r="G124" s="59">
        <v>250</v>
      </c>
      <c r="H124" s="59"/>
      <c r="I124" s="66">
        <f t="shared" si="3"/>
        <v>0</v>
      </c>
      <c r="J124" s="58" t="str">
        <f t="shared" si="4"/>
        <v/>
      </c>
      <c r="K124" s="3"/>
    </row>
    <row r="125" spans="1:13" ht="33" customHeight="1">
      <c r="A125" s="32"/>
      <c r="B125" s="20" t="s">
        <v>396</v>
      </c>
      <c r="C125" s="32" t="s">
        <v>397</v>
      </c>
      <c r="D125" s="20">
        <v>111</v>
      </c>
      <c r="E125" s="20">
        <v>115</v>
      </c>
      <c r="F125" s="20"/>
      <c r="G125" s="20">
        <v>120</v>
      </c>
      <c r="H125" s="20"/>
      <c r="I125" s="66">
        <f t="shared" si="3"/>
        <v>0</v>
      </c>
      <c r="J125" s="58" t="str">
        <f t="shared" si="4"/>
        <v/>
      </c>
      <c r="K125" s="3"/>
    </row>
    <row r="126" spans="1:13" ht="24.75" customHeight="1">
      <c r="A126" s="11" t="s">
        <v>47</v>
      </c>
      <c r="B126" s="15" t="s">
        <v>288</v>
      </c>
      <c r="C126" s="32"/>
      <c r="D126" s="59"/>
      <c r="E126" s="59"/>
      <c r="F126" s="59"/>
      <c r="G126" s="59"/>
      <c r="H126" s="59"/>
      <c r="I126" s="66" t="str">
        <f t="shared" si="3"/>
        <v/>
      </c>
      <c r="J126" s="66" t="str">
        <f t="shared" si="4"/>
        <v/>
      </c>
      <c r="K126" s="3"/>
    </row>
    <row r="127" spans="1:13" ht="29.25" customHeight="1">
      <c r="A127" s="60">
        <v>1</v>
      </c>
      <c r="B127" s="61" t="s">
        <v>355</v>
      </c>
      <c r="C127" s="32" t="s">
        <v>33</v>
      </c>
      <c r="D127" s="67" t="s">
        <v>358</v>
      </c>
      <c r="E127" s="88">
        <f>D128-E128</f>
        <v>3.1799999999999997</v>
      </c>
      <c r="F127" s="67"/>
      <c r="G127" s="67" t="s">
        <v>388</v>
      </c>
      <c r="H127" s="67"/>
      <c r="I127" s="66" t="str">
        <f t="shared" si="3"/>
        <v/>
      </c>
      <c r="J127" s="58" t="str">
        <f t="shared" si="4"/>
        <v/>
      </c>
      <c r="K127" s="3"/>
    </row>
    <row r="128" spans="1:13" ht="21" customHeight="1">
      <c r="A128" s="60">
        <v>2</v>
      </c>
      <c r="B128" s="61" t="s">
        <v>395</v>
      </c>
      <c r="C128" s="32" t="s">
        <v>33</v>
      </c>
      <c r="D128" s="80">
        <v>17.32</v>
      </c>
      <c r="E128" s="80">
        <v>14.14</v>
      </c>
      <c r="F128" s="80"/>
      <c r="G128" s="80">
        <f>E128-3</f>
        <v>11.14</v>
      </c>
      <c r="H128" s="80"/>
      <c r="I128" s="58">
        <f t="shared" si="3"/>
        <v>0</v>
      </c>
      <c r="J128" s="58" t="str">
        <f t="shared" si="4"/>
        <v/>
      </c>
      <c r="K128" s="3"/>
      <c r="L128" s="89"/>
    </row>
    <row r="129" spans="1:12" s="18" customFormat="1" ht="20.25" customHeight="1">
      <c r="A129" s="11" t="s">
        <v>48</v>
      </c>
      <c r="B129" s="15" t="s">
        <v>6</v>
      </c>
      <c r="C129" s="11"/>
      <c r="D129" s="149"/>
      <c r="E129" s="149"/>
      <c r="F129" s="149"/>
      <c r="G129" s="149"/>
      <c r="H129" s="149"/>
      <c r="I129" s="66" t="str">
        <f t="shared" si="3"/>
        <v/>
      </c>
      <c r="J129" s="66" t="str">
        <f t="shared" si="4"/>
        <v/>
      </c>
      <c r="K129" s="83"/>
    </row>
    <row r="130" spans="1:12" ht="23.25" customHeight="1">
      <c r="A130" s="32">
        <v>1</v>
      </c>
      <c r="B130" s="20" t="s">
        <v>389</v>
      </c>
      <c r="C130" s="32" t="s">
        <v>8</v>
      </c>
      <c r="D130" s="29">
        <f>SUM(D131:D137)</f>
        <v>13999</v>
      </c>
      <c r="E130" s="29">
        <f>SUM(E131:E137)</f>
        <v>14102</v>
      </c>
      <c r="F130" s="29">
        <f>F131+F135+F136+F137</f>
        <v>13999</v>
      </c>
      <c r="G130" s="29">
        <f>G131+G135+G136+G137</f>
        <v>14530</v>
      </c>
      <c r="H130" s="29">
        <f>H131+H135+H136+H137</f>
        <v>14407</v>
      </c>
      <c r="I130" s="58">
        <f t="shared" si="3"/>
        <v>99.153475567790764</v>
      </c>
      <c r="J130" s="58">
        <f t="shared" si="4"/>
        <v>102.91449389242088</v>
      </c>
      <c r="K130" s="3"/>
    </row>
    <row r="131" spans="1:12" ht="21" hidden="1" customHeight="1" outlineLevel="1">
      <c r="A131" s="32"/>
      <c r="B131" s="20" t="s">
        <v>188</v>
      </c>
      <c r="C131" s="32" t="s">
        <v>8</v>
      </c>
      <c r="D131" s="151">
        <v>4325</v>
      </c>
      <c r="E131" s="151">
        <v>4401</v>
      </c>
      <c r="F131" s="151">
        <f>F132+F134</f>
        <v>4325</v>
      </c>
      <c r="G131" s="151">
        <f>G132+G134</f>
        <v>4430</v>
      </c>
      <c r="H131" s="151">
        <f>H132+H134</f>
        <v>4527</v>
      </c>
      <c r="I131" s="58">
        <f t="shared" si="3"/>
        <v>102.18961625282168</v>
      </c>
      <c r="J131" s="58">
        <f t="shared" si="4"/>
        <v>104.67052023121387</v>
      </c>
      <c r="K131" s="3"/>
      <c r="L131" s="81"/>
    </row>
    <row r="132" spans="1:12" s="42" customFormat="1" ht="21" hidden="1" customHeight="1" outlineLevel="1">
      <c r="A132" s="39"/>
      <c r="B132" s="62" t="s">
        <v>399</v>
      </c>
      <c r="C132" s="32" t="s">
        <v>12</v>
      </c>
      <c r="D132" s="152"/>
      <c r="E132" s="152"/>
      <c r="F132" s="152">
        <v>348</v>
      </c>
      <c r="G132" s="152">
        <v>450</v>
      </c>
      <c r="H132" s="152">
        <v>398</v>
      </c>
      <c r="I132" s="58">
        <f t="shared" si="3"/>
        <v>88.444444444444443</v>
      </c>
      <c r="J132" s="58">
        <f t="shared" si="4"/>
        <v>114.36781609195403</v>
      </c>
      <c r="K132" s="84"/>
      <c r="L132" s="82"/>
    </row>
    <row r="133" spans="1:12" s="42" customFormat="1" ht="21" hidden="1" customHeight="1" outlineLevel="1">
      <c r="A133" s="39"/>
      <c r="B133" s="62" t="s">
        <v>425</v>
      </c>
      <c r="C133" s="32" t="s">
        <v>12</v>
      </c>
      <c r="D133" s="152"/>
      <c r="E133" s="152"/>
      <c r="F133" s="152"/>
      <c r="G133" s="152">
        <v>350</v>
      </c>
      <c r="H133" s="152">
        <v>398</v>
      </c>
      <c r="I133" s="58">
        <f t="shared" si="3"/>
        <v>113.71428571428571</v>
      </c>
      <c r="J133" s="58" t="str">
        <f t="shared" si="4"/>
        <v/>
      </c>
      <c r="K133" s="84"/>
      <c r="L133" s="82"/>
    </row>
    <row r="134" spans="1:12" s="42" customFormat="1" ht="21" hidden="1" customHeight="1" outlineLevel="1">
      <c r="A134" s="39"/>
      <c r="B134" s="62" t="s">
        <v>190</v>
      </c>
      <c r="C134" s="32" t="s">
        <v>12</v>
      </c>
      <c r="D134" s="152"/>
      <c r="E134" s="152"/>
      <c r="F134" s="152">
        <v>3977</v>
      </c>
      <c r="G134" s="152">
        <v>3980</v>
      </c>
      <c r="H134" s="152">
        <v>4129</v>
      </c>
      <c r="I134" s="58">
        <f t="shared" si="3"/>
        <v>103.74371859296483</v>
      </c>
      <c r="J134" s="58">
        <f t="shared" si="4"/>
        <v>103.82197636409353</v>
      </c>
      <c r="K134" s="84"/>
      <c r="L134" s="82"/>
    </row>
    <row r="135" spans="1:12" ht="21" hidden="1" customHeight="1" outlineLevel="1">
      <c r="A135" s="32"/>
      <c r="B135" s="20" t="s">
        <v>272</v>
      </c>
      <c r="C135" s="32" t="s">
        <v>8</v>
      </c>
      <c r="D135" s="151">
        <v>5412</v>
      </c>
      <c r="E135" s="151">
        <v>5400</v>
      </c>
      <c r="F135" s="151">
        <v>5412</v>
      </c>
      <c r="G135" s="151">
        <v>5700</v>
      </c>
      <c r="H135" s="151">
        <v>5515</v>
      </c>
      <c r="I135" s="58">
        <f t="shared" si="3"/>
        <v>96.754385964912274</v>
      </c>
      <c r="J135" s="58">
        <f t="shared" si="4"/>
        <v>101.90317812269032</v>
      </c>
      <c r="K135" s="3"/>
      <c r="L135" s="81"/>
    </row>
    <row r="136" spans="1:12" ht="21" hidden="1" customHeight="1" outlineLevel="1">
      <c r="A136" s="32"/>
      <c r="B136" s="20" t="s">
        <v>273</v>
      </c>
      <c r="C136" s="32" t="s">
        <v>8</v>
      </c>
      <c r="D136" s="151">
        <v>3521</v>
      </c>
      <c r="E136" s="151">
        <v>3560</v>
      </c>
      <c r="F136" s="151">
        <v>3521</v>
      </c>
      <c r="G136" s="151">
        <v>3570</v>
      </c>
      <c r="H136" s="151">
        <v>3558</v>
      </c>
      <c r="I136" s="58">
        <f t="shared" si="3"/>
        <v>99.663865546218474</v>
      </c>
      <c r="J136" s="58">
        <f t="shared" si="4"/>
        <v>101.05083783016188</v>
      </c>
      <c r="K136" s="3"/>
    </row>
    <row r="137" spans="1:12" ht="21" hidden="1" customHeight="1" outlineLevel="1">
      <c r="A137" s="32"/>
      <c r="B137" s="20" t="s">
        <v>342</v>
      </c>
      <c r="C137" s="32" t="s">
        <v>8</v>
      </c>
      <c r="D137" s="151">
        <v>741</v>
      </c>
      <c r="E137" s="151">
        <v>741</v>
      </c>
      <c r="F137" s="151">
        <v>741</v>
      </c>
      <c r="G137" s="151">
        <v>830</v>
      </c>
      <c r="H137" s="151">
        <v>807</v>
      </c>
      <c r="I137" s="58">
        <f t="shared" si="3"/>
        <v>97.228915662650593</v>
      </c>
      <c r="J137" s="58">
        <f t="shared" si="4"/>
        <v>108.90688259109312</v>
      </c>
      <c r="K137" s="3"/>
    </row>
    <row r="138" spans="1:12" s="104" customFormat="1" ht="22.5" hidden="1" customHeight="1" outlineLevel="1">
      <c r="A138" s="100"/>
      <c r="B138" s="101" t="s">
        <v>398</v>
      </c>
      <c r="C138" s="100"/>
      <c r="D138" s="102">
        <f>SUM(D140:D144)</f>
        <v>37</v>
      </c>
      <c r="E138" s="102">
        <f>SUM(E140:E144)</f>
        <v>38</v>
      </c>
      <c r="F138" s="102">
        <f>SUM(F140:F144)</f>
        <v>37</v>
      </c>
      <c r="G138" s="102">
        <f>SUM(G140:G144)</f>
        <v>38</v>
      </c>
      <c r="H138" s="102">
        <f>SUM(H140:H144)</f>
        <v>38</v>
      </c>
      <c r="I138" s="103">
        <f t="shared" si="3"/>
        <v>100</v>
      </c>
      <c r="J138" s="58">
        <f t="shared" si="4"/>
        <v>102.70270270270271</v>
      </c>
      <c r="K138" s="129"/>
    </row>
    <row r="139" spans="1:12" s="104" customFormat="1" ht="22.5" hidden="1" customHeight="1" outlineLevel="1">
      <c r="A139" s="100"/>
      <c r="B139" s="105" t="s">
        <v>341</v>
      </c>
      <c r="C139" s="100"/>
      <c r="D139" s="102"/>
      <c r="E139" s="102"/>
      <c r="F139" s="102"/>
      <c r="G139" s="102"/>
      <c r="H139" s="102"/>
      <c r="I139" s="103" t="str">
        <f t="shared" ref="I139:I175" si="5">IFERROR(H139/G139%,"")</f>
        <v/>
      </c>
      <c r="J139" s="58" t="str">
        <f t="shared" ref="J139:J175" si="6">IFERROR(H139/F139%,"")</f>
        <v/>
      </c>
      <c r="K139" s="129"/>
    </row>
    <row r="140" spans="1:12" s="104" customFormat="1" ht="22.5" hidden="1" customHeight="1" outlineLevel="1">
      <c r="A140" s="100"/>
      <c r="B140" s="101" t="s">
        <v>343</v>
      </c>
      <c r="C140" s="100" t="s">
        <v>143</v>
      </c>
      <c r="D140" s="102">
        <v>13</v>
      </c>
      <c r="E140" s="102">
        <v>13</v>
      </c>
      <c r="F140" s="102">
        <v>13</v>
      </c>
      <c r="G140" s="102">
        <f>E140</f>
        <v>13</v>
      </c>
      <c r="H140" s="102">
        <f>E140</f>
        <v>13</v>
      </c>
      <c r="I140" s="103">
        <f t="shared" si="5"/>
        <v>100</v>
      </c>
      <c r="J140" s="58">
        <f t="shared" si="6"/>
        <v>100</v>
      </c>
      <c r="K140" s="129"/>
    </row>
    <row r="141" spans="1:12" s="104" customFormat="1" ht="22.5" hidden="1" customHeight="1" outlineLevel="1">
      <c r="A141" s="100"/>
      <c r="B141" s="101" t="s">
        <v>344</v>
      </c>
      <c r="C141" s="100" t="s">
        <v>143</v>
      </c>
      <c r="D141" s="102">
        <v>13</v>
      </c>
      <c r="E141" s="102">
        <v>14</v>
      </c>
      <c r="F141" s="102">
        <v>13</v>
      </c>
      <c r="G141" s="102">
        <f>E141</f>
        <v>14</v>
      </c>
      <c r="H141" s="102">
        <f>E141</f>
        <v>14</v>
      </c>
      <c r="I141" s="103">
        <f t="shared" si="5"/>
        <v>99.999999999999986</v>
      </c>
      <c r="J141" s="58">
        <f t="shared" si="6"/>
        <v>107.69230769230769</v>
      </c>
      <c r="K141" s="129"/>
    </row>
    <row r="142" spans="1:12" s="104" customFormat="1" ht="22.5" hidden="1" customHeight="1" outlineLevel="1">
      <c r="A142" s="100"/>
      <c r="B142" s="101" t="s">
        <v>345</v>
      </c>
      <c r="C142" s="100" t="s">
        <v>143</v>
      </c>
      <c r="D142" s="102">
        <v>9</v>
      </c>
      <c r="E142" s="102">
        <v>9</v>
      </c>
      <c r="F142" s="102">
        <v>9</v>
      </c>
      <c r="G142" s="102">
        <f>E142</f>
        <v>9</v>
      </c>
      <c r="H142" s="102">
        <f>E142</f>
        <v>9</v>
      </c>
      <c r="I142" s="103">
        <f t="shared" si="5"/>
        <v>100</v>
      </c>
      <c r="J142" s="58">
        <f t="shared" si="6"/>
        <v>100</v>
      </c>
      <c r="K142" s="129"/>
    </row>
    <row r="143" spans="1:12" s="104" customFormat="1" ht="22.5" hidden="1" customHeight="1" outlineLevel="1">
      <c r="A143" s="100"/>
      <c r="B143" s="101" t="s">
        <v>346</v>
      </c>
      <c r="C143" s="100" t="s">
        <v>143</v>
      </c>
      <c r="D143" s="102">
        <v>1</v>
      </c>
      <c r="E143" s="102">
        <v>1</v>
      </c>
      <c r="F143" s="102">
        <v>1</v>
      </c>
      <c r="G143" s="102">
        <f>E143</f>
        <v>1</v>
      </c>
      <c r="H143" s="102">
        <f>E143</f>
        <v>1</v>
      </c>
      <c r="I143" s="103">
        <f t="shared" si="5"/>
        <v>100</v>
      </c>
      <c r="J143" s="58">
        <f t="shared" si="6"/>
        <v>100</v>
      </c>
      <c r="K143" s="129"/>
    </row>
    <row r="144" spans="1:12" s="104" customFormat="1" ht="22.5" hidden="1" customHeight="1" outlineLevel="1">
      <c r="A144" s="100"/>
      <c r="B144" s="101" t="s">
        <v>347</v>
      </c>
      <c r="C144" s="100" t="s">
        <v>143</v>
      </c>
      <c r="D144" s="102">
        <v>1</v>
      </c>
      <c r="E144" s="102">
        <v>1</v>
      </c>
      <c r="F144" s="102">
        <v>1</v>
      </c>
      <c r="G144" s="102">
        <f>E144</f>
        <v>1</v>
      </c>
      <c r="H144" s="102">
        <f>E144</f>
        <v>1</v>
      </c>
      <c r="I144" s="103">
        <f t="shared" si="5"/>
        <v>100</v>
      </c>
      <c r="J144" s="58">
        <f t="shared" si="6"/>
        <v>100</v>
      </c>
      <c r="K144" s="129"/>
    </row>
    <row r="145" spans="1:11" s="104" customFormat="1" ht="22.5" hidden="1" customHeight="1" outlineLevel="1">
      <c r="A145" s="100"/>
      <c r="B145" s="101" t="s">
        <v>348</v>
      </c>
      <c r="C145" s="100" t="s">
        <v>143</v>
      </c>
      <c r="D145" s="102">
        <f>SUM(D147:D151)</f>
        <v>20</v>
      </c>
      <c r="E145" s="102">
        <f>SUM(E147:E151)</f>
        <v>22</v>
      </c>
      <c r="F145" s="102">
        <f>SUM(F147:F151)</f>
        <v>21</v>
      </c>
      <c r="G145" s="102">
        <f>SUM(G147:G151)</f>
        <v>25</v>
      </c>
      <c r="H145" s="102">
        <f>SUM(H147:H151)</f>
        <v>22</v>
      </c>
      <c r="I145" s="103">
        <f t="shared" si="5"/>
        <v>88</v>
      </c>
      <c r="J145" s="58">
        <f t="shared" si="6"/>
        <v>104.76190476190476</v>
      </c>
      <c r="K145" s="129"/>
    </row>
    <row r="146" spans="1:11" s="104" customFormat="1" ht="22.5" hidden="1" customHeight="1" outlineLevel="1">
      <c r="A146" s="100"/>
      <c r="B146" s="105" t="s">
        <v>341</v>
      </c>
      <c r="C146" s="100"/>
      <c r="D146" s="102"/>
      <c r="E146" s="102"/>
      <c r="F146" s="102"/>
      <c r="G146" s="102"/>
      <c r="H146" s="102"/>
      <c r="I146" s="103" t="str">
        <f t="shared" si="5"/>
        <v/>
      </c>
      <c r="J146" s="58" t="str">
        <f t="shared" si="6"/>
        <v/>
      </c>
      <c r="K146" s="129"/>
    </row>
    <row r="147" spans="1:11" s="104" customFormat="1" ht="22.5" hidden="1" customHeight="1" outlineLevel="1">
      <c r="A147" s="100"/>
      <c r="B147" s="101" t="s">
        <v>343</v>
      </c>
      <c r="C147" s="100" t="s">
        <v>143</v>
      </c>
      <c r="D147" s="102">
        <v>5</v>
      </c>
      <c r="E147" s="102">
        <v>7</v>
      </c>
      <c r="F147" s="102">
        <v>6</v>
      </c>
      <c r="G147" s="102">
        <v>8</v>
      </c>
      <c r="H147" s="102">
        <f>E147</f>
        <v>7</v>
      </c>
      <c r="I147" s="103">
        <f t="shared" si="5"/>
        <v>87.5</v>
      </c>
      <c r="J147" s="58">
        <f t="shared" si="6"/>
        <v>116.66666666666667</v>
      </c>
      <c r="K147" s="129"/>
    </row>
    <row r="148" spans="1:11" s="104" customFormat="1" ht="22.5" hidden="1" customHeight="1" outlineLevel="1">
      <c r="A148" s="100"/>
      <c r="B148" s="101" t="s">
        <v>344</v>
      </c>
      <c r="C148" s="100" t="s">
        <v>143</v>
      </c>
      <c r="D148" s="102">
        <v>9</v>
      </c>
      <c r="E148" s="102">
        <v>9</v>
      </c>
      <c r="F148" s="102">
        <v>9</v>
      </c>
      <c r="G148" s="102">
        <v>10</v>
      </c>
      <c r="H148" s="102">
        <f>E148</f>
        <v>9</v>
      </c>
      <c r="I148" s="103">
        <f t="shared" si="5"/>
        <v>90</v>
      </c>
      <c r="J148" s="58">
        <f t="shared" si="6"/>
        <v>100</v>
      </c>
      <c r="K148" s="129"/>
    </row>
    <row r="149" spans="1:11" s="104" customFormat="1" ht="22.5" hidden="1" customHeight="1" outlineLevel="1">
      <c r="A149" s="100"/>
      <c r="B149" s="101" t="s">
        <v>345</v>
      </c>
      <c r="C149" s="100" t="s">
        <v>143</v>
      </c>
      <c r="D149" s="102">
        <v>4</v>
      </c>
      <c r="E149" s="102">
        <v>4</v>
      </c>
      <c r="F149" s="102">
        <v>4</v>
      </c>
      <c r="G149" s="102">
        <v>5</v>
      </c>
      <c r="H149" s="102">
        <f>E149</f>
        <v>4</v>
      </c>
      <c r="I149" s="103">
        <f t="shared" si="5"/>
        <v>80</v>
      </c>
      <c r="J149" s="58">
        <f t="shared" si="6"/>
        <v>100</v>
      </c>
      <c r="K149" s="129"/>
    </row>
    <row r="150" spans="1:11" s="104" customFormat="1" ht="22.5" hidden="1" customHeight="1" outlineLevel="1">
      <c r="A150" s="100"/>
      <c r="B150" s="101" t="s">
        <v>346</v>
      </c>
      <c r="C150" s="100" t="s">
        <v>143</v>
      </c>
      <c r="D150" s="102">
        <v>1</v>
      </c>
      <c r="E150" s="102">
        <v>1</v>
      </c>
      <c r="F150" s="102">
        <v>1</v>
      </c>
      <c r="G150" s="102">
        <v>1</v>
      </c>
      <c r="H150" s="102">
        <f>E150</f>
        <v>1</v>
      </c>
      <c r="I150" s="103">
        <f t="shared" si="5"/>
        <v>100</v>
      </c>
      <c r="J150" s="58">
        <f t="shared" si="6"/>
        <v>100</v>
      </c>
      <c r="K150" s="129"/>
    </row>
    <row r="151" spans="1:11" s="104" customFormat="1" ht="22.5" hidden="1" customHeight="1" outlineLevel="1">
      <c r="A151" s="100"/>
      <c r="B151" s="101" t="s">
        <v>347</v>
      </c>
      <c r="C151" s="100" t="s">
        <v>143</v>
      </c>
      <c r="D151" s="102">
        <v>1</v>
      </c>
      <c r="E151" s="102">
        <v>1</v>
      </c>
      <c r="F151" s="102">
        <v>1</v>
      </c>
      <c r="G151" s="102">
        <v>1</v>
      </c>
      <c r="H151" s="102">
        <f>E151</f>
        <v>1</v>
      </c>
      <c r="I151" s="103">
        <f t="shared" si="5"/>
        <v>100</v>
      </c>
      <c r="J151" s="58">
        <f t="shared" si="6"/>
        <v>100</v>
      </c>
      <c r="K151" s="129"/>
    </row>
    <row r="152" spans="1:11" ht="22.5" customHeight="1" collapsed="1">
      <c r="A152" s="32">
        <v>2</v>
      </c>
      <c r="B152" s="20" t="s">
        <v>144</v>
      </c>
      <c r="C152" s="32" t="s">
        <v>33</v>
      </c>
      <c r="D152" s="74">
        <f>D145/D138%</f>
        <v>54.054054054054056</v>
      </c>
      <c r="E152" s="74">
        <f>E145/E138%</f>
        <v>57.89473684210526</v>
      </c>
      <c r="F152" s="74">
        <f>F145/F138%</f>
        <v>56.756756756756758</v>
      </c>
      <c r="G152" s="74">
        <f>G145/G138%</f>
        <v>65.78947368421052</v>
      </c>
      <c r="H152" s="74">
        <f>H145/H138%</f>
        <v>57.89473684210526</v>
      </c>
      <c r="I152" s="58">
        <f t="shared" si="5"/>
        <v>88</v>
      </c>
      <c r="J152" s="58">
        <f t="shared" si="6"/>
        <v>102.00501253132832</v>
      </c>
      <c r="K152" s="3"/>
    </row>
    <row r="153" spans="1:11" ht="22.5" hidden="1" customHeight="1" outlineLevel="1">
      <c r="A153" s="32"/>
      <c r="B153" s="62" t="s">
        <v>341</v>
      </c>
      <c r="C153" s="32"/>
      <c r="D153" s="55"/>
      <c r="E153" s="55"/>
      <c r="F153" s="55"/>
      <c r="G153" s="55"/>
      <c r="H153" s="55"/>
      <c r="I153" s="66" t="str">
        <f t="shared" si="5"/>
        <v/>
      </c>
      <c r="J153" s="58" t="str">
        <f t="shared" si="6"/>
        <v/>
      </c>
      <c r="K153" s="3"/>
    </row>
    <row r="154" spans="1:11" ht="22.5" hidden="1" customHeight="1" outlineLevel="1">
      <c r="A154" s="32"/>
      <c r="B154" s="20" t="s">
        <v>343</v>
      </c>
      <c r="C154" s="32" t="s">
        <v>33</v>
      </c>
      <c r="D154" s="55">
        <f t="shared" ref="D154:H158" si="7">D147/D140%</f>
        <v>38.46153846153846</v>
      </c>
      <c r="E154" s="55">
        <f t="shared" si="7"/>
        <v>53.846153846153847</v>
      </c>
      <c r="F154" s="55">
        <f>F147/F140%</f>
        <v>46.153846153846153</v>
      </c>
      <c r="G154" s="55">
        <f t="shared" si="7"/>
        <v>61.538461538461533</v>
      </c>
      <c r="H154" s="55">
        <f t="shared" si="7"/>
        <v>53.846153846153847</v>
      </c>
      <c r="I154" s="66">
        <f t="shared" si="5"/>
        <v>87.500000000000014</v>
      </c>
      <c r="J154" s="58">
        <f t="shared" si="6"/>
        <v>116.66666666666667</v>
      </c>
      <c r="K154" s="3"/>
    </row>
    <row r="155" spans="1:11" ht="22.5" hidden="1" customHeight="1" outlineLevel="1">
      <c r="A155" s="32"/>
      <c r="B155" s="20" t="s">
        <v>344</v>
      </c>
      <c r="C155" s="32" t="s">
        <v>33</v>
      </c>
      <c r="D155" s="55">
        <f t="shared" si="7"/>
        <v>69.230769230769226</v>
      </c>
      <c r="E155" s="55">
        <f t="shared" si="7"/>
        <v>64.285714285714278</v>
      </c>
      <c r="F155" s="55">
        <f>F148/F141%</f>
        <v>69.230769230769226</v>
      </c>
      <c r="G155" s="55">
        <f t="shared" si="7"/>
        <v>71.428571428571416</v>
      </c>
      <c r="H155" s="55">
        <f t="shared" si="7"/>
        <v>64.285714285714278</v>
      </c>
      <c r="I155" s="66">
        <f t="shared" si="5"/>
        <v>90</v>
      </c>
      <c r="J155" s="58">
        <f t="shared" si="6"/>
        <v>92.857142857142847</v>
      </c>
      <c r="K155" s="3"/>
    </row>
    <row r="156" spans="1:11" ht="22.5" hidden="1" customHeight="1" outlineLevel="1">
      <c r="A156" s="32"/>
      <c r="B156" s="20" t="s">
        <v>345</v>
      </c>
      <c r="C156" s="32" t="s">
        <v>33</v>
      </c>
      <c r="D156" s="55">
        <f t="shared" si="7"/>
        <v>44.444444444444443</v>
      </c>
      <c r="E156" s="55">
        <f t="shared" si="7"/>
        <v>44.444444444444443</v>
      </c>
      <c r="F156" s="55">
        <f>F149/F142%</f>
        <v>44.444444444444443</v>
      </c>
      <c r="G156" s="55">
        <f t="shared" si="7"/>
        <v>55.555555555555557</v>
      </c>
      <c r="H156" s="55">
        <f t="shared" si="7"/>
        <v>44.444444444444443</v>
      </c>
      <c r="I156" s="66">
        <f t="shared" si="5"/>
        <v>80</v>
      </c>
      <c r="J156" s="58">
        <f t="shared" si="6"/>
        <v>100</v>
      </c>
      <c r="K156" s="3"/>
    </row>
    <row r="157" spans="1:11" ht="22.5" hidden="1" customHeight="1" outlineLevel="1">
      <c r="A157" s="32"/>
      <c r="B157" s="20" t="s">
        <v>346</v>
      </c>
      <c r="C157" s="32" t="s">
        <v>33</v>
      </c>
      <c r="D157" s="55">
        <f t="shared" si="7"/>
        <v>100</v>
      </c>
      <c r="E157" s="55">
        <f t="shared" si="7"/>
        <v>100</v>
      </c>
      <c r="F157" s="55">
        <f>F150/F143%</f>
        <v>100</v>
      </c>
      <c r="G157" s="55">
        <f t="shared" si="7"/>
        <v>100</v>
      </c>
      <c r="H157" s="55">
        <f t="shared" si="7"/>
        <v>100</v>
      </c>
      <c r="I157" s="66">
        <f t="shared" si="5"/>
        <v>100</v>
      </c>
      <c r="J157" s="58">
        <f t="shared" si="6"/>
        <v>100</v>
      </c>
      <c r="K157" s="3"/>
    </row>
    <row r="158" spans="1:11" ht="22.5" hidden="1" customHeight="1" outlineLevel="1">
      <c r="A158" s="32"/>
      <c r="B158" s="20" t="s">
        <v>347</v>
      </c>
      <c r="C158" s="32" t="s">
        <v>33</v>
      </c>
      <c r="D158" s="55">
        <f t="shared" si="7"/>
        <v>100</v>
      </c>
      <c r="E158" s="55">
        <f t="shared" si="7"/>
        <v>100</v>
      </c>
      <c r="F158" s="55">
        <f>F151/F144%</f>
        <v>100</v>
      </c>
      <c r="G158" s="55">
        <f t="shared" si="7"/>
        <v>100</v>
      </c>
      <c r="H158" s="55">
        <f t="shared" si="7"/>
        <v>100</v>
      </c>
      <c r="I158" s="66">
        <f t="shared" si="5"/>
        <v>100</v>
      </c>
      <c r="J158" s="58">
        <f t="shared" si="6"/>
        <v>100</v>
      </c>
      <c r="K158" s="3"/>
    </row>
    <row r="159" spans="1:11" ht="22.5" hidden="1" customHeight="1" outlineLevel="1">
      <c r="A159" s="32"/>
      <c r="B159" s="48"/>
      <c r="C159" s="32"/>
      <c r="D159" s="13"/>
      <c r="E159" s="13"/>
      <c r="F159" s="13"/>
      <c r="G159" s="13"/>
      <c r="H159" s="13"/>
      <c r="I159" s="66"/>
      <c r="J159" s="58" t="str">
        <f t="shared" si="6"/>
        <v/>
      </c>
      <c r="K159" s="3"/>
    </row>
    <row r="160" spans="1:11" ht="22.5" hidden="1" customHeight="1" outlineLevel="1">
      <c r="A160" s="73"/>
      <c r="B160" s="68"/>
      <c r="C160" s="32"/>
      <c r="D160" s="153"/>
      <c r="E160" s="153"/>
      <c r="F160" s="153"/>
      <c r="G160" s="153"/>
      <c r="H160" s="153"/>
      <c r="I160" s="66"/>
      <c r="J160" s="58" t="str">
        <f t="shared" si="6"/>
        <v/>
      </c>
      <c r="K160" s="3"/>
    </row>
    <row r="161" spans="1:11" ht="22.5" hidden="1" customHeight="1" outlineLevel="1">
      <c r="A161" s="73"/>
      <c r="B161" s="70"/>
      <c r="C161" s="32"/>
      <c r="D161" s="153"/>
      <c r="E161" s="153"/>
      <c r="F161" s="153"/>
      <c r="G161" s="153"/>
      <c r="H161" s="153"/>
      <c r="I161" s="66"/>
      <c r="J161" s="58" t="str">
        <f t="shared" si="6"/>
        <v/>
      </c>
      <c r="K161" s="3"/>
    </row>
    <row r="162" spans="1:11" ht="22.5" hidden="1" customHeight="1" outlineLevel="1">
      <c r="A162" s="73"/>
      <c r="B162" s="70"/>
      <c r="C162" s="32"/>
      <c r="D162" s="153"/>
      <c r="E162" s="153"/>
      <c r="F162" s="153"/>
      <c r="G162" s="153"/>
      <c r="H162" s="153"/>
      <c r="I162" s="66"/>
      <c r="J162" s="58" t="str">
        <f t="shared" si="6"/>
        <v/>
      </c>
      <c r="K162" s="3"/>
    </row>
    <row r="163" spans="1:11" ht="22.5" hidden="1" customHeight="1" outlineLevel="1">
      <c r="A163" s="73"/>
      <c r="B163" s="68"/>
      <c r="C163" s="32"/>
      <c r="D163" s="153"/>
      <c r="E163" s="153"/>
      <c r="F163" s="153"/>
      <c r="G163" s="153"/>
      <c r="H163" s="153"/>
      <c r="I163" s="66"/>
      <c r="J163" s="58" t="str">
        <f t="shared" si="6"/>
        <v/>
      </c>
      <c r="K163" s="3"/>
    </row>
    <row r="164" spans="1:11" ht="22.5" hidden="1" customHeight="1" outlineLevel="1">
      <c r="A164" s="73"/>
      <c r="B164" s="68"/>
      <c r="C164" s="32"/>
      <c r="D164" s="153"/>
      <c r="E164" s="153"/>
      <c r="F164" s="153"/>
      <c r="G164" s="153"/>
      <c r="H164" s="153"/>
      <c r="I164" s="66"/>
      <c r="J164" s="58" t="str">
        <f t="shared" si="6"/>
        <v/>
      </c>
      <c r="K164" s="3"/>
    </row>
    <row r="165" spans="1:11" ht="22.5" customHeight="1" collapsed="1">
      <c r="A165" s="11" t="s">
        <v>50</v>
      </c>
      <c r="B165" s="15" t="s">
        <v>350</v>
      </c>
      <c r="C165" s="32"/>
      <c r="D165" s="13"/>
      <c r="E165" s="13"/>
      <c r="F165" s="13"/>
      <c r="G165" s="13"/>
      <c r="H165" s="13"/>
      <c r="I165" s="66" t="str">
        <f t="shared" si="5"/>
        <v/>
      </c>
      <c r="J165" s="66" t="str">
        <f t="shared" si="6"/>
        <v/>
      </c>
      <c r="K165" s="3"/>
    </row>
    <row r="166" spans="1:11" ht="22.5" customHeight="1">
      <c r="A166" s="32">
        <v>1</v>
      </c>
      <c r="B166" s="20" t="s">
        <v>351</v>
      </c>
      <c r="C166" s="32" t="s">
        <v>145</v>
      </c>
      <c r="D166" s="13">
        <v>130</v>
      </c>
      <c r="E166" s="13">
        <v>130</v>
      </c>
      <c r="F166" s="13">
        <v>130</v>
      </c>
      <c r="G166" s="13">
        <v>135</v>
      </c>
      <c r="H166" s="13">
        <v>135</v>
      </c>
      <c r="I166" s="58">
        <f t="shared" si="5"/>
        <v>100</v>
      </c>
      <c r="J166" s="58">
        <f t="shared" si="6"/>
        <v>103.84615384615384</v>
      </c>
      <c r="K166" s="3"/>
    </row>
    <row r="167" spans="1:11" ht="24" customHeight="1">
      <c r="A167" s="32">
        <v>2</v>
      </c>
      <c r="B167" s="20" t="s">
        <v>451</v>
      </c>
      <c r="C167" s="32" t="s">
        <v>349</v>
      </c>
      <c r="D167" s="13">
        <v>2</v>
      </c>
      <c r="E167" s="13">
        <v>6</v>
      </c>
      <c r="F167" s="13">
        <v>2</v>
      </c>
      <c r="G167" s="13">
        <v>7</v>
      </c>
      <c r="H167" s="13">
        <v>4</v>
      </c>
      <c r="I167" s="58">
        <f t="shared" si="5"/>
        <v>57.142857142857139</v>
      </c>
      <c r="J167" s="58">
        <f t="shared" si="6"/>
        <v>200</v>
      </c>
      <c r="K167" s="3"/>
    </row>
    <row r="168" spans="1:11" ht="21" customHeight="1">
      <c r="A168" s="32"/>
      <c r="B168" s="47" t="s">
        <v>452</v>
      </c>
      <c r="C168" s="32" t="s">
        <v>33</v>
      </c>
      <c r="D168" s="55">
        <f>D167/9%</f>
        <v>22.222222222222221</v>
      </c>
      <c r="E168" s="55">
        <f>E167/9%</f>
        <v>66.666666666666671</v>
      </c>
      <c r="F168" s="55">
        <f>F167/9%</f>
        <v>22.222222222222221</v>
      </c>
      <c r="G168" s="55">
        <f>G167/9%</f>
        <v>77.777777777777786</v>
      </c>
      <c r="H168" s="55">
        <f>H167/9%</f>
        <v>44.444444444444443</v>
      </c>
      <c r="I168" s="58">
        <f t="shared" si="5"/>
        <v>57.142857142857132</v>
      </c>
      <c r="J168" s="58">
        <f t="shared" si="6"/>
        <v>200</v>
      </c>
      <c r="K168" s="3"/>
    </row>
    <row r="169" spans="1:11" ht="21.75" customHeight="1">
      <c r="A169" s="32">
        <v>3</v>
      </c>
      <c r="B169" s="46" t="s">
        <v>187</v>
      </c>
      <c r="C169" s="32" t="s">
        <v>33</v>
      </c>
      <c r="D169" s="55">
        <v>83.5</v>
      </c>
      <c r="E169" s="55">
        <v>87</v>
      </c>
      <c r="F169" s="55"/>
      <c r="G169" s="55">
        <v>90</v>
      </c>
      <c r="H169" s="55"/>
      <c r="I169" s="66">
        <f t="shared" si="5"/>
        <v>0</v>
      </c>
      <c r="J169" s="58" t="str">
        <f t="shared" si="6"/>
        <v/>
      </c>
      <c r="K169" s="3"/>
    </row>
    <row r="170" spans="1:11" hidden="1" outlineLevel="1">
      <c r="A170" s="32"/>
      <c r="B170" s="46"/>
      <c r="C170" s="32"/>
      <c r="D170" s="74"/>
      <c r="E170" s="55"/>
      <c r="F170" s="55"/>
      <c r="G170" s="55"/>
      <c r="H170" s="55"/>
      <c r="I170" s="66"/>
      <c r="J170" s="58" t="str">
        <f t="shared" si="6"/>
        <v/>
      </c>
      <c r="K170" s="3"/>
    </row>
    <row r="171" spans="1:11" hidden="1" outlineLevel="1">
      <c r="A171" s="32"/>
      <c r="B171" s="46"/>
      <c r="C171" s="32"/>
      <c r="D171" s="74"/>
      <c r="E171" s="55"/>
      <c r="F171" s="55"/>
      <c r="G171" s="55"/>
      <c r="H171" s="55"/>
      <c r="I171" s="66"/>
      <c r="J171" s="58" t="str">
        <f t="shared" si="6"/>
        <v/>
      </c>
      <c r="K171" s="3"/>
    </row>
    <row r="172" spans="1:11" ht="31.5" collapsed="1">
      <c r="A172" s="11" t="s">
        <v>51</v>
      </c>
      <c r="B172" s="142" t="s">
        <v>192</v>
      </c>
      <c r="C172" s="12"/>
      <c r="D172" s="13"/>
      <c r="E172" s="13"/>
      <c r="F172" s="13"/>
      <c r="G172" s="13"/>
      <c r="H172" s="13"/>
      <c r="I172" s="66" t="str">
        <f t="shared" si="5"/>
        <v/>
      </c>
      <c r="J172" s="66" t="str">
        <f t="shared" si="6"/>
        <v/>
      </c>
      <c r="K172" s="3"/>
    </row>
    <row r="173" spans="1:11" ht="22.5" customHeight="1">
      <c r="A173" s="11">
        <v>1</v>
      </c>
      <c r="B173" s="63" t="s">
        <v>468</v>
      </c>
      <c r="C173" s="12"/>
      <c r="D173" s="13"/>
      <c r="E173" s="13"/>
      <c r="F173" s="13"/>
      <c r="G173" s="13"/>
      <c r="H173" s="13"/>
      <c r="I173" s="66" t="str">
        <f t="shared" si="5"/>
        <v/>
      </c>
      <c r="J173" s="58" t="str">
        <f t="shared" si="6"/>
        <v/>
      </c>
      <c r="K173" s="3"/>
    </row>
    <row r="174" spans="1:11" ht="22.5" customHeight="1">
      <c r="A174" s="19"/>
      <c r="B174" s="48" t="s">
        <v>194</v>
      </c>
      <c r="C174" s="21" t="s">
        <v>16</v>
      </c>
      <c r="D174" s="59">
        <v>1560</v>
      </c>
      <c r="E174" s="59">
        <v>1560</v>
      </c>
      <c r="F174" s="59">
        <v>408</v>
      </c>
      <c r="G174" s="59">
        <f>E174</f>
        <v>1560</v>
      </c>
      <c r="H174" s="59">
        <v>390</v>
      </c>
      <c r="I174" s="58">
        <f t="shared" si="5"/>
        <v>25</v>
      </c>
      <c r="J174" s="58">
        <f t="shared" si="6"/>
        <v>95.588235294117652</v>
      </c>
      <c r="K174" s="3"/>
    </row>
    <row r="175" spans="1:11" ht="22.5" customHeight="1">
      <c r="A175" s="19"/>
      <c r="B175" s="48" t="s">
        <v>195</v>
      </c>
      <c r="C175" s="21" t="s">
        <v>16</v>
      </c>
      <c r="D175" s="59">
        <v>21800</v>
      </c>
      <c r="E175" s="59">
        <v>21800</v>
      </c>
      <c r="F175" s="59">
        <v>5022</v>
      </c>
      <c r="G175" s="59">
        <f>E175</f>
        <v>21800</v>
      </c>
      <c r="H175" s="59">
        <v>5400</v>
      </c>
      <c r="I175" s="58">
        <f t="shared" si="5"/>
        <v>24.770642201834864</v>
      </c>
      <c r="J175" s="58">
        <f t="shared" si="6"/>
        <v>107.52688172043011</v>
      </c>
      <c r="K175" s="3"/>
    </row>
    <row r="176" spans="1:11" ht="22.5" hidden="1" customHeight="1" outlineLevel="1">
      <c r="A176" s="11"/>
      <c r="B176" s="63"/>
      <c r="C176" s="21"/>
      <c r="D176" s="59"/>
      <c r="E176" s="59"/>
      <c r="F176" s="59"/>
      <c r="G176" s="59"/>
      <c r="H176" s="59"/>
      <c r="I176" s="66"/>
      <c r="J176" s="66"/>
      <c r="K176" s="3"/>
    </row>
    <row r="177" spans="1:11" ht="22.5" hidden="1" customHeight="1" outlineLevel="1">
      <c r="A177" s="32"/>
      <c r="B177" s="48"/>
      <c r="C177" s="21"/>
      <c r="D177" s="59"/>
      <c r="E177" s="59"/>
      <c r="F177" s="59"/>
      <c r="G177" s="59"/>
      <c r="H177" s="59"/>
      <c r="I177" s="66"/>
      <c r="J177" s="66"/>
      <c r="K177" s="3"/>
    </row>
    <row r="178" spans="1:11" ht="22.5" hidden="1" customHeight="1" outlineLevel="1">
      <c r="A178" s="32"/>
      <c r="B178" s="48"/>
      <c r="C178" s="41"/>
      <c r="D178" s="59"/>
      <c r="E178" s="59"/>
      <c r="F178" s="59"/>
      <c r="G178" s="59"/>
      <c r="H178" s="59"/>
      <c r="I178" s="66"/>
      <c r="J178" s="66"/>
      <c r="K178" s="3"/>
    </row>
    <row r="179" spans="1:11" ht="22.5" hidden="1" customHeight="1" outlineLevel="1">
      <c r="A179" s="32"/>
      <c r="B179" s="48"/>
      <c r="C179" s="21"/>
      <c r="D179" s="154"/>
      <c r="E179" s="154"/>
      <c r="F179" s="154"/>
      <c r="G179" s="154"/>
      <c r="H179" s="154"/>
      <c r="I179" s="66"/>
      <c r="J179" s="66"/>
      <c r="K179" s="3"/>
    </row>
    <row r="180" spans="1:11" ht="22.5" hidden="1" customHeight="1" outlineLevel="1">
      <c r="A180" s="32"/>
      <c r="B180" s="48"/>
      <c r="C180" s="41"/>
      <c r="D180" s="59"/>
      <c r="E180" s="59"/>
      <c r="F180" s="59"/>
      <c r="G180" s="59"/>
      <c r="H180" s="59"/>
      <c r="I180" s="66"/>
      <c r="J180" s="66"/>
      <c r="K180" s="3"/>
    </row>
    <row r="181" spans="1:11" ht="22.5" hidden="1" customHeight="1" outlineLevel="1">
      <c r="A181" s="32"/>
      <c r="B181" s="48"/>
      <c r="C181" s="21"/>
      <c r="D181" s="59"/>
      <c r="E181" s="59"/>
      <c r="F181" s="59"/>
      <c r="G181" s="59"/>
      <c r="H181" s="59"/>
      <c r="I181" s="66"/>
      <c r="J181" s="66"/>
      <c r="K181" s="3"/>
    </row>
    <row r="182" spans="1:11" ht="22.5" hidden="1" customHeight="1" outlineLevel="1">
      <c r="A182" s="32"/>
      <c r="B182" s="20"/>
      <c r="C182" s="32"/>
      <c r="D182" s="59"/>
      <c r="E182" s="59"/>
      <c r="F182" s="59"/>
      <c r="G182" s="59"/>
      <c r="H182" s="59"/>
      <c r="I182" s="66"/>
      <c r="J182" s="66"/>
      <c r="K182" s="3"/>
    </row>
    <row r="183" spans="1:11" ht="5.25" customHeight="1" collapsed="1">
      <c r="A183" s="4"/>
      <c r="B183" s="64"/>
      <c r="C183" s="4"/>
      <c r="D183" s="64"/>
      <c r="E183" s="64"/>
      <c r="F183" s="64"/>
      <c r="G183" s="64"/>
      <c r="H183" s="64"/>
      <c r="I183" s="64"/>
      <c r="J183" s="64"/>
      <c r="K183" s="64"/>
    </row>
  </sheetData>
  <mergeCells count="13">
    <mergeCell ref="D5:D6"/>
    <mergeCell ref="E5:E6"/>
    <mergeCell ref="K5:K6"/>
    <mergeCell ref="A1:K1"/>
    <mergeCell ref="A2:K2"/>
    <mergeCell ref="A3:K3"/>
    <mergeCell ref="A5:A6"/>
    <mergeCell ref="B5:B6"/>
    <mergeCell ref="C5:C6"/>
    <mergeCell ref="F5:F6"/>
    <mergeCell ref="G5:G6"/>
    <mergeCell ref="H5:H6"/>
    <mergeCell ref="I5:J5"/>
  </mergeCells>
  <pageMargins left="0.47244094488188981" right="0.39370078740157483" top="0.59055118110236227" bottom="0.47244094488188981" header="0.31496062992125984" footer="0.31496062992125984"/>
  <pageSetup paperSize="9" scale="69" fitToHeight="0" orientation="portrait" r:id="rId1"/>
  <headerFooter>
    <oddFooter>&amp;R&amp;"Times New Roman,Regular"&amp;P/&amp;N</oddFooter>
  </headerFooter>
  <ignoredErrors>
    <ignoredError sqref="F88:H88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zoomScale="70" zoomScaleNormal="70" zoomScaleSheetLayoutView="70" workbookViewId="0">
      <pane xSplit="2" ySplit="7" topLeftCell="C30" activePane="bottomRight" state="frozen"/>
      <selection activeCell="I119" sqref="I119"/>
      <selection pane="topRight" activeCell="I119" sqref="I119"/>
      <selection pane="bottomLeft" activeCell="I119" sqref="I119"/>
      <selection pane="bottomRight" activeCell="J27" sqref="J27"/>
    </sheetView>
  </sheetViews>
  <sheetFormatPr defaultRowHeight="15.75" outlineLevelRow="1" outlineLevelCol="1"/>
  <cols>
    <col min="1" max="1" width="5.85546875" style="668" customWidth="1"/>
    <col min="2" max="2" width="37.140625" style="669" customWidth="1"/>
    <col min="3" max="3" width="11.7109375" style="669" customWidth="1"/>
    <col min="4" max="4" width="11.85546875" style="669" customWidth="1"/>
    <col min="5" max="5" width="13.140625" style="669" customWidth="1"/>
    <col min="6" max="6" width="11.85546875" style="669" hidden="1" customWidth="1" outlineLevel="1"/>
    <col min="7" max="7" width="12.7109375" style="669" customWidth="1" collapsed="1"/>
    <col min="8" max="9" width="12.85546875" style="669" hidden="1" customWidth="1" outlineLevel="1"/>
    <col min="10" max="10" width="12.85546875" style="669" customWidth="1" collapsed="1"/>
    <col min="11" max="11" width="13.85546875" style="669" customWidth="1"/>
    <col min="12" max="12" width="11.85546875" style="669" customWidth="1"/>
    <col min="13" max="257" width="9.140625" style="669"/>
    <col min="258" max="258" width="5.85546875" style="669" customWidth="1"/>
    <col min="259" max="259" width="37.140625" style="669" customWidth="1"/>
    <col min="260" max="260" width="11.7109375" style="669" customWidth="1"/>
    <col min="261" max="263" width="11.85546875" style="669" customWidth="1"/>
    <col min="264" max="267" width="12.7109375" style="669" customWidth="1"/>
    <col min="268" max="268" width="11.85546875" style="669" customWidth="1"/>
    <col min="269" max="513" width="9.140625" style="669"/>
    <col min="514" max="514" width="5.85546875" style="669" customWidth="1"/>
    <col min="515" max="515" width="37.140625" style="669" customWidth="1"/>
    <col min="516" max="516" width="11.7109375" style="669" customWidth="1"/>
    <col min="517" max="519" width="11.85546875" style="669" customWidth="1"/>
    <col min="520" max="523" width="12.7109375" style="669" customWidth="1"/>
    <col min="524" max="524" width="11.85546875" style="669" customWidth="1"/>
    <col min="525" max="769" width="9.140625" style="669"/>
    <col min="770" max="770" width="5.85546875" style="669" customWidth="1"/>
    <col min="771" max="771" width="37.140625" style="669" customWidth="1"/>
    <col min="772" max="772" width="11.7109375" style="669" customWidth="1"/>
    <col min="773" max="775" width="11.85546875" style="669" customWidth="1"/>
    <col min="776" max="779" width="12.7109375" style="669" customWidth="1"/>
    <col min="780" max="780" width="11.85546875" style="669" customWidth="1"/>
    <col min="781" max="1025" width="9.140625" style="669"/>
    <col min="1026" max="1026" width="5.85546875" style="669" customWidth="1"/>
    <col min="1027" max="1027" width="37.140625" style="669" customWidth="1"/>
    <col min="1028" max="1028" width="11.7109375" style="669" customWidth="1"/>
    <col min="1029" max="1031" width="11.85546875" style="669" customWidth="1"/>
    <col min="1032" max="1035" width="12.7109375" style="669" customWidth="1"/>
    <col min="1036" max="1036" width="11.85546875" style="669" customWidth="1"/>
    <col min="1037" max="1281" width="9.140625" style="669"/>
    <col min="1282" max="1282" width="5.85546875" style="669" customWidth="1"/>
    <col min="1283" max="1283" width="37.140625" style="669" customWidth="1"/>
    <col min="1284" max="1284" width="11.7109375" style="669" customWidth="1"/>
    <col min="1285" max="1287" width="11.85546875" style="669" customWidth="1"/>
    <col min="1288" max="1291" width="12.7109375" style="669" customWidth="1"/>
    <col min="1292" max="1292" width="11.85546875" style="669" customWidth="1"/>
    <col min="1293" max="1537" width="9.140625" style="669"/>
    <col min="1538" max="1538" width="5.85546875" style="669" customWidth="1"/>
    <col min="1539" max="1539" width="37.140625" style="669" customWidth="1"/>
    <col min="1540" max="1540" width="11.7109375" style="669" customWidth="1"/>
    <col min="1541" max="1543" width="11.85546875" style="669" customWidth="1"/>
    <col min="1544" max="1547" width="12.7109375" style="669" customWidth="1"/>
    <col min="1548" max="1548" width="11.85546875" style="669" customWidth="1"/>
    <col min="1549" max="1793" width="9.140625" style="669"/>
    <col min="1794" max="1794" width="5.85546875" style="669" customWidth="1"/>
    <col min="1795" max="1795" width="37.140625" style="669" customWidth="1"/>
    <col min="1796" max="1796" width="11.7109375" style="669" customWidth="1"/>
    <col min="1797" max="1799" width="11.85546875" style="669" customWidth="1"/>
    <col min="1800" max="1803" width="12.7109375" style="669" customWidth="1"/>
    <col min="1804" max="1804" width="11.85546875" style="669" customWidth="1"/>
    <col min="1805" max="2049" width="9.140625" style="669"/>
    <col min="2050" max="2050" width="5.85546875" style="669" customWidth="1"/>
    <col min="2051" max="2051" width="37.140625" style="669" customWidth="1"/>
    <col min="2052" max="2052" width="11.7109375" style="669" customWidth="1"/>
    <col min="2053" max="2055" width="11.85546875" style="669" customWidth="1"/>
    <col min="2056" max="2059" width="12.7109375" style="669" customWidth="1"/>
    <col min="2060" max="2060" width="11.85546875" style="669" customWidth="1"/>
    <col min="2061" max="2305" width="9.140625" style="669"/>
    <col min="2306" max="2306" width="5.85546875" style="669" customWidth="1"/>
    <col min="2307" max="2307" width="37.140625" style="669" customWidth="1"/>
    <col min="2308" max="2308" width="11.7109375" style="669" customWidth="1"/>
    <col min="2309" max="2311" width="11.85546875" style="669" customWidth="1"/>
    <col min="2312" max="2315" width="12.7109375" style="669" customWidth="1"/>
    <col min="2316" max="2316" width="11.85546875" style="669" customWidth="1"/>
    <col min="2317" max="2561" width="9.140625" style="669"/>
    <col min="2562" max="2562" width="5.85546875" style="669" customWidth="1"/>
    <col min="2563" max="2563" width="37.140625" style="669" customWidth="1"/>
    <col min="2564" max="2564" width="11.7109375" style="669" customWidth="1"/>
    <col min="2565" max="2567" width="11.85546875" style="669" customWidth="1"/>
    <col min="2568" max="2571" width="12.7109375" style="669" customWidth="1"/>
    <col min="2572" max="2572" width="11.85546875" style="669" customWidth="1"/>
    <col min="2573" max="2817" width="9.140625" style="669"/>
    <col min="2818" max="2818" width="5.85546875" style="669" customWidth="1"/>
    <col min="2819" max="2819" width="37.140625" style="669" customWidth="1"/>
    <col min="2820" max="2820" width="11.7109375" style="669" customWidth="1"/>
    <col min="2821" max="2823" width="11.85546875" style="669" customWidth="1"/>
    <col min="2824" max="2827" width="12.7109375" style="669" customWidth="1"/>
    <col min="2828" max="2828" width="11.85546875" style="669" customWidth="1"/>
    <col min="2829" max="3073" width="9.140625" style="669"/>
    <col min="3074" max="3074" width="5.85546875" style="669" customWidth="1"/>
    <col min="3075" max="3075" width="37.140625" style="669" customWidth="1"/>
    <col min="3076" max="3076" width="11.7109375" style="669" customWidth="1"/>
    <col min="3077" max="3079" width="11.85546875" style="669" customWidth="1"/>
    <col min="3080" max="3083" width="12.7109375" style="669" customWidth="1"/>
    <col min="3084" max="3084" width="11.85546875" style="669" customWidth="1"/>
    <col min="3085" max="3329" width="9.140625" style="669"/>
    <col min="3330" max="3330" width="5.85546875" style="669" customWidth="1"/>
    <col min="3331" max="3331" width="37.140625" style="669" customWidth="1"/>
    <col min="3332" max="3332" width="11.7109375" style="669" customWidth="1"/>
    <col min="3333" max="3335" width="11.85546875" style="669" customWidth="1"/>
    <col min="3336" max="3339" width="12.7109375" style="669" customWidth="1"/>
    <col min="3340" max="3340" width="11.85546875" style="669" customWidth="1"/>
    <col min="3341" max="3585" width="9.140625" style="669"/>
    <col min="3586" max="3586" width="5.85546875" style="669" customWidth="1"/>
    <col min="3587" max="3587" width="37.140625" style="669" customWidth="1"/>
    <col min="3588" max="3588" width="11.7109375" style="669" customWidth="1"/>
    <col min="3589" max="3591" width="11.85546875" style="669" customWidth="1"/>
    <col min="3592" max="3595" width="12.7109375" style="669" customWidth="1"/>
    <col min="3596" max="3596" width="11.85546875" style="669" customWidth="1"/>
    <col min="3597" max="3841" width="9.140625" style="669"/>
    <col min="3842" max="3842" width="5.85546875" style="669" customWidth="1"/>
    <col min="3843" max="3843" width="37.140625" style="669" customWidth="1"/>
    <col min="3844" max="3844" width="11.7109375" style="669" customWidth="1"/>
    <col min="3845" max="3847" width="11.85546875" style="669" customWidth="1"/>
    <col min="3848" max="3851" width="12.7109375" style="669" customWidth="1"/>
    <col min="3852" max="3852" width="11.85546875" style="669" customWidth="1"/>
    <col min="3853" max="4097" width="9.140625" style="669"/>
    <col min="4098" max="4098" width="5.85546875" style="669" customWidth="1"/>
    <col min="4099" max="4099" width="37.140625" style="669" customWidth="1"/>
    <col min="4100" max="4100" width="11.7109375" style="669" customWidth="1"/>
    <col min="4101" max="4103" width="11.85546875" style="669" customWidth="1"/>
    <col min="4104" max="4107" width="12.7109375" style="669" customWidth="1"/>
    <col min="4108" max="4108" width="11.85546875" style="669" customWidth="1"/>
    <col min="4109" max="4353" width="9.140625" style="669"/>
    <col min="4354" max="4354" width="5.85546875" style="669" customWidth="1"/>
    <col min="4355" max="4355" width="37.140625" style="669" customWidth="1"/>
    <col min="4356" max="4356" width="11.7109375" style="669" customWidth="1"/>
    <col min="4357" max="4359" width="11.85546875" style="669" customWidth="1"/>
    <col min="4360" max="4363" width="12.7109375" style="669" customWidth="1"/>
    <col min="4364" max="4364" width="11.85546875" style="669" customWidth="1"/>
    <col min="4365" max="4609" width="9.140625" style="669"/>
    <col min="4610" max="4610" width="5.85546875" style="669" customWidth="1"/>
    <col min="4611" max="4611" width="37.140625" style="669" customWidth="1"/>
    <col min="4612" max="4612" width="11.7109375" style="669" customWidth="1"/>
    <col min="4613" max="4615" width="11.85546875" style="669" customWidth="1"/>
    <col min="4616" max="4619" width="12.7109375" style="669" customWidth="1"/>
    <col min="4620" max="4620" width="11.85546875" style="669" customWidth="1"/>
    <col min="4621" max="4865" width="9.140625" style="669"/>
    <col min="4866" max="4866" width="5.85546875" style="669" customWidth="1"/>
    <col min="4867" max="4867" width="37.140625" style="669" customWidth="1"/>
    <col min="4868" max="4868" width="11.7109375" style="669" customWidth="1"/>
    <col min="4869" max="4871" width="11.85546875" style="669" customWidth="1"/>
    <col min="4872" max="4875" width="12.7109375" style="669" customWidth="1"/>
    <col min="4876" max="4876" width="11.85546875" style="669" customWidth="1"/>
    <col min="4877" max="5121" width="9.140625" style="669"/>
    <col min="5122" max="5122" width="5.85546875" style="669" customWidth="1"/>
    <col min="5123" max="5123" width="37.140625" style="669" customWidth="1"/>
    <col min="5124" max="5124" width="11.7109375" style="669" customWidth="1"/>
    <col min="5125" max="5127" width="11.85546875" style="669" customWidth="1"/>
    <col min="5128" max="5131" width="12.7109375" style="669" customWidth="1"/>
    <col min="5132" max="5132" width="11.85546875" style="669" customWidth="1"/>
    <col min="5133" max="5377" width="9.140625" style="669"/>
    <col min="5378" max="5378" width="5.85546875" style="669" customWidth="1"/>
    <col min="5379" max="5379" width="37.140625" style="669" customWidth="1"/>
    <col min="5380" max="5380" width="11.7109375" style="669" customWidth="1"/>
    <col min="5381" max="5383" width="11.85546875" style="669" customWidth="1"/>
    <col min="5384" max="5387" width="12.7109375" style="669" customWidth="1"/>
    <col min="5388" max="5388" width="11.85546875" style="669" customWidth="1"/>
    <col min="5389" max="5633" width="9.140625" style="669"/>
    <col min="5634" max="5634" width="5.85546875" style="669" customWidth="1"/>
    <col min="5635" max="5635" width="37.140625" style="669" customWidth="1"/>
    <col min="5636" max="5636" width="11.7109375" style="669" customWidth="1"/>
    <col min="5637" max="5639" width="11.85546875" style="669" customWidth="1"/>
    <col min="5640" max="5643" width="12.7109375" style="669" customWidth="1"/>
    <col min="5644" max="5644" width="11.85546875" style="669" customWidth="1"/>
    <col min="5645" max="5889" width="9.140625" style="669"/>
    <col min="5890" max="5890" width="5.85546875" style="669" customWidth="1"/>
    <col min="5891" max="5891" width="37.140625" style="669" customWidth="1"/>
    <col min="5892" max="5892" width="11.7109375" style="669" customWidth="1"/>
    <col min="5893" max="5895" width="11.85546875" style="669" customWidth="1"/>
    <col min="5896" max="5899" width="12.7109375" style="669" customWidth="1"/>
    <col min="5900" max="5900" width="11.85546875" style="669" customWidth="1"/>
    <col min="5901" max="6145" width="9.140625" style="669"/>
    <col min="6146" max="6146" width="5.85546875" style="669" customWidth="1"/>
    <col min="6147" max="6147" width="37.140625" style="669" customWidth="1"/>
    <col min="6148" max="6148" width="11.7109375" style="669" customWidth="1"/>
    <col min="6149" max="6151" width="11.85546875" style="669" customWidth="1"/>
    <col min="6152" max="6155" width="12.7109375" style="669" customWidth="1"/>
    <col min="6156" max="6156" width="11.85546875" style="669" customWidth="1"/>
    <col min="6157" max="6401" width="9.140625" style="669"/>
    <col min="6402" max="6402" width="5.85546875" style="669" customWidth="1"/>
    <col min="6403" max="6403" width="37.140625" style="669" customWidth="1"/>
    <col min="6404" max="6404" width="11.7109375" style="669" customWidth="1"/>
    <col min="6405" max="6407" width="11.85546875" style="669" customWidth="1"/>
    <col min="6408" max="6411" width="12.7109375" style="669" customWidth="1"/>
    <col min="6412" max="6412" width="11.85546875" style="669" customWidth="1"/>
    <col min="6413" max="6657" width="9.140625" style="669"/>
    <col min="6658" max="6658" width="5.85546875" style="669" customWidth="1"/>
    <col min="6659" max="6659" width="37.140625" style="669" customWidth="1"/>
    <col min="6660" max="6660" width="11.7109375" style="669" customWidth="1"/>
    <col min="6661" max="6663" width="11.85546875" style="669" customWidth="1"/>
    <col min="6664" max="6667" width="12.7109375" style="669" customWidth="1"/>
    <col min="6668" max="6668" width="11.85546875" style="669" customWidth="1"/>
    <col min="6669" max="6913" width="9.140625" style="669"/>
    <col min="6914" max="6914" width="5.85546875" style="669" customWidth="1"/>
    <col min="6915" max="6915" width="37.140625" style="669" customWidth="1"/>
    <col min="6916" max="6916" width="11.7109375" style="669" customWidth="1"/>
    <col min="6917" max="6919" width="11.85546875" style="669" customWidth="1"/>
    <col min="6920" max="6923" width="12.7109375" style="669" customWidth="1"/>
    <col min="6924" max="6924" width="11.85546875" style="669" customWidth="1"/>
    <col min="6925" max="7169" width="9.140625" style="669"/>
    <col min="7170" max="7170" width="5.85546875" style="669" customWidth="1"/>
    <col min="7171" max="7171" width="37.140625" style="669" customWidth="1"/>
    <col min="7172" max="7172" width="11.7109375" style="669" customWidth="1"/>
    <col min="7173" max="7175" width="11.85546875" style="669" customWidth="1"/>
    <col min="7176" max="7179" width="12.7109375" style="669" customWidth="1"/>
    <col min="7180" max="7180" width="11.85546875" style="669" customWidth="1"/>
    <col min="7181" max="7425" width="9.140625" style="669"/>
    <col min="7426" max="7426" width="5.85546875" style="669" customWidth="1"/>
    <col min="7427" max="7427" width="37.140625" style="669" customWidth="1"/>
    <col min="7428" max="7428" width="11.7109375" style="669" customWidth="1"/>
    <col min="7429" max="7431" width="11.85546875" style="669" customWidth="1"/>
    <col min="7432" max="7435" width="12.7109375" style="669" customWidth="1"/>
    <col min="7436" max="7436" width="11.85546875" style="669" customWidth="1"/>
    <col min="7437" max="7681" width="9.140625" style="669"/>
    <col min="7682" max="7682" width="5.85546875" style="669" customWidth="1"/>
    <col min="7683" max="7683" width="37.140625" style="669" customWidth="1"/>
    <col min="7684" max="7684" width="11.7109375" style="669" customWidth="1"/>
    <col min="7685" max="7687" width="11.85546875" style="669" customWidth="1"/>
    <col min="7688" max="7691" width="12.7109375" style="669" customWidth="1"/>
    <col min="7692" max="7692" width="11.85546875" style="669" customWidth="1"/>
    <col min="7693" max="7937" width="9.140625" style="669"/>
    <col min="7938" max="7938" width="5.85546875" style="669" customWidth="1"/>
    <col min="7939" max="7939" width="37.140625" style="669" customWidth="1"/>
    <col min="7940" max="7940" width="11.7109375" style="669" customWidth="1"/>
    <col min="7941" max="7943" width="11.85546875" style="669" customWidth="1"/>
    <col min="7944" max="7947" width="12.7109375" style="669" customWidth="1"/>
    <col min="7948" max="7948" width="11.85546875" style="669" customWidth="1"/>
    <col min="7949" max="8193" width="9.140625" style="669"/>
    <col min="8194" max="8194" width="5.85546875" style="669" customWidth="1"/>
    <col min="8195" max="8195" width="37.140625" style="669" customWidth="1"/>
    <col min="8196" max="8196" width="11.7109375" style="669" customWidth="1"/>
    <col min="8197" max="8199" width="11.85546875" style="669" customWidth="1"/>
    <col min="8200" max="8203" width="12.7109375" style="669" customWidth="1"/>
    <col min="8204" max="8204" width="11.85546875" style="669" customWidth="1"/>
    <col min="8205" max="8449" width="9.140625" style="669"/>
    <col min="8450" max="8450" width="5.85546875" style="669" customWidth="1"/>
    <col min="8451" max="8451" width="37.140625" style="669" customWidth="1"/>
    <col min="8452" max="8452" width="11.7109375" style="669" customWidth="1"/>
    <col min="8453" max="8455" width="11.85546875" style="669" customWidth="1"/>
    <col min="8456" max="8459" width="12.7109375" style="669" customWidth="1"/>
    <col min="8460" max="8460" width="11.85546875" style="669" customWidth="1"/>
    <col min="8461" max="8705" width="9.140625" style="669"/>
    <col min="8706" max="8706" width="5.85546875" style="669" customWidth="1"/>
    <col min="8707" max="8707" width="37.140625" style="669" customWidth="1"/>
    <col min="8708" max="8708" width="11.7109375" style="669" customWidth="1"/>
    <col min="8709" max="8711" width="11.85546875" style="669" customWidth="1"/>
    <col min="8712" max="8715" width="12.7109375" style="669" customWidth="1"/>
    <col min="8716" max="8716" width="11.85546875" style="669" customWidth="1"/>
    <col min="8717" max="8961" width="9.140625" style="669"/>
    <col min="8962" max="8962" width="5.85546875" style="669" customWidth="1"/>
    <col min="8963" max="8963" width="37.140625" style="669" customWidth="1"/>
    <col min="8964" max="8964" width="11.7109375" style="669" customWidth="1"/>
    <col min="8965" max="8967" width="11.85546875" style="669" customWidth="1"/>
    <col min="8968" max="8971" width="12.7109375" style="669" customWidth="1"/>
    <col min="8972" max="8972" width="11.85546875" style="669" customWidth="1"/>
    <col min="8973" max="9217" width="9.140625" style="669"/>
    <col min="9218" max="9218" width="5.85546875" style="669" customWidth="1"/>
    <col min="9219" max="9219" width="37.140625" style="669" customWidth="1"/>
    <col min="9220" max="9220" width="11.7109375" style="669" customWidth="1"/>
    <col min="9221" max="9223" width="11.85546875" style="669" customWidth="1"/>
    <col min="9224" max="9227" width="12.7109375" style="669" customWidth="1"/>
    <col min="9228" max="9228" width="11.85546875" style="669" customWidth="1"/>
    <col min="9229" max="9473" width="9.140625" style="669"/>
    <col min="9474" max="9474" width="5.85546875" style="669" customWidth="1"/>
    <col min="9475" max="9475" width="37.140625" style="669" customWidth="1"/>
    <col min="9476" max="9476" width="11.7109375" style="669" customWidth="1"/>
    <col min="9477" max="9479" width="11.85546875" style="669" customWidth="1"/>
    <col min="9480" max="9483" width="12.7109375" style="669" customWidth="1"/>
    <col min="9484" max="9484" width="11.85546875" style="669" customWidth="1"/>
    <col min="9485" max="9729" width="9.140625" style="669"/>
    <col min="9730" max="9730" width="5.85546875" style="669" customWidth="1"/>
    <col min="9731" max="9731" width="37.140625" style="669" customWidth="1"/>
    <col min="9732" max="9732" width="11.7109375" style="669" customWidth="1"/>
    <col min="9733" max="9735" width="11.85546875" style="669" customWidth="1"/>
    <col min="9736" max="9739" width="12.7109375" style="669" customWidth="1"/>
    <col min="9740" max="9740" width="11.85546875" style="669" customWidth="1"/>
    <col min="9741" max="9985" width="9.140625" style="669"/>
    <col min="9986" max="9986" width="5.85546875" style="669" customWidth="1"/>
    <col min="9987" max="9987" width="37.140625" style="669" customWidth="1"/>
    <col min="9988" max="9988" width="11.7109375" style="669" customWidth="1"/>
    <col min="9989" max="9991" width="11.85546875" style="669" customWidth="1"/>
    <col min="9992" max="9995" width="12.7109375" style="669" customWidth="1"/>
    <col min="9996" max="9996" width="11.85546875" style="669" customWidth="1"/>
    <col min="9997" max="10241" width="9.140625" style="669"/>
    <col min="10242" max="10242" width="5.85546875" style="669" customWidth="1"/>
    <col min="10243" max="10243" width="37.140625" style="669" customWidth="1"/>
    <col min="10244" max="10244" width="11.7109375" style="669" customWidth="1"/>
    <col min="10245" max="10247" width="11.85546875" style="669" customWidth="1"/>
    <col min="10248" max="10251" width="12.7109375" style="669" customWidth="1"/>
    <col min="10252" max="10252" width="11.85546875" style="669" customWidth="1"/>
    <col min="10253" max="10497" width="9.140625" style="669"/>
    <col min="10498" max="10498" width="5.85546875" style="669" customWidth="1"/>
    <col min="10499" max="10499" width="37.140625" style="669" customWidth="1"/>
    <col min="10500" max="10500" width="11.7109375" style="669" customWidth="1"/>
    <col min="10501" max="10503" width="11.85546875" style="669" customWidth="1"/>
    <col min="10504" max="10507" width="12.7109375" style="669" customWidth="1"/>
    <col min="10508" max="10508" width="11.85546875" style="669" customWidth="1"/>
    <col min="10509" max="10753" width="9.140625" style="669"/>
    <col min="10754" max="10754" width="5.85546875" style="669" customWidth="1"/>
    <col min="10755" max="10755" width="37.140625" style="669" customWidth="1"/>
    <col min="10756" max="10756" width="11.7109375" style="669" customWidth="1"/>
    <col min="10757" max="10759" width="11.85546875" style="669" customWidth="1"/>
    <col min="10760" max="10763" width="12.7109375" style="669" customWidth="1"/>
    <col min="10764" max="10764" width="11.85546875" style="669" customWidth="1"/>
    <col min="10765" max="11009" width="9.140625" style="669"/>
    <col min="11010" max="11010" width="5.85546875" style="669" customWidth="1"/>
    <col min="11011" max="11011" width="37.140625" style="669" customWidth="1"/>
    <col min="11012" max="11012" width="11.7109375" style="669" customWidth="1"/>
    <col min="11013" max="11015" width="11.85546875" style="669" customWidth="1"/>
    <col min="11016" max="11019" width="12.7109375" style="669" customWidth="1"/>
    <col min="11020" max="11020" width="11.85546875" style="669" customWidth="1"/>
    <col min="11021" max="11265" width="9.140625" style="669"/>
    <col min="11266" max="11266" width="5.85546875" style="669" customWidth="1"/>
    <col min="11267" max="11267" width="37.140625" style="669" customWidth="1"/>
    <col min="11268" max="11268" width="11.7109375" style="669" customWidth="1"/>
    <col min="11269" max="11271" width="11.85546875" style="669" customWidth="1"/>
    <col min="11272" max="11275" width="12.7109375" style="669" customWidth="1"/>
    <col min="11276" max="11276" width="11.85546875" style="669" customWidth="1"/>
    <col min="11277" max="11521" width="9.140625" style="669"/>
    <col min="11522" max="11522" width="5.85546875" style="669" customWidth="1"/>
    <col min="11523" max="11523" width="37.140625" style="669" customWidth="1"/>
    <col min="11524" max="11524" width="11.7109375" style="669" customWidth="1"/>
    <col min="11525" max="11527" width="11.85546875" style="669" customWidth="1"/>
    <col min="11528" max="11531" width="12.7109375" style="669" customWidth="1"/>
    <col min="11532" max="11532" width="11.85546875" style="669" customWidth="1"/>
    <col min="11533" max="11777" width="9.140625" style="669"/>
    <col min="11778" max="11778" width="5.85546875" style="669" customWidth="1"/>
    <col min="11779" max="11779" width="37.140625" style="669" customWidth="1"/>
    <col min="11780" max="11780" width="11.7109375" style="669" customWidth="1"/>
    <col min="11781" max="11783" width="11.85546875" style="669" customWidth="1"/>
    <col min="11784" max="11787" width="12.7109375" style="669" customWidth="1"/>
    <col min="11788" max="11788" width="11.85546875" style="669" customWidth="1"/>
    <col min="11789" max="12033" width="9.140625" style="669"/>
    <col min="12034" max="12034" width="5.85546875" style="669" customWidth="1"/>
    <col min="12035" max="12035" width="37.140625" style="669" customWidth="1"/>
    <col min="12036" max="12036" width="11.7109375" style="669" customWidth="1"/>
    <col min="12037" max="12039" width="11.85546875" style="669" customWidth="1"/>
    <col min="12040" max="12043" width="12.7109375" style="669" customWidth="1"/>
    <col min="12044" max="12044" width="11.85546875" style="669" customWidth="1"/>
    <col min="12045" max="12289" width="9.140625" style="669"/>
    <col min="12290" max="12290" width="5.85546875" style="669" customWidth="1"/>
    <col min="12291" max="12291" width="37.140625" style="669" customWidth="1"/>
    <col min="12292" max="12292" width="11.7109375" style="669" customWidth="1"/>
    <col min="12293" max="12295" width="11.85546875" style="669" customWidth="1"/>
    <col min="12296" max="12299" width="12.7109375" style="669" customWidth="1"/>
    <col min="12300" max="12300" width="11.85546875" style="669" customWidth="1"/>
    <col min="12301" max="12545" width="9.140625" style="669"/>
    <col min="12546" max="12546" width="5.85546875" style="669" customWidth="1"/>
    <col min="12547" max="12547" width="37.140625" style="669" customWidth="1"/>
    <col min="12548" max="12548" width="11.7109375" style="669" customWidth="1"/>
    <col min="12549" max="12551" width="11.85546875" style="669" customWidth="1"/>
    <col min="12552" max="12555" width="12.7109375" style="669" customWidth="1"/>
    <col min="12556" max="12556" width="11.85546875" style="669" customWidth="1"/>
    <col min="12557" max="12801" width="9.140625" style="669"/>
    <col min="12802" max="12802" width="5.85546875" style="669" customWidth="1"/>
    <col min="12803" max="12803" width="37.140625" style="669" customWidth="1"/>
    <col min="12804" max="12804" width="11.7109375" style="669" customWidth="1"/>
    <col min="12805" max="12807" width="11.85546875" style="669" customWidth="1"/>
    <col min="12808" max="12811" width="12.7109375" style="669" customWidth="1"/>
    <col min="12812" max="12812" width="11.85546875" style="669" customWidth="1"/>
    <col min="12813" max="13057" width="9.140625" style="669"/>
    <col min="13058" max="13058" width="5.85546875" style="669" customWidth="1"/>
    <col min="13059" max="13059" width="37.140625" style="669" customWidth="1"/>
    <col min="13060" max="13060" width="11.7109375" style="669" customWidth="1"/>
    <col min="13061" max="13063" width="11.85546875" style="669" customWidth="1"/>
    <col min="13064" max="13067" width="12.7109375" style="669" customWidth="1"/>
    <col min="13068" max="13068" width="11.85546875" style="669" customWidth="1"/>
    <col min="13069" max="13313" width="9.140625" style="669"/>
    <col min="13314" max="13314" width="5.85546875" style="669" customWidth="1"/>
    <col min="13315" max="13315" width="37.140625" style="669" customWidth="1"/>
    <col min="13316" max="13316" width="11.7109375" style="669" customWidth="1"/>
    <col min="13317" max="13319" width="11.85546875" style="669" customWidth="1"/>
    <col min="13320" max="13323" width="12.7109375" style="669" customWidth="1"/>
    <col min="13324" max="13324" width="11.85546875" style="669" customWidth="1"/>
    <col min="13325" max="13569" width="9.140625" style="669"/>
    <col min="13570" max="13570" width="5.85546875" style="669" customWidth="1"/>
    <col min="13571" max="13571" width="37.140625" style="669" customWidth="1"/>
    <col min="13572" max="13572" width="11.7109375" style="669" customWidth="1"/>
    <col min="13573" max="13575" width="11.85546875" style="669" customWidth="1"/>
    <col min="13576" max="13579" width="12.7109375" style="669" customWidth="1"/>
    <col min="13580" max="13580" width="11.85546875" style="669" customWidth="1"/>
    <col min="13581" max="13825" width="9.140625" style="669"/>
    <col min="13826" max="13826" width="5.85546875" style="669" customWidth="1"/>
    <col min="13827" max="13827" width="37.140625" style="669" customWidth="1"/>
    <col min="13828" max="13828" width="11.7109375" style="669" customWidth="1"/>
    <col min="13829" max="13831" width="11.85546875" style="669" customWidth="1"/>
    <col min="13832" max="13835" width="12.7109375" style="669" customWidth="1"/>
    <col min="13836" max="13836" width="11.85546875" style="669" customWidth="1"/>
    <col min="13837" max="14081" width="9.140625" style="669"/>
    <col min="14082" max="14082" width="5.85546875" style="669" customWidth="1"/>
    <col min="14083" max="14083" width="37.140625" style="669" customWidth="1"/>
    <col min="14084" max="14084" width="11.7109375" style="669" customWidth="1"/>
    <col min="14085" max="14087" width="11.85546875" style="669" customWidth="1"/>
    <col min="14088" max="14091" width="12.7109375" style="669" customWidth="1"/>
    <col min="14092" max="14092" width="11.85546875" style="669" customWidth="1"/>
    <col min="14093" max="14337" width="9.140625" style="669"/>
    <col min="14338" max="14338" width="5.85546875" style="669" customWidth="1"/>
    <col min="14339" max="14339" width="37.140625" style="669" customWidth="1"/>
    <col min="14340" max="14340" width="11.7109375" style="669" customWidth="1"/>
    <col min="14341" max="14343" width="11.85546875" style="669" customWidth="1"/>
    <col min="14344" max="14347" width="12.7109375" style="669" customWidth="1"/>
    <col min="14348" max="14348" width="11.85546875" style="669" customWidth="1"/>
    <col min="14349" max="14593" width="9.140625" style="669"/>
    <col min="14594" max="14594" width="5.85546875" style="669" customWidth="1"/>
    <col min="14595" max="14595" width="37.140625" style="669" customWidth="1"/>
    <col min="14596" max="14596" width="11.7109375" style="669" customWidth="1"/>
    <col min="14597" max="14599" width="11.85546875" style="669" customWidth="1"/>
    <col min="14600" max="14603" width="12.7109375" style="669" customWidth="1"/>
    <col min="14604" max="14604" width="11.85546875" style="669" customWidth="1"/>
    <col min="14605" max="14849" width="9.140625" style="669"/>
    <col min="14850" max="14850" width="5.85546875" style="669" customWidth="1"/>
    <col min="14851" max="14851" width="37.140625" style="669" customWidth="1"/>
    <col min="14852" max="14852" width="11.7109375" style="669" customWidth="1"/>
    <col min="14853" max="14855" width="11.85546875" style="669" customWidth="1"/>
    <col min="14856" max="14859" width="12.7109375" style="669" customWidth="1"/>
    <col min="14860" max="14860" width="11.85546875" style="669" customWidth="1"/>
    <col min="14861" max="15105" width="9.140625" style="669"/>
    <col min="15106" max="15106" width="5.85546875" style="669" customWidth="1"/>
    <col min="15107" max="15107" width="37.140625" style="669" customWidth="1"/>
    <col min="15108" max="15108" width="11.7109375" style="669" customWidth="1"/>
    <col min="15109" max="15111" width="11.85546875" style="669" customWidth="1"/>
    <col min="15112" max="15115" width="12.7109375" style="669" customWidth="1"/>
    <col min="15116" max="15116" width="11.85546875" style="669" customWidth="1"/>
    <col min="15117" max="15361" width="9.140625" style="669"/>
    <col min="15362" max="15362" width="5.85546875" style="669" customWidth="1"/>
    <col min="15363" max="15363" width="37.140625" style="669" customWidth="1"/>
    <col min="15364" max="15364" width="11.7109375" style="669" customWidth="1"/>
    <col min="15365" max="15367" width="11.85546875" style="669" customWidth="1"/>
    <col min="15368" max="15371" width="12.7109375" style="669" customWidth="1"/>
    <col min="15372" max="15372" width="11.85546875" style="669" customWidth="1"/>
    <col min="15373" max="15617" width="9.140625" style="669"/>
    <col min="15618" max="15618" width="5.85546875" style="669" customWidth="1"/>
    <col min="15619" max="15619" width="37.140625" style="669" customWidth="1"/>
    <col min="15620" max="15620" width="11.7109375" style="669" customWidth="1"/>
    <col min="15621" max="15623" width="11.85546875" style="669" customWidth="1"/>
    <col min="15624" max="15627" width="12.7109375" style="669" customWidth="1"/>
    <col min="15628" max="15628" width="11.85546875" style="669" customWidth="1"/>
    <col min="15629" max="15873" width="9.140625" style="669"/>
    <col min="15874" max="15874" width="5.85546875" style="669" customWidth="1"/>
    <col min="15875" max="15875" width="37.140625" style="669" customWidth="1"/>
    <col min="15876" max="15876" width="11.7109375" style="669" customWidth="1"/>
    <col min="15877" max="15879" width="11.85546875" style="669" customWidth="1"/>
    <col min="15880" max="15883" width="12.7109375" style="669" customWidth="1"/>
    <col min="15884" max="15884" width="11.85546875" style="669" customWidth="1"/>
    <col min="15885" max="16129" width="9.140625" style="669"/>
    <col min="16130" max="16130" width="5.85546875" style="669" customWidth="1"/>
    <col min="16131" max="16131" width="37.140625" style="669" customWidth="1"/>
    <col min="16132" max="16132" width="11.7109375" style="669" customWidth="1"/>
    <col min="16133" max="16135" width="11.85546875" style="669" customWidth="1"/>
    <col min="16136" max="16139" width="12.7109375" style="669" customWidth="1"/>
    <col min="16140" max="16140" width="11.85546875" style="669" customWidth="1"/>
    <col min="16141" max="16384" width="9.140625" style="669"/>
  </cols>
  <sheetData>
    <row r="1" spans="1:12" hidden="1" outlineLevel="1">
      <c r="A1" s="801" t="s">
        <v>1057</v>
      </c>
      <c r="B1" s="801"/>
      <c r="C1" s="801"/>
      <c r="D1" s="801"/>
      <c r="E1" s="801"/>
      <c r="F1" s="801"/>
      <c r="G1" s="801"/>
      <c r="H1" s="801"/>
      <c r="I1" s="801"/>
      <c r="J1" s="801"/>
      <c r="K1" s="801"/>
      <c r="L1" s="801"/>
    </row>
    <row r="2" spans="1:12" hidden="1" outlineLevel="1">
      <c r="A2" s="801" t="s">
        <v>962</v>
      </c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</row>
    <row r="3" spans="1:12" hidden="1" outlineLevel="1">
      <c r="A3" s="803" t="s">
        <v>1056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</row>
    <row r="4" spans="1:12" hidden="1" outlineLevel="1"/>
    <row r="5" spans="1:12" ht="15.75" customHeight="1" collapsed="1">
      <c r="A5" s="802" t="s">
        <v>55</v>
      </c>
      <c r="B5" s="802" t="s">
        <v>69</v>
      </c>
      <c r="C5" s="802" t="s">
        <v>18</v>
      </c>
      <c r="D5" s="802" t="s">
        <v>369</v>
      </c>
      <c r="E5" s="802" t="s">
        <v>963</v>
      </c>
      <c r="F5" s="802" t="s">
        <v>964</v>
      </c>
      <c r="G5" s="802" t="s">
        <v>965</v>
      </c>
      <c r="H5" s="804" t="s">
        <v>475</v>
      </c>
      <c r="I5" s="805"/>
      <c r="J5" s="805"/>
      <c r="K5" s="806"/>
      <c r="L5" s="802" t="s">
        <v>75</v>
      </c>
    </row>
    <row r="6" spans="1:12" ht="48" customHeight="1">
      <c r="A6" s="802"/>
      <c r="B6" s="802"/>
      <c r="C6" s="802"/>
      <c r="D6" s="802"/>
      <c r="E6" s="802"/>
      <c r="F6" s="802"/>
      <c r="G6" s="802"/>
      <c r="H6" s="667" t="s">
        <v>966</v>
      </c>
      <c r="I6" s="667" t="s">
        <v>967</v>
      </c>
      <c r="J6" s="708" t="s">
        <v>1034</v>
      </c>
      <c r="K6" s="709" t="s">
        <v>1033</v>
      </c>
      <c r="L6" s="802"/>
    </row>
    <row r="7" spans="1:12">
      <c r="A7" s="667">
        <v>1</v>
      </c>
      <c r="B7" s="667">
        <v>2</v>
      </c>
      <c r="C7" s="667">
        <v>3</v>
      </c>
      <c r="D7" s="667">
        <v>4</v>
      </c>
      <c r="E7" s="667">
        <v>5</v>
      </c>
      <c r="F7" s="667"/>
      <c r="G7" s="667">
        <v>6</v>
      </c>
      <c r="H7" s="667"/>
      <c r="I7" s="667"/>
      <c r="J7" s="707" t="s">
        <v>1036</v>
      </c>
      <c r="K7" s="707" t="s">
        <v>1035</v>
      </c>
      <c r="L7" s="667">
        <v>7</v>
      </c>
    </row>
    <row r="8" spans="1:12" s="672" customFormat="1" ht="31.5">
      <c r="A8" s="209"/>
      <c r="B8" s="209" t="s">
        <v>968</v>
      </c>
      <c r="C8" s="202"/>
      <c r="D8" s="202"/>
      <c r="E8" s="670"/>
      <c r="F8" s="670"/>
      <c r="G8" s="670"/>
      <c r="H8" s="671"/>
      <c r="I8" s="273"/>
      <c r="J8" s="273"/>
      <c r="K8" s="273"/>
      <c r="L8" s="202"/>
    </row>
    <row r="9" spans="1:12" ht="21.75" customHeight="1">
      <c r="A9" s="1">
        <v>1</v>
      </c>
      <c r="B9" s="206" t="s">
        <v>969</v>
      </c>
      <c r="C9" s="1" t="s">
        <v>970</v>
      </c>
      <c r="D9" s="599">
        <v>95.378</v>
      </c>
      <c r="E9" s="673">
        <v>100</v>
      </c>
      <c r="F9" s="674">
        <v>111.658</v>
      </c>
      <c r="G9" s="674">
        <f>F9</f>
        <v>111.658</v>
      </c>
      <c r="H9" s="266">
        <f t="shared" ref="H9:H75" si="0">IFERROR(F9/D9%,"")</f>
        <v>117.06892574807608</v>
      </c>
      <c r="I9" s="266">
        <f t="shared" ref="I9:I75" si="1">IFERROR(F9/E9%,"")</f>
        <v>111.658</v>
      </c>
      <c r="J9" s="266">
        <f t="shared" ref="J9:J47" si="2">IFERROR(G9/D9%,"")</f>
        <v>117.06892574807608</v>
      </c>
      <c r="K9" s="266">
        <f>IFERROR(G9/E9%,"")</f>
        <v>111.658</v>
      </c>
      <c r="L9" s="1" t="s">
        <v>1037</v>
      </c>
    </row>
    <row r="10" spans="1:12" s="700" customFormat="1" ht="21.75" hidden="1" customHeight="1" outlineLevel="1">
      <c r="A10" s="695"/>
      <c r="B10" s="696" t="s">
        <v>971</v>
      </c>
      <c r="C10" s="695" t="s">
        <v>970</v>
      </c>
      <c r="D10" s="697">
        <v>89.558999999999997</v>
      </c>
      <c r="E10" s="698"/>
      <c r="F10" s="701">
        <v>90.736000000000004</v>
      </c>
      <c r="G10" s="702">
        <f>'6 tháng 2021'!J12/2/1000</f>
        <v>41.087000000000003</v>
      </c>
      <c r="H10" s="699">
        <f t="shared" si="0"/>
        <v>101.3142174432497</v>
      </c>
      <c r="I10" s="699" t="str">
        <f t="shared" si="1"/>
        <v/>
      </c>
      <c r="J10" s="699">
        <f t="shared" si="2"/>
        <v>45.877019618352151</v>
      </c>
      <c r="K10" s="699" t="str">
        <f t="shared" ref="K10:K75" si="3">IFERROR(G10/E10%,"")</f>
        <v/>
      </c>
      <c r="L10" s="696"/>
    </row>
    <row r="11" spans="1:12" collapsed="1">
      <c r="A11" s="1">
        <v>2</v>
      </c>
      <c r="B11" s="206" t="s">
        <v>761</v>
      </c>
      <c r="C11" s="1" t="s">
        <v>331</v>
      </c>
      <c r="D11" s="599">
        <v>21.856999999999999</v>
      </c>
      <c r="E11" s="673">
        <v>33</v>
      </c>
      <c r="F11" s="675"/>
      <c r="G11" s="673">
        <v>34</v>
      </c>
      <c r="H11" s="266">
        <f t="shared" si="0"/>
        <v>0</v>
      </c>
      <c r="I11" s="266">
        <f t="shared" si="1"/>
        <v>0</v>
      </c>
      <c r="J11" s="266">
        <f t="shared" si="2"/>
        <v>155.5565722651782</v>
      </c>
      <c r="K11" s="266">
        <f t="shared" si="3"/>
        <v>103.03030303030303</v>
      </c>
      <c r="L11" s="206"/>
    </row>
    <row r="12" spans="1:12" ht="21.75" customHeight="1">
      <c r="A12" s="1">
        <v>3</v>
      </c>
      <c r="B12" s="170" t="s">
        <v>972</v>
      </c>
      <c r="C12" s="1" t="s">
        <v>57</v>
      </c>
      <c r="D12" s="282">
        <v>172</v>
      </c>
      <c r="E12" s="673">
        <v>157</v>
      </c>
      <c r="F12" s="673">
        <f>'6 tháng 2021'!I24</f>
        <v>157.01213460275429</v>
      </c>
      <c r="G12" s="673">
        <f>'6 tháng 2021'!J24</f>
        <v>152.34</v>
      </c>
      <c r="H12" s="266">
        <f t="shared" si="0"/>
        <v>91.286124769043198</v>
      </c>
      <c r="I12" s="266">
        <f t="shared" si="1"/>
        <v>100.0077290463403</v>
      </c>
      <c r="J12" s="266">
        <f t="shared" si="2"/>
        <v>88.569767441860463</v>
      </c>
      <c r="K12" s="266">
        <f t="shared" si="3"/>
        <v>97.031847133757964</v>
      </c>
      <c r="L12" s="1" t="s">
        <v>1037</v>
      </c>
    </row>
    <row r="13" spans="1:12" s="672" customFormat="1" ht="24" customHeight="1">
      <c r="A13" s="167" t="s">
        <v>38</v>
      </c>
      <c r="B13" s="204" t="s">
        <v>973</v>
      </c>
      <c r="C13" s="167"/>
      <c r="D13" s="281"/>
      <c r="E13" s="676"/>
      <c r="F13" s="676"/>
      <c r="G13" s="676"/>
      <c r="H13" s="266" t="str">
        <f t="shared" si="0"/>
        <v/>
      </c>
      <c r="I13" s="266" t="str">
        <f t="shared" si="1"/>
        <v/>
      </c>
      <c r="J13" s="266" t="str">
        <f t="shared" si="2"/>
        <v/>
      </c>
      <c r="K13" s="266" t="str">
        <f t="shared" si="3"/>
        <v/>
      </c>
      <c r="L13" s="204"/>
    </row>
    <row r="14" spans="1:12" s="672" customFormat="1" ht="21.75" customHeight="1">
      <c r="A14" s="167">
        <v>1</v>
      </c>
      <c r="B14" s="204" t="s">
        <v>974</v>
      </c>
      <c r="C14" s="167"/>
      <c r="D14" s="281"/>
      <c r="E14" s="676"/>
      <c r="F14" s="676"/>
      <c r="G14" s="676"/>
      <c r="H14" s="266" t="str">
        <f t="shared" si="0"/>
        <v/>
      </c>
      <c r="I14" s="266" t="str">
        <f t="shared" si="1"/>
        <v/>
      </c>
      <c r="J14" s="266" t="str">
        <f t="shared" si="2"/>
        <v/>
      </c>
      <c r="K14" s="266" t="str">
        <f t="shared" si="3"/>
        <v/>
      </c>
      <c r="L14" s="204"/>
    </row>
    <row r="15" spans="1:12" ht="21.75" customHeight="1">
      <c r="A15" s="1"/>
      <c r="B15" s="206" t="s">
        <v>803</v>
      </c>
      <c r="C15" s="1" t="s">
        <v>37</v>
      </c>
      <c r="D15" s="673">
        <f>D16+D19+D20+D21+D22</f>
        <v>8181.9</v>
      </c>
      <c r="E15" s="673">
        <v>7900</v>
      </c>
      <c r="F15" s="673" t="e">
        <f>F16+F19+F20+F21+F22</f>
        <v>#REF!</v>
      </c>
      <c r="G15" s="673" t="e">
        <f>G16+G19+G20+G21+G22</f>
        <v>#REF!</v>
      </c>
      <c r="H15" s="266" t="str">
        <f t="shared" si="0"/>
        <v/>
      </c>
      <c r="I15" s="266" t="str">
        <f t="shared" si="1"/>
        <v/>
      </c>
      <c r="J15" s="266" t="str">
        <f t="shared" si="2"/>
        <v/>
      </c>
      <c r="K15" s="266" t="str">
        <f t="shared" si="3"/>
        <v/>
      </c>
      <c r="L15" s="206"/>
    </row>
    <row r="16" spans="1:12" s="680" customFormat="1" ht="21.75" hidden="1" customHeight="1" outlineLevel="1">
      <c r="A16" s="677" t="s">
        <v>557</v>
      </c>
      <c r="B16" s="678" t="s">
        <v>22</v>
      </c>
      <c r="C16" s="677" t="s">
        <v>37</v>
      </c>
      <c r="D16" s="679">
        <f>D17+D18</f>
        <v>1673.3999999999999</v>
      </c>
      <c r="E16" s="679">
        <f>E17+E18</f>
        <v>0</v>
      </c>
      <c r="F16" s="679">
        <f>F17+F18</f>
        <v>1646.3700000000001</v>
      </c>
      <c r="G16" s="679">
        <f>G17+G18</f>
        <v>646.25</v>
      </c>
      <c r="H16" s="266">
        <f t="shared" si="0"/>
        <v>98.384725708139129</v>
      </c>
      <c r="I16" s="266" t="str">
        <f t="shared" si="1"/>
        <v/>
      </c>
      <c r="J16" s="266">
        <f t="shared" si="2"/>
        <v>38.618979323532933</v>
      </c>
      <c r="K16" s="266" t="str">
        <f t="shared" si="3"/>
        <v/>
      </c>
      <c r="L16" s="678"/>
    </row>
    <row r="17" spans="1:12" s="680" customFormat="1" ht="21.75" hidden="1" customHeight="1" outlineLevel="1">
      <c r="A17" s="681" t="s">
        <v>155</v>
      </c>
      <c r="B17" s="678" t="s">
        <v>975</v>
      </c>
      <c r="C17" s="677" t="s">
        <v>37</v>
      </c>
      <c r="D17" s="679">
        <v>1586.6</v>
      </c>
      <c r="E17" s="679"/>
      <c r="F17" s="679">
        <f>'6 tháng 2021'!I25</f>
        <v>1560.97</v>
      </c>
      <c r="G17" s="679">
        <f>'6 tháng 2021'!L25</f>
        <v>598</v>
      </c>
      <c r="H17" s="266">
        <f t="shared" si="0"/>
        <v>98.384595991428213</v>
      </c>
      <c r="I17" s="266" t="str">
        <f t="shared" si="1"/>
        <v/>
      </c>
      <c r="J17" s="266">
        <f t="shared" si="2"/>
        <v>37.690659271397962</v>
      </c>
      <c r="K17" s="266" t="str">
        <f t="shared" si="3"/>
        <v/>
      </c>
      <c r="L17" s="678"/>
    </row>
    <row r="18" spans="1:12" s="680" customFormat="1" ht="21.75" hidden="1" customHeight="1" outlineLevel="1">
      <c r="A18" s="681" t="s">
        <v>155</v>
      </c>
      <c r="B18" s="678" t="s">
        <v>811</v>
      </c>
      <c r="C18" s="677" t="s">
        <v>37</v>
      </c>
      <c r="D18" s="679">
        <v>86.8</v>
      </c>
      <c r="E18" s="679"/>
      <c r="F18" s="679">
        <f>'6 tháng 2021'!I40</f>
        <v>85.4</v>
      </c>
      <c r="G18" s="679">
        <f>'6 tháng 2021'!L40</f>
        <v>48.25</v>
      </c>
      <c r="H18" s="266">
        <f t="shared" si="0"/>
        <v>98.387096774193552</v>
      </c>
      <c r="I18" s="266" t="str">
        <f t="shared" si="1"/>
        <v/>
      </c>
      <c r="J18" s="266">
        <f t="shared" si="2"/>
        <v>55.587557603686633</v>
      </c>
      <c r="K18" s="266" t="str">
        <f t="shared" si="3"/>
        <v/>
      </c>
      <c r="L18" s="678"/>
    </row>
    <row r="19" spans="1:12" s="680" customFormat="1" ht="21.75" hidden="1" customHeight="1" outlineLevel="1">
      <c r="A19" s="677" t="s">
        <v>557</v>
      </c>
      <c r="B19" s="678" t="s">
        <v>29</v>
      </c>
      <c r="C19" s="677" t="s">
        <v>37</v>
      </c>
      <c r="D19" s="679">
        <v>6273</v>
      </c>
      <c r="E19" s="679"/>
      <c r="F19" s="679">
        <f>'6 tháng 2021'!I49</f>
        <v>5281.3</v>
      </c>
      <c r="G19" s="679">
        <f>'6 tháng 2021'!L49</f>
        <v>4169</v>
      </c>
      <c r="H19" s="266">
        <f t="shared" si="0"/>
        <v>84.190977203889688</v>
      </c>
      <c r="I19" s="266" t="str">
        <f t="shared" si="1"/>
        <v/>
      </c>
      <c r="J19" s="266">
        <f t="shared" si="2"/>
        <v>66.459429300175358</v>
      </c>
      <c r="K19" s="266" t="str">
        <f t="shared" si="3"/>
        <v/>
      </c>
      <c r="L19" s="678"/>
    </row>
    <row r="20" spans="1:12" s="680" customFormat="1" ht="21.75" hidden="1" customHeight="1" outlineLevel="1">
      <c r="A20" s="677" t="s">
        <v>557</v>
      </c>
      <c r="B20" s="678" t="s">
        <v>976</v>
      </c>
      <c r="C20" s="677" t="s">
        <v>37</v>
      </c>
      <c r="D20" s="679">
        <v>9.1999999999999993</v>
      </c>
      <c r="E20" s="679"/>
      <c r="F20" s="679">
        <f>'6 tháng 2021'!I52</f>
        <v>29.1</v>
      </c>
      <c r="G20" s="679">
        <f>'6 tháng 2021'!L52</f>
        <v>31</v>
      </c>
      <c r="H20" s="266">
        <f t="shared" si="0"/>
        <v>316.304347826087</v>
      </c>
      <c r="I20" s="266" t="str">
        <f t="shared" si="1"/>
        <v/>
      </c>
      <c r="J20" s="266">
        <f t="shared" si="2"/>
        <v>336.95652173913044</v>
      </c>
      <c r="K20" s="266" t="str">
        <f t="shared" si="3"/>
        <v/>
      </c>
      <c r="L20" s="678"/>
    </row>
    <row r="21" spans="1:12" s="680" customFormat="1" ht="21.75" hidden="1" customHeight="1" outlineLevel="1">
      <c r="A21" s="677" t="s">
        <v>557</v>
      </c>
      <c r="B21" s="678" t="s">
        <v>977</v>
      </c>
      <c r="C21" s="677" t="s">
        <v>37</v>
      </c>
      <c r="D21" s="679">
        <v>226.3</v>
      </c>
      <c r="E21" s="679"/>
      <c r="F21" s="679">
        <f>'6 tháng 2021'!I56</f>
        <v>256.39999999999998</v>
      </c>
      <c r="G21" s="679">
        <f>'6 tháng 2021'!L56</f>
        <v>175</v>
      </c>
      <c r="H21" s="266">
        <f t="shared" si="0"/>
        <v>113.30092797171895</v>
      </c>
      <c r="I21" s="266" t="str">
        <f t="shared" si="1"/>
        <v/>
      </c>
      <c r="J21" s="266">
        <f t="shared" si="2"/>
        <v>77.330976579761384</v>
      </c>
      <c r="K21" s="266" t="str">
        <f t="shared" si="3"/>
        <v/>
      </c>
      <c r="L21" s="678"/>
    </row>
    <row r="22" spans="1:12" s="680" customFormat="1" ht="21.75" hidden="1" customHeight="1" outlineLevel="1">
      <c r="A22" s="677" t="s">
        <v>557</v>
      </c>
      <c r="B22" s="678" t="s">
        <v>498</v>
      </c>
      <c r="C22" s="677" t="s">
        <v>37</v>
      </c>
      <c r="D22" s="679"/>
      <c r="E22" s="679"/>
      <c r="F22" s="679" t="e">
        <f>'6 tháng 2021'!#REF!</f>
        <v>#REF!</v>
      </c>
      <c r="G22" s="679" t="e">
        <f>'6 tháng 2021'!#REF!</f>
        <v>#REF!</v>
      </c>
      <c r="H22" s="266" t="str">
        <f>IFERROR(F22/D22%,"")</f>
        <v/>
      </c>
      <c r="I22" s="266" t="str">
        <f>IFERROR(F22/E22%,"")</f>
        <v/>
      </c>
      <c r="J22" s="266" t="str">
        <f t="shared" si="2"/>
        <v/>
      </c>
      <c r="K22" s="266" t="str">
        <f>IFERROR(G22/E22%,"")</f>
        <v/>
      </c>
      <c r="L22" s="678"/>
    </row>
    <row r="23" spans="1:12" ht="21.75" customHeight="1" collapsed="1">
      <c r="A23" s="1"/>
      <c r="B23" s="206" t="s">
        <v>122</v>
      </c>
      <c r="C23" s="1" t="s">
        <v>37</v>
      </c>
      <c r="D23" s="673">
        <f>SUM(D24:D26)</f>
        <v>9587</v>
      </c>
      <c r="E23" s="673">
        <v>10000</v>
      </c>
      <c r="F23" s="673">
        <f>SUM(F24:F26)</f>
        <v>10463.9</v>
      </c>
      <c r="G23" s="673">
        <f>SUM(G24:G26)</f>
        <v>10616</v>
      </c>
      <c r="H23" s="266">
        <f t="shared" si="0"/>
        <v>109.14676123917805</v>
      </c>
      <c r="I23" s="266">
        <f t="shared" si="1"/>
        <v>104.639</v>
      </c>
      <c r="J23" s="266">
        <f t="shared" si="2"/>
        <v>110.73328465630541</v>
      </c>
      <c r="K23" s="266">
        <f t="shared" si="3"/>
        <v>106.16</v>
      </c>
      <c r="L23" s="206"/>
    </row>
    <row r="24" spans="1:12" s="680" customFormat="1" ht="21.75" hidden="1" customHeight="1" outlineLevel="1">
      <c r="A24" s="677" t="s">
        <v>557</v>
      </c>
      <c r="B24" s="678" t="s">
        <v>558</v>
      </c>
      <c r="C24" s="677" t="s">
        <v>37</v>
      </c>
      <c r="D24" s="682">
        <v>1559</v>
      </c>
      <c r="E24" s="679"/>
      <c r="F24" s="679">
        <f>'6 tháng 2021'!I73</f>
        <v>2299.5</v>
      </c>
      <c r="G24" s="679">
        <f>'6 tháng 2021'!L73</f>
        <v>2668</v>
      </c>
      <c r="H24" s="266">
        <f t="shared" si="0"/>
        <v>147.49839640795381</v>
      </c>
      <c r="I24" s="266" t="str">
        <f t="shared" si="1"/>
        <v/>
      </c>
      <c r="J24" s="266">
        <f t="shared" si="2"/>
        <v>171.13534316869789</v>
      </c>
      <c r="K24" s="266" t="str">
        <f t="shared" si="3"/>
        <v/>
      </c>
      <c r="L24" s="678"/>
    </row>
    <row r="25" spans="1:12" s="680" customFormat="1" ht="21.75" hidden="1" customHeight="1" outlineLevel="1">
      <c r="A25" s="677" t="s">
        <v>557</v>
      </c>
      <c r="B25" s="678" t="s">
        <v>559</v>
      </c>
      <c r="C25" s="677" t="s">
        <v>37</v>
      </c>
      <c r="D25" s="682">
        <v>7874</v>
      </c>
      <c r="E25" s="679"/>
      <c r="F25" s="679">
        <f>'6 tháng 2021'!I79</f>
        <v>7730.1</v>
      </c>
      <c r="G25" s="679">
        <f>'6 tháng 2021'!L79</f>
        <v>7615</v>
      </c>
      <c r="H25" s="266">
        <f t="shared" si="0"/>
        <v>98.172466344932701</v>
      </c>
      <c r="I25" s="266" t="str">
        <f t="shared" si="1"/>
        <v/>
      </c>
      <c r="J25" s="266">
        <f t="shared" si="2"/>
        <v>96.71069342138685</v>
      </c>
      <c r="K25" s="266" t="str">
        <f t="shared" si="3"/>
        <v/>
      </c>
      <c r="L25" s="678"/>
    </row>
    <row r="26" spans="1:12" s="680" customFormat="1" ht="21.75" hidden="1" customHeight="1" outlineLevel="1">
      <c r="A26" s="677" t="s">
        <v>557</v>
      </c>
      <c r="B26" s="678" t="s">
        <v>498</v>
      </c>
      <c r="C26" s="677" t="s">
        <v>37</v>
      </c>
      <c r="D26" s="683">
        <v>154</v>
      </c>
      <c r="E26" s="679"/>
      <c r="F26" s="679">
        <f>'6 tháng 2021'!I85+'6 tháng 2021'!I90</f>
        <v>434.30000000000007</v>
      </c>
      <c r="G26" s="679">
        <f>'6 tháng 2021'!L85+'6 tháng 2021'!L90</f>
        <v>333</v>
      </c>
      <c r="H26" s="266">
        <f t="shared" si="0"/>
        <v>282.01298701298703</v>
      </c>
      <c r="I26" s="266" t="str">
        <f t="shared" si="1"/>
        <v/>
      </c>
      <c r="J26" s="266">
        <f t="shared" si="2"/>
        <v>216.23376623376623</v>
      </c>
      <c r="K26" s="266" t="str">
        <f t="shared" si="3"/>
        <v/>
      </c>
      <c r="L26" s="678"/>
    </row>
    <row r="27" spans="1:12" s="672" customFormat="1" ht="21" customHeight="1" collapsed="1">
      <c r="A27" s="167">
        <v>2</v>
      </c>
      <c r="B27" s="204" t="s">
        <v>96</v>
      </c>
      <c r="C27" s="167"/>
      <c r="D27" s="281"/>
      <c r="E27" s="676"/>
      <c r="F27" s="676"/>
      <c r="G27" s="676"/>
      <c r="H27" s="266" t="str">
        <f t="shared" si="0"/>
        <v/>
      </c>
      <c r="I27" s="266" t="str">
        <f t="shared" si="1"/>
        <v/>
      </c>
      <c r="J27" s="266" t="str">
        <f t="shared" si="2"/>
        <v/>
      </c>
      <c r="K27" s="266" t="str">
        <f t="shared" si="3"/>
        <v/>
      </c>
      <c r="L27" s="204"/>
    </row>
    <row r="28" spans="1:12" ht="18.75" customHeight="1">
      <c r="A28" s="1"/>
      <c r="B28" s="206" t="s">
        <v>978</v>
      </c>
      <c r="C28" s="1" t="s">
        <v>54</v>
      </c>
      <c r="D28" s="673">
        <v>2443</v>
      </c>
      <c r="E28" s="673">
        <v>2500</v>
      </c>
      <c r="F28" s="673">
        <f>'6 tháng 2021'!I100</f>
        <v>2600</v>
      </c>
      <c r="G28" s="673">
        <f>'6 tháng 2021'!L100</f>
        <v>2482</v>
      </c>
      <c r="H28" s="266">
        <f t="shared" si="0"/>
        <v>106.42652476463365</v>
      </c>
      <c r="I28" s="266">
        <f t="shared" si="1"/>
        <v>104</v>
      </c>
      <c r="J28" s="266">
        <f t="shared" si="2"/>
        <v>101.59639787146951</v>
      </c>
      <c r="K28" s="266">
        <f t="shared" si="3"/>
        <v>99.28</v>
      </c>
      <c r="L28" s="206"/>
    </row>
    <row r="29" spans="1:12" ht="18.75" customHeight="1">
      <c r="A29" s="1"/>
      <c r="B29" s="206" t="s">
        <v>979</v>
      </c>
      <c r="C29" s="1" t="s">
        <v>54</v>
      </c>
      <c r="D29" s="673">
        <v>3205</v>
      </c>
      <c r="E29" s="673">
        <v>3200</v>
      </c>
      <c r="F29" s="673">
        <f>'6 tháng 2021'!I101</f>
        <v>5087</v>
      </c>
      <c r="G29" s="673">
        <f>'6 tháng 2021'!L101</f>
        <v>5103</v>
      </c>
      <c r="H29" s="266">
        <f t="shared" si="0"/>
        <v>158.72074882995321</v>
      </c>
      <c r="I29" s="266">
        <f t="shared" si="1"/>
        <v>158.96875</v>
      </c>
      <c r="J29" s="266">
        <f t="shared" si="2"/>
        <v>159.21996879875198</v>
      </c>
      <c r="K29" s="266">
        <f t="shared" si="3"/>
        <v>159.46875</v>
      </c>
      <c r="L29" s="206"/>
    </row>
    <row r="30" spans="1:12" ht="18.75" customHeight="1">
      <c r="A30" s="1"/>
      <c r="B30" s="206" t="s">
        <v>980</v>
      </c>
      <c r="C30" s="1" t="s">
        <v>54</v>
      </c>
      <c r="D30" s="673">
        <v>12620</v>
      </c>
      <c r="E30" s="673">
        <v>25000</v>
      </c>
      <c r="F30" s="673">
        <f>'6 tháng 2021'!I102</f>
        <v>12551</v>
      </c>
      <c r="G30" s="673">
        <f>'6 tháng 2021'!L102</f>
        <v>9214</v>
      </c>
      <c r="H30" s="266">
        <f t="shared" si="0"/>
        <v>99.453248811410461</v>
      </c>
      <c r="I30" s="266">
        <f t="shared" si="1"/>
        <v>50.204000000000001</v>
      </c>
      <c r="J30" s="266">
        <f t="shared" si="2"/>
        <v>73.011093502377179</v>
      </c>
      <c r="K30" s="266">
        <f t="shared" si="3"/>
        <v>36.856000000000002</v>
      </c>
      <c r="L30" s="206"/>
    </row>
    <row r="31" spans="1:12" s="672" customFormat="1" ht="18.75" customHeight="1">
      <c r="A31" s="167" t="s">
        <v>39</v>
      </c>
      <c r="B31" s="204" t="s">
        <v>981</v>
      </c>
      <c r="C31" s="167"/>
      <c r="D31" s="281"/>
      <c r="E31" s="676"/>
      <c r="F31" s="676"/>
      <c r="G31" s="676"/>
      <c r="H31" s="266" t="str">
        <f t="shared" si="0"/>
        <v/>
      </c>
      <c r="I31" s="266" t="str">
        <f t="shared" si="1"/>
        <v/>
      </c>
      <c r="J31" s="266" t="str">
        <f t="shared" si="2"/>
        <v/>
      </c>
      <c r="K31" s="266" t="str">
        <f t="shared" si="3"/>
        <v/>
      </c>
      <c r="L31" s="204"/>
    </row>
    <row r="32" spans="1:12" ht="18.75" customHeight="1">
      <c r="A32" s="1">
        <v>1</v>
      </c>
      <c r="B32" s="206" t="s">
        <v>982</v>
      </c>
      <c r="C32" s="1" t="s">
        <v>37</v>
      </c>
      <c r="D32" s="673">
        <v>50641</v>
      </c>
      <c r="E32" s="673">
        <v>50641</v>
      </c>
      <c r="F32" s="673">
        <v>50870</v>
      </c>
      <c r="G32" s="673">
        <f>F32</f>
        <v>50870</v>
      </c>
      <c r="H32" s="266">
        <f t="shared" si="0"/>
        <v>100.45220276060898</v>
      </c>
      <c r="I32" s="266">
        <f t="shared" si="1"/>
        <v>100.45220276060898</v>
      </c>
      <c r="J32" s="266">
        <f t="shared" si="2"/>
        <v>100.45220276060898</v>
      </c>
      <c r="K32" s="266">
        <f t="shared" si="3"/>
        <v>100.45220276060898</v>
      </c>
      <c r="L32" s="206"/>
    </row>
    <row r="33" spans="1:14" ht="18.75" customHeight="1">
      <c r="A33" s="1">
        <v>2</v>
      </c>
      <c r="B33" s="206" t="s">
        <v>983</v>
      </c>
      <c r="C33" s="1" t="s">
        <v>37</v>
      </c>
      <c r="D33" s="673">
        <v>22941</v>
      </c>
      <c r="E33" s="673">
        <v>25450</v>
      </c>
      <c r="F33" s="673">
        <v>15886</v>
      </c>
      <c r="G33" s="673">
        <f>F33</f>
        <v>15886</v>
      </c>
      <c r="H33" s="266">
        <f t="shared" si="0"/>
        <v>69.2471993374308</v>
      </c>
      <c r="I33" s="266">
        <f t="shared" si="1"/>
        <v>62.420432220039295</v>
      </c>
      <c r="J33" s="266">
        <f t="shared" si="2"/>
        <v>69.2471993374308</v>
      </c>
      <c r="K33" s="266">
        <f t="shared" si="3"/>
        <v>62.420432220039295</v>
      </c>
      <c r="L33" s="206"/>
      <c r="N33" s="684"/>
    </row>
    <row r="34" spans="1:14" ht="18.75" customHeight="1">
      <c r="A34" s="1">
        <v>3</v>
      </c>
      <c r="B34" s="206" t="s">
        <v>984</v>
      </c>
      <c r="C34" s="1" t="s">
        <v>33</v>
      </c>
      <c r="D34" s="599">
        <v>45.25</v>
      </c>
      <c r="E34" s="685">
        <v>50</v>
      </c>
      <c r="F34" s="685">
        <f>F33/F32%</f>
        <v>31.228621977589935</v>
      </c>
      <c r="G34" s="685">
        <f>G33/G32%</f>
        <v>31.228621977589935</v>
      </c>
      <c r="H34" s="266">
        <f t="shared" si="0"/>
        <v>69.013529232242945</v>
      </c>
      <c r="I34" s="266">
        <f t="shared" si="1"/>
        <v>62.457243955179869</v>
      </c>
      <c r="J34" s="266">
        <f t="shared" si="2"/>
        <v>69.013529232242945</v>
      </c>
      <c r="K34" s="266">
        <f t="shared" si="3"/>
        <v>62.457243955179869</v>
      </c>
      <c r="L34" s="206"/>
    </row>
    <row r="35" spans="1:14" ht="18.75" customHeight="1">
      <c r="A35" s="1">
        <v>4</v>
      </c>
      <c r="B35" s="206" t="s">
        <v>985</v>
      </c>
      <c r="C35" s="1" t="s">
        <v>37</v>
      </c>
      <c r="D35" s="673">
        <v>8265</v>
      </c>
      <c r="E35" s="673">
        <v>10100</v>
      </c>
      <c r="F35" s="673">
        <v>3873</v>
      </c>
      <c r="G35" s="673">
        <f>F35</f>
        <v>3873</v>
      </c>
      <c r="H35" s="266">
        <f t="shared" si="0"/>
        <v>46.86025408348457</v>
      </c>
      <c r="I35" s="266">
        <f t="shared" si="1"/>
        <v>38.346534653465348</v>
      </c>
      <c r="J35" s="266">
        <f t="shared" si="2"/>
        <v>46.86025408348457</v>
      </c>
      <c r="K35" s="266">
        <f t="shared" si="3"/>
        <v>38.346534653465348</v>
      </c>
      <c r="L35" s="206"/>
    </row>
    <row r="36" spans="1:14" s="672" customFormat="1" ht="20.25" customHeight="1">
      <c r="A36" s="167" t="s">
        <v>47</v>
      </c>
      <c r="B36" s="204" t="s">
        <v>986</v>
      </c>
      <c r="C36" s="167"/>
      <c r="D36" s="673"/>
      <c r="E36" s="676"/>
      <c r="F36" s="676"/>
      <c r="G36" s="676"/>
      <c r="H36" s="266" t="str">
        <f t="shared" si="0"/>
        <v/>
      </c>
      <c r="I36" s="266" t="str">
        <f t="shared" si="1"/>
        <v/>
      </c>
      <c r="J36" s="266" t="str">
        <f t="shared" si="2"/>
        <v/>
      </c>
      <c r="K36" s="266" t="str">
        <f t="shared" si="3"/>
        <v/>
      </c>
      <c r="L36" s="204"/>
    </row>
    <row r="37" spans="1:14" s="672" customFormat="1" ht="21.75" customHeight="1">
      <c r="A37" s="167">
        <v>1</v>
      </c>
      <c r="B37" s="204" t="s">
        <v>987</v>
      </c>
      <c r="C37" s="167"/>
      <c r="D37" s="676"/>
      <c r="E37" s="676"/>
      <c r="F37" s="676"/>
      <c r="G37" s="676"/>
      <c r="H37" s="266" t="str">
        <f t="shared" si="0"/>
        <v/>
      </c>
      <c r="I37" s="266" t="str">
        <f t="shared" si="1"/>
        <v/>
      </c>
      <c r="J37" s="266" t="str">
        <f t="shared" si="2"/>
        <v/>
      </c>
      <c r="K37" s="266" t="str">
        <f t="shared" si="3"/>
        <v/>
      </c>
      <c r="L37" s="204"/>
    </row>
    <row r="38" spans="1:14" ht="20.25" customHeight="1">
      <c r="A38" s="1"/>
      <c r="B38" s="206" t="s">
        <v>988</v>
      </c>
      <c r="C38" s="1" t="s">
        <v>970</v>
      </c>
      <c r="D38" s="673">
        <v>877.52700000000004</v>
      </c>
      <c r="E38" s="673">
        <v>2312</v>
      </c>
      <c r="F38" s="673">
        <v>1169</v>
      </c>
      <c r="G38" s="673">
        <f>F38</f>
        <v>1169</v>
      </c>
      <c r="H38" s="266">
        <f t="shared" si="0"/>
        <v>133.21527428785666</v>
      </c>
      <c r="I38" s="266">
        <f t="shared" si="1"/>
        <v>50.562283737024217</v>
      </c>
      <c r="J38" s="266">
        <f t="shared" si="2"/>
        <v>133.21527428785666</v>
      </c>
      <c r="K38" s="266">
        <f t="shared" si="3"/>
        <v>50.562283737024217</v>
      </c>
      <c r="L38" s="1" t="s">
        <v>1037</v>
      </c>
    </row>
    <row r="39" spans="1:14" s="690" customFormat="1" ht="18.75" hidden="1" customHeight="1" outlineLevel="1">
      <c r="A39" s="686"/>
      <c r="B39" s="687" t="s">
        <v>989</v>
      </c>
      <c r="C39" s="686" t="s">
        <v>970</v>
      </c>
      <c r="D39" s="688">
        <v>599.69799999999998</v>
      </c>
      <c r="E39" s="688"/>
      <c r="F39" s="688">
        <f>'6 tháng 2021'!I116</f>
        <v>730000</v>
      </c>
      <c r="G39" s="688"/>
      <c r="H39" s="689">
        <f t="shared" si="0"/>
        <v>121727.93639465197</v>
      </c>
      <c r="I39" s="689" t="str">
        <f t="shared" si="1"/>
        <v/>
      </c>
      <c r="J39" s="689">
        <f t="shared" si="2"/>
        <v>0</v>
      </c>
      <c r="K39" s="689" t="str">
        <f t="shared" si="3"/>
        <v/>
      </c>
      <c r="L39" s="687"/>
    </row>
    <row r="40" spans="1:14" s="672" customFormat="1" ht="22.5" customHeight="1" collapsed="1">
      <c r="A40" s="167">
        <v>2</v>
      </c>
      <c r="B40" s="204" t="s">
        <v>333</v>
      </c>
      <c r="C40" s="167"/>
      <c r="D40" s="281"/>
      <c r="E40" s="676"/>
      <c r="F40" s="676"/>
      <c r="G40" s="676"/>
      <c r="H40" s="266" t="str">
        <f t="shared" si="0"/>
        <v/>
      </c>
      <c r="I40" s="266" t="str">
        <f t="shared" si="1"/>
        <v/>
      </c>
      <c r="J40" s="266" t="str">
        <f t="shared" si="2"/>
        <v/>
      </c>
      <c r="K40" s="266" t="str">
        <f t="shared" si="3"/>
        <v/>
      </c>
      <c r="L40" s="204"/>
    </row>
    <row r="41" spans="1:14" ht="19.5" customHeight="1">
      <c r="A41" s="1"/>
      <c r="B41" s="206" t="s">
        <v>335</v>
      </c>
      <c r="C41" s="1" t="s">
        <v>76</v>
      </c>
      <c r="D41" s="673">
        <v>50000</v>
      </c>
      <c r="E41" s="673">
        <v>50000</v>
      </c>
      <c r="F41" s="673">
        <f>'6 tháng 2021'!I119</f>
        <v>55300</v>
      </c>
      <c r="G41" s="673">
        <f>F41</f>
        <v>55300</v>
      </c>
      <c r="H41" s="266">
        <f t="shared" si="0"/>
        <v>110.6</v>
      </c>
      <c r="I41" s="266">
        <f t="shared" si="1"/>
        <v>110.6</v>
      </c>
      <c r="J41" s="266">
        <f t="shared" si="2"/>
        <v>110.6</v>
      </c>
      <c r="K41" s="266">
        <f t="shared" si="3"/>
        <v>110.6</v>
      </c>
      <c r="L41" s="1" t="s">
        <v>1037</v>
      </c>
    </row>
    <row r="42" spans="1:14" ht="19.5" customHeight="1">
      <c r="A42" s="1"/>
      <c r="B42" s="206" t="s">
        <v>990</v>
      </c>
      <c r="C42" s="1" t="s">
        <v>76</v>
      </c>
      <c r="D42" s="673">
        <v>22000</v>
      </c>
      <c r="E42" s="673">
        <v>50000</v>
      </c>
      <c r="F42" s="673">
        <f>'6 tháng 2021'!I120</f>
        <v>12125</v>
      </c>
      <c r="G42" s="673">
        <f>F42</f>
        <v>12125</v>
      </c>
      <c r="H42" s="266">
        <f t="shared" si="0"/>
        <v>55.113636363636367</v>
      </c>
      <c r="I42" s="266">
        <f t="shared" si="1"/>
        <v>24.25</v>
      </c>
      <c r="J42" s="266">
        <f t="shared" si="2"/>
        <v>55.113636363636367</v>
      </c>
      <c r="K42" s="266">
        <f t="shared" si="3"/>
        <v>24.25</v>
      </c>
      <c r="L42" s="1" t="s">
        <v>1037</v>
      </c>
    </row>
    <row r="43" spans="1:14" ht="19.5" customHeight="1">
      <c r="A43" s="1"/>
      <c r="B43" s="206" t="s">
        <v>991</v>
      </c>
      <c r="C43" s="1" t="s">
        <v>992</v>
      </c>
      <c r="D43" s="673">
        <v>57600</v>
      </c>
      <c r="E43" s="673">
        <v>82600</v>
      </c>
      <c r="F43" s="673">
        <f>'6 tháng 2021'!J121</f>
        <v>90000</v>
      </c>
      <c r="G43" s="673">
        <f>F43</f>
        <v>90000</v>
      </c>
      <c r="H43" s="266">
        <f t="shared" si="0"/>
        <v>156.25</v>
      </c>
      <c r="I43" s="266">
        <f t="shared" si="1"/>
        <v>108.95883777239709</v>
      </c>
      <c r="J43" s="266">
        <f t="shared" si="2"/>
        <v>156.25</v>
      </c>
      <c r="K43" s="266">
        <f t="shared" si="3"/>
        <v>108.95883777239709</v>
      </c>
      <c r="L43" s="1" t="s">
        <v>1037</v>
      </c>
    </row>
    <row r="44" spans="1:14" ht="19.5" customHeight="1">
      <c r="A44" s="1"/>
      <c r="B44" s="206" t="s">
        <v>993</v>
      </c>
      <c r="C44" s="1" t="s">
        <v>992</v>
      </c>
      <c r="D44" s="673">
        <v>35000</v>
      </c>
      <c r="E44" s="673">
        <v>80000</v>
      </c>
      <c r="F44" s="673" t="e">
        <f>'6 tháng 2021'!#REF!</f>
        <v>#REF!</v>
      </c>
      <c r="G44" s="673" t="e">
        <f>F44</f>
        <v>#REF!</v>
      </c>
      <c r="H44" s="266" t="str">
        <f t="shared" si="0"/>
        <v/>
      </c>
      <c r="I44" s="266" t="str">
        <f t="shared" si="1"/>
        <v/>
      </c>
      <c r="J44" s="266" t="str">
        <f t="shared" si="2"/>
        <v/>
      </c>
      <c r="K44" s="266" t="str">
        <f t="shared" si="3"/>
        <v/>
      </c>
      <c r="L44" s="1" t="s">
        <v>1037</v>
      </c>
    </row>
    <row r="45" spans="1:14" ht="19.5" customHeight="1">
      <c r="A45" s="1"/>
      <c r="B45" s="206" t="s">
        <v>994</v>
      </c>
      <c r="C45" s="1" t="s">
        <v>65</v>
      </c>
      <c r="D45" s="673">
        <v>70</v>
      </c>
      <c r="E45" s="673">
        <v>100</v>
      </c>
      <c r="F45" s="673" t="e">
        <f>'6 tháng 2021'!J118+'6 tháng 2021'!#REF!</f>
        <v>#REF!</v>
      </c>
      <c r="G45" s="673" t="e">
        <f>F45</f>
        <v>#REF!</v>
      </c>
      <c r="H45" s="266" t="str">
        <f t="shared" si="0"/>
        <v/>
      </c>
      <c r="I45" s="266" t="str">
        <f t="shared" si="1"/>
        <v/>
      </c>
      <c r="J45" s="266" t="str">
        <f t="shared" si="2"/>
        <v/>
      </c>
      <c r="K45" s="266" t="str">
        <f t="shared" si="3"/>
        <v/>
      </c>
      <c r="L45" s="1" t="s">
        <v>1037</v>
      </c>
    </row>
    <row r="46" spans="1:14" s="672" customFormat="1" ht="19.5" customHeight="1">
      <c r="A46" s="167" t="s">
        <v>48</v>
      </c>
      <c r="B46" s="204" t="s">
        <v>995</v>
      </c>
      <c r="C46" s="167"/>
      <c r="D46" s="281"/>
      <c r="E46" s="676"/>
      <c r="F46" s="676"/>
      <c r="G46" s="676"/>
      <c r="H46" s="266" t="str">
        <f t="shared" si="0"/>
        <v/>
      </c>
      <c r="I46" s="266" t="str">
        <f t="shared" si="1"/>
        <v/>
      </c>
      <c r="J46" s="266" t="str">
        <f t="shared" si="2"/>
        <v/>
      </c>
      <c r="K46" s="266" t="str">
        <f t="shared" si="3"/>
        <v/>
      </c>
      <c r="L46" s="204"/>
    </row>
    <row r="47" spans="1:14" ht="19.5" customHeight="1">
      <c r="A47" s="1">
        <v>1</v>
      </c>
      <c r="B47" s="206" t="s">
        <v>996</v>
      </c>
      <c r="C47" s="1" t="s">
        <v>970</v>
      </c>
      <c r="D47" s="673">
        <v>1245</v>
      </c>
      <c r="E47" s="673">
        <v>2530</v>
      </c>
      <c r="F47" s="673">
        <f>SUM(F48:F52)</f>
        <v>0</v>
      </c>
      <c r="G47" s="673">
        <f>SUM(G48:G52)</f>
        <v>2177.6999999999998</v>
      </c>
      <c r="H47" s="266">
        <f t="shared" si="0"/>
        <v>0</v>
      </c>
      <c r="I47" s="266">
        <f t="shared" si="1"/>
        <v>0</v>
      </c>
      <c r="J47" s="266">
        <f t="shared" si="2"/>
        <v>174.9156626506024</v>
      </c>
      <c r="K47" s="266">
        <f>IFERROR(G47/E47%,"")</f>
        <v>86.075098814229236</v>
      </c>
      <c r="L47" s="206"/>
    </row>
    <row r="48" spans="1:14" s="690" customFormat="1" ht="19.5" hidden="1" customHeight="1" outlineLevel="1">
      <c r="A48" s="686"/>
      <c r="B48" s="687" t="s">
        <v>997</v>
      </c>
      <c r="C48" s="686" t="s">
        <v>998</v>
      </c>
      <c r="D48" s="691"/>
      <c r="E48" s="688"/>
      <c r="F48" s="688"/>
      <c r="G48" s="688">
        <v>28</v>
      </c>
      <c r="H48" s="689"/>
      <c r="I48" s="689"/>
      <c r="J48" s="689"/>
      <c r="K48" s="689"/>
      <c r="L48" s="687"/>
    </row>
    <row r="49" spans="1:12" s="690" customFormat="1" ht="19.5" hidden="1" customHeight="1" outlineLevel="1">
      <c r="A49" s="686"/>
      <c r="B49" s="687" t="s">
        <v>999</v>
      </c>
      <c r="C49" s="686" t="s">
        <v>998</v>
      </c>
      <c r="D49" s="691"/>
      <c r="E49" s="688"/>
      <c r="F49" s="688"/>
      <c r="G49" s="688">
        <v>1520</v>
      </c>
      <c r="H49" s="689"/>
      <c r="I49" s="689"/>
      <c r="J49" s="689"/>
      <c r="K49" s="689"/>
      <c r="L49" s="687"/>
    </row>
    <row r="50" spans="1:12" s="690" customFormat="1" ht="19.5" hidden="1" customHeight="1" outlineLevel="1">
      <c r="A50" s="686"/>
      <c r="B50" s="687" t="s">
        <v>1000</v>
      </c>
      <c r="C50" s="686" t="s">
        <v>998</v>
      </c>
      <c r="D50" s="691"/>
      <c r="E50" s="688"/>
      <c r="F50" s="688"/>
      <c r="G50" s="688">
        <v>200</v>
      </c>
      <c r="H50" s="689"/>
      <c r="I50" s="689"/>
      <c r="J50" s="689"/>
      <c r="K50" s="689"/>
      <c r="L50" s="687"/>
    </row>
    <row r="51" spans="1:12" s="690" customFormat="1" ht="19.5" hidden="1" customHeight="1" outlineLevel="1">
      <c r="A51" s="686"/>
      <c r="B51" s="687" t="s">
        <v>1001</v>
      </c>
      <c r="C51" s="686" t="s">
        <v>998</v>
      </c>
      <c r="D51" s="691"/>
      <c r="E51" s="688"/>
      <c r="F51" s="688"/>
      <c r="G51" s="688">
        <v>300</v>
      </c>
      <c r="H51" s="689"/>
      <c r="I51" s="689"/>
      <c r="J51" s="689"/>
      <c r="K51" s="689"/>
      <c r="L51" s="687"/>
    </row>
    <row r="52" spans="1:12" s="690" customFormat="1" ht="19.5" hidden="1" customHeight="1" outlineLevel="1">
      <c r="A52" s="686"/>
      <c r="B52" s="687" t="s">
        <v>1002</v>
      </c>
      <c r="C52" s="686" t="s">
        <v>998</v>
      </c>
      <c r="D52" s="691"/>
      <c r="E52" s="688"/>
      <c r="F52" s="688"/>
      <c r="G52" s="688">
        <v>129.69999999999999</v>
      </c>
      <c r="H52" s="689"/>
      <c r="I52" s="689"/>
      <c r="J52" s="689"/>
      <c r="K52" s="689"/>
      <c r="L52" s="687"/>
    </row>
    <row r="53" spans="1:12" ht="19.5" customHeight="1" collapsed="1">
      <c r="A53" s="1">
        <v>2</v>
      </c>
      <c r="B53" s="206" t="s">
        <v>1003</v>
      </c>
      <c r="C53" s="1" t="s">
        <v>970</v>
      </c>
      <c r="D53" s="673">
        <v>1251</v>
      </c>
      <c r="E53" s="673">
        <v>1858</v>
      </c>
      <c r="F53" s="673">
        <f>SUM(F54:F58)</f>
        <v>0</v>
      </c>
      <c r="G53" s="673">
        <f>SUM(G54:G58)</f>
        <v>1529</v>
      </c>
      <c r="H53" s="266">
        <f t="shared" si="0"/>
        <v>0</v>
      </c>
      <c r="I53" s="266">
        <f t="shared" si="1"/>
        <v>0</v>
      </c>
      <c r="J53" s="266">
        <f>IFERROR(G53/D53%,"")</f>
        <v>122.22222222222223</v>
      </c>
      <c r="K53" s="266">
        <f t="shared" si="3"/>
        <v>82.292787944025847</v>
      </c>
      <c r="L53" s="206"/>
    </row>
    <row r="54" spans="1:12" s="690" customFormat="1" ht="19.5" hidden="1" customHeight="1" outlineLevel="1">
      <c r="A54" s="686"/>
      <c r="B54" s="687" t="s">
        <v>997</v>
      </c>
      <c r="C54" s="686" t="s">
        <v>998</v>
      </c>
      <c r="D54" s="691"/>
      <c r="E54" s="688"/>
      <c r="F54" s="688"/>
      <c r="G54" s="688">
        <v>262</v>
      </c>
      <c r="H54" s="689"/>
      <c r="I54" s="689"/>
      <c r="J54" s="689"/>
      <c r="K54" s="689"/>
      <c r="L54" s="687"/>
    </row>
    <row r="55" spans="1:12" s="690" customFormat="1" ht="19.5" hidden="1" customHeight="1" outlineLevel="1">
      <c r="A55" s="686"/>
      <c r="B55" s="687" t="s">
        <v>999</v>
      </c>
      <c r="C55" s="686" t="s">
        <v>998</v>
      </c>
      <c r="D55" s="691"/>
      <c r="E55" s="688"/>
      <c r="F55" s="688"/>
      <c r="G55" s="688">
        <v>750</v>
      </c>
      <c r="H55" s="689"/>
      <c r="I55" s="689"/>
      <c r="J55" s="689"/>
      <c r="K55" s="689"/>
      <c r="L55" s="687"/>
    </row>
    <row r="56" spans="1:12" s="690" customFormat="1" ht="19.5" hidden="1" customHeight="1" outlineLevel="1">
      <c r="A56" s="686"/>
      <c r="B56" s="687" t="s">
        <v>1000</v>
      </c>
      <c r="C56" s="686" t="s">
        <v>998</v>
      </c>
      <c r="D56" s="691"/>
      <c r="E56" s="688"/>
      <c r="F56" s="688"/>
      <c r="G56" s="688">
        <v>180</v>
      </c>
      <c r="H56" s="689"/>
      <c r="I56" s="689"/>
      <c r="J56" s="689"/>
      <c r="K56" s="689"/>
      <c r="L56" s="687"/>
    </row>
    <row r="57" spans="1:12" s="690" customFormat="1" ht="19.5" hidden="1" customHeight="1" outlineLevel="1">
      <c r="A57" s="686"/>
      <c r="B57" s="687" t="s">
        <v>1001</v>
      </c>
      <c r="C57" s="686" t="s">
        <v>998</v>
      </c>
      <c r="D57" s="691"/>
      <c r="E57" s="688"/>
      <c r="F57" s="688"/>
      <c r="G57" s="688">
        <v>270</v>
      </c>
      <c r="H57" s="689"/>
      <c r="I57" s="689"/>
      <c r="J57" s="689"/>
      <c r="K57" s="689"/>
      <c r="L57" s="687"/>
    </row>
    <row r="58" spans="1:12" s="690" customFormat="1" ht="19.5" hidden="1" customHeight="1" outlineLevel="1">
      <c r="A58" s="686"/>
      <c r="B58" s="687" t="s">
        <v>1002</v>
      </c>
      <c r="C58" s="686" t="s">
        <v>998</v>
      </c>
      <c r="D58" s="691"/>
      <c r="E58" s="688"/>
      <c r="F58" s="688"/>
      <c r="G58" s="688">
        <v>67</v>
      </c>
      <c r="H58" s="689"/>
      <c r="I58" s="689"/>
      <c r="J58" s="689"/>
      <c r="K58" s="689"/>
      <c r="L58" s="687"/>
    </row>
    <row r="59" spans="1:12" ht="19.5" customHeight="1" collapsed="1">
      <c r="A59" s="1">
        <v>3</v>
      </c>
      <c r="B59" s="206" t="s">
        <v>1004</v>
      </c>
      <c r="C59" s="1" t="s">
        <v>1005</v>
      </c>
      <c r="D59" s="282">
        <v>315</v>
      </c>
      <c r="E59" s="673">
        <v>600</v>
      </c>
      <c r="F59" s="673"/>
      <c r="G59" s="673">
        <v>483</v>
      </c>
      <c r="H59" s="266">
        <f t="shared" si="0"/>
        <v>0</v>
      </c>
      <c r="I59" s="266">
        <f t="shared" si="1"/>
        <v>0</v>
      </c>
      <c r="J59" s="266">
        <f>IFERROR(G59/D59%,"")</f>
        <v>153.33333333333334</v>
      </c>
      <c r="K59" s="266">
        <f t="shared" si="3"/>
        <v>80.5</v>
      </c>
      <c r="L59" s="206"/>
    </row>
    <row r="60" spans="1:12" ht="19.5" customHeight="1">
      <c r="A60" s="1">
        <v>4</v>
      </c>
      <c r="B60" s="206" t="s">
        <v>1006</v>
      </c>
      <c r="C60" s="1" t="s">
        <v>1007</v>
      </c>
      <c r="D60" s="282">
        <v>36</v>
      </c>
      <c r="E60" s="673">
        <v>59.9</v>
      </c>
      <c r="F60" s="674"/>
      <c r="G60" s="673">
        <v>55</v>
      </c>
      <c r="H60" s="266">
        <f t="shared" si="0"/>
        <v>0</v>
      </c>
      <c r="I60" s="266">
        <f t="shared" si="1"/>
        <v>0</v>
      </c>
      <c r="J60" s="266">
        <f>IFERROR(G60/D60%,"")</f>
        <v>152.77777777777777</v>
      </c>
      <c r="K60" s="266">
        <f t="shared" si="3"/>
        <v>91.819699499165282</v>
      </c>
      <c r="L60" s="206"/>
    </row>
    <row r="61" spans="1:12" s="672" customFormat="1" ht="19.5" hidden="1" customHeight="1" outlineLevel="1">
      <c r="A61" s="167" t="s">
        <v>50</v>
      </c>
      <c r="B61" s="204" t="s">
        <v>450</v>
      </c>
      <c r="C61" s="167"/>
      <c r="D61" s="281"/>
      <c r="E61" s="676"/>
      <c r="F61" s="694"/>
      <c r="G61" s="676"/>
      <c r="H61" s="274"/>
      <c r="I61" s="274"/>
      <c r="J61" s="266" t="str">
        <f>IFERROR(G61/D61%,"")</f>
        <v/>
      </c>
      <c r="K61" s="266" t="str">
        <f>IFERROR(G61/E61%,"")</f>
        <v/>
      </c>
      <c r="L61" s="204"/>
    </row>
    <row r="62" spans="1:12" ht="24" hidden="1" customHeight="1" outlineLevel="1">
      <c r="A62" s="1"/>
      <c r="B62" s="206" t="s">
        <v>184</v>
      </c>
      <c r="C62" s="1" t="s">
        <v>331</v>
      </c>
      <c r="D62" s="673">
        <v>450000</v>
      </c>
      <c r="E62" s="673"/>
      <c r="F62" s="673">
        <v>698000</v>
      </c>
      <c r="G62" s="673"/>
      <c r="H62" s="266"/>
      <c r="I62" s="266"/>
      <c r="J62" s="266">
        <f>IFERROR(G62/D62%,"")</f>
        <v>0</v>
      </c>
      <c r="K62" s="266" t="str">
        <f>IFERROR(G62/E62%,"")</f>
        <v/>
      </c>
      <c r="L62" s="206"/>
    </row>
    <row r="63" spans="1:12" s="672" customFormat="1" ht="31.5" collapsed="1">
      <c r="A63" s="167"/>
      <c r="B63" s="167" t="s">
        <v>1008</v>
      </c>
      <c r="C63" s="167"/>
      <c r="D63" s="281"/>
      <c r="E63" s="676"/>
      <c r="F63" s="676"/>
      <c r="G63" s="676"/>
      <c r="H63" s="266" t="str">
        <f t="shared" si="0"/>
        <v/>
      </c>
      <c r="I63" s="266" t="str">
        <f t="shared" si="1"/>
        <v/>
      </c>
      <c r="J63" s="266" t="str">
        <f t="shared" ref="J63:J94" si="4">IFERROR(G63/D63%,"")</f>
        <v/>
      </c>
      <c r="K63" s="266" t="str">
        <f t="shared" si="3"/>
        <v/>
      </c>
      <c r="L63" s="204"/>
    </row>
    <row r="64" spans="1:12" s="672" customFormat="1" ht="20.25" customHeight="1">
      <c r="A64" s="167" t="s">
        <v>38</v>
      </c>
      <c r="B64" s="204" t="s">
        <v>1009</v>
      </c>
      <c r="C64" s="167"/>
      <c r="D64" s="281"/>
      <c r="E64" s="676"/>
      <c r="F64" s="676"/>
      <c r="G64" s="676"/>
      <c r="H64" s="266" t="str">
        <f t="shared" si="0"/>
        <v/>
      </c>
      <c r="I64" s="266" t="str">
        <f t="shared" si="1"/>
        <v/>
      </c>
      <c r="J64" s="266" t="str">
        <f t="shared" si="4"/>
        <v/>
      </c>
      <c r="K64" s="266" t="str">
        <f t="shared" si="3"/>
        <v/>
      </c>
      <c r="L64" s="204"/>
    </row>
    <row r="65" spans="1:14" ht="21.6" customHeight="1">
      <c r="A65" s="1">
        <v>1</v>
      </c>
      <c r="B65" s="206" t="s">
        <v>72</v>
      </c>
      <c r="C65" s="1" t="s">
        <v>73</v>
      </c>
      <c r="D65" s="673">
        <v>43510</v>
      </c>
      <c r="E65" s="673">
        <v>47700</v>
      </c>
      <c r="F65" s="673"/>
      <c r="G65" s="673">
        <v>48000</v>
      </c>
      <c r="H65" s="266">
        <f t="shared" si="0"/>
        <v>0</v>
      </c>
      <c r="I65" s="266">
        <f t="shared" si="1"/>
        <v>0</v>
      </c>
      <c r="J65" s="266">
        <f t="shared" si="4"/>
        <v>110.31946678924385</v>
      </c>
      <c r="K65" s="266">
        <f t="shared" si="3"/>
        <v>100.62893081761007</v>
      </c>
      <c r="L65" s="206"/>
      <c r="N65" s="684"/>
    </row>
    <row r="66" spans="1:14" ht="20.25" customHeight="1">
      <c r="A66" s="1">
        <v>2</v>
      </c>
      <c r="B66" s="206" t="s">
        <v>392</v>
      </c>
      <c r="C66" s="1" t="s">
        <v>33</v>
      </c>
      <c r="D66" s="282">
        <v>18.36</v>
      </c>
      <c r="E66" s="675">
        <v>1.67</v>
      </c>
      <c r="F66" s="675"/>
      <c r="G66" s="675">
        <v>2.21</v>
      </c>
      <c r="H66" s="266">
        <f t="shared" si="0"/>
        <v>0</v>
      </c>
      <c r="I66" s="266">
        <f t="shared" si="1"/>
        <v>0</v>
      </c>
      <c r="J66" s="266">
        <f t="shared" si="4"/>
        <v>12.037037037037038</v>
      </c>
      <c r="K66" s="266">
        <f t="shared" si="3"/>
        <v>132.33532934131736</v>
      </c>
      <c r="L66" s="206"/>
    </row>
    <row r="67" spans="1:14" ht="20.25" customHeight="1">
      <c r="A67" s="1">
        <v>3</v>
      </c>
      <c r="B67" s="206" t="s">
        <v>865</v>
      </c>
      <c r="C67" s="1" t="s">
        <v>62</v>
      </c>
      <c r="D67" s="673">
        <v>10510</v>
      </c>
      <c r="E67" s="673">
        <v>11670</v>
      </c>
      <c r="F67" s="673"/>
      <c r="G67" s="673">
        <v>11891</v>
      </c>
      <c r="H67" s="266">
        <f t="shared" si="0"/>
        <v>0</v>
      </c>
      <c r="I67" s="266">
        <f t="shared" si="1"/>
        <v>0</v>
      </c>
      <c r="J67" s="266">
        <f t="shared" si="4"/>
        <v>113.13986679352998</v>
      </c>
      <c r="K67" s="266">
        <f t="shared" si="3"/>
        <v>101.89374464438731</v>
      </c>
      <c r="L67" s="206"/>
    </row>
    <row r="68" spans="1:14" ht="33" customHeight="1">
      <c r="A68" s="1">
        <v>4</v>
      </c>
      <c r="B68" s="206" t="s">
        <v>1010</v>
      </c>
      <c r="C68" s="1" t="s">
        <v>33</v>
      </c>
      <c r="D68" s="282">
        <v>19.809999999999999</v>
      </c>
      <c r="E68" s="675">
        <v>4.8099999999999996</v>
      </c>
      <c r="F68" s="675">
        <f>'6 tháng 2021'!I139</f>
        <v>12</v>
      </c>
      <c r="G68" s="675">
        <f>F68</f>
        <v>12</v>
      </c>
      <c r="H68" s="266">
        <f t="shared" si="0"/>
        <v>60.575466935890965</v>
      </c>
      <c r="I68" s="266">
        <f t="shared" si="1"/>
        <v>249.48024948024948</v>
      </c>
      <c r="J68" s="266">
        <f t="shared" si="4"/>
        <v>60.575466935890965</v>
      </c>
      <c r="K68" s="266">
        <f t="shared" si="3"/>
        <v>249.48024948024948</v>
      </c>
      <c r="L68" s="1"/>
      <c r="N68" s="692"/>
    </row>
    <row r="69" spans="1:14" ht="21" customHeight="1">
      <c r="A69" s="1"/>
      <c r="B69" s="206" t="s">
        <v>1011</v>
      </c>
      <c r="C69" s="1" t="s">
        <v>33</v>
      </c>
      <c r="D69" s="282">
        <v>3.12</v>
      </c>
      <c r="E69" s="674">
        <v>3</v>
      </c>
      <c r="F69" s="675"/>
      <c r="G69" s="674">
        <v>2.6</v>
      </c>
      <c r="H69" s="266">
        <f t="shared" si="0"/>
        <v>0</v>
      </c>
      <c r="I69" s="266">
        <f t="shared" si="1"/>
        <v>0</v>
      </c>
      <c r="J69" s="266">
        <f t="shared" si="4"/>
        <v>83.333333333333329</v>
      </c>
      <c r="K69" s="266">
        <f t="shared" si="3"/>
        <v>86.666666666666671</v>
      </c>
      <c r="L69" s="1"/>
    </row>
    <row r="70" spans="1:14" s="672" customFormat="1" ht="20.25" customHeight="1">
      <c r="A70" s="167" t="s">
        <v>39</v>
      </c>
      <c r="B70" s="204" t="s">
        <v>6</v>
      </c>
      <c r="C70" s="167"/>
      <c r="D70" s="281"/>
      <c r="E70" s="676"/>
      <c r="F70" s="676"/>
      <c r="G70" s="676"/>
      <c r="H70" s="266" t="str">
        <f t="shared" si="0"/>
        <v/>
      </c>
      <c r="I70" s="266" t="str">
        <f t="shared" si="1"/>
        <v/>
      </c>
      <c r="J70" s="266" t="str">
        <f t="shared" si="4"/>
        <v/>
      </c>
      <c r="K70" s="266" t="str">
        <f t="shared" si="3"/>
        <v/>
      </c>
      <c r="L70" s="204"/>
    </row>
    <row r="71" spans="1:14" ht="21.75" customHeight="1">
      <c r="A71" s="1">
        <v>1</v>
      </c>
      <c r="B71" s="206" t="s">
        <v>506</v>
      </c>
      <c r="C71" s="1" t="s">
        <v>8</v>
      </c>
      <c r="D71" s="673">
        <f>SUM(D72:D76)</f>
        <v>13645</v>
      </c>
      <c r="E71" s="673">
        <f>SUM(E72:E76)</f>
        <v>15792</v>
      </c>
      <c r="F71" s="673">
        <f>SUM(F72:F76)</f>
        <v>0</v>
      </c>
      <c r="G71" s="673">
        <f>SUM(G72:G76)</f>
        <v>14813</v>
      </c>
      <c r="H71" s="266">
        <f t="shared" si="0"/>
        <v>0</v>
      </c>
      <c r="I71" s="266">
        <f t="shared" si="1"/>
        <v>0</v>
      </c>
      <c r="J71" s="266">
        <f t="shared" si="4"/>
        <v>108.55991205569806</v>
      </c>
      <c r="K71" s="266">
        <f t="shared" si="3"/>
        <v>93.800658561296871</v>
      </c>
      <c r="L71" s="206"/>
    </row>
    <row r="72" spans="1:14" ht="21.75" customHeight="1">
      <c r="A72" s="1"/>
      <c r="B72" s="206" t="s">
        <v>1012</v>
      </c>
      <c r="C72" s="1" t="s">
        <v>8</v>
      </c>
      <c r="D72" s="673">
        <v>450</v>
      </c>
      <c r="E72" s="673">
        <v>615</v>
      </c>
      <c r="F72" s="673"/>
      <c r="G72" s="673">
        <v>496</v>
      </c>
      <c r="H72" s="266">
        <f t="shared" si="0"/>
        <v>0</v>
      </c>
      <c r="I72" s="266">
        <f t="shared" si="1"/>
        <v>0</v>
      </c>
      <c r="J72" s="266">
        <f t="shared" si="4"/>
        <v>110.22222222222223</v>
      </c>
      <c r="K72" s="266">
        <f t="shared" si="3"/>
        <v>80.650406504065032</v>
      </c>
      <c r="L72" s="206"/>
    </row>
    <row r="73" spans="1:14" ht="21.75" customHeight="1">
      <c r="A73" s="1"/>
      <c r="B73" s="206" t="s">
        <v>1013</v>
      </c>
      <c r="C73" s="1" t="s">
        <v>12</v>
      </c>
      <c r="D73" s="673">
        <v>3640</v>
      </c>
      <c r="E73" s="673">
        <v>3825</v>
      </c>
      <c r="F73" s="673"/>
      <c r="G73" s="673">
        <v>3880</v>
      </c>
      <c r="H73" s="266">
        <f t="shared" si="0"/>
        <v>0</v>
      </c>
      <c r="I73" s="266">
        <f t="shared" si="1"/>
        <v>0</v>
      </c>
      <c r="J73" s="266">
        <f t="shared" si="4"/>
        <v>106.5934065934066</v>
      </c>
      <c r="K73" s="266">
        <f t="shared" si="3"/>
        <v>101.43790849673202</v>
      </c>
      <c r="L73" s="206"/>
    </row>
    <row r="74" spans="1:14" ht="21.75" customHeight="1">
      <c r="A74" s="1"/>
      <c r="B74" s="206" t="s">
        <v>1014</v>
      </c>
      <c r="C74" s="1" t="s">
        <v>8</v>
      </c>
      <c r="D74" s="673">
        <v>5282</v>
      </c>
      <c r="E74" s="673">
        <v>5897</v>
      </c>
      <c r="F74" s="673"/>
      <c r="G74" s="673">
        <v>6027</v>
      </c>
      <c r="H74" s="266">
        <f t="shared" si="0"/>
        <v>0</v>
      </c>
      <c r="I74" s="266">
        <f t="shared" si="1"/>
        <v>0</v>
      </c>
      <c r="J74" s="266">
        <f t="shared" si="4"/>
        <v>114.10450586898902</v>
      </c>
      <c r="K74" s="266">
        <f t="shared" si="3"/>
        <v>102.20451076818722</v>
      </c>
      <c r="L74" s="206"/>
    </row>
    <row r="75" spans="1:14" ht="21.75" customHeight="1">
      <c r="A75" s="1"/>
      <c r="B75" s="206" t="s">
        <v>1015</v>
      </c>
      <c r="C75" s="1" t="s">
        <v>8</v>
      </c>
      <c r="D75" s="673">
        <v>3508</v>
      </c>
      <c r="E75" s="673">
        <v>4130</v>
      </c>
      <c r="F75" s="673"/>
      <c r="G75" s="673">
        <v>3601</v>
      </c>
      <c r="H75" s="266">
        <f t="shared" si="0"/>
        <v>0</v>
      </c>
      <c r="I75" s="266">
        <f t="shared" si="1"/>
        <v>0</v>
      </c>
      <c r="J75" s="266">
        <f t="shared" si="4"/>
        <v>102.65108323831244</v>
      </c>
      <c r="K75" s="266">
        <f t="shared" si="3"/>
        <v>87.191283292978213</v>
      </c>
      <c r="L75" s="206"/>
    </row>
    <row r="76" spans="1:14" ht="21.75" customHeight="1">
      <c r="A76" s="1"/>
      <c r="B76" s="206" t="s">
        <v>1016</v>
      </c>
      <c r="C76" s="1" t="s">
        <v>8</v>
      </c>
      <c r="D76" s="673">
        <v>765</v>
      </c>
      <c r="E76" s="673">
        <v>1325</v>
      </c>
      <c r="F76" s="673"/>
      <c r="G76" s="673">
        <v>809</v>
      </c>
      <c r="H76" s="266">
        <f t="shared" ref="H76:H95" si="5">IFERROR(F76/D76%,"")</f>
        <v>0</v>
      </c>
      <c r="I76" s="266">
        <f t="shared" ref="I76:I89" si="6">IFERROR(F76/E76%,"")</f>
        <v>0</v>
      </c>
      <c r="J76" s="266">
        <f t="shared" si="4"/>
        <v>105.7516339869281</v>
      </c>
      <c r="K76" s="266">
        <f t="shared" ref="K76:K95" si="7">IFERROR(G76/E76%,"")</f>
        <v>61.056603773584904</v>
      </c>
      <c r="L76" s="206"/>
    </row>
    <row r="77" spans="1:14" ht="21.75" customHeight="1">
      <c r="A77" s="1">
        <v>2</v>
      </c>
      <c r="B77" s="206" t="s">
        <v>1017</v>
      </c>
      <c r="C77" s="1" t="s">
        <v>33</v>
      </c>
      <c r="D77" s="282">
        <v>99.36</v>
      </c>
      <c r="E77" s="674">
        <v>99.9</v>
      </c>
      <c r="F77" s="673">
        <v>100</v>
      </c>
      <c r="G77" s="674">
        <v>100</v>
      </c>
      <c r="H77" s="266">
        <f t="shared" si="5"/>
        <v>100.64412238325282</v>
      </c>
      <c r="I77" s="266">
        <f t="shared" si="6"/>
        <v>100.10010010010009</v>
      </c>
      <c r="J77" s="266">
        <f t="shared" si="4"/>
        <v>100.64412238325282</v>
      </c>
      <c r="K77" s="266">
        <f t="shared" si="7"/>
        <v>100.10010010010009</v>
      </c>
      <c r="L77" s="206"/>
    </row>
    <row r="78" spans="1:14" ht="27.75" customHeight="1">
      <c r="A78" s="1">
        <v>3</v>
      </c>
      <c r="B78" s="206" t="s">
        <v>144</v>
      </c>
      <c r="C78" s="1" t="s">
        <v>33</v>
      </c>
      <c r="D78" s="282">
        <v>55.5</v>
      </c>
      <c r="E78" s="674">
        <v>75</v>
      </c>
      <c r="F78" s="675">
        <f>'6 tháng 2021'!I164</f>
        <v>55.263157894736842</v>
      </c>
      <c r="G78" s="674">
        <v>65.8</v>
      </c>
      <c r="H78" s="266">
        <f t="shared" si="5"/>
        <v>99.573257467994296</v>
      </c>
      <c r="I78" s="266">
        <f t="shared" si="6"/>
        <v>73.684210526315795</v>
      </c>
      <c r="J78" s="266">
        <f t="shared" si="4"/>
        <v>118.55855855855854</v>
      </c>
      <c r="K78" s="266">
        <f t="shared" si="7"/>
        <v>87.733333333333334</v>
      </c>
      <c r="L78" s="206"/>
    </row>
    <row r="79" spans="1:14" ht="24" customHeight="1">
      <c r="A79" s="1">
        <v>4</v>
      </c>
      <c r="B79" s="206" t="s">
        <v>1018</v>
      </c>
      <c r="C79" s="1" t="s">
        <v>33</v>
      </c>
      <c r="D79" s="282">
        <v>99.4</v>
      </c>
      <c r="E79" s="674">
        <v>99.9</v>
      </c>
      <c r="F79" s="674">
        <v>99</v>
      </c>
      <c r="G79" s="674">
        <v>99.9</v>
      </c>
      <c r="H79" s="266">
        <f t="shared" si="5"/>
        <v>99.597585513078457</v>
      </c>
      <c r="I79" s="266">
        <f t="shared" si="6"/>
        <v>99.099099099099092</v>
      </c>
      <c r="J79" s="266">
        <f t="shared" si="4"/>
        <v>100.5030181086519</v>
      </c>
      <c r="K79" s="266">
        <f t="shared" si="7"/>
        <v>100</v>
      </c>
      <c r="L79" s="206"/>
    </row>
    <row r="80" spans="1:14" ht="24.75" customHeight="1">
      <c r="A80" s="1">
        <v>5</v>
      </c>
      <c r="B80" s="206" t="s">
        <v>1019</v>
      </c>
      <c r="C80" s="1" t="s">
        <v>33</v>
      </c>
      <c r="D80" s="282">
        <v>30.48</v>
      </c>
      <c r="E80" s="674">
        <v>36</v>
      </c>
      <c r="F80" s="674"/>
      <c r="G80" s="674">
        <v>29.75</v>
      </c>
      <c r="H80" s="266">
        <f t="shared" si="5"/>
        <v>0</v>
      </c>
      <c r="I80" s="266">
        <f t="shared" si="6"/>
        <v>0</v>
      </c>
      <c r="J80" s="266">
        <f t="shared" si="4"/>
        <v>97.60498687664041</v>
      </c>
      <c r="K80" s="266">
        <f t="shared" si="7"/>
        <v>82.638888888888886</v>
      </c>
      <c r="L80" s="206"/>
    </row>
    <row r="81" spans="1:12" s="672" customFormat="1" ht="21.75" customHeight="1">
      <c r="A81" s="167" t="s">
        <v>47</v>
      </c>
      <c r="B81" s="204" t="s">
        <v>350</v>
      </c>
      <c r="C81" s="167"/>
      <c r="D81" s="281"/>
      <c r="E81" s="676"/>
      <c r="F81" s="676"/>
      <c r="G81" s="676"/>
      <c r="H81" s="266" t="str">
        <f t="shared" si="5"/>
        <v/>
      </c>
      <c r="I81" s="266" t="str">
        <f t="shared" si="6"/>
        <v/>
      </c>
      <c r="J81" s="266" t="str">
        <f t="shared" si="4"/>
        <v/>
      </c>
      <c r="K81" s="266" t="str">
        <f t="shared" si="7"/>
        <v/>
      </c>
      <c r="L81" s="204"/>
    </row>
    <row r="82" spans="1:12" ht="23.25" customHeight="1">
      <c r="A82" s="1">
        <v>1</v>
      </c>
      <c r="B82" s="206" t="s">
        <v>429</v>
      </c>
      <c r="C82" s="1" t="s">
        <v>145</v>
      </c>
      <c r="D82" s="282">
        <v>130</v>
      </c>
      <c r="E82" s="673">
        <v>147</v>
      </c>
      <c r="F82" s="673">
        <f>'6 tháng 2021'!I176</f>
        <v>130</v>
      </c>
      <c r="G82" s="673">
        <v>130</v>
      </c>
      <c r="H82" s="266">
        <f t="shared" si="5"/>
        <v>100</v>
      </c>
      <c r="I82" s="266">
        <f t="shared" si="6"/>
        <v>88.435374149659864</v>
      </c>
      <c r="J82" s="266">
        <f t="shared" si="4"/>
        <v>100</v>
      </c>
      <c r="K82" s="266">
        <f t="shared" si="7"/>
        <v>88.435374149659864</v>
      </c>
      <c r="L82" s="206"/>
    </row>
    <row r="83" spans="1:12" ht="22.5" customHeight="1">
      <c r="A83" s="1">
        <v>2</v>
      </c>
      <c r="B83" s="206" t="s">
        <v>499</v>
      </c>
      <c r="C83" s="1" t="s">
        <v>73</v>
      </c>
      <c r="D83" s="282">
        <v>28</v>
      </c>
      <c r="E83" s="673">
        <v>53</v>
      </c>
      <c r="F83" s="673"/>
      <c r="G83" s="673">
        <v>30</v>
      </c>
      <c r="H83" s="266">
        <f t="shared" si="5"/>
        <v>0</v>
      </c>
      <c r="I83" s="266">
        <f t="shared" si="6"/>
        <v>0</v>
      </c>
      <c r="J83" s="266">
        <f t="shared" si="4"/>
        <v>107.14285714285714</v>
      </c>
      <c r="K83" s="266">
        <f t="shared" si="7"/>
        <v>56.60377358490566</v>
      </c>
      <c r="L83" s="206"/>
    </row>
    <row r="84" spans="1:12" ht="21.75" customHeight="1">
      <c r="A84" s="1">
        <v>3</v>
      </c>
      <c r="B84" s="206" t="s">
        <v>1020</v>
      </c>
      <c r="C84" s="1" t="s">
        <v>349</v>
      </c>
      <c r="D84" s="282">
        <v>9</v>
      </c>
      <c r="E84" s="673">
        <v>9</v>
      </c>
      <c r="F84" s="673">
        <v>9</v>
      </c>
      <c r="G84" s="673">
        <v>9</v>
      </c>
      <c r="H84" s="266">
        <f t="shared" si="5"/>
        <v>100</v>
      </c>
      <c r="I84" s="266">
        <f t="shared" si="6"/>
        <v>100</v>
      </c>
      <c r="J84" s="266">
        <f t="shared" si="4"/>
        <v>100</v>
      </c>
      <c r="K84" s="266">
        <f t="shared" si="7"/>
        <v>100</v>
      </c>
      <c r="L84" s="206"/>
    </row>
    <row r="85" spans="1:12" ht="37.15" customHeight="1">
      <c r="A85" s="1">
        <v>4</v>
      </c>
      <c r="B85" s="206" t="s">
        <v>1021</v>
      </c>
      <c r="C85" s="1" t="s">
        <v>33</v>
      </c>
      <c r="D85" s="282">
        <v>22.22</v>
      </c>
      <c r="E85" s="673">
        <v>100</v>
      </c>
      <c r="F85" s="674">
        <f>4/9%</f>
        <v>44.444444444444443</v>
      </c>
      <c r="G85" s="674">
        <f>7/9%</f>
        <v>77.777777777777786</v>
      </c>
      <c r="H85" s="266">
        <f t="shared" si="5"/>
        <v>200.02000200020004</v>
      </c>
      <c r="I85" s="266">
        <f t="shared" si="6"/>
        <v>44.444444444444443</v>
      </c>
      <c r="J85" s="266">
        <f t="shared" si="4"/>
        <v>350.03500350035011</v>
      </c>
      <c r="K85" s="266">
        <f t="shared" si="7"/>
        <v>77.777777777777786</v>
      </c>
      <c r="L85" s="206"/>
    </row>
    <row r="86" spans="1:12" ht="30.75" customHeight="1">
      <c r="A86" s="1">
        <v>5</v>
      </c>
      <c r="B86" s="206" t="s">
        <v>1022</v>
      </c>
      <c r="C86" s="1"/>
      <c r="D86" s="282"/>
      <c r="E86" s="673"/>
      <c r="F86" s="673"/>
      <c r="G86" s="673"/>
      <c r="H86" s="266" t="str">
        <f t="shared" si="5"/>
        <v/>
      </c>
      <c r="I86" s="266" t="str">
        <f t="shared" si="6"/>
        <v/>
      </c>
      <c r="J86" s="266" t="str">
        <f t="shared" si="4"/>
        <v/>
      </c>
      <c r="K86" s="266" t="str">
        <f t="shared" si="7"/>
        <v/>
      </c>
      <c r="L86" s="206"/>
    </row>
    <row r="87" spans="1:12" ht="21" customHeight="1">
      <c r="A87" s="1"/>
      <c r="B87" s="206" t="s">
        <v>1023</v>
      </c>
      <c r="C87" s="1" t="s">
        <v>33</v>
      </c>
      <c r="D87" s="282">
        <v>21.5</v>
      </c>
      <c r="E87" s="674">
        <v>17</v>
      </c>
      <c r="F87" s="674"/>
      <c r="G87" s="674">
        <v>18.600000000000001</v>
      </c>
      <c r="H87" s="266">
        <f t="shared" si="5"/>
        <v>0</v>
      </c>
      <c r="I87" s="266">
        <f t="shared" si="6"/>
        <v>0</v>
      </c>
      <c r="J87" s="266">
        <f t="shared" si="4"/>
        <v>86.511627906976756</v>
      </c>
      <c r="K87" s="266">
        <f t="shared" si="7"/>
        <v>109.41176470588235</v>
      </c>
      <c r="L87" s="206"/>
    </row>
    <row r="88" spans="1:12" s="690" customFormat="1" ht="23.25" hidden="1" customHeight="1" outlineLevel="1">
      <c r="A88" s="686"/>
      <c r="B88" s="687" t="s">
        <v>1024</v>
      </c>
      <c r="C88" s="686"/>
      <c r="D88" s="691"/>
      <c r="E88" s="688"/>
      <c r="F88" s="693"/>
      <c r="G88" s="688">
        <v>30</v>
      </c>
      <c r="H88" s="689" t="str">
        <f t="shared" si="5"/>
        <v/>
      </c>
      <c r="I88" s="689" t="str">
        <f t="shared" si="6"/>
        <v/>
      </c>
      <c r="J88" s="689" t="str">
        <f t="shared" si="4"/>
        <v/>
      </c>
      <c r="K88" s="689" t="str">
        <f t="shared" si="7"/>
        <v/>
      </c>
      <c r="L88" s="687"/>
    </row>
    <row r="89" spans="1:12" ht="35.25" customHeight="1" collapsed="1">
      <c r="A89" s="1">
        <v>6</v>
      </c>
      <c r="B89" s="206" t="s">
        <v>1025</v>
      </c>
      <c r="C89" s="1" t="s">
        <v>33</v>
      </c>
      <c r="D89" s="599">
        <v>68</v>
      </c>
      <c r="E89" s="685">
        <v>90</v>
      </c>
      <c r="F89" s="685">
        <v>86</v>
      </c>
      <c r="G89" s="706">
        <v>86</v>
      </c>
      <c r="H89" s="266">
        <f t="shared" si="5"/>
        <v>126.4705882352941</v>
      </c>
      <c r="I89" s="266">
        <f t="shared" si="6"/>
        <v>95.555555555555557</v>
      </c>
      <c r="J89" s="266">
        <f t="shared" si="4"/>
        <v>126.4705882352941</v>
      </c>
      <c r="K89" s="266">
        <f t="shared" si="7"/>
        <v>95.555555555555557</v>
      </c>
      <c r="L89" s="206"/>
    </row>
    <row r="90" spans="1:12" s="672" customFormat="1" ht="25.15" customHeight="1">
      <c r="A90" s="167" t="s">
        <v>48</v>
      </c>
      <c r="B90" s="204" t="s">
        <v>196</v>
      </c>
      <c r="C90" s="167"/>
      <c r="D90" s="281"/>
      <c r="E90" s="676"/>
      <c r="F90" s="676"/>
      <c r="G90" s="676"/>
      <c r="H90" s="266" t="str">
        <f t="shared" si="5"/>
        <v/>
      </c>
      <c r="I90" s="266" t="str">
        <f>IFERROR(F90/E90%,"")</f>
        <v/>
      </c>
      <c r="J90" s="266" t="str">
        <f t="shared" si="4"/>
        <v/>
      </c>
      <c r="K90" s="266" t="str">
        <f t="shared" si="7"/>
        <v/>
      </c>
      <c r="L90" s="204"/>
    </row>
    <row r="91" spans="1:12" ht="24" customHeight="1">
      <c r="A91" s="1">
        <v>1</v>
      </c>
      <c r="B91" s="206" t="s">
        <v>1026</v>
      </c>
      <c r="C91" s="1" t="s">
        <v>426</v>
      </c>
      <c r="D91" s="282">
        <v>67</v>
      </c>
      <c r="E91" s="673">
        <v>67</v>
      </c>
      <c r="F91" s="673">
        <v>67</v>
      </c>
      <c r="G91" s="673">
        <v>67</v>
      </c>
      <c r="H91" s="266">
        <f t="shared" si="5"/>
        <v>100</v>
      </c>
      <c r="I91" s="266">
        <f>IFERROR(F91/E91%,"")</f>
        <v>100</v>
      </c>
      <c r="J91" s="266">
        <f t="shared" si="4"/>
        <v>100</v>
      </c>
      <c r="K91" s="266">
        <f t="shared" si="7"/>
        <v>100</v>
      </c>
      <c r="L91" s="206"/>
    </row>
    <row r="92" spans="1:12" ht="30" customHeight="1">
      <c r="A92" s="1">
        <v>2</v>
      </c>
      <c r="B92" s="206" t="s">
        <v>1027</v>
      </c>
      <c r="C92" s="1" t="s">
        <v>33</v>
      </c>
      <c r="D92" s="599">
        <v>57</v>
      </c>
      <c r="E92" s="685">
        <v>90</v>
      </c>
      <c r="F92" s="685"/>
      <c r="G92" s="685">
        <v>85.1</v>
      </c>
      <c r="H92" s="266">
        <f t="shared" si="5"/>
        <v>0</v>
      </c>
      <c r="I92" s="266">
        <f>IFERROR(F92/E92%,"")</f>
        <v>0</v>
      </c>
      <c r="J92" s="266">
        <f t="shared" si="4"/>
        <v>149.2982456140351</v>
      </c>
      <c r="K92" s="266">
        <f t="shared" si="7"/>
        <v>94.555555555555543</v>
      </c>
      <c r="L92" s="206"/>
    </row>
    <row r="93" spans="1:12" ht="25.15" customHeight="1">
      <c r="A93" s="1">
        <v>3</v>
      </c>
      <c r="B93" s="206" t="s">
        <v>1028</v>
      </c>
      <c r="C93" s="1" t="s">
        <v>33</v>
      </c>
      <c r="D93" s="599">
        <v>85</v>
      </c>
      <c r="E93" s="685">
        <v>90</v>
      </c>
      <c r="F93" s="685"/>
      <c r="G93" s="685">
        <v>86.5</v>
      </c>
      <c r="H93" s="266">
        <f t="shared" si="5"/>
        <v>0</v>
      </c>
      <c r="I93" s="266">
        <f>IFERROR(F93/E93%,"")</f>
        <v>0</v>
      </c>
      <c r="J93" s="266">
        <f t="shared" si="4"/>
        <v>101.76470588235294</v>
      </c>
      <c r="K93" s="266">
        <f t="shared" si="7"/>
        <v>96.111111111111114</v>
      </c>
      <c r="L93" s="206"/>
    </row>
    <row r="94" spans="1:12" ht="25.15" customHeight="1">
      <c r="A94" s="1">
        <v>4</v>
      </c>
      <c r="B94" s="206" t="s">
        <v>1029</v>
      </c>
      <c r="C94" s="1" t="s">
        <v>262</v>
      </c>
      <c r="D94" s="282">
        <v>4</v>
      </c>
      <c r="E94" s="673">
        <v>8</v>
      </c>
      <c r="F94" s="673"/>
      <c r="G94" s="673">
        <v>5</v>
      </c>
      <c r="H94" s="266">
        <f t="shared" si="5"/>
        <v>0</v>
      </c>
      <c r="I94" s="266">
        <f>IFERROR(F94/E94%,"")</f>
        <v>0</v>
      </c>
      <c r="J94" s="266">
        <f t="shared" si="4"/>
        <v>125</v>
      </c>
      <c r="K94" s="266">
        <f t="shared" si="7"/>
        <v>62.5</v>
      </c>
      <c r="L94" s="206"/>
    </row>
    <row r="95" spans="1:12" ht="9" customHeight="1">
      <c r="A95" s="414"/>
      <c r="B95" s="265"/>
      <c r="C95" s="265"/>
      <c r="D95" s="265"/>
      <c r="E95" s="265"/>
      <c r="F95" s="265"/>
      <c r="G95" s="265"/>
      <c r="H95" s="275" t="str">
        <f t="shared" si="5"/>
        <v/>
      </c>
      <c r="I95" s="275">
        <f>IFERROR(F95/100%,"")</f>
        <v>0</v>
      </c>
      <c r="J95" s="275"/>
      <c r="K95" s="275" t="str">
        <f t="shared" si="7"/>
        <v/>
      </c>
      <c r="L95" s="265"/>
    </row>
  </sheetData>
  <mergeCells count="12">
    <mergeCell ref="A1:L1"/>
    <mergeCell ref="L5:L6"/>
    <mergeCell ref="F5:F6"/>
    <mergeCell ref="G5:G6"/>
    <mergeCell ref="A2:L2"/>
    <mergeCell ref="A3:L3"/>
    <mergeCell ref="A5:A6"/>
    <mergeCell ref="B5:B6"/>
    <mergeCell ref="C5:C6"/>
    <mergeCell ref="D5:D6"/>
    <mergeCell ref="E5:E6"/>
    <mergeCell ref="H5:K5"/>
  </mergeCells>
  <pageMargins left="0.59055118110236227" right="0.39370078740157483" top="0.78740157480314965" bottom="0.59055118110236227" header="0.31496062992125984" footer="0.31496062992125984"/>
  <pageSetup paperSize="9" scale="72" fitToHeight="0" orientation="portrait" r:id="rId1"/>
  <headerFooter>
    <oddFooter>&amp;C&amp;P/&amp;N</oddFooter>
  </headerFooter>
  <ignoredErrors>
    <ignoredError sqref="D71:G72" formulaRange="1"/>
    <ignoredError sqref="G3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pane xSplit="1" ySplit="5" topLeftCell="B6" activePane="bottomRight" state="frozen"/>
      <selection activeCell="I119" sqref="I119"/>
      <selection pane="topRight" activeCell="I119" sqref="I119"/>
      <selection pane="bottomLeft" activeCell="I119" sqref="I119"/>
      <selection pane="bottomRight" activeCell="I22" sqref="I22"/>
    </sheetView>
  </sheetViews>
  <sheetFormatPr defaultRowHeight="15" outlineLevelRow="1" outlineLevelCol="1"/>
  <cols>
    <col min="1" max="1" width="7.140625" style="650" customWidth="1"/>
    <col min="2" max="2" width="43.140625" style="644" customWidth="1"/>
    <col min="3" max="4" width="11.140625" style="661" hidden="1" customWidth="1" outlineLevel="1"/>
    <col min="5" max="5" width="11.140625" style="661" hidden="1" customWidth="1" outlineLevel="1" collapsed="1"/>
    <col min="6" max="8" width="11.140625" style="661" hidden="1" customWidth="1" outlineLevel="1"/>
    <col min="9" max="9" width="11.140625" style="661" customWidth="1" collapsed="1"/>
    <col min="10" max="10" width="11.140625" style="661" customWidth="1"/>
    <col min="11" max="11" width="12" style="644" customWidth="1"/>
    <col min="12" max="258" width="9.140625" style="644"/>
    <col min="259" max="259" width="7.140625" style="644" customWidth="1"/>
    <col min="260" max="260" width="43.140625" style="644" customWidth="1"/>
    <col min="261" max="261" width="10" style="644" customWidth="1"/>
    <col min="262" max="262" width="11.42578125" style="644" customWidth="1"/>
    <col min="263" max="263" width="8.7109375" style="644" bestFit="1" customWidth="1"/>
    <col min="264" max="514" width="9.140625" style="644"/>
    <col min="515" max="515" width="7.140625" style="644" customWidth="1"/>
    <col min="516" max="516" width="43.140625" style="644" customWidth="1"/>
    <col min="517" max="517" width="10" style="644" customWidth="1"/>
    <col min="518" max="518" width="11.42578125" style="644" customWidth="1"/>
    <col min="519" max="519" width="8.7109375" style="644" bestFit="1" customWidth="1"/>
    <col min="520" max="770" width="9.140625" style="644"/>
    <col min="771" max="771" width="7.140625" style="644" customWidth="1"/>
    <col min="772" max="772" width="43.140625" style="644" customWidth="1"/>
    <col min="773" max="773" width="10" style="644" customWidth="1"/>
    <col min="774" max="774" width="11.42578125" style="644" customWidth="1"/>
    <col min="775" max="775" width="8.7109375" style="644" bestFit="1" customWidth="1"/>
    <col min="776" max="1026" width="9.140625" style="644"/>
    <col min="1027" max="1027" width="7.140625" style="644" customWidth="1"/>
    <col min="1028" max="1028" width="43.140625" style="644" customWidth="1"/>
    <col min="1029" max="1029" width="10" style="644" customWidth="1"/>
    <col min="1030" max="1030" width="11.42578125" style="644" customWidth="1"/>
    <col min="1031" max="1031" width="8.7109375" style="644" bestFit="1" customWidth="1"/>
    <col min="1032" max="1282" width="9.140625" style="644"/>
    <col min="1283" max="1283" width="7.140625" style="644" customWidth="1"/>
    <col min="1284" max="1284" width="43.140625" style="644" customWidth="1"/>
    <col min="1285" max="1285" width="10" style="644" customWidth="1"/>
    <col min="1286" max="1286" width="11.42578125" style="644" customWidth="1"/>
    <col min="1287" max="1287" width="8.7109375" style="644" bestFit="1" customWidth="1"/>
    <col min="1288" max="1538" width="9.140625" style="644"/>
    <col min="1539" max="1539" width="7.140625" style="644" customWidth="1"/>
    <col min="1540" max="1540" width="43.140625" style="644" customWidth="1"/>
    <col min="1541" max="1541" width="10" style="644" customWidth="1"/>
    <col min="1542" max="1542" width="11.42578125" style="644" customWidth="1"/>
    <col min="1543" max="1543" width="8.7109375" style="644" bestFit="1" customWidth="1"/>
    <col min="1544" max="1794" width="9.140625" style="644"/>
    <col min="1795" max="1795" width="7.140625" style="644" customWidth="1"/>
    <col min="1796" max="1796" width="43.140625" style="644" customWidth="1"/>
    <col min="1797" max="1797" width="10" style="644" customWidth="1"/>
    <col min="1798" max="1798" width="11.42578125" style="644" customWidth="1"/>
    <col min="1799" max="1799" width="8.7109375" style="644" bestFit="1" customWidth="1"/>
    <col min="1800" max="2050" width="9.140625" style="644"/>
    <col min="2051" max="2051" width="7.140625" style="644" customWidth="1"/>
    <col min="2052" max="2052" width="43.140625" style="644" customWidth="1"/>
    <col min="2053" max="2053" width="10" style="644" customWidth="1"/>
    <col min="2054" max="2054" width="11.42578125" style="644" customWidth="1"/>
    <col min="2055" max="2055" width="8.7109375" style="644" bestFit="1" customWidth="1"/>
    <col min="2056" max="2306" width="9.140625" style="644"/>
    <col min="2307" max="2307" width="7.140625" style="644" customWidth="1"/>
    <col min="2308" max="2308" width="43.140625" style="644" customWidth="1"/>
    <col min="2309" max="2309" width="10" style="644" customWidth="1"/>
    <col min="2310" max="2310" width="11.42578125" style="644" customWidth="1"/>
    <col min="2311" max="2311" width="8.7109375" style="644" bestFit="1" customWidth="1"/>
    <col min="2312" max="2562" width="9.140625" style="644"/>
    <col min="2563" max="2563" width="7.140625" style="644" customWidth="1"/>
    <col min="2564" max="2564" width="43.140625" style="644" customWidth="1"/>
    <col min="2565" max="2565" width="10" style="644" customWidth="1"/>
    <col min="2566" max="2566" width="11.42578125" style="644" customWidth="1"/>
    <col min="2567" max="2567" width="8.7109375" style="644" bestFit="1" customWidth="1"/>
    <col min="2568" max="2818" width="9.140625" style="644"/>
    <col min="2819" max="2819" width="7.140625" style="644" customWidth="1"/>
    <col min="2820" max="2820" width="43.140625" style="644" customWidth="1"/>
    <col min="2821" max="2821" width="10" style="644" customWidth="1"/>
    <col min="2822" max="2822" width="11.42578125" style="644" customWidth="1"/>
    <col min="2823" max="2823" width="8.7109375" style="644" bestFit="1" customWidth="1"/>
    <col min="2824" max="3074" width="9.140625" style="644"/>
    <col min="3075" max="3075" width="7.140625" style="644" customWidth="1"/>
    <col min="3076" max="3076" width="43.140625" style="644" customWidth="1"/>
    <col min="3077" max="3077" width="10" style="644" customWidth="1"/>
    <col min="3078" max="3078" width="11.42578125" style="644" customWidth="1"/>
    <col min="3079" max="3079" width="8.7109375" style="644" bestFit="1" customWidth="1"/>
    <col min="3080" max="3330" width="9.140625" style="644"/>
    <col min="3331" max="3331" width="7.140625" style="644" customWidth="1"/>
    <col min="3332" max="3332" width="43.140625" style="644" customWidth="1"/>
    <col min="3333" max="3333" width="10" style="644" customWidth="1"/>
    <col min="3334" max="3334" width="11.42578125" style="644" customWidth="1"/>
    <col min="3335" max="3335" width="8.7109375" style="644" bestFit="1" customWidth="1"/>
    <col min="3336" max="3586" width="9.140625" style="644"/>
    <col min="3587" max="3587" width="7.140625" style="644" customWidth="1"/>
    <col min="3588" max="3588" width="43.140625" style="644" customWidth="1"/>
    <col min="3589" max="3589" width="10" style="644" customWidth="1"/>
    <col min="3590" max="3590" width="11.42578125" style="644" customWidth="1"/>
    <col min="3591" max="3591" width="8.7109375" style="644" bestFit="1" customWidth="1"/>
    <col min="3592" max="3842" width="9.140625" style="644"/>
    <col min="3843" max="3843" width="7.140625" style="644" customWidth="1"/>
    <col min="3844" max="3844" width="43.140625" style="644" customWidth="1"/>
    <col min="3845" max="3845" width="10" style="644" customWidth="1"/>
    <col min="3846" max="3846" width="11.42578125" style="644" customWidth="1"/>
    <col min="3847" max="3847" width="8.7109375" style="644" bestFit="1" customWidth="1"/>
    <col min="3848" max="4098" width="9.140625" style="644"/>
    <col min="4099" max="4099" width="7.140625" style="644" customWidth="1"/>
    <col min="4100" max="4100" width="43.140625" style="644" customWidth="1"/>
    <col min="4101" max="4101" width="10" style="644" customWidth="1"/>
    <col min="4102" max="4102" width="11.42578125" style="644" customWidth="1"/>
    <col min="4103" max="4103" width="8.7109375" style="644" bestFit="1" customWidth="1"/>
    <col min="4104" max="4354" width="9.140625" style="644"/>
    <col min="4355" max="4355" width="7.140625" style="644" customWidth="1"/>
    <col min="4356" max="4356" width="43.140625" style="644" customWidth="1"/>
    <col min="4357" max="4357" width="10" style="644" customWidth="1"/>
    <col min="4358" max="4358" width="11.42578125" style="644" customWidth="1"/>
    <col min="4359" max="4359" width="8.7109375" style="644" bestFit="1" customWidth="1"/>
    <col min="4360" max="4610" width="9.140625" style="644"/>
    <col min="4611" max="4611" width="7.140625" style="644" customWidth="1"/>
    <col min="4612" max="4612" width="43.140625" style="644" customWidth="1"/>
    <col min="4613" max="4613" width="10" style="644" customWidth="1"/>
    <col min="4614" max="4614" width="11.42578125" style="644" customWidth="1"/>
    <col min="4615" max="4615" width="8.7109375" style="644" bestFit="1" customWidth="1"/>
    <col min="4616" max="4866" width="9.140625" style="644"/>
    <col min="4867" max="4867" width="7.140625" style="644" customWidth="1"/>
    <col min="4868" max="4868" width="43.140625" style="644" customWidth="1"/>
    <col min="4869" max="4869" width="10" style="644" customWidth="1"/>
    <col min="4870" max="4870" width="11.42578125" style="644" customWidth="1"/>
    <col min="4871" max="4871" width="8.7109375" style="644" bestFit="1" customWidth="1"/>
    <col min="4872" max="5122" width="9.140625" style="644"/>
    <col min="5123" max="5123" width="7.140625" style="644" customWidth="1"/>
    <col min="5124" max="5124" width="43.140625" style="644" customWidth="1"/>
    <col min="5125" max="5125" width="10" style="644" customWidth="1"/>
    <col min="5126" max="5126" width="11.42578125" style="644" customWidth="1"/>
    <col min="5127" max="5127" width="8.7109375" style="644" bestFit="1" customWidth="1"/>
    <col min="5128" max="5378" width="9.140625" style="644"/>
    <col min="5379" max="5379" width="7.140625" style="644" customWidth="1"/>
    <col min="5380" max="5380" width="43.140625" style="644" customWidth="1"/>
    <col min="5381" max="5381" width="10" style="644" customWidth="1"/>
    <col min="5382" max="5382" width="11.42578125" style="644" customWidth="1"/>
    <col min="5383" max="5383" width="8.7109375" style="644" bestFit="1" customWidth="1"/>
    <col min="5384" max="5634" width="9.140625" style="644"/>
    <col min="5635" max="5635" width="7.140625" style="644" customWidth="1"/>
    <col min="5636" max="5636" width="43.140625" style="644" customWidth="1"/>
    <col min="5637" max="5637" width="10" style="644" customWidth="1"/>
    <col min="5638" max="5638" width="11.42578125" style="644" customWidth="1"/>
    <col min="5639" max="5639" width="8.7109375" style="644" bestFit="1" customWidth="1"/>
    <col min="5640" max="5890" width="9.140625" style="644"/>
    <col min="5891" max="5891" width="7.140625" style="644" customWidth="1"/>
    <col min="5892" max="5892" width="43.140625" style="644" customWidth="1"/>
    <col min="5893" max="5893" width="10" style="644" customWidth="1"/>
    <col min="5894" max="5894" width="11.42578125" style="644" customWidth="1"/>
    <col min="5895" max="5895" width="8.7109375" style="644" bestFit="1" customWidth="1"/>
    <col min="5896" max="6146" width="9.140625" style="644"/>
    <col min="6147" max="6147" width="7.140625" style="644" customWidth="1"/>
    <col min="6148" max="6148" width="43.140625" style="644" customWidth="1"/>
    <col min="6149" max="6149" width="10" style="644" customWidth="1"/>
    <col min="6150" max="6150" width="11.42578125" style="644" customWidth="1"/>
    <col min="6151" max="6151" width="8.7109375" style="644" bestFit="1" customWidth="1"/>
    <col min="6152" max="6402" width="9.140625" style="644"/>
    <col min="6403" max="6403" width="7.140625" style="644" customWidth="1"/>
    <col min="6404" max="6404" width="43.140625" style="644" customWidth="1"/>
    <col min="6405" max="6405" width="10" style="644" customWidth="1"/>
    <col min="6406" max="6406" width="11.42578125" style="644" customWidth="1"/>
    <col min="6407" max="6407" width="8.7109375" style="644" bestFit="1" customWidth="1"/>
    <col min="6408" max="6658" width="9.140625" style="644"/>
    <col min="6659" max="6659" width="7.140625" style="644" customWidth="1"/>
    <col min="6660" max="6660" width="43.140625" style="644" customWidth="1"/>
    <col min="6661" max="6661" width="10" style="644" customWidth="1"/>
    <col min="6662" max="6662" width="11.42578125" style="644" customWidth="1"/>
    <col min="6663" max="6663" width="8.7109375" style="644" bestFit="1" customWidth="1"/>
    <col min="6664" max="6914" width="9.140625" style="644"/>
    <col min="6915" max="6915" width="7.140625" style="644" customWidth="1"/>
    <col min="6916" max="6916" width="43.140625" style="644" customWidth="1"/>
    <col min="6917" max="6917" width="10" style="644" customWidth="1"/>
    <col min="6918" max="6918" width="11.42578125" style="644" customWidth="1"/>
    <col min="6919" max="6919" width="8.7109375" style="644" bestFit="1" customWidth="1"/>
    <col min="6920" max="7170" width="9.140625" style="644"/>
    <col min="7171" max="7171" width="7.140625" style="644" customWidth="1"/>
    <col min="7172" max="7172" width="43.140625" style="644" customWidth="1"/>
    <col min="7173" max="7173" width="10" style="644" customWidth="1"/>
    <col min="7174" max="7174" width="11.42578125" style="644" customWidth="1"/>
    <col min="7175" max="7175" width="8.7109375" style="644" bestFit="1" customWidth="1"/>
    <col min="7176" max="7426" width="9.140625" style="644"/>
    <col min="7427" max="7427" width="7.140625" style="644" customWidth="1"/>
    <col min="7428" max="7428" width="43.140625" style="644" customWidth="1"/>
    <col min="7429" max="7429" width="10" style="644" customWidth="1"/>
    <col min="7430" max="7430" width="11.42578125" style="644" customWidth="1"/>
    <col min="7431" max="7431" width="8.7109375" style="644" bestFit="1" customWidth="1"/>
    <col min="7432" max="7682" width="9.140625" style="644"/>
    <col min="7683" max="7683" width="7.140625" style="644" customWidth="1"/>
    <col min="7684" max="7684" width="43.140625" style="644" customWidth="1"/>
    <col min="7685" max="7685" width="10" style="644" customWidth="1"/>
    <col min="7686" max="7686" width="11.42578125" style="644" customWidth="1"/>
    <col min="7687" max="7687" width="8.7109375" style="644" bestFit="1" customWidth="1"/>
    <col min="7688" max="7938" width="9.140625" style="644"/>
    <col min="7939" max="7939" width="7.140625" style="644" customWidth="1"/>
    <col min="7940" max="7940" width="43.140625" style="644" customWidth="1"/>
    <col min="7941" max="7941" width="10" style="644" customWidth="1"/>
    <col min="7942" max="7942" width="11.42578125" style="644" customWidth="1"/>
    <col min="7943" max="7943" width="8.7109375" style="644" bestFit="1" customWidth="1"/>
    <col min="7944" max="8194" width="9.140625" style="644"/>
    <col min="8195" max="8195" width="7.140625" style="644" customWidth="1"/>
    <col min="8196" max="8196" width="43.140625" style="644" customWidth="1"/>
    <col min="8197" max="8197" width="10" style="644" customWidth="1"/>
    <col min="8198" max="8198" width="11.42578125" style="644" customWidth="1"/>
    <col min="8199" max="8199" width="8.7109375" style="644" bestFit="1" customWidth="1"/>
    <col min="8200" max="8450" width="9.140625" style="644"/>
    <col min="8451" max="8451" width="7.140625" style="644" customWidth="1"/>
    <col min="8452" max="8452" width="43.140625" style="644" customWidth="1"/>
    <col min="8453" max="8453" width="10" style="644" customWidth="1"/>
    <col min="8454" max="8454" width="11.42578125" style="644" customWidth="1"/>
    <col min="8455" max="8455" width="8.7109375" style="644" bestFit="1" customWidth="1"/>
    <col min="8456" max="8706" width="9.140625" style="644"/>
    <col min="8707" max="8707" width="7.140625" style="644" customWidth="1"/>
    <col min="8708" max="8708" width="43.140625" style="644" customWidth="1"/>
    <col min="8709" max="8709" width="10" style="644" customWidth="1"/>
    <col min="8710" max="8710" width="11.42578125" style="644" customWidth="1"/>
    <col min="8711" max="8711" width="8.7109375" style="644" bestFit="1" customWidth="1"/>
    <col min="8712" max="8962" width="9.140625" style="644"/>
    <col min="8963" max="8963" width="7.140625" style="644" customWidth="1"/>
    <col min="8964" max="8964" width="43.140625" style="644" customWidth="1"/>
    <col min="8965" max="8965" width="10" style="644" customWidth="1"/>
    <col min="8966" max="8966" width="11.42578125" style="644" customWidth="1"/>
    <col min="8967" max="8967" width="8.7109375" style="644" bestFit="1" customWidth="1"/>
    <col min="8968" max="9218" width="9.140625" style="644"/>
    <col min="9219" max="9219" width="7.140625" style="644" customWidth="1"/>
    <col min="9220" max="9220" width="43.140625" style="644" customWidth="1"/>
    <col min="9221" max="9221" width="10" style="644" customWidth="1"/>
    <col min="9222" max="9222" width="11.42578125" style="644" customWidth="1"/>
    <col min="9223" max="9223" width="8.7109375" style="644" bestFit="1" customWidth="1"/>
    <col min="9224" max="9474" width="9.140625" style="644"/>
    <col min="9475" max="9475" width="7.140625" style="644" customWidth="1"/>
    <col min="9476" max="9476" width="43.140625" style="644" customWidth="1"/>
    <col min="9477" max="9477" width="10" style="644" customWidth="1"/>
    <col min="9478" max="9478" width="11.42578125" style="644" customWidth="1"/>
    <col min="9479" max="9479" width="8.7109375" style="644" bestFit="1" customWidth="1"/>
    <col min="9480" max="9730" width="9.140625" style="644"/>
    <col min="9731" max="9731" width="7.140625" style="644" customWidth="1"/>
    <col min="9732" max="9732" width="43.140625" style="644" customWidth="1"/>
    <col min="9733" max="9733" width="10" style="644" customWidth="1"/>
    <col min="9734" max="9734" width="11.42578125" style="644" customWidth="1"/>
    <col min="9735" max="9735" width="8.7109375" style="644" bestFit="1" customWidth="1"/>
    <col min="9736" max="9986" width="9.140625" style="644"/>
    <col min="9987" max="9987" width="7.140625" style="644" customWidth="1"/>
    <col min="9988" max="9988" width="43.140625" style="644" customWidth="1"/>
    <col min="9989" max="9989" width="10" style="644" customWidth="1"/>
    <col min="9990" max="9990" width="11.42578125" style="644" customWidth="1"/>
    <col min="9991" max="9991" width="8.7109375" style="644" bestFit="1" customWidth="1"/>
    <col min="9992" max="10242" width="9.140625" style="644"/>
    <col min="10243" max="10243" width="7.140625" style="644" customWidth="1"/>
    <col min="10244" max="10244" width="43.140625" style="644" customWidth="1"/>
    <col min="10245" max="10245" width="10" style="644" customWidth="1"/>
    <col min="10246" max="10246" width="11.42578125" style="644" customWidth="1"/>
    <col min="10247" max="10247" width="8.7109375" style="644" bestFit="1" customWidth="1"/>
    <col min="10248" max="10498" width="9.140625" style="644"/>
    <col min="10499" max="10499" width="7.140625" style="644" customWidth="1"/>
    <col min="10500" max="10500" width="43.140625" style="644" customWidth="1"/>
    <col min="10501" max="10501" width="10" style="644" customWidth="1"/>
    <col min="10502" max="10502" width="11.42578125" style="644" customWidth="1"/>
    <col min="10503" max="10503" width="8.7109375" style="644" bestFit="1" customWidth="1"/>
    <col min="10504" max="10754" width="9.140625" style="644"/>
    <col min="10755" max="10755" width="7.140625" style="644" customWidth="1"/>
    <col min="10756" max="10756" width="43.140625" style="644" customWidth="1"/>
    <col min="10757" max="10757" width="10" style="644" customWidth="1"/>
    <col min="10758" max="10758" width="11.42578125" style="644" customWidth="1"/>
    <col min="10759" max="10759" width="8.7109375" style="644" bestFit="1" customWidth="1"/>
    <col min="10760" max="11010" width="9.140625" style="644"/>
    <col min="11011" max="11011" width="7.140625" style="644" customWidth="1"/>
    <col min="11012" max="11012" width="43.140625" style="644" customWidth="1"/>
    <col min="11013" max="11013" width="10" style="644" customWidth="1"/>
    <col min="11014" max="11014" width="11.42578125" style="644" customWidth="1"/>
    <col min="11015" max="11015" width="8.7109375" style="644" bestFit="1" customWidth="1"/>
    <col min="11016" max="11266" width="9.140625" style="644"/>
    <col min="11267" max="11267" width="7.140625" style="644" customWidth="1"/>
    <col min="11268" max="11268" width="43.140625" style="644" customWidth="1"/>
    <col min="11269" max="11269" width="10" style="644" customWidth="1"/>
    <col min="11270" max="11270" width="11.42578125" style="644" customWidth="1"/>
    <col min="11271" max="11271" width="8.7109375" style="644" bestFit="1" customWidth="1"/>
    <col min="11272" max="11522" width="9.140625" style="644"/>
    <col min="11523" max="11523" width="7.140625" style="644" customWidth="1"/>
    <col min="11524" max="11524" width="43.140625" style="644" customWidth="1"/>
    <col min="11525" max="11525" width="10" style="644" customWidth="1"/>
    <col min="11526" max="11526" width="11.42578125" style="644" customWidth="1"/>
    <col min="11527" max="11527" width="8.7109375" style="644" bestFit="1" customWidth="1"/>
    <col min="11528" max="11778" width="9.140625" style="644"/>
    <col min="11779" max="11779" width="7.140625" style="644" customWidth="1"/>
    <col min="11780" max="11780" width="43.140625" style="644" customWidth="1"/>
    <col min="11781" max="11781" width="10" style="644" customWidth="1"/>
    <col min="11782" max="11782" width="11.42578125" style="644" customWidth="1"/>
    <col min="11783" max="11783" width="8.7109375" style="644" bestFit="1" customWidth="1"/>
    <col min="11784" max="12034" width="9.140625" style="644"/>
    <col min="12035" max="12035" width="7.140625" style="644" customWidth="1"/>
    <col min="12036" max="12036" width="43.140625" style="644" customWidth="1"/>
    <col min="12037" max="12037" width="10" style="644" customWidth="1"/>
    <col min="12038" max="12038" width="11.42578125" style="644" customWidth="1"/>
    <col min="12039" max="12039" width="8.7109375" style="644" bestFit="1" customWidth="1"/>
    <col min="12040" max="12290" width="9.140625" style="644"/>
    <col min="12291" max="12291" width="7.140625" style="644" customWidth="1"/>
    <col min="12292" max="12292" width="43.140625" style="644" customWidth="1"/>
    <col min="12293" max="12293" width="10" style="644" customWidth="1"/>
    <col min="12294" max="12294" width="11.42578125" style="644" customWidth="1"/>
    <col min="12295" max="12295" width="8.7109375" style="644" bestFit="1" customWidth="1"/>
    <col min="12296" max="12546" width="9.140625" style="644"/>
    <col min="12547" max="12547" width="7.140625" style="644" customWidth="1"/>
    <col min="12548" max="12548" width="43.140625" style="644" customWidth="1"/>
    <col min="12549" max="12549" width="10" style="644" customWidth="1"/>
    <col min="12550" max="12550" width="11.42578125" style="644" customWidth="1"/>
    <col min="12551" max="12551" width="8.7109375" style="644" bestFit="1" customWidth="1"/>
    <col min="12552" max="12802" width="9.140625" style="644"/>
    <col min="12803" max="12803" width="7.140625" style="644" customWidth="1"/>
    <col min="12804" max="12804" width="43.140625" style="644" customWidth="1"/>
    <col min="12805" max="12805" width="10" style="644" customWidth="1"/>
    <col min="12806" max="12806" width="11.42578125" style="644" customWidth="1"/>
    <col min="12807" max="12807" width="8.7109375" style="644" bestFit="1" customWidth="1"/>
    <col min="12808" max="13058" width="9.140625" style="644"/>
    <col min="13059" max="13059" width="7.140625" style="644" customWidth="1"/>
    <col min="13060" max="13060" width="43.140625" style="644" customWidth="1"/>
    <col min="13061" max="13061" width="10" style="644" customWidth="1"/>
    <col min="13062" max="13062" width="11.42578125" style="644" customWidth="1"/>
    <col min="13063" max="13063" width="8.7109375" style="644" bestFit="1" customWidth="1"/>
    <col min="13064" max="13314" width="9.140625" style="644"/>
    <col min="13315" max="13315" width="7.140625" style="644" customWidth="1"/>
    <col min="13316" max="13316" width="43.140625" style="644" customWidth="1"/>
    <col min="13317" max="13317" width="10" style="644" customWidth="1"/>
    <col min="13318" max="13318" width="11.42578125" style="644" customWidth="1"/>
    <col min="13319" max="13319" width="8.7109375" style="644" bestFit="1" customWidth="1"/>
    <col min="13320" max="13570" width="9.140625" style="644"/>
    <col min="13571" max="13571" width="7.140625" style="644" customWidth="1"/>
    <col min="13572" max="13572" width="43.140625" style="644" customWidth="1"/>
    <col min="13573" max="13573" width="10" style="644" customWidth="1"/>
    <col min="13574" max="13574" width="11.42578125" style="644" customWidth="1"/>
    <col min="13575" max="13575" width="8.7109375" style="644" bestFit="1" customWidth="1"/>
    <col min="13576" max="13826" width="9.140625" style="644"/>
    <col min="13827" max="13827" width="7.140625" style="644" customWidth="1"/>
    <col min="13828" max="13828" width="43.140625" style="644" customWidth="1"/>
    <col min="13829" max="13829" width="10" style="644" customWidth="1"/>
    <col min="13830" max="13830" width="11.42578125" style="644" customWidth="1"/>
    <col min="13831" max="13831" width="8.7109375" style="644" bestFit="1" customWidth="1"/>
    <col min="13832" max="14082" width="9.140625" style="644"/>
    <col min="14083" max="14083" width="7.140625" style="644" customWidth="1"/>
    <col min="14084" max="14084" width="43.140625" style="644" customWidth="1"/>
    <col min="14085" max="14085" width="10" style="644" customWidth="1"/>
    <col min="14086" max="14086" width="11.42578125" style="644" customWidth="1"/>
    <col min="14087" max="14087" width="8.7109375" style="644" bestFit="1" customWidth="1"/>
    <col min="14088" max="14338" width="9.140625" style="644"/>
    <col min="14339" max="14339" width="7.140625" style="644" customWidth="1"/>
    <col min="14340" max="14340" width="43.140625" style="644" customWidth="1"/>
    <col min="14341" max="14341" width="10" style="644" customWidth="1"/>
    <col min="14342" max="14342" width="11.42578125" style="644" customWidth="1"/>
    <col min="14343" max="14343" width="8.7109375" style="644" bestFit="1" customWidth="1"/>
    <col min="14344" max="14594" width="9.140625" style="644"/>
    <col min="14595" max="14595" width="7.140625" style="644" customWidth="1"/>
    <col min="14596" max="14596" width="43.140625" style="644" customWidth="1"/>
    <col min="14597" max="14597" width="10" style="644" customWidth="1"/>
    <col min="14598" max="14598" width="11.42578125" style="644" customWidth="1"/>
    <col min="14599" max="14599" width="8.7109375" style="644" bestFit="1" customWidth="1"/>
    <col min="14600" max="14850" width="9.140625" style="644"/>
    <col min="14851" max="14851" width="7.140625" style="644" customWidth="1"/>
    <col min="14852" max="14852" width="43.140625" style="644" customWidth="1"/>
    <col min="14853" max="14853" width="10" style="644" customWidth="1"/>
    <col min="14854" max="14854" width="11.42578125" style="644" customWidth="1"/>
    <col min="14855" max="14855" width="8.7109375" style="644" bestFit="1" customWidth="1"/>
    <col min="14856" max="15106" width="9.140625" style="644"/>
    <col min="15107" max="15107" width="7.140625" style="644" customWidth="1"/>
    <col min="15108" max="15108" width="43.140625" style="644" customWidth="1"/>
    <col min="15109" max="15109" width="10" style="644" customWidth="1"/>
    <col min="15110" max="15110" width="11.42578125" style="644" customWidth="1"/>
    <col min="15111" max="15111" width="8.7109375" style="644" bestFit="1" customWidth="1"/>
    <col min="15112" max="15362" width="9.140625" style="644"/>
    <col min="15363" max="15363" width="7.140625" style="644" customWidth="1"/>
    <col min="15364" max="15364" width="43.140625" style="644" customWidth="1"/>
    <col min="15365" max="15365" width="10" style="644" customWidth="1"/>
    <col min="15366" max="15366" width="11.42578125" style="644" customWidth="1"/>
    <col min="15367" max="15367" width="8.7109375" style="644" bestFit="1" customWidth="1"/>
    <col min="15368" max="15618" width="9.140625" style="644"/>
    <col min="15619" max="15619" width="7.140625" style="644" customWidth="1"/>
    <col min="15620" max="15620" width="43.140625" style="644" customWidth="1"/>
    <col min="15621" max="15621" width="10" style="644" customWidth="1"/>
    <col min="15622" max="15622" width="11.42578125" style="644" customWidth="1"/>
    <col min="15623" max="15623" width="8.7109375" style="644" bestFit="1" customWidth="1"/>
    <col min="15624" max="15874" width="9.140625" style="644"/>
    <col min="15875" max="15875" width="7.140625" style="644" customWidth="1"/>
    <col min="15876" max="15876" width="43.140625" style="644" customWidth="1"/>
    <col min="15877" max="15877" width="10" style="644" customWidth="1"/>
    <col min="15878" max="15878" width="11.42578125" style="644" customWidth="1"/>
    <col min="15879" max="15879" width="8.7109375" style="644" bestFit="1" customWidth="1"/>
    <col min="15880" max="16130" width="9.140625" style="644"/>
    <col min="16131" max="16131" width="7.140625" style="644" customWidth="1"/>
    <col min="16132" max="16132" width="43.140625" style="644" customWidth="1"/>
    <col min="16133" max="16133" width="10" style="644" customWidth="1"/>
    <col min="16134" max="16134" width="11.42578125" style="644" customWidth="1"/>
    <col min="16135" max="16135" width="8.7109375" style="644" bestFit="1" customWidth="1"/>
    <col min="16136" max="16384" width="9.140625" style="644"/>
  </cols>
  <sheetData>
    <row r="1" spans="1:11" hidden="1" outlineLevel="1">
      <c r="A1" s="807" t="s">
        <v>954</v>
      </c>
      <c r="B1" s="807"/>
      <c r="C1" s="807"/>
      <c r="D1" s="807"/>
      <c r="E1" s="807"/>
      <c r="F1" s="807"/>
      <c r="G1" s="807"/>
      <c r="H1" s="807"/>
      <c r="I1" s="807"/>
      <c r="J1" s="807"/>
      <c r="K1" s="807"/>
    </row>
    <row r="2" spans="1:11" hidden="1" outlineLevel="1"/>
    <row r="3" spans="1:11" ht="30.75" customHeight="1" collapsed="1">
      <c r="A3" s="810" t="s">
        <v>55</v>
      </c>
      <c r="B3" s="810" t="s">
        <v>525</v>
      </c>
      <c r="C3" s="808" t="s">
        <v>959</v>
      </c>
      <c r="D3" s="809"/>
      <c r="E3" s="808" t="s">
        <v>960</v>
      </c>
      <c r="F3" s="809"/>
      <c r="G3" s="808" t="s">
        <v>1031</v>
      </c>
      <c r="H3" s="809"/>
      <c r="I3" s="808" t="s">
        <v>1053</v>
      </c>
      <c r="J3" s="809"/>
      <c r="K3" s="810" t="s">
        <v>75</v>
      </c>
    </row>
    <row r="4" spans="1:11" ht="30">
      <c r="A4" s="811"/>
      <c r="B4" s="811"/>
      <c r="C4" s="666" t="s">
        <v>955</v>
      </c>
      <c r="D4" s="666" t="s">
        <v>956</v>
      </c>
      <c r="E4" s="666" t="s">
        <v>955</v>
      </c>
      <c r="F4" s="666" t="s">
        <v>956</v>
      </c>
      <c r="G4" s="666" t="s">
        <v>955</v>
      </c>
      <c r="H4" s="666" t="s">
        <v>956</v>
      </c>
      <c r="I4" s="666" t="s">
        <v>955</v>
      </c>
      <c r="J4" s="666" t="s">
        <v>956</v>
      </c>
      <c r="K4" s="811"/>
    </row>
    <row r="5" spans="1:11" ht="18.75" customHeight="1">
      <c r="A5" s="710"/>
      <c r="B5" s="710" t="s">
        <v>953</v>
      </c>
      <c r="C5" s="710">
        <f t="shared" ref="C5:H5" si="0">COUNTA(C6:C32)</f>
        <v>14</v>
      </c>
      <c r="D5" s="710">
        <f t="shared" si="0"/>
        <v>5</v>
      </c>
      <c r="E5" s="710">
        <f t="shared" si="0"/>
        <v>9</v>
      </c>
      <c r="F5" s="710">
        <f t="shared" si="0"/>
        <v>10</v>
      </c>
      <c r="G5" s="710">
        <f t="shared" si="0"/>
        <v>6</v>
      </c>
      <c r="H5" s="710">
        <f t="shared" si="0"/>
        <v>13</v>
      </c>
      <c r="I5" s="710">
        <f>COUNTA(I6:I41)</f>
        <v>20</v>
      </c>
      <c r="J5" s="710">
        <f>COUNTA(J6:J41)</f>
        <v>8</v>
      </c>
      <c r="K5" s="710"/>
    </row>
    <row r="6" spans="1:11">
      <c r="A6" s="652"/>
      <c r="B6" s="653" t="s">
        <v>947</v>
      </c>
      <c r="C6" s="645"/>
      <c r="D6" s="645"/>
      <c r="E6" s="645"/>
      <c r="F6" s="645"/>
      <c r="G6" s="645"/>
      <c r="H6" s="645"/>
      <c r="I6" s="645"/>
      <c r="J6" s="645"/>
      <c r="K6" s="654"/>
    </row>
    <row r="7" spans="1:11">
      <c r="A7" s="645">
        <v>1</v>
      </c>
      <c r="B7" s="646" t="s">
        <v>933</v>
      </c>
      <c r="C7" s="645" t="s">
        <v>952</v>
      </c>
      <c r="D7" s="645"/>
      <c r="E7" s="645" t="s">
        <v>952</v>
      </c>
      <c r="F7" s="645"/>
      <c r="G7" s="645"/>
      <c r="H7" s="645" t="s">
        <v>952</v>
      </c>
      <c r="I7" s="645" t="s">
        <v>952</v>
      </c>
      <c r="J7" s="645"/>
      <c r="K7" s="654"/>
    </row>
    <row r="8" spans="1:11">
      <c r="A8" s="645">
        <v>2</v>
      </c>
      <c r="B8" s="646" t="s">
        <v>936</v>
      </c>
      <c r="C8" s="645" t="s">
        <v>952</v>
      </c>
      <c r="D8" s="645"/>
      <c r="E8" s="645"/>
      <c r="F8" s="645" t="s">
        <v>952</v>
      </c>
      <c r="G8" s="645"/>
      <c r="H8" s="645" t="s">
        <v>952</v>
      </c>
      <c r="I8" s="645" t="s">
        <v>952</v>
      </c>
      <c r="J8" s="645"/>
      <c r="K8" s="654"/>
    </row>
    <row r="9" spans="1:11">
      <c r="A9" s="645">
        <v>3</v>
      </c>
      <c r="B9" s="646" t="s">
        <v>937</v>
      </c>
      <c r="C9" s="645" t="s">
        <v>952</v>
      </c>
      <c r="D9" s="645"/>
      <c r="E9" s="645" t="s">
        <v>952</v>
      </c>
      <c r="F9" s="645"/>
      <c r="G9" s="645" t="s">
        <v>952</v>
      </c>
      <c r="H9" s="645"/>
      <c r="I9" s="645" t="s">
        <v>952</v>
      </c>
      <c r="J9" s="645"/>
      <c r="K9" s="654"/>
    </row>
    <row r="10" spans="1:11">
      <c r="A10" s="645">
        <v>4</v>
      </c>
      <c r="B10" s="646" t="s">
        <v>941</v>
      </c>
      <c r="C10" s="645" t="s">
        <v>952</v>
      </c>
      <c r="D10" s="645"/>
      <c r="E10" s="645" t="s">
        <v>952</v>
      </c>
      <c r="F10" s="645"/>
      <c r="G10" s="645"/>
      <c r="H10" s="645" t="s">
        <v>952</v>
      </c>
      <c r="I10" s="645" t="s">
        <v>952</v>
      </c>
      <c r="J10" s="645"/>
      <c r="K10" s="654"/>
    </row>
    <row r="11" spans="1:11">
      <c r="A11" s="652"/>
      <c r="B11" s="653" t="s">
        <v>951</v>
      </c>
      <c r="C11" s="645"/>
      <c r="D11" s="645"/>
      <c r="E11" s="645"/>
      <c r="F11" s="645"/>
      <c r="G11" s="645"/>
      <c r="H11" s="645"/>
      <c r="I11" s="645"/>
      <c r="J11" s="645"/>
      <c r="K11" s="654"/>
    </row>
    <row r="12" spans="1:11">
      <c r="A12" s="645">
        <v>5</v>
      </c>
      <c r="B12" s="646" t="s">
        <v>929</v>
      </c>
      <c r="C12" s="645" t="s">
        <v>952</v>
      </c>
      <c r="D12" s="645"/>
      <c r="E12" s="645" t="s">
        <v>952</v>
      </c>
      <c r="F12" s="645"/>
      <c r="G12" s="645" t="s">
        <v>952</v>
      </c>
      <c r="H12" s="645"/>
      <c r="I12" s="645" t="s">
        <v>952</v>
      </c>
      <c r="J12" s="645"/>
      <c r="K12" s="654"/>
    </row>
    <row r="13" spans="1:11">
      <c r="A13" s="645">
        <v>6</v>
      </c>
      <c r="B13" s="646" t="s">
        <v>935</v>
      </c>
      <c r="C13" s="645"/>
      <c r="D13" s="645" t="s">
        <v>952</v>
      </c>
      <c r="E13" s="645"/>
      <c r="F13" s="645" t="s">
        <v>952</v>
      </c>
      <c r="G13" s="645" t="s">
        <v>952</v>
      </c>
      <c r="H13" s="645"/>
      <c r="I13" s="645" t="s">
        <v>952</v>
      </c>
      <c r="J13" s="645"/>
      <c r="K13" s="654"/>
    </row>
    <row r="14" spans="1:11">
      <c r="A14" s="645">
        <v>7</v>
      </c>
      <c r="B14" s="646" t="s">
        <v>939</v>
      </c>
      <c r="C14" s="645" t="s">
        <v>952</v>
      </c>
      <c r="D14" s="645"/>
      <c r="E14" s="645" t="s">
        <v>952</v>
      </c>
      <c r="F14" s="645"/>
      <c r="G14" s="645" t="s">
        <v>952</v>
      </c>
      <c r="H14" s="645"/>
      <c r="I14" s="645" t="s">
        <v>952</v>
      </c>
      <c r="J14" s="645"/>
      <c r="K14" s="654"/>
    </row>
    <row r="15" spans="1:11">
      <c r="A15" s="645">
        <v>8</v>
      </c>
      <c r="B15" s="646" t="s">
        <v>940</v>
      </c>
      <c r="C15" s="645" t="s">
        <v>952</v>
      </c>
      <c r="D15" s="645"/>
      <c r="E15" s="645"/>
      <c r="F15" s="645" t="s">
        <v>952</v>
      </c>
      <c r="G15" s="645" t="s">
        <v>952</v>
      </c>
      <c r="H15" s="645"/>
      <c r="I15" s="645" t="s">
        <v>952</v>
      </c>
      <c r="J15" s="645"/>
      <c r="K15" s="654"/>
    </row>
    <row r="16" spans="1:11">
      <c r="A16" s="652"/>
      <c r="B16" s="653" t="s">
        <v>948</v>
      </c>
      <c r="C16" s="645"/>
      <c r="D16" s="645"/>
      <c r="E16" s="645"/>
      <c r="F16" s="645"/>
      <c r="G16" s="645"/>
      <c r="H16" s="645"/>
      <c r="I16" s="645"/>
      <c r="J16" s="645"/>
      <c r="K16" s="654"/>
    </row>
    <row r="17" spans="1:11">
      <c r="A17" s="645">
        <v>9</v>
      </c>
      <c r="B17" s="646" t="s">
        <v>930</v>
      </c>
      <c r="C17" s="645" t="s">
        <v>952</v>
      </c>
      <c r="D17" s="645"/>
      <c r="E17" s="645" t="s">
        <v>952</v>
      </c>
      <c r="F17" s="645"/>
      <c r="G17" s="645"/>
      <c r="H17" s="645" t="s">
        <v>952</v>
      </c>
      <c r="I17" s="645" t="s">
        <v>952</v>
      </c>
      <c r="J17" s="645"/>
      <c r="K17" s="654"/>
    </row>
    <row r="18" spans="1:11">
      <c r="A18" s="645">
        <v>10</v>
      </c>
      <c r="B18" s="646" t="s">
        <v>931</v>
      </c>
      <c r="C18" s="645" t="s">
        <v>952</v>
      </c>
      <c r="D18" s="645"/>
      <c r="E18" s="645" t="s">
        <v>952</v>
      </c>
      <c r="F18" s="645"/>
      <c r="G18" s="645"/>
      <c r="H18" s="645" t="s">
        <v>952</v>
      </c>
      <c r="I18" s="645" t="s">
        <v>952</v>
      </c>
      <c r="J18" s="645"/>
      <c r="K18" s="654"/>
    </row>
    <row r="19" spans="1:11">
      <c r="A19" s="645">
        <v>11</v>
      </c>
      <c r="B19" s="647" t="s">
        <v>932</v>
      </c>
      <c r="C19" s="645" t="s">
        <v>952</v>
      </c>
      <c r="D19" s="645"/>
      <c r="E19" s="645" t="s">
        <v>952</v>
      </c>
      <c r="F19" s="645"/>
      <c r="G19" s="645"/>
      <c r="H19" s="645" t="s">
        <v>952</v>
      </c>
      <c r="I19" s="645"/>
      <c r="J19" s="645" t="s">
        <v>952</v>
      </c>
      <c r="K19" s="654"/>
    </row>
    <row r="20" spans="1:11">
      <c r="A20" s="645">
        <v>12</v>
      </c>
      <c r="B20" s="646" t="s">
        <v>942</v>
      </c>
      <c r="C20" s="645"/>
      <c r="D20" s="645" t="s">
        <v>952</v>
      </c>
      <c r="E20" s="645"/>
      <c r="F20" s="645" t="s">
        <v>952</v>
      </c>
      <c r="G20" s="645"/>
      <c r="H20" s="645" t="s">
        <v>952</v>
      </c>
      <c r="I20" s="645"/>
      <c r="J20" s="645" t="s">
        <v>952</v>
      </c>
      <c r="K20" s="654"/>
    </row>
    <row r="21" spans="1:11">
      <c r="A21" s="645">
        <v>13</v>
      </c>
      <c r="B21" s="646" t="s">
        <v>943</v>
      </c>
      <c r="C21" s="645"/>
      <c r="D21" s="645" t="s">
        <v>952</v>
      </c>
      <c r="E21" s="645"/>
      <c r="F21" s="645" t="s">
        <v>952</v>
      </c>
      <c r="G21" s="645"/>
      <c r="H21" s="645" t="s">
        <v>952</v>
      </c>
      <c r="I21" s="645" t="s">
        <v>952</v>
      </c>
      <c r="J21" s="645"/>
      <c r="K21" s="654"/>
    </row>
    <row r="22" spans="1:11" s="651" customFormat="1" ht="14.25">
      <c r="A22" s="655"/>
      <c r="B22" s="656" t="s">
        <v>950</v>
      </c>
      <c r="C22" s="655"/>
      <c r="D22" s="655"/>
      <c r="E22" s="655"/>
      <c r="F22" s="655"/>
      <c r="G22" s="655"/>
      <c r="H22" s="655"/>
      <c r="I22" s="655"/>
      <c r="J22" s="655"/>
      <c r="K22" s="657"/>
    </row>
    <row r="23" spans="1:11">
      <c r="A23" s="645">
        <v>14</v>
      </c>
      <c r="B23" s="646" t="s">
        <v>934</v>
      </c>
      <c r="C23" s="645"/>
      <c r="D23" s="645" t="s">
        <v>952</v>
      </c>
      <c r="E23" s="645"/>
      <c r="F23" s="645" t="s">
        <v>952</v>
      </c>
      <c r="G23" s="645"/>
      <c r="H23" s="645" t="s">
        <v>952</v>
      </c>
      <c r="I23" s="645" t="s">
        <v>952</v>
      </c>
      <c r="J23" s="645"/>
      <c r="K23" s="654"/>
    </row>
    <row r="24" spans="1:11">
      <c r="A24" s="645">
        <v>15</v>
      </c>
      <c r="B24" s="646" t="s">
        <v>938</v>
      </c>
      <c r="C24" s="645" t="s">
        <v>952</v>
      </c>
      <c r="D24" s="645"/>
      <c r="E24" s="645"/>
      <c r="F24" s="645" t="s">
        <v>952</v>
      </c>
      <c r="G24" s="645"/>
      <c r="H24" s="645" t="s">
        <v>952</v>
      </c>
      <c r="I24" s="645" t="s">
        <v>952</v>
      </c>
      <c r="J24" s="645"/>
      <c r="K24" s="654"/>
    </row>
    <row r="25" spans="1:11" ht="30">
      <c r="A25" s="645">
        <v>16</v>
      </c>
      <c r="B25" s="648" t="s">
        <v>946</v>
      </c>
      <c r="C25" s="645" t="s">
        <v>952</v>
      </c>
      <c r="D25" s="645"/>
      <c r="E25" s="645"/>
      <c r="F25" s="645" t="s">
        <v>952</v>
      </c>
      <c r="G25" s="645"/>
      <c r="H25" s="645" t="s">
        <v>952</v>
      </c>
      <c r="I25" s="645"/>
      <c r="J25" s="645" t="s">
        <v>952</v>
      </c>
      <c r="K25" s="654"/>
    </row>
    <row r="26" spans="1:11" ht="30">
      <c r="A26" s="645">
        <v>17</v>
      </c>
      <c r="B26" s="646" t="s">
        <v>1032</v>
      </c>
      <c r="C26" s="645"/>
      <c r="D26" s="645" t="s">
        <v>952</v>
      </c>
      <c r="E26" s="645"/>
      <c r="F26" s="645" t="s">
        <v>952</v>
      </c>
      <c r="G26" s="645"/>
      <c r="H26" s="645" t="s">
        <v>952</v>
      </c>
      <c r="I26" s="645"/>
      <c r="J26" s="645" t="s">
        <v>952</v>
      </c>
      <c r="K26" s="654"/>
    </row>
    <row r="27" spans="1:11">
      <c r="A27" s="645">
        <v>18</v>
      </c>
      <c r="B27" s="646" t="s">
        <v>1054</v>
      </c>
      <c r="C27" s="645"/>
      <c r="D27" s="645"/>
      <c r="E27" s="645"/>
      <c r="F27" s="645"/>
      <c r="G27" s="645"/>
      <c r="H27" s="645"/>
      <c r="I27" s="645"/>
      <c r="J27" s="645"/>
      <c r="K27" s="654"/>
    </row>
    <row r="28" spans="1:11" s="651" customFormat="1" ht="14.25">
      <c r="A28" s="658"/>
      <c r="B28" s="657" t="s">
        <v>949</v>
      </c>
      <c r="C28" s="655"/>
      <c r="D28" s="655"/>
      <c r="E28" s="655"/>
      <c r="F28" s="655"/>
      <c r="G28" s="655"/>
      <c r="H28" s="655"/>
      <c r="I28" s="655"/>
      <c r="J28" s="655"/>
      <c r="K28" s="657"/>
    </row>
    <row r="29" spans="1:11">
      <c r="A29" s="645">
        <v>19</v>
      </c>
      <c r="B29" s="648" t="s">
        <v>945</v>
      </c>
      <c r="C29" s="645" t="s">
        <v>952</v>
      </c>
      <c r="D29" s="645"/>
      <c r="E29" s="645"/>
      <c r="F29" s="645" t="s">
        <v>952</v>
      </c>
      <c r="G29" s="645" t="s">
        <v>952</v>
      </c>
      <c r="H29" s="645"/>
      <c r="I29" s="645"/>
      <c r="J29" s="645" t="s">
        <v>952</v>
      </c>
      <c r="K29" s="654"/>
    </row>
    <row r="30" spans="1:11">
      <c r="A30" s="645">
        <v>20</v>
      </c>
      <c r="B30" s="648" t="s">
        <v>1055</v>
      </c>
      <c r="C30" s="645"/>
      <c r="D30" s="645"/>
      <c r="E30" s="645"/>
      <c r="F30" s="645"/>
      <c r="G30" s="645"/>
      <c r="H30" s="645"/>
      <c r="I30" s="645"/>
      <c r="J30" s="645"/>
      <c r="K30" s="654"/>
    </row>
    <row r="31" spans="1:11">
      <c r="A31" s="645">
        <v>21</v>
      </c>
      <c r="B31" s="646" t="s">
        <v>944</v>
      </c>
      <c r="C31" s="645" t="s">
        <v>952</v>
      </c>
      <c r="D31" s="645"/>
      <c r="E31" s="645" t="s">
        <v>952</v>
      </c>
      <c r="F31" s="645"/>
      <c r="G31" s="645"/>
      <c r="H31" s="645" t="s">
        <v>952</v>
      </c>
      <c r="I31" s="645" t="s">
        <v>952</v>
      </c>
      <c r="J31" s="645"/>
      <c r="K31" s="654"/>
    </row>
    <row r="32" spans="1:11">
      <c r="A32" s="711"/>
      <c r="B32" s="657" t="s">
        <v>1041</v>
      </c>
      <c r="C32" s="645"/>
      <c r="D32" s="645"/>
      <c r="E32" s="645"/>
      <c r="F32" s="645"/>
      <c r="G32" s="645"/>
      <c r="H32" s="645"/>
      <c r="I32" s="645"/>
      <c r="J32" s="645"/>
      <c r="K32" s="654"/>
    </row>
    <row r="33" spans="1:11">
      <c r="A33" s="711">
        <v>22</v>
      </c>
      <c r="B33" s="654" t="s">
        <v>1042</v>
      </c>
      <c r="C33" s="645"/>
      <c r="D33" s="645"/>
      <c r="E33" s="645"/>
      <c r="F33" s="645"/>
      <c r="G33" s="645"/>
      <c r="H33" s="645"/>
      <c r="I33" s="645"/>
      <c r="J33" s="645" t="s">
        <v>952</v>
      </c>
      <c r="K33" s="654"/>
    </row>
    <row r="34" spans="1:11">
      <c r="A34" s="711">
        <v>23</v>
      </c>
      <c r="B34" s="654" t="s">
        <v>1043</v>
      </c>
      <c r="C34" s="645"/>
      <c r="D34" s="645"/>
      <c r="E34" s="645"/>
      <c r="F34" s="645"/>
      <c r="G34" s="645"/>
      <c r="H34" s="645"/>
      <c r="I34" s="645" t="s">
        <v>952</v>
      </c>
      <c r="J34" s="645"/>
      <c r="K34" s="654"/>
    </row>
    <row r="35" spans="1:11">
      <c r="A35" s="711">
        <v>24</v>
      </c>
      <c r="B35" s="654" t="s">
        <v>1049</v>
      </c>
      <c r="C35" s="645"/>
      <c r="D35" s="645"/>
      <c r="E35" s="645"/>
      <c r="F35" s="645"/>
      <c r="G35" s="645"/>
      <c r="H35" s="645"/>
      <c r="I35" s="645" t="s">
        <v>952</v>
      </c>
      <c r="J35" s="645"/>
      <c r="K35" s="654"/>
    </row>
    <row r="36" spans="1:11">
      <c r="A36" s="711">
        <v>25</v>
      </c>
      <c r="B36" s="654" t="s">
        <v>1044</v>
      </c>
      <c r="C36" s="645"/>
      <c r="D36" s="645"/>
      <c r="E36" s="645"/>
      <c r="F36" s="645"/>
      <c r="G36" s="645"/>
      <c r="H36" s="645"/>
      <c r="I36" s="645" t="s">
        <v>952</v>
      </c>
      <c r="J36" s="645"/>
      <c r="K36" s="711" t="s">
        <v>1052</v>
      </c>
    </row>
    <row r="37" spans="1:11">
      <c r="A37" s="711">
        <v>26</v>
      </c>
      <c r="B37" s="654" t="s">
        <v>1045</v>
      </c>
      <c r="C37" s="645"/>
      <c r="D37" s="645"/>
      <c r="E37" s="645"/>
      <c r="F37" s="645"/>
      <c r="G37" s="645"/>
      <c r="H37" s="645"/>
      <c r="I37" s="713" t="s">
        <v>952</v>
      </c>
      <c r="J37" s="645"/>
      <c r="K37" s="654"/>
    </row>
    <row r="38" spans="1:11">
      <c r="A38" s="711">
        <v>27</v>
      </c>
      <c r="B38" s="654" t="s">
        <v>1046</v>
      </c>
      <c r="C38" s="645"/>
      <c r="D38" s="645"/>
      <c r="E38" s="645"/>
      <c r="F38" s="645"/>
      <c r="G38" s="645"/>
      <c r="H38" s="645"/>
      <c r="I38" s="645" t="s">
        <v>952</v>
      </c>
      <c r="J38" s="645"/>
      <c r="K38" s="654"/>
    </row>
    <row r="39" spans="1:11">
      <c r="A39" s="711">
        <v>28</v>
      </c>
      <c r="B39" s="654" t="s">
        <v>1047</v>
      </c>
      <c r="C39" s="645"/>
      <c r="D39" s="645"/>
      <c r="E39" s="645"/>
      <c r="F39" s="645"/>
      <c r="G39" s="645"/>
      <c r="H39" s="645"/>
      <c r="I39" s="645"/>
      <c r="J39" s="645" t="s">
        <v>952</v>
      </c>
      <c r="K39" s="654"/>
    </row>
    <row r="40" spans="1:11">
      <c r="A40" s="711">
        <v>29</v>
      </c>
      <c r="B40" s="654" t="s">
        <v>1050</v>
      </c>
      <c r="C40" s="645"/>
      <c r="D40" s="645"/>
      <c r="E40" s="645"/>
      <c r="F40" s="645"/>
      <c r="G40" s="645"/>
      <c r="H40" s="645"/>
      <c r="I40" s="645" t="s">
        <v>952</v>
      </c>
      <c r="J40" s="645"/>
      <c r="K40" s="654"/>
    </row>
    <row r="41" spans="1:11">
      <c r="A41" s="711">
        <v>30</v>
      </c>
      <c r="B41" s="654" t="s">
        <v>1048</v>
      </c>
      <c r="C41" s="645"/>
      <c r="D41" s="645"/>
      <c r="E41" s="645"/>
      <c r="F41" s="645"/>
      <c r="G41" s="645"/>
      <c r="H41" s="645"/>
      <c r="I41" s="645"/>
      <c r="J41" s="645" t="s">
        <v>952</v>
      </c>
      <c r="K41" s="654"/>
    </row>
    <row r="42" spans="1:11" ht="8.25" customHeight="1">
      <c r="A42" s="659"/>
      <c r="B42" s="660"/>
      <c r="C42" s="649"/>
      <c r="D42" s="649"/>
      <c r="E42" s="649"/>
      <c r="F42" s="649"/>
      <c r="G42" s="649"/>
      <c r="H42" s="649"/>
      <c r="I42" s="649"/>
      <c r="J42" s="649"/>
      <c r="K42" s="660"/>
    </row>
  </sheetData>
  <mergeCells count="8">
    <mergeCell ref="A1:K1"/>
    <mergeCell ref="C3:D3"/>
    <mergeCell ref="A3:A4"/>
    <mergeCell ref="B3:B4"/>
    <mergeCell ref="K3:K4"/>
    <mergeCell ref="E3:F3"/>
    <mergeCell ref="G3:H3"/>
    <mergeCell ref="I3:J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183"/>
  <sheetViews>
    <sheetView zoomScale="85" zoomScaleNormal="85" zoomScaleSheetLayoutView="85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B47" sqref="B47"/>
    </sheetView>
  </sheetViews>
  <sheetFormatPr defaultColWidth="9.140625" defaultRowHeight="15.75" outlineLevelRow="2" outlineLevelCol="1"/>
  <cols>
    <col min="1" max="1" width="5.5703125" style="65" customWidth="1"/>
    <col min="2" max="2" width="39.85546875" style="5" customWidth="1"/>
    <col min="3" max="3" width="12.5703125" style="65" customWidth="1"/>
    <col min="4" max="5" width="12.140625" style="5" hidden="1" customWidth="1" outlineLevel="1"/>
    <col min="6" max="6" width="12.42578125" style="5" customWidth="1" collapsed="1"/>
    <col min="7" max="8" width="12.42578125" style="5" customWidth="1"/>
    <col min="9" max="9" width="13.28515625" style="5" customWidth="1"/>
    <col min="10" max="10" width="10" style="5" bestFit="1" customWidth="1"/>
    <col min="11" max="16384" width="9.140625" style="5"/>
  </cols>
  <sheetData>
    <row r="1" spans="1:11" ht="18.75" hidden="1" outlineLevel="1">
      <c r="A1" s="768" t="s">
        <v>166</v>
      </c>
      <c r="B1" s="768"/>
      <c r="C1" s="768"/>
      <c r="D1" s="768"/>
      <c r="E1" s="768"/>
      <c r="F1" s="768"/>
      <c r="G1" s="768"/>
      <c r="H1" s="768"/>
      <c r="I1" s="768"/>
    </row>
    <row r="2" spans="1:11" ht="18.75" hidden="1" outlineLevel="1">
      <c r="A2" s="769" t="s">
        <v>509</v>
      </c>
      <c r="B2" s="769"/>
      <c r="C2" s="769"/>
      <c r="D2" s="769"/>
      <c r="E2" s="769"/>
      <c r="F2" s="769"/>
      <c r="G2" s="769"/>
      <c r="H2" s="769"/>
      <c r="I2" s="769"/>
    </row>
    <row r="3" spans="1:11" ht="18.75" hidden="1" outlineLevel="1">
      <c r="A3" s="770" t="s">
        <v>400</v>
      </c>
      <c r="B3" s="770"/>
      <c r="C3" s="770"/>
      <c r="D3" s="770"/>
      <c r="E3" s="770"/>
      <c r="F3" s="770"/>
      <c r="G3" s="770"/>
      <c r="H3" s="770"/>
      <c r="I3" s="770"/>
    </row>
    <row r="4" spans="1:11" ht="9" hidden="1" customHeight="1" outlineLevel="1">
      <c r="A4" s="7"/>
      <c r="B4" s="2"/>
      <c r="C4" s="8"/>
      <c r="D4" s="2"/>
      <c r="E4" s="2"/>
      <c r="F4" s="2"/>
      <c r="G4" s="2"/>
      <c r="H4" s="2"/>
    </row>
    <row r="5" spans="1:11" ht="16.5" customHeight="1" collapsed="1">
      <c r="A5" s="771" t="s">
        <v>55</v>
      </c>
      <c r="B5" s="772" t="s">
        <v>69</v>
      </c>
      <c r="C5" s="772" t="s">
        <v>18</v>
      </c>
      <c r="D5" s="772" t="s">
        <v>361</v>
      </c>
      <c r="E5" s="772" t="s">
        <v>415</v>
      </c>
      <c r="F5" s="772" t="s">
        <v>387</v>
      </c>
      <c r="G5" s="772" t="s">
        <v>505</v>
      </c>
      <c r="H5" s="766" t="s">
        <v>438</v>
      </c>
      <c r="I5" s="766" t="s">
        <v>75</v>
      </c>
    </row>
    <row r="6" spans="1:11">
      <c r="A6" s="771"/>
      <c r="B6" s="772"/>
      <c r="C6" s="771"/>
      <c r="D6" s="772"/>
      <c r="E6" s="771"/>
      <c r="F6" s="771"/>
      <c r="G6" s="771"/>
      <c r="H6" s="767"/>
      <c r="I6" s="767"/>
    </row>
    <row r="7" spans="1:11">
      <c r="A7" s="9">
        <v>1</v>
      </c>
      <c r="B7" s="9">
        <v>2</v>
      </c>
      <c r="C7" s="9">
        <v>3</v>
      </c>
      <c r="D7" s="9"/>
      <c r="E7" s="9"/>
      <c r="F7" s="9">
        <v>4</v>
      </c>
      <c r="G7" s="9">
        <v>5</v>
      </c>
      <c r="H7" s="10" t="s">
        <v>465</v>
      </c>
      <c r="I7" s="9">
        <v>7</v>
      </c>
    </row>
    <row r="8" spans="1:11" ht="15" customHeight="1">
      <c r="A8" s="118"/>
      <c r="B8" s="119" t="s">
        <v>167</v>
      </c>
      <c r="C8" s="118"/>
      <c r="D8" s="120"/>
      <c r="E8" s="118"/>
      <c r="F8" s="118"/>
      <c r="G8" s="118"/>
      <c r="H8" s="121"/>
      <c r="I8" s="128"/>
    </row>
    <row r="9" spans="1:11" ht="16.5" customHeight="1" collapsed="1">
      <c r="A9" s="106" t="s">
        <v>40</v>
      </c>
      <c r="B9" s="107" t="s">
        <v>332</v>
      </c>
      <c r="C9" s="108"/>
      <c r="D9" s="109"/>
      <c r="E9" s="109"/>
      <c r="F9" s="109"/>
      <c r="G9" s="109"/>
      <c r="H9" s="110"/>
      <c r="I9" s="110"/>
      <c r="J9" s="14"/>
    </row>
    <row r="10" spans="1:11" s="18" customFormat="1" ht="17.25" customHeight="1">
      <c r="A10" s="11" t="s">
        <v>38</v>
      </c>
      <c r="B10" s="15" t="s">
        <v>172</v>
      </c>
      <c r="C10" s="12" t="s">
        <v>130</v>
      </c>
      <c r="D10" s="16">
        <v>347871</v>
      </c>
      <c r="E10" s="16">
        <v>313038</v>
      </c>
      <c r="F10" s="16">
        <v>277205</v>
      </c>
      <c r="G10" s="16">
        <v>113499</v>
      </c>
      <c r="H10" s="66">
        <f>IFERROR(G10/F10%,"")</f>
        <v>40.944066665464184</v>
      </c>
      <c r="I10" s="83"/>
      <c r="J10" s="17"/>
    </row>
    <row r="11" spans="1:11" ht="15.75" customHeight="1">
      <c r="A11" s="19" t="s">
        <v>155</v>
      </c>
      <c r="B11" s="20" t="s">
        <v>173</v>
      </c>
      <c r="C11" s="21" t="s">
        <v>130</v>
      </c>
      <c r="D11" s="22">
        <v>90496</v>
      </c>
      <c r="E11" s="22">
        <v>104622</v>
      </c>
      <c r="F11" s="22">
        <v>82860</v>
      </c>
      <c r="G11" s="22">
        <v>41395</v>
      </c>
      <c r="H11" s="58">
        <f t="shared" ref="H11:H74" si="0">IFERROR(G11/F11%,"")</f>
        <v>49.957760077238717</v>
      </c>
      <c r="I11" s="3"/>
      <c r="J11" s="14"/>
    </row>
    <row r="12" spans="1:11" s="42" customFormat="1" ht="17.25" customHeight="1">
      <c r="A12" s="71"/>
      <c r="B12" s="62" t="s">
        <v>455</v>
      </c>
      <c r="C12" s="41" t="s">
        <v>130</v>
      </c>
      <c r="D12" s="72">
        <v>84999</v>
      </c>
      <c r="E12" s="72">
        <v>71796</v>
      </c>
      <c r="F12" s="72">
        <v>70788</v>
      </c>
      <c r="G12" s="72">
        <v>33040</v>
      </c>
      <c r="H12" s="85">
        <f t="shared" si="0"/>
        <v>46.674577612024635</v>
      </c>
      <c r="I12" s="84"/>
      <c r="J12" s="14"/>
      <c r="K12" s="138"/>
    </row>
    <row r="13" spans="1:11" s="18" customFormat="1">
      <c r="A13" s="11" t="s">
        <v>39</v>
      </c>
      <c r="B13" s="15" t="s">
        <v>174</v>
      </c>
      <c r="C13" s="12" t="s">
        <v>130</v>
      </c>
      <c r="D13" s="16">
        <v>308217</v>
      </c>
      <c r="E13" s="16">
        <v>300633</v>
      </c>
      <c r="F13" s="16">
        <v>265133</v>
      </c>
      <c r="G13" s="16">
        <v>78741</v>
      </c>
      <c r="H13" s="66">
        <f t="shared" si="0"/>
        <v>29.698679530650654</v>
      </c>
      <c r="I13" s="83"/>
      <c r="J13" s="17"/>
    </row>
    <row r="14" spans="1:11">
      <c r="A14" s="19" t="s">
        <v>155</v>
      </c>
      <c r="B14" s="20" t="s">
        <v>175</v>
      </c>
      <c r="C14" s="21" t="s">
        <v>130</v>
      </c>
      <c r="D14" s="22">
        <v>239615</v>
      </c>
      <c r="E14" s="22">
        <v>264543</v>
      </c>
      <c r="F14" s="22">
        <v>232779</v>
      </c>
      <c r="G14" s="22">
        <v>65827</v>
      </c>
      <c r="H14" s="58">
        <f t="shared" si="0"/>
        <v>28.278753667641841</v>
      </c>
      <c r="I14" s="3"/>
      <c r="J14" s="14"/>
    </row>
    <row r="15" spans="1:11" ht="20.25" customHeight="1">
      <c r="A15" s="106" t="s">
        <v>43</v>
      </c>
      <c r="B15" s="111" t="s">
        <v>177</v>
      </c>
      <c r="C15" s="112"/>
      <c r="D15" s="113"/>
      <c r="E15" s="113"/>
      <c r="F15" s="113"/>
      <c r="G15" s="113"/>
      <c r="H15" s="110" t="str">
        <f t="shared" si="0"/>
        <v/>
      </c>
      <c r="I15" s="110"/>
    </row>
    <row r="16" spans="1:11" ht="20.25" customHeight="1">
      <c r="A16" s="32" t="s">
        <v>56</v>
      </c>
      <c r="B16" s="35" t="s">
        <v>401</v>
      </c>
      <c r="C16" s="32" t="s">
        <v>37</v>
      </c>
      <c r="D16" s="29">
        <f>D17+D67</f>
        <v>16753.03</v>
      </c>
      <c r="E16" s="29">
        <f>E17+E67</f>
        <v>16580</v>
      </c>
      <c r="F16" s="29">
        <f>F17+F67</f>
        <v>10519.1</v>
      </c>
      <c r="G16" s="29">
        <f>G17+G67</f>
        <v>10428.300000000001</v>
      </c>
      <c r="H16" s="58">
        <f t="shared" si="0"/>
        <v>99.136808282077368</v>
      </c>
      <c r="I16" s="3"/>
    </row>
    <row r="17" spans="1:9" ht="31.5">
      <c r="A17" s="11" t="s">
        <v>38</v>
      </c>
      <c r="B17" s="30" t="s">
        <v>507</v>
      </c>
      <c r="C17" s="11" t="s">
        <v>37</v>
      </c>
      <c r="D17" s="27">
        <f>D18+D47+D54+D50+D63</f>
        <v>6939.03</v>
      </c>
      <c r="E17" s="27">
        <f>E18+E47+E54+E50+E63</f>
        <v>6508.4</v>
      </c>
      <c r="F17" s="27">
        <f>F18+F54+F50+F63</f>
        <v>747</v>
      </c>
      <c r="G17" s="27">
        <f>G18+G54+G50+G63</f>
        <v>751.1</v>
      </c>
      <c r="H17" s="66">
        <f t="shared" si="0"/>
        <v>100.54886211512718</v>
      </c>
      <c r="I17" s="3"/>
    </row>
    <row r="18" spans="1:9" s="18" customFormat="1" ht="17.25" customHeight="1">
      <c r="A18" s="11">
        <v>1</v>
      </c>
      <c r="B18" s="30" t="s">
        <v>22</v>
      </c>
      <c r="C18" s="11" t="s">
        <v>37</v>
      </c>
      <c r="D18" s="27">
        <f>D23+D38</f>
        <v>625.53</v>
      </c>
      <c r="E18" s="27">
        <f>E23+E38</f>
        <v>609.20000000000005</v>
      </c>
      <c r="F18" s="27">
        <f>F23+F38</f>
        <v>594</v>
      </c>
      <c r="G18" s="27">
        <f>G23+G38</f>
        <v>599.1</v>
      </c>
      <c r="H18" s="66">
        <f t="shared" si="0"/>
        <v>100.85858585858585</v>
      </c>
      <c r="I18" s="83"/>
    </row>
    <row r="19" spans="1:9" ht="17.25" hidden="1" customHeight="1" outlineLevel="1">
      <c r="A19" s="32" t="s">
        <v>56</v>
      </c>
      <c r="B19" s="35" t="s">
        <v>23</v>
      </c>
      <c r="C19" s="34" t="s">
        <v>20</v>
      </c>
      <c r="D19" s="29">
        <f>SUM(D20:D21)</f>
        <v>2507.6190899999997</v>
      </c>
      <c r="E19" s="29">
        <f>SUM(E20:E21)</f>
        <v>2875.8110000000001</v>
      </c>
      <c r="F19" s="29">
        <f>SUM(F20:F21)</f>
        <v>2829.0430000000001</v>
      </c>
      <c r="G19" s="29">
        <f>SUM(G20:G21)</f>
        <v>2809.47</v>
      </c>
      <c r="H19" s="58">
        <f t="shared" si="0"/>
        <v>99.30814059736808</v>
      </c>
      <c r="I19" s="3"/>
    </row>
    <row r="20" spans="1:9" ht="17.25" hidden="1" customHeight="1" outlineLevel="1">
      <c r="A20" s="32"/>
      <c r="B20" s="33" t="s">
        <v>24</v>
      </c>
      <c r="C20" s="34" t="s">
        <v>76</v>
      </c>
      <c r="D20" s="29">
        <f>D25</f>
        <v>2349.2202299999999</v>
      </c>
      <c r="E20" s="29">
        <f>E25</f>
        <v>2692.76</v>
      </c>
      <c r="F20" s="29">
        <f>F25</f>
        <v>2702.5430000000001</v>
      </c>
      <c r="G20" s="29">
        <f>G25</f>
        <v>2697.33</v>
      </c>
      <c r="H20" s="58">
        <f t="shared" si="0"/>
        <v>99.807107601988193</v>
      </c>
      <c r="I20" s="3"/>
    </row>
    <row r="21" spans="1:9" ht="17.25" hidden="1" customHeight="1" outlineLevel="1">
      <c r="A21" s="32"/>
      <c r="B21" s="35" t="s">
        <v>137</v>
      </c>
      <c r="C21" s="34" t="s">
        <v>76</v>
      </c>
      <c r="D21" s="29">
        <f>D40</f>
        <v>158.39885999999998</v>
      </c>
      <c r="E21" s="29">
        <f>E40</f>
        <v>183.05099999999999</v>
      </c>
      <c r="F21" s="29">
        <f>F40</f>
        <v>126.5</v>
      </c>
      <c r="G21" s="29">
        <f>G40</f>
        <v>112.13999999999999</v>
      </c>
      <c r="H21" s="58">
        <f t="shared" si="0"/>
        <v>88.648221343873516</v>
      </c>
      <c r="I21" s="3"/>
    </row>
    <row r="22" spans="1:9" ht="17.25" hidden="1" customHeight="1" outlineLevel="1">
      <c r="A22" s="32" t="s">
        <v>56</v>
      </c>
      <c r="B22" s="35" t="s">
        <v>25</v>
      </c>
      <c r="C22" s="32" t="s">
        <v>57</v>
      </c>
      <c r="D22" s="29">
        <f>D19/D119*1000</f>
        <v>56.164197500447941</v>
      </c>
      <c r="E22" s="29">
        <f>E19/E119*1000</f>
        <v>62.726263441446548</v>
      </c>
      <c r="F22" s="29">
        <f>F19/F119*1000</f>
        <v>60.253940194240926</v>
      </c>
      <c r="G22" s="29"/>
      <c r="H22" s="58">
        <f t="shared" si="0"/>
        <v>0</v>
      </c>
      <c r="I22" s="3"/>
    </row>
    <row r="23" spans="1:9" s="18" customFormat="1" ht="17.25" hidden="1" customHeight="1" outlineLevel="1" collapsed="1">
      <c r="A23" s="11" t="s">
        <v>34</v>
      </c>
      <c r="B23" s="44" t="s">
        <v>440</v>
      </c>
      <c r="C23" s="11" t="s">
        <v>37</v>
      </c>
      <c r="D23" s="16">
        <f>D26+D29</f>
        <v>597.30999999999995</v>
      </c>
      <c r="E23" s="16">
        <f>E26+E29</f>
        <v>570.5</v>
      </c>
      <c r="F23" s="16">
        <f>F26+F29</f>
        <v>571</v>
      </c>
      <c r="G23" s="16">
        <f>G26+G29</f>
        <v>573.9</v>
      </c>
      <c r="H23" s="66">
        <f t="shared" si="0"/>
        <v>100.50788091068301</v>
      </c>
      <c r="I23" s="83"/>
    </row>
    <row r="24" spans="1:9" ht="17.25" hidden="1" customHeight="1" outlineLevel="1">
      <c r="A24" s="32"/>
      <c r="B24" s="37" t="s">
        <v>27</v>
      </c>
      <c r="C24" s="34" t="s">
        <v>21</v>
      </c>
      <c r="D24" s="38">
        <f>D25/D23*10</f>
        <v>39.330000000000005</v>
      </c>
      <c r="E24" s="38">
        <f>E25/E23*10</f>
        <v>47.2</v>
      </c>
      <c r="F24" s="38">
        <f>F25/F23*10</f>
        <v>47.330000000000005</v>
      </c>
      <c r="G24" s="38">
        <f>G25/G23*10</f>
        <v>47</v>
      </c>
      <c r="H24" s="58">
        <f t="shared" si="0"/>
        <v>99.302767800549319</v>
      </c>
      <c r="I24" s="3"/>
    </row>
    <row r="25" spans="1:9" ht="17.25" hidden="1" customHeight="1" outlineLevel="1">
      <c r="A25" s="32"/>
      <c r="B25" s="37" t="s">
        <v>28</v>
      </c>
      <c r="C25" s="34" t="s">
        <v>76</v>
      </c>
      <c r="D25" s="22">
        <f>D28+D31</f>
        <v>2349.2202299999999</v>
      </c>
      <c r="E25" s="22">
        <f>E28+E31</f>
        <v>2692.76</v>
      </c>
      <c r="F25" s="22">
        <f>F28+F31</f>
        <v>2702.5430000000001</v>
      </c>
      <c r="G25" s="22">
        <f>G28+G31</f>
        <v>2697.33</v>
      </c>
      <c r="H25" s="58">
        <f t="shared" si="0"/>
        <v>99.807107601988193</v>
      </c>
      <c r="I25" s="3"/>
    </row>
    <row r="26" spans="1:9" ht="17.25" customHeight="1" collapsed="1">
      <c r="A26" s="32" t="s">
        <v>420</v>
      </c>
      <c r="B26" s="116" t="s">
        <v>441</v>
      </c>
      <c r="C26" s="32" t="s">
        <v>37</v>
      </c>
      <c r="D26" s="22">
        <v>597.30999999999995</v>
      </c>
      <c r="E26" s="137">
        <v>570.5</v>
      </c>
      <c r="F26" s="59">
        <v>571</v>
      </c>
      <c r="G26" s="59">
        <v>573.9</v>
      </c>
      <c r="H26" s="58">
        <f t="shared" si="0"/>
        <v>100.50788091068301</v>
      </c>
      <c r="I26" s="3"/>
    </row>
    <row r="27" spans="1:9" ht="17.25" customHeight="1">
      <c r="A27" s="32"/>
      <c r="B27" s="116" t="s">
        <v>27</v>
      </c>
      <c r="C27" s="34" t="s">
        <v>21</v>
      </c>
      <c r="D27" s="25">
        <v>39.33</v>
      </c>
      <c r="E27" s="38">
        <v>47.2</v>
      </c>
      <c r="F27" s="58">
        <v>47.33</v>
      </c>
      <c r="G27" s="58">
        <v>47</v>
      </c>
      <c r="H27" s="58">
        <f t="shared" si="0"/>
        <v>99.302767800549333</v>
      </c>
      <c r="I27" s="3"/>
    </row>
    <row r="28" spans="1:9" ht="17.25" customHeight="1">
      <c r="A28" s="32"/>
      <c r="B28" s="117" t="s">
        <v>28</v>
      </c>
      <c r="C28" s="34" t="s">
        <v>76</v>
      </c>
      <c r="D28" s="22">
        <f>D26*D27/10</f>
        <v>2349.2202299999999</v>
      </c>
      <c r="E28" s="22">
        <f>E26*E27/10</f>
        <v>2692.76</v>
      </c>
      <c r="F28" s="22">
        <f>F26*F27/10</f>
        <v>2702.5430000000001</v>
      </c>
      <c r="G28" s="22">
        <f>G26*G27/10</f>
        <v>2697.33</v>
      </c>
      <c r="H28" s="58">
        <f t="shared" si="0"/>
        <v>99.807107601988193</v>
      </c>
      <c r="I28" s="3"/>
    </row>
    <row r="29" spans="1:9" ht="17.25" hidden="1" customHeight="1" outlineLevel="1">
      <c r="A29" s="32"/>
      <c r="B29" s="116"/>
      <c r="C29" s="32"/>
      <c r="D29" s="22"/>
      <c r="E29" s="29"/>
      <c r="F29" s="29"/>
      <c r="G29" s="29"/>
      <c r="H29" s="58"/>
      <c r="I29" s="3"/>
    </row>
    <row r="30" spans="1:9" ht="17.25" hidden="1" customHeight="1" outlineLevel="1">
      <c r="A30" s="32"/>
      <c r="B30" s="117"/>
      <c r="C30" s="34"/>
      <c r="D30" s="38"/>
      <c r="E30" s="28"/>
      <c r="F30" s="28"/>
      <c r="G30" s="28"/>
      <c r="H30" s="58"/>
      <c r="I30" s="3"/>
    </row>
    <row r="31" spans="1:9" ht="17.25" hidden="1" customHeight="1" outlineLevel="1">
      <c r="A31" s="32"/>
      <c r="B31" s="117"/>
      <c r="C31" s="34"/>
      <c r="D31" s="22"/>
      <c r="E31" s="29"/>
      <c r="F31" s="29"/>
      <c r="G31" s="29"/>
      <c r="H31" s="58"/>
      <c r="I31" s="3"/>
    </row>
    <row r="32" spans="1:9" ht="17.25" hidden="1" customHeight="1" outlineLevel="1">
      <c r="A32" s="32"/>
      <c r="B32" s="114"/>
      <c r="C32" s="32"/>
      <c r="D32" s="22"/>
      <c r="E32" s="38"/>
      <c r="F32" s="22"/>
      <c r="G32" s="22"/>
      <c r="H32" s="58"/>
      <c r="I32" s="3"/>
    </row>
    <row r="33" spans="1:9" ht="17.25" hidden="1" customHeight="1" outlineLevel="1">
      <c r="A33" s="32"/>
      <c r="B33" s="115"/>
      <c r="C33" s="34"/>
      <c r="D33" s="25"/>
      <c r="E33" s="38"/>
      <c r="F33" s="38"/>
      <c r="G33" s="38"/>
      <c r="H33" s="58"/>
      <c r="I33" s="3"/>
    </row>
    <row r="34" spans="1:9" ht="17.25" hidden="1" customHeight="1" outlineLevel="1">
      <c r="A34" s="32"/>
      <c r="B34" s="115"/>
      <c r="C34" s="34"/>
      <c r="D34" s="22"/>
      <c r="E34" s="22"/>
      <c r="F34" s="22"/>
      <c r="G34" s="22"/>
      <c r="H34" s="58"/>
      <c r="I34" s="3"/>
    </row>
    <row r="35" spans="1:9" ht="17.25" hidden="1" customHeight="1" outlineLevel="1">
      <c r="A35" s="32"/>
      <c r="B35" s="114"/>
      <c r="C35" s="32"/>
      <c r="D35" s="22"/>
      <c r="E35" s="22"/>
      <c r="F35" s="22"/>
      <c r="G35" s="22"/>
      <c r="H35" s="58"/>
      <c r="I35" s="3"/>
    </row>
    <row r="36" spans="1:9" ht="17.25" hidden="1" customHeight="1" outlineLevel="1">
      <c r="A36" s="32"/>
      <c r="B36" s="115"/>
      <c r="C36" s="34"/>
      <c r="D36" s="38"/>
      <c r="E36" s="38"/>
      <c r="F36" s="38"/>
      <c r="G36" s="38"/>
      <c r="H36" s="58"/>
      <c r="I36" s="3"/>
    </row>
    <row r="37" spans="1:9" ht="17.25" hidden="1" customHeight="1" outlineLevel="1">
      <c r="A37" s="32"/>
      <c r="B37" s="115"/>
      <c r="C37" s="34"/>
      <c r="D37" s="22"/>
      <c r="E37" s="22"/>
      <c r="F37" s="22"/>
      <c r="G37" s="22"/>
      <c r="H37" s="58"/>
      <c r="I37" s="3"/>
    </row>
    <row r="38" spans="1:9" s="18" customFormat="1" ht="17.25" hidden="1" customHeight="1" outlineLevel="1" collapsed="1">
      <c r="A38" s="11" t="s">
        <v>35</v>
      </c>
      <c r="B38" s="44" t="s">
        <v>444</v>
      </c>
      <c r="C38" s="11" t="s">
        <v>37</v>
      </c>
      <c r="D38" s="16">
        <f>D41+D44</f>
        <v>28.22</v>
      </c>
      <c r="E38" s="16">
        <f>E41+E44</f>
        <v>38.700000000000003</v>
      </c>
      <c r="F38" s="16">
        <f>F41+F44</f>
        <v>23</v>
      </c>
      <c r="G38" s="16">
        <f>G41+G44</f>
        <v>25.2</v>
      </c>
      <c r="H38" s="66">
        <f t="shared" si="0"/>
        <v>109.56521739130434</v>
      </c>
      <c r="I38" s="83"/>
    </row>
    <row r="39" spans="1:9" ht="17.25" hidden="1" customHeight="1" outlineLevel="1">
      <c r="A39" s="32"/>
      <c r="B39" s="37" t="s">
        <v>27</v>
      </c>
      <c r="C39" s="34" t="s">
        <v>21</v>
      </c>
      <c r="D39" s="38">
        <f>D40/D38*10</f>
        <v>56.129999999999995</v>
      </c>
      <c r="E39" s="38">
        <f>E40/E38*10</f>
        <v>47.3</v>
      </c>
      <c r="F39" s="38">
        <f>F40/F38*10</f>
        <v>55</v>
      </c>
      <c r="G39" s="38">
        <f>G40/G38*10</f>
        <v>44.499999999999993</v>
      </c>
      <c r="H39" s="58">
        <f t="shared" si="0"/>
        <v>80.909090909090892</v>
      </c>
      <c r="I39" s="3"/>
    </row>
    <row r="40" spans="1:9" ht="17.25" hidden="1" customHeight="1" outlineLevel="1">
      <c r="A40" s="32"/>
      <c r="B40" s="37" t="s">
        <v>28</v>
      </c>
      <c r="C40" s="34" t="s">
        <v>76</v>
      </c>
      <c r="D40" s="22">
        <f>D43+D46</f>
        <v>158.39885999999998</v>
      </c>
      <c r="E40" s="22">
        <f>E43+E46</f>
        <v>183.05099999999999</v>
      </c>
      <c r="F40" s="22">
        <f>F43+F46</f>
        <v>126.5</v>
      </c>
      <c r="G40" s="22">
        <f>G43+G46</f>
        <v>112.13999999999999</v>
      </c>
      <c r="H40" s="58">
        <f t="shared" si="0"/>
        <v>88.648221343873516</v>
      </c>
      <c r="I40" s="3"/>
    </row>
    <row r="41" spans="1:9" ht="17.25" customHeight="1" collapsed="1">
      <c r="A41" s="32" t="s">
        <v>423</v>
      </c>
      <c r="B41" s="116" t="s">
        <v>457</v>
      </c>
      <c r="C41" s="32" t="s">
        <v>37</v>
      </c>
      <c r="D41" s="29">
        <v>28.22</v>
      </c>
      <c r="E41" s="29">
        <v>38.700000000000003</v>
      </c>
      <c r="F41" s="29">
        <v>23</v>
      </c>
      <c r="G41" s="29">
        <v>25.2</v>
      </c>
      <c r="H41" s="58">
        <f t="shared" si="0"/>
        <v>109.56521739130434</v>
      </c>
      <c r="I41" s="3"/>
    </row>
    <row r="42" spans="1:9" ht="17.25" customHeight="1">
      <c r="A42" s="32"/>
      <c r="B42" s="116" t="s">
        <v>27</v>
      </c>
      <c r="C42" s="34" t="s">
        <v>21</v>
      </c>
      <c r="D42" s="28">
        <v>56.13</v>
      </c>
      <c r="E42" s="28">
        <v>47.3</v>
      </c>
      <c r="F42" s="28">
        <v>55</v>
      </c>
      <c r="G42" s="28">
        <v>44.5</v>
      </c>
      <c r="H42" s="58">
        <f t="shared" si="0"/>
        <v>80.909090909090907</v>
      </c>
      <c r="I42" s="3"/>
    </row>
    <row r="43" spans="1:9" ht="17.25" customHeight="1">
      <c r="A43" s="32"/>
      <c r="B43" s="117" t="s">
        <v>28</v>
      </c>
      <c r="C43" s="34" t="s">
        <v>76</v>
      </c>
      <c r="D43" s="29">
        <f>D42*D41/10</f>
        <v>158.39885999999998</v>
      </c>
      <c r="E43" s="29">
        <f>E42*E41/10</f>
        <v>183.05099999999999</v>
      </c>
      <c r="F43" s="29">
        <f>F42*F41/10</f>
        <v>126.5</v>
      </c>
      <c r="G43" s="29">
        <f>G42*G41/10</f>
        <v>112.13999999999999</v>
      </c>
      <c r="H43" s="58">
        <f t="shared" si="0"/>
        <v>88.648221343873516</v>
      </c>
      <c r="I43" s="3"/>
    </row>
    <row r="44" spans="1:9" ht="17.25" hidden="1" customHeight="1" outlineLevel="1">
      <c r="A44" s="32"/>
      <c r="B44" s="116"/>
      <c r="C44" s="32"/>
      <c r="D44" s="29"/>
      <c r="E44" s="29"/>
      <c r="F44" s="29"/>
      <c r="G44" s="29"/>
      <c r="H44" s="58"/>
      <c r="I44" s="3"/>
    </row>
    <row r="45" spans="1:9" ht="17.25" hidden="1" customHeight="1" outlineLevel="1">
      <c r="A45" s="32"/>
      <c r="B45" s="116"/>
      <c r="C45" s="34"/>
      <c r="D45" s="28"/>
      <c r="E45" s="28"/>
      <c r="F45" s="28"/>
      <c r="G45" s="28"/>
      <c r="H45" s="58"/>
      <c r="I45" s="3"/>
    </row>
    <row r="46" spans="1:9" ht="17.25" hidden="1" customHeight="1" outlineLevel="1">
      <c r="A46" s="32"/>
      <c r="B46" s="117"/>
      <c r="C46" s="34"/>
      <c r="D46" s="29"/>
      <c r="E46" s="29"/>
      <c r="F46" s="29"/>
      <c r="G46" s="29"/>
      <c r="H46" s="58"/>
      <c r="I46" s="3"/>
    </row>
    <row r="47" spans="1:9" ht="19.5" customHeight="1" collapsed="1">
      <c r="A47" s="11">
        <v>2</v>
      </c>
      <c r="B47" s="30" t="s">
        <v>508</v>
      </c>
      <c r="C47" s="32" t="s">
        <v>37</v>
      </c>
      <c r="D47" s="27">
        <v>6199.5</v>
      </c>
      <c r="E47" s="27">
        <v>5720.5</v>
      </c>
      <c r="F47" s="27">
        <v>6000</v>
      </c>
      <c r="G47" s="27">
        <v>3000</v>
      </c>
      <c r="H47" s="66">
        <f t="shared" si="0"/>
        <v>50</v>
      </c>
      <c r="I47" s="3"/>
    </row>
    <row r="48" spans="1:9" ht="19.5" customHeight="1">
      <c r="A48" s="39"/>
      <c r="B48" s="37" t="s">
        <v>27</v>
      </c>
      <c r="C48" s="34" t="s">
        <v>21</v>
      </c>
      <c r="D48" s="28">
        <f>D49/D47*10</f>
        <v>148.34260827486088</v>
      </c>
      <c r="E48" s="28">
        <v>148.51</v>
      </c>
      <c r="F48" s="28">
        <v>145</v>
      </c>
      <c r="G48" s="28"/>
      <c r="H48" s="66">
        <f t="shared" si="0"/>
        <v>0</v>
      </c>
      <c r="I48" s="3"/>
    </row>
    <row r="49" spans="1:9" ht="19.5" customHeight="1">
      <c r="A49" s="39"/>
      <c r="B49" s="37" t="s">
        <v>28</v>
      </c>
      <c r="C49" s="34" t="s">
        <v>76</v>
      </c>
      <c r="D49" s="29">
        <v>91965</v>
      </c>
      <c r="E49" s="29">
        <f>E48*E47/10</f>
        <v>84955.145499999999</v>
      </c>
      <c r="F49" s="29">
        <f>F48*F47/10</f>
        <v>87000</v>
      </c>
      <c r="G49" s="29">
        <f>G48*G47/10</f>
        <v>0</v>
      </c>
      <c r="H49" s="66">
        <f t="shared" si="0"/>
        <v>0</v>
      </c>
      <c r="I49" s="3"/>
    </row>
    <row r="50" spans="1:9" s="18" customFormat="1" ht="19.5" customHeight="1">
      <c r="A50" s="11">
        <v>3</v>
      </c>
      <c r="B50" s="30" t="s">
        <v>317</v>
      </c>
      <c r="C50" s="11" t="s">
        <v>37</v>
      </c>
      <c r="D50" s="27">
        <v>9.1999999999999993</v>
      </c>
      <c r="E50" s="27">
        <v>10.5</v>
      </c>
      <c r="F50" s="27">
        <v>30</v>
      </c>
      <c r="G50" s="27">
        <v>29.1</v>
      </c>
      <c r="H50" s="66">
        <f t="shared" si="0"/>
        <v>97.000000000000014</v>
      </c>
      <c r="I50" s="83"/>
    </row>
    <row r="51" spans="1:9" ht="19.5" customHeight="1">
      <c r="A51" s="32"/>
      <c r="B51" s="33" t="s">
        <v>123</v>
      </c>
      <c r="C51" s="32" t="s">
        <v>37</v>
      </c>
      <c r="D51" s="29"/>
      <c r="E51" s="29"/>
      <c r="F51" s="29">
        <v>20</v>
      </c>
      <c r="G51" s="29">
        <v>19.100000000000001</v>
      </c>
      <c r="H51" s="58">
        <f t="shared" si="0"/>
        <v>95.5</v>
      </c>
      <c r="I51" s="3"/>
    </row>
    <row r="52" spans="1:9" ht="19.5" customHeight="1">
      <c r="A52" s="39"/>
      <c r="B52" s="37" t="s">
        <v>27</v>
      </c>
      <c r="C52" s="34" t="s">
        <v>21</v>
      </c>
      <c r="D52" s="28"/>
      <c r="E52" s="28">
        <v>600</v>
      </c>
      <c r="F52" s="28">
        <v>733.3</v>
      </c>
      <c r="G52" s="28"/>
      <c r="H52" s="58">
        <f t="shared" si="0"/>
        <v>0</v>
      </c>
      <c r="I52" s="3"/>
    </row>
    <row r="53" spans="1:9" ht="19.5" customHeight="1">
      <c r="A53" s="39"/>
      <c r="B53" s="37" t="s">
        <v>28</v>
      </c>
      <c r="C53" s="34" t="s">
        <v>76</v>
      </c>
      <c r="D53" s="29">
        <f>D52*D50/10</f>
        <v>0</v>
      </c>
      <c r="E53" s="29">
        <f>E52*E50/10</f>
        <v>630</v>
      </c>
      <c r="F53" s="29">
        <f>F52*F50/10</f>
        <v>2199.9</v>
      </c>
      <c r="G53" s="29">
        <f>G52*G50/10</f>
        <v>0</v>
      </c>
      <c r="H53" s="58">
        <f t="shared" si="0"/>
        <v>0</v>
      </c>
      <c r="I53" s="3"/>
    </row>
    <row r="54" spans="1:9" ht="19.5" hidden="1" customHeight="1" outlineLevel="1">
      <c r="A54" s="11">
        <v>4</v>
      </c>
      <c r="B54" s="30" t="s">
        <v>136</v>
      </c>
      <c r="C54" s="32" t="s">
        <v>37</v>
      </c>
      <c r="D54" s="27">
        <f>D57+D60</f>
        <v>97.3</v>
      </c>
      <c r="E54" s="27">
        <f>E57+E60</f>
        <v>137</v>
      </c>
      <c r="F54" s="27">
        <f>F57+F60</f>
        <v>123</v>
      </c>
      <c r="G54" s="27">
        <f>G57+G60</f>
        <v>122.9</v>
      </c>
      <c r="H54" s="66">
        <f t="shared" si="0"/>
        <v>99.918699186991873</v>
      </c>
      <c r="I54" s="3"/>
    </row>
    <row r="55" spans="1:9" ht="19.5" hidden="1" customHeight="1" outlineLevel="1">
      <c r="A55" s="39"/>
      <c r="B55" s="37" t="s">
        <v>27</v>
      </c>
      <c r="C55" s="34" t="s">
        <v>21</v>
      </c>
      <c r="D55" s="28">
        <f>D56/D54*10</f>
        <v>145</v>
      </c>
      <c r="E55" s="28">
        <f>E56/E54*10</f>
        <v>152</v>
      </c>
      <c r="F55" s="28">
        <f>F56/F54*10</f>
        <v>151.1</v>
      </c>
      <c r="G55" s="28">
        <f>G56/G54*10</f>
        <v>0</v>
      </c>
      <c r="H55" s="58">
        <f t="shared" si="0"/>
        <v>0</v>
      </c>
      <c r="I55" s="3"/>
    </row>
    <row r="56" spans="1:9" ht="19.5" hidden="1" customHeight="1" outlineLevel="1">
      <c r="A56" s="39"/>
      <c r="B56" s="37" t="s">
        <v>28</v>
      </c>
      <c r="C56" s="34" t="s">
        <v>76</v>
      </c>
      <c r="D56" s="29">
        <f>D59+D62</f>
        <v>1410.85</v>
      </c>
      <c r="E56" s="29">
        <f>E59+E62</f>
        <v>2082.4</v>
      </c>
      <c r="F56" s="29">
        <f>F59+F62</f>
        <v>1858.53</v>
      </c>
      <c r="G56" s="29">
        <f>G59+G62</f>
        <v>0</v>
      </c>
      <c r="H56" s="58">
        <f t="shared" si="0"/>
        <v>0</v>
      </c>
      <c r="I56" s="3"/>
    </row>
    <row r="57" spans="1:9" s="18" customFormat="1" ht="19.5" customHeight="1" collapsed="1">
      <c r="A57" s="11">
        <v>4</v>
      </c>
      <c r="B57" s="178" t="s">
        <v>459</v>
      </c>
      <c r="C57" s="12" t="s">
        <v>37</v>
      </c>
      <c r="D57" s="16">
        <v>97.3</v>
      </c>
      <c r="E57" s="16">
        <v>137</v>
      </c>
      <c r="F57" s="16">
        <v>123</v>
      </c>
      <c r="G57" s="16">
        <f>121+1.9</f>
        <v>122.9</v>
      </c>
      <c r="H57" s="66">
        <f t="shared" si="0"/>
        <v>99.918699186991873</v>
      </c>
      <c r="I57" s="83"/>
    </row>
    <row r="58" spans="1:9" ht="19.5" customHeight="1">
      <c r="A58" s="32"/>
      <c r="B58" s="136" t="s">
        <v>27</v>
      </c>
      <c r="C58" s="21" t="s">
        <v>21</v>
      </c>
      <c r="D58" s="38">
        <v>145</v>
      </c>
      <c r="E58" s="38">
        <v>152</v>
      </c>
      <c r="F58" s="38">
        <v>151.1</v>
      </c>
      <c r="G58" s="38"/>
      <c r="H58" s="58">
        <f t="shared" si="0"/>
        <v>0</v>
      </c>
      <c r="I58" s="3"/>
    </row>
    <row r="59" spans="1:9" ht="19.5" customHeight="1">
      <c r="A59" s="32"/>
      <c r="B59" s="136" t="s">
        <v>28</v>
      </c>
      <c r="C59" s="21" t="s">
        <v>76</v>
      </c>
      <c r="D59" s="22">
        <f>D58*D57/10</f>
        <v>1410.85</v>
      </c>
      <c r="E59" s="22">
        <f>E58*E57/10</f>
        <v>2082.4</v>
      </c>
      <c r="F59" s="22">
        <f>F58*F57/10</f>
        <v>1858.53</v>
      </c>
      <c r="G59" s="22">
        <f>G58*G57/10</f>
        <v>0</v>
      </c>
      <c r="H59" s="58">
        <f t="shared" si="0"/>
        <v>0</v>
      </c>
      <c r="I59" s="3"/>
    </row>
    <row r="60" spans="1:9" ht="19.5" hidden="1" customHeight="1" outlineLevel="1">
      <c r="A60" s="32"/>
      <c r="B60" s="136"/>
      <c r="C60" s="21"/>
      <c r="D60" s="22"/>
      <c r="E60" s="22"/>
      <c r="F60" s="22"/>
      <c r="G60" s="22"/>
      <c r="H60" s="58"/>
      <c r="I60" s="3"/>
    </row>
    <row r="61" spans="1:9" ht="19.5" hidden="1" customHeight="1" outlineLevel="1">
      <c r="A61" s="32"/>
      <c r="B61" s="136"/>
      <c r="C61" s="21"/>
      <c r="D61" s="38"/>
      <c r="E61" s="38"/>
      <c r="F61" s="38"/>
      <c r="G61" s="38"/>
      <c r="H61" s="58"/>
      <c r="I61" s="3"/>
    </row>
    <row r="62" spans="1:9" ht="19.5" hidden="1" customHeight="1" outlineLevel="1">
      <c r="A62" s="32"/>
      <c r="B62" s="136"/>
      <c r="C62" s="21"/>
      <c r="D62" s="22"/>
      <c r="E62" s="22"/>
      <c r="F62" s="22"/>
      <c r="G62" s="22"/>
      <c r="H62" s="58"/>
      <c r="I62" s="3"/>
    </row>
    <row r="63" spans="1:9" s="18" customFormat="1" ht="31.5" hidden="1" outlineLevel="1" collapsed="1">
      <c r="A63" s="11">
        <v>5</v>
      </c>
      <c r="B63" s="30" t="s">
        <v>411</v>
      </c>
      <c r="C63" s="11" t="s">
        <v>37</v>
      </c>
      <c r="D63" s="36">
        <f>SUM(D64:D66)</f>
        <v>7.5</v>
      </c>
      <c r="E63" s="36">
        <f>SUM(E64:E66)</f>
        <v>31.2</v>
      </c>
      <c r="F63" s="36"/>
      <c r="G63" s="36"/>
      <c r="H63" s="66" t="str">
        <f t="shared" si="0"/>
        <v/>
      </c>
      <c r="I63" s="83"/>
    </row>
    <row r="64" spans="1:9" ht="19.5" hidden="1" customHeight="1" outlineLevel="1">
      <c r="A64" s="32"/>
      <c r="B64" s="35" t="s">
        <v>402</v>
      </c>
      <c r="C64" s="32" t="s">
        <v>37</v>
      </c>
      <c r="D64" s="28">
        <v>3.7</v>
      </c>
      <c r="E64" s="28">
        <v>4</v>
      </c>
      <c r="F64" s="28">
        <v>4</v>
      </c>
      <c r="G64" s="28">
        <v>2.5</v>
      </c>
      <c r="H64" s="58">
        <f t="shared" si="0"/>
        <v>62.5</v>
      </c>
      <c r="I64" s="3"/>
    </row>
    <row r="65" spans="1:10" ht="19.5" hidden="1" customHeight="1" outlineLevel="1">
      <c r="A65" s="32"/>
      <c r="B65" s="35" t="s">
        <v>403</v>
      </c>
      <c r="C65" s="32" t="s">
        <v>37</v>
      </c>
      <c r="D65" s="28">
        <v>3.8</v>
      </c>
      <c r="E65" s="28">
        <v>4</v>
      </c>
      <c r="F65" s="28">
        <v>4</v>
      </c>
      <c r="G65" s="28">
        <v>1.8</v>
      </c>
      <c r="H65" s="58">
        <f t="shared" si="0"/>
        <v>45</v>
      </c>
      <c r="I65" s="3"/>
    </row>
    <row r="66" spans="1:10" ht="19.5" hidden="1" customHeight="1" outlineLevel="1">
      <c r="A66" s="32"/>
      <c r="B66" s="35" t="s">
        <v>404</v>
      </c>
      <c r="C66" s="32" t="s">
        <v>37</v>
      </c>
      <c r="D66" s="28"/>
      <c r="E66" s="28">
        <v>23.2</v>
      </c>
      <c r="F66" s="28">
        <v>24</v>
      </c>
      <c r="G66" s="28">
        <v>15.1</v>
      </c>
      <c r="H66" s="58">
        <f t="shared" si="0"/>
        <v>62.916666666666664</v>
      </c>
      <c r="I66" s="3"/>
    </row>
    <row r="67" spans="1:10" ht="17.25" customHeight="1" collapsed="1">
      <c r="A67" s="24" t="s">
        <v>39</v>
      </c>
      <c r="B67" s="30" t="s">
        <v>122</v>
      </c>
      <c r="C67" s="11" t="s">
        <v>37</v>
      </c>
      <c r="D67" s="27">
        <f>D68+D80+D81</f>
        <v>9814</v>
      </c>
      <c r="E67" s="27">
        <f>E68+E80+E81</f>
        <v>10071.6</v>
      </c>
      <c r="F67" s="27">
        <f>F68+F80+F81</f>
        <v>9772.1</v>
      </c>
      <c r="G67" s="27">
        <f>G68+G80+G81</f>
        <v>9677.2000000000007</v>
      </c>
      <c r="H67" s="66">
        <f t="shared" si="0"/>
        <v>99.028867899427965</v>
      </c>
      <c r="I67" s="3"/>
    </row>
    <row r="68" spans="1:10" s="18" customFormat="1" ht="17.25" customHeight="1">
      <c r="A68" s="24">
        <v>1</v>
      </c>
      <c r="B68" s="23" t="s">
        <v>448</v>
      </c>
      <c r="C68" s="11" t="s">
        <v>37</v>
      </c>
      <c r="D68" s="27">
        <f>D69+D74</f>
        <v>9537.2999999999993</v>
      </c>
      <c r="E68" s="27">
        <f>E69+E74</f>
        <v>9722.1</v>
      </c>
      <c r="F68" s="27">
        <f>F69+F74</f>
        <v>9772.1</v>
      </c>
      <c r="G68" s="27">
        <f>G69+G74</f>
        <v>9677.2000000000007</v>
      </c>
      <c r="H68" s="66">
        <f t="shared" si="0"/>
        <v>99.028867899427965</v>
      </c>
      <c r="I68" s="83"/>
    </row>
    <row r="69" spans="1:10" s="18" customFormat="1" ht="17.25" customHeight="1">
      <c r="A69" s="11" t="s">
        <v>34</v>
      </c>
      <c r="B69" s="30" t="s">
        <v>445</v>
      </c>
      <c r="C69" s="11" t="s">
        <v>37</v>
      </c>
      <c r="D69" s="16">
        <v>1743.8</v>
      </c>
      <c r="E69" s="16">
        <f>D69+E70</f>
        <v>1919.5</v>
      </c>
      <c r="F69" s="16">
        <f>E69+F70</f>
        <v>1969.5</v>
      </c>
      <c r="G69" s="16">
        <f>E69+G70</f>
        <v>1919.5</v>
      </c>
      <c r="H69" s="66">
        <f t="shared" si="0"/>
        <v>97.461284589997462</v>
      </c>
      <c r="I69" s="83"/>
    </row>
    <row r="70" spans="1:10" ht="17.25" customHeight="1">
      <c r="A70" s="32"/>
      <c r="B70" s="35" t="s">
        <v>123</v>
      </c>
      <c r="C70" s="32" t="s">
        <v>37</v>
      </c>
      <c r="D70" s="38">
        <v>185.9</v>
      </c>
      <c r="E70" s="38">
        <v>175.7</v>
      </c>
      <c r="F70" s="38">
        <v>50</v>
      </c>
      <c r="G70" s="38"/>
      <c r="H70" s="58">
        <f t="shared" si="0"/>
        <v>0</v>
      </c>
      <c r="I70" s="3"/>
    </row>
    <row r="71" spans="1:10" ht="17.25" hidden="1" customHeight="1" outlineLevel="1">
      <c r="A71" s="32"/>
      <c r="B71" s="35" t="s">
        <v>124</v>
      </c>
      <c r="C71" s="32" t="s">
        <v>37</v>
      </c>
      <c r="D71" s="22">
        <v>1246</v>
      </c>
      <c r="E71" s="22">
        <v>1384</v>
      </c>
      <c r="F71" s="22">
        <v>1559</v>
      </c>
      <c r="G71" s="22"/>
      <c r="H71" s="58">
        <f t="shared" si="0"/>
        <v>0</v>
      </c>
      <c r="I71" s="3"/>
      <c r="J71" s="81"/>
    </row>
    <row r="72" spans="1:10" ht="17.25" hidden="1" customHeight="1" outlineLevel="1">
      <c r="A72" s="32"/>
      <c r="B72" s="35" t="s">
        <v>125</v>
      </c>
      <c r="C72" s="32" t="s">
        <v>21</v>
      </c>
      <c r="D72" s="38">
        <v>31.73</v>
      </c>
      <c r="E72" s="38">
        <v>35.65</v>
      </c>
      <c r="F72" s="38">
        <v>35</v>
      </c>
      <c r="G72" s="38"/>
      <c r="H72" s="58">
        <f t="shared" si="0"/>
        <v>0</v>
      </c>
      <c r="I72" s="3"/>
    </row>
    <row r="73" spans="1:10" ht="17.25" hidden="1" customHeight="1" outlineLevel="1">
      <c r="A73" s="32"/>
      <c r="B73" s="35" t="s">
        <v>320</v>
      </c>
      <c r="C73" s="32" t="s">
        <v>76</v>
      </c>
      <c r="D73" s="22">
        <f>D71*D72/10</f>
        <v>3953.558</v>
      </c>
      <c r="E73" s="22">
        <f>E71*E72/10</f>
        <v>4933.96</v>
      </c>
      <c r="F73" s="22">
        <f>F71*F72/10</f>
        <v>5456.5</v>
      </c>
      <c r="G73" s="22">
        <f>G71*G72/10</f>
        <v>0</v>
      </c>
      <c r="H73" s="58">
        <f t="shared" si="0"/>
        <v>0</v>
      </c>
      <c r="I73" s="3"/>
    </row>
    <row r="74" spans="1:10" s="18" customFormat="1" ht="17.25" customHeight="1" collapsed="1">
      <c r="A74" s="11" t="s">
        <v>35</v>
      </c>
      <c r="B74" s="30" t="s">
        <v>446</v>
      </c>
      <c r="C74" s="11" t="s">
        <v>37</v>
      </c>
      <c r="D74" s="16">
        <v>7793.5</v>
      </c>
      <c r="E74" s="16">
        <f>D74+E75-E76</f>
        <v>7802.6</v>
      </c>
      <c r="F74" s="16">
        <f>E74+F75-F76</f>
        <v>7802.6</v>
      </c>
      <c r="G74" s="16">
        <f>E74+G75-G76</f>
        <v>7757.7000000000007</v>
      </c>
      <c r="H74" s="66">
        <f t="shared" si="0"/>
        <v>99.424550790762055</v>
      </c>
      <c r="I74" s="83"/>
    </row>
    <row r="75" spans="1:10" ht="17.25" customHeight="1">
      <c r="A75" s="32"/>
      <c r="B75" s="35" t="s">
        <v>123</v>
      </c>
      <c r="C75" s="32" t="s">
        <v>37</v>
      </c>
      <c r="D75" s="43">
        <v>0</v>
      </c>
      <c r="E75" s="28">
        <v>24.6</v>
      </c>
      <c r="F75" s="43"/>
      <c r="G75" s="43"/>
      <c r="H75" s="58" t="str">
        <f t="shared" ref="H75:H138" si="1">IFERROR(G75/F75%,"")</f>
        <v/>
      </c>
      <c r="I75" s="3"/>
    </row>
    <row r="76" spans="1:10" ht="17.25" customHeight="1">
      <c r="A76" s="32"/>
      <c r="B76" s="35" t="s">
        <v>321</v>
      </c>
      <c r="C76" s="32" t="s">
        <v>37</v>
      </c>
      <c r="D76" s="28">
        <v>81.5</v>
      </c>
      <c r="E76" s="28">
        <v>15.5</v>
      </c>
      <c r="F76" s="43"/>
      <c r="G76" s="43">
        <v>44.9</v>
      </c>
      <c r="H76" s="58" t="str">
        <f t="shared" si="1"/>
        <v/>
      </c>
      <c r="I76" s="3"/>
    </row>
    <row r="77" spans="1:10" ht="17.25" hidden="1" customHeight="1" outlineLevel="1">
      <c r="A77" s="32"/>
      <c r="B77" s="35" t="s">
        <v>124</v>
      </c>
      <c r="C77" s="32" t="s">
        <v>37</v>
      </c>
      <c r="D77" s="22">
        <v>4821</v>
      </c>
      <c r="E77" s="22">
        <v>5385</v>
      </c>
      <c r="F77" s="22">
        <v>5755</v>
      </c>
      <c r="G77" s="22"/>
      <c r="H77" s="58">
        <f t="shared" si="1"/>
        <v>0</v>
      </c>
      <c r="I77" s="3"/>
    </row>
    <row r="78" spans="1:10" ht="17.25" hidden="1" customHeight="1" outlineLevel="1">
      <c r="A78" s="32"/>
      <c r="B78" s="35" t="s">
        <v>126</v>
      </c>
      <c r="C78" s="32" t="s">
        <v>21</v>
      </c>
      <c r="D78" s="38">
        <v>12.33</v>
      </c>
      <c r="E78" s="38">
        <v>12.35</v>
      </c>
      <c r="F78" s="38">
        <v>12.5</v>
      </c>
      <c r="G78" s="38"/>
      <c r="H78" s="58">
        <f t="shared" si="1"/>
        <v>0</v>
      </c>
      <c r="I78" s="3"/>
    </row>
    <row r="79" spans="1:10" ht="17.25" hidden="1" customHeight="1" outlineLevel="1">
      <c r="A79" s="32"/>
      <c r="B79" s="35" t="s">
        <v>474</v>
      </c>
      <c r="C79" s="32" t="s">
        <v>76</v>
      </c>
      <c r="D79" s="22">
        <f>D77*D78/10</f>
        <v>5944.2929999999997</v>
      </c>
      <c r="E79" s="22">
        <f>E77*E78/10</f>
        <v>6650.4750000000004</v>
      </c>
      <c r="F79" s="22">
        <f>F77*F78/10</f>
        <v>7193.75</v>
      </c>
      <c r="G79" s="22">
        <f>G77*G78/10</f>
        <v>0</v>
      </c>
      <c r="H79" s="58">
        <f t="shared" si="1"/>
        <v>0</v>
      </c>
      <c r="I79" s="3"/>
    </row>
    <row r="80" spans="1:10" s="18" customFormat="1" ht="17.25" hidden="1" customHeight="1" outlineLevel="1" collapsed="1">
      <c r="A80" s="11">
        <v>2</v>
      </c>
      <c r="B80" s="30" t="s">
        <v>181</v>
      </c>
      <c r="C80" s="11" t="s">
        <v>37</v>
      </c>
      <c r="D80" s="16">
        <v>155.19999999999999</v>
      </c>
      <c r="E80" s="16">
        <v>218.9</v>
      </c>
      <c r="F80" s="16"/>
      <c r="G80" s="16"/>
      <c r="H80" s="66" t="str">
        <f t="shared" si="1"/>
        <v/>
      </c>
      <c r="I80" s="83"/>
    </row>
    <row r="81" spans="1:11" s="18" customFormat="1" ht="31.5" hidden="1" outlineLevel="1">
      <c r="A81" s="11">
        <v>3</v>
      </c>
      <c r="B81" s="30" t="s">
        <v>410</v>
      </c>
      <c r="C81" s="11" t="s">
        <v>37</v>
      </c>
      <c r="D81" s="16">
        <f>SUM(D82:D86)</f>
        <v>121.5</v>
      </c>
      <c r="E81" s="16">
        <f>SUM(E82:E86)</f>
        <v>130.60000000000002</v>
      </c>
      <c r="F81" s="16"/>
      <c r="G81" s="16"/>
      <c r="H81" s="66" t="str">
        <f t="shared" si="1"/>
        <v/>
      </c>
      <c r="I81" s="83"/>
      <c r="J81" s="87"/>
      <c r="K81" s="87"/>
    </row>
    <row r="82" spans="1:11" ht="17.25" hidden="1" customHeight="1" outlineLevel="2">
      <c r="A82" s="32"/>
      <c r="B82" s="35" t="s">
        <v>405</v>
      </c>
      <c r="C82" s="32" t="s">
        <v>37</v>
      </c>
      <c r="D82" s="38">
        <v>18.5</v>
      </c>
      <c r="E82" s="38">
        <v>17</v>
      </c>
      <c r="F82" s="38">
        <v>17</v>
      </c>
      <c r="G82" s="38">
        <v>17</v>
      </c>
      <c r="H82" s="58">
        <f t="shared" si="1"/>
        <v>99.999999999999986</v>
      </c>
      <c r="I82" s="3"/>
    </row>
    <row r="83" spans="1:11" ht="17.25" hidden="1" customHeight="1" outlineLevel="2">
      <c r="A83" s="32"/>
      <c r="B83" s="35" t="s">
        <v>406</v>
      </c>
      <c r="C83" s="32" t="s">
        <v>37</v>
      </c>
      <c r="D83" s="38">
        <v>54.6</v>
      </c>
      <c r="E83" s="38">
        <v>61.9</v>
      </c>
      <c r="F83" s="38">
        <v>62</v>
      </c>
      <c r="G83" s="38">
        <v>61.9</v>
      </c>
      <c r="H83" s="58">
        <f t="shared" si="1"/>
        <v>99.838709677419359</v>
      </c>
      <c r="I83" s="3"/>
    </row>
    <row r="84" spans="1:11" ht="17.25" hidden="1" customHeight="1" outlineLevel="2">
      <c r="A84" s="32"/>
      <c r="B84" s="35" t="s">
        <v>407</v>
      </c>
      <c r="C84" s="32"/>
      <c r="D84" s="38">
        <v>2</v>
      </c>
      <c r="E84" s="38">
        <v>2</v>
      </c>
      <c r="F84" s="38">
        <v>2</v>
      </c>
      <c r="G84" s="38">
        <v>2</v>
      </c>
      <c r="H84" s="58">
        <f t="shared" si="1"/>
        <v>100</v>
      </c>
      <c r="I84" s="3"/>
    </row>
    <row r="85" spans="1:11" ht="17.25" hidden="1" customHeight="1" outlineLevel="2">
      <c r="A85" s="32"/>
      <c r="B85" s="35" t="s">
        <v>408</v>
      </c>
      <c r="C85" s="32"/>
      <c r="D85" s="38">
        <v>46.4</v>
      </c>
      <c r="E85" s="38">
        <v>30.4</v>
      </c>
      <c r="F85" s="38">
        <v>30</v>
      </c>
      <c r="G85" s="38">
        <v>30</v>
      </c>
      <c r="H85" s="58">
        <f t="shared" si="1"/>
        <v>100</v>
      </c>
      <c r="I85" s="3"/>
    </row>
    <row r="86" spans="1:11" ht="17.25" hidden="1" customHeight="1" outlineLevel="2">
      <c r="A86" s="32"/>
      <c r="B86" s="35" t="s">
        <v>409</v>
      </c>
      <c r="C86" s="32"/>
      <c r="D86" s="38"/>
      <c r="E86" s="38">
        <v>19.3</v>
      </c>
      <c r="F86" s="38">
        <v>19</v>
      </c>
      <c r="G86" s="38">
        <v>19</v>
      </c>
      <c r="H86" s="58">
        <f t="shared" si="1"/>
        <v>100</v>
      </c>
      <c r="I86" s="3"/>
    </row>
    <row r="87" spans="1:11" ht="18.75" customHeight="1" collapsed="1">
      <c r="A87" s="11" t="s">
        <v>47</v>
      </c>
      <c r="B87" s="30" t="s">
        <v>96</v>
      </c>
      <c r="C87" s="32"/>
      <c r="D87" s="28"/>
      <c r="E87" s="38"/>
      <c r="F87" s="38"/>
      <c r="G87" s="38"/>
      <c r="H87" s="66" t="str">
        <f t="shared" si="1"/>
        <v/>
      </c>
      <c r="I87" s="3"/>
    </row>
    <row r="88" spans="1:11" s="18" customFormat="1" ht="18.75" customHeight="1">
      <c r="A88" s="11">
        <v>1</v>
      </c>
      <c r="B88" s="30" t="s">
        <v>447</v>
      </c>
      <c r="C88" s="11" t="s">
        <v>54</v>
      </c>
      <c r="D88" s="27">
        <f>SUM(D89:D91)</f>
        <v>20219</v>
      </c>
      <c r="E88" s="27">
        <f>SUM(E89:E91)</f>
        <v>18350</v>
      </c>
      <c r="F88" s="27">
        <f>SUM(F89:F91)</f>
        <v>20650</v>
      </c>
      <c r="G88" s="27">
        <f>SUM(G89:G91)</f>
        <v>19653</v>
      </c>
      <c r="H88" s="66">
        <f t="shared" si="1"/>
        <v>95.171912832929777</v>
      </c>
      <c r="I88" s="83"/>
    </row>
    <row r="89" spans="1:11" ht="18.75" customHeight="1">
      <c r="A89" s="32"/>
      <c r="B89" s="35" t="s">
        <v>322</v>
      </c>
      <c r="C89" s="32" t="s">
        <v>54</v>
      </c>
      <c r="D89" s="29">
        <v>2461</v>
      </c>
      <c r="E89" s="29">
        <v>2550</v>
      </c>
      <c r="F89" s="29">
        <v>2650</v>
      </c>
      <c r="G89" s="29">
        <v>2510</v>
      </c>
      <c r="H89" s="58">
        <f t="shared" si="1"/>
        <v>94.716981132075475</v>
      </c>
      <c r="I89" s="3"/>
    </row>
    <row r="90" spans="1:11" ht="18.75" customHeight="1">
      <c r="A90" s="32"/>
      <c r="B90" s="35" t="s">
        <v>323</v>
      </c>
      <c r="C90" s="32" t="s">
        <v>54</v>
      </c>
      <c r="D90" s="29">
        <v>4034</v>
      </c>
      <c r="E90" s="29">
        <v>4800</v>
      </c>
      <c r="F90" s="29">
        <v>5000</v>
      </c>
      <c r="G90" s="29">
        <v>4761</v>
      </c>
      <c r="H90" s="58">
        <f t="shared" si="1"/>
        <v>95.22</v>
      </c>
      <c r="I90" s="3"/>
    </row>
    <row r="91" spans="1:11" ht="18.75" customHeight="1">
      <c r="A91" s="32"/>
      <c r="B91" s="35" t="s">
        <v>324</v>
      </c>
      <c r="C91" s="32" t="s">
        <v>54</v>
      </c>
      <c r="D91" s="29">
        <v>13724</v>
      </c>
      <c r="E91" s="29">
        <v>11000</v>
      </c>
      <c r="F91" s="29">
        <v>13000</v>
      </c>
      <c r="G91" s="29">
        <v>12382</v>
      </c>
      <c r="H91" s="58">
        <f t="shared" si="1"/>
        <v>95.246153846153845</v>
      </c>
      <c r="I91" s="3"/>
    </row>
    <row r="92" spans="1:11" s="18" customFormat="1" ht="18.75" customHeight="1">
      <c r="A92" s="11">
        <v>2</v>
      </c>
      <c r="B92" s="44" t="s">
        <v>31</v>
      </c>
      <c r="C92" s="11" t="s">
        <v>54</v>
      </c>
      <c r="D92" s="27">
        <v>77894</v>
      </c>
      <c r="E92" s="27">
        <v>87000</v>
      </c>
      <c r="F92" s="27">
        <v>87000</v>
      </c>
      <c r="G92" s="27">
        <v>74830</v>
      </c>
      <c r="H92" s="66">
        <f t="shared" si="1"/>
        <v>86.011494252873561</v>
      </c>
      <c r="I92" s="83"/>
    </row>
    <row r="93" spans="1:11" s="18" customFormat="1" ht="18.75" customHeight="1">
      <c r="A93" s="11" t="s">
        <v>48</v>
      </c>
      <c r="B93" s="45" t="s">
        <v>325</v>
      </c>
      <c r="C93" s="11"/>
      <c r="D93" s="27"/>
      <c r="E93" s="27"/>
      <c r="F93" s="27"/>
      <c r="G93" s="27"/>
      <c r="H93" s="66" t="str">
        <f t="shared" si="1"/>
        <v/>
      </c>
      <c r="I93" s="83"/>
    </row>
    <row r="94" spans="1:11" ht="18.75" customHeight="1">
      <c r="A94" s="32">
        <v>1</v>
      </c>
      <c r="B94" s="46" t="s">
        <v>326</v>
      </c>
      <c r="C94" s="32" t="s">
        <v>37</v>
      </c>
      <c r="D94" s="28">
        <v>85</v>
      </c>
      <c r="E94" s="28">
        <v>85.5</v>
      </c>
      <c r="F94" s="28">
        <v>85.5</v>
      </c>
      <c r="G94" s="28">
        <v>86.1</v>
      </c>
      <c r="H94" s="58">
        <f t="shared" si="1"/>
        <v>100.7017543859649</v>
      </c>
      <c r="I94" s="3"/>
    </row>
    <row r="95" spans="1:11" ht="18.75" customHeight="1">
      <c r="A95" s="32">
        <v>2</v>
      </c>
      <c r="B95" s="46" t="s">
        <v>327</v>
      </c>
      <c r="C95" s="32" t="s">
        <v>76</v>
      </c>
      <c r="D95" s="29">
        <f>D96+D97</f>
        <v>427.4</v>
      </c>
      <c r="E95" s="29">
        <f>E96+E97</f>
        <v>320</v>
      </c>
      <c r="F95" s="29">
        <f>F96+F97</f>
        <v>335</v>
      </c>
      <c r="G95" s="29">
        <f>G96+G97</f>
        <v>63</v>
      </c>
      <c r="H95" s="58">
        <f t="shared" si="1"/>
        <v>18.805970149253731</v>
      </c>
      <c r="I95" s="3"/>
    </row>
    <row r="96" spans="1:11" ht="18.75" customHeight="1">
      <c r="A96" s="32"/>
      <c r="B96" s="48" t="s">
        <v>328</v>
      </c>
      <c r="C96" s="32" t="s">
        <v>76</v>
      </c>
      <c r="D96" s="29">
        <v>211.9</v>
      </c>
      <c r="E96" s="29">
        <v>210</v>
      </c>
      <c r="F96" s="29">
        <v>210</v>
      </c>
      <c r="G96" s="29">
        <v>47</v>
      </c>
      <c r="H96" s="58">
        <f t="shared" si="1"/>
        <v>22.38095238095238</v>
      </c>
      <c r="I96" s="3"/>
    </row>
    <row r="97" spans="1:10" ht="18.75" customHeight="1">
      <c r="A97" s="32"/>
      <c r="B97" s="48" t="s">
        <v>329</v>
      </c>
      <c r="C97" s="32" t="s">
        <v>76</v>
      </c>
      <c r="D97" s="29">
        <v>215.5</v>
      </c>
      <c r="E97" s="29">
        <v>110</v>
      </c>
      <c r="F97" s="29">
        <v>125</v>
      </c>
      <c r="G97" s="29">
        <v>16</v>
      </c>
      <c r="H97" s="58">
        <f t="shared" si="1"/>
        <v>12.8</v>
      </c>
      <c r="I97" s="3"/>
    </row>
    <row r="98" spans="1:10">
      <c r="A98" s="49" t="s">
        <v>50</v>
      </c>
      <c r="B98" s="50" t="s">
        <v>104</v>
      </c>
      <c r="C98" s="49"/>
      <c r="D98" s="13"/>
      <c r="E98" s="13"/>
      <c r="F98" s="13"/>
      <c r="G98" s="13"/>
      <c r="H98" s="66" t="str">
        <f t="shared" si="1"/>
        <v/>
      </c>
      <c r="I98" s="3"/>
    </row>
    <row r="99" spans="1:10" ht="19.5" customHeight="1">
      <c r="A99" s="51"/>
      <c r="B99" s="52" t="s">
        <v>330</v>
      </c>
      <c r="C99" s="1" t="s">
        <v>37</v>
      </c>
      <c r="D99" s="53">
        <v>500.3</v>
      </c>
      <c r="E99" s="53">
        <v>4</v>
      </c>
      <c r="F99" s="53"/>
      <c r="G99" s="53"/>
      <c r="H99" s="66" t="str">
        <f t="shared" si="1"/>
        <v/>
      </c>
      <c r="I99" s="3"/>
    </row>
    <row r="100" spans="1:10" s="18" customFormat="1" ht="17.25" customHeight="1">
      <c r="A100" s="11">
        <v>1</v>
      </c>
      <c r="B100" s="30" t="s">
        <v>30</v>
      </c>
      <c r="C100" s="11" t="s">
        <v>37</v>
      </c>
      <c r="D100" s="16">
        <v>1646</v>
      </c>
      <c r="E100" s="16">
        <f>D100+E101</f>
        <v>1675</v>
      </c>
      <c r="F100" s="16">
        <f>E100+F101</f>
        <v>1710</v>
      </c>
      <c r="G100" s="16">
        <f>E100+G101</f>
        <v>1675</v>
      </c>
      <c r="H100" s="66">
        <f t="shared" si="1"/>
        <v>97.953216374269005</v>
      </c>
      <c r="I100" s="83"/>
      <c r="J100" s="87"/>
    </row>
    <row r="101" spans="1:10" ht="17.25" customHeight="1">
      <c r="A101" s="32"/>
      <c r="B101" s="35" t="s">
        <v>123</v>
      </c>
      <c r="C101" s="32" t="s">
        <v>37</v>
      </c>
      <c r="D101" s="22">
        <v>57.2</v>
      </c>
      <c r="E101" s="22">
        <v>29</v>
      </c>
      <c r="F101" s="22">
        <v>35</v>
      </c>
      <c r="G101" s="22"/>
      <c r="H101" s="66">
        <f t="shared" si="1"/>
        <v>0</v>
      </c>
      <c r="I101" s="3"/>
    </row>
    <row r="102" spans="1:10" s="18" customFormat="1">
      <c r="A102" s="106" t="s">
        <v>176</v>
      </c>
      <c r="B102" s="124" t="s">
        <v>183</v>
      </c>
      <c r="C102" s="106"/>
      <c r="D102" s="125"/>
      <c r="E102" s="125"/>
      <c r="F102" s="125"/>
      <c r="G102" s="125"/>
      <c r="H102" s="110" t="str">
        <f t="shared" si="1"/>
        <v/>
      </c>
      <c r="I102" s="110"/>
    </row>
    <row r="103" spans="1:10" ht="22.5" customHeight="1">
      <c r="A103" s="32">
        <v>1</v>
      </c>
      <c r="B103" s="95" t="s">
        <v>449</v>
      </c>
      <c r="C103" s="32" t="s">
        <v>331</v>
      </c>
      <c r="D103" s="29">
        <v>676693</v>
      </c>
      <c r="E103" s="29">
        <v>708000</v>
      </c>
      <c r="F103" s="29">
        <v>722000</v>
      </c>
      <c r="G103" s="29"/>
      <c r="H103" s="58">
        <f t="shared" si="1"/>
        <v>0</v>
      </c>
      <c r="I103" s="3"/>
    </row>
    <row r="104" spans="1:10" ht="20.25" customHeight="1">
      <c r="A104" s="32">
        <v>2</v>
      </c>
      <c r="B104" s="20" t="s">
        <v>333</v>
      </c>
      <c r="C104" s="32"/>
      <c r="D104" s="13"/>
      <c r="E104" s="13"/>
      <c r="F104" s="13"/>
      <c r="G104" s="13"/>
      <c r="H104" s="58" t="str">
        <f t="shared" si="1"/>
        <v/>
      </c>
      <c r="I104" s="3"/>
    </row>
    <row r="105" spans="1:10" ht="20.25" customHeight="1">
      <c r="A105" s="32"/>
      <c r="B105" s="20" t="s">
        <v>334</v>
      </c>
      <c r="C105" s="32" t="s">
        <v>65</v>
      </c>
      <c r="D105" s="29">
        <v>40</v>
      </c>
      <c r="E105" s="29">
        <v>42</v>
      </c>
      <c r="F105" s="29">
        <v>40</v>
      </c>
      <c r="G105" s="29"/>
      <c r="H105" s="58">
        <f t="shared" si="1"/>
        <v>0</v>
      </c>
      <c r="I105" s="3"/>
    </row>
    <row r="106" spans="1:10" ht="20.25" customHeight="1">
      <c r="A106" s="32"/>
      <c r="B106" s="20" t="s">
        <v>340</v>
      </c>
      <c r="C106" s="32" t="s">
        <v>65</v>
      </c>
      <c r="D106" s="29">
        <v>35</v>
      </c>
      <c r="E106" s="29">
        <v>30</v>
      </c>
      <c r="F106" s="29">
        <v>40</v>
      </c>
      <c r="G106" s="29"/>
      <c r="H106" s="58">
        <f t="shared" si="1"/>
        <v>0</v>
      </c>
      <c r="I106" s="3"/>
    </row>
    <row r="107" spans="1:10" ht="20.25" customHeight="1">
      <c r="A107" s="32"/>
      <c r="B107" s="20" t="s">
        <v>335</v>
      </c>
      <c r="C107" s="32" t="s">
        <v>76</v>
      </c>
      <c r="D107" s="29">
        <v>57219</v>
      </c>
      <c r="E107" s="29">
        <v>60000</v>
      </c>
      <c r="F107" s="29">
        <v>55000</v>
      </c>
      <c r="G107" s="29"/>
      <c r="H107" s="58">
        <f t="shared" si="1"/>
        <v>0</v>
      </c>
      <c r="I107" s="3"/>
    </row>
    <row r="108" spans="1:10" ht="20.25" customHeight="1">
      <c r="A108" s="32"/>
      <c r="B108" s="20" t="s">
        <v>336</v>
      </c>
      <c r="C108" s="32" t="s">
        <v>76</v>
      </c>
      <c r="D108" s="29">
        <v>12363</v>
      </c>
      <c r="E108" s="29">
        <v>13000</v>
      </c>
      <c r="F108" s="29">
        <v>12000</v>
      </c>
      <c r="G108" s="29"/>
      <c r="H108" s="58">
        <f t="shared" si="1"/>
        <v>0</v>
      </c>
      <c r="I108" s="3"/>
    </row>
    <row r="109" spans="1:10" ht="20.25" customHeight="1">
      <c r="A109" s="32"/>
      <c r="B109" s="20" t="s">
        <v>337</v>
      </c>
      <c r="C109" s="32" t="s">
        <v>466</v>
      </c>
      <c r="D109" s="29">
        <v>39713</v>
      </c>
      <c r="E109" s="29">
        <v>41000</v>
      </c>
      <c r="F109" s="29">
        <v>60000</v>
      </c>
      <c r="G109" s="29"/>
      <c r="H109" s="58">
        <f t="shared" si="1"/>
        <v>0</v>
      </c>
      <c r="I109" s="3"/>
    </row>
    <row r="110" spans="1:10" ht="20.25" customHeight="1">
      <c r="A110" s="32"/>
      <c r="B110" s="20" t="s">
        <v>338</v>
      </c>
      <c r="C110" s="32" t="s">
        <v>466</v>
      </c>
      <c r="D110" s="29">
        <v>34500</v>
      </c>
      <c r="E110" s="29">
        <v>35000</v>
      </c>
      <c r="F110" s="29">
        <v>54000</v>
      </c>
      <c r="G110" s="29"/>
      <c r="H110" s="58">
        <f t="shared" si="1"/>
        <v>0</v>
      </c>
      <c r="I110" s="3"/>
    </row>
    <row r="111" spans="1:10" s="18" customFormat="1">
      <c r="A111" s="106" t="s">
        <v>182</v>
      </c>
      <c r="B111" s="126" t="s">
        <v>450</v>
      </c>
      <c r="C111" s="106"/>
      <c r="D111" s="127"/>
      <c r="E111" s="127"/>
      <c r="F111" s="127"/>
      <c r="G111" s="127"/>
      <c r="H111" s="110" t="str">
        <f t="shared" si="1"/>
        <v/>
      </c>
      <c r="I111" s="110"/>
    </row>
    <row r="112" spans="1:10" ht="22.5" customHeight="1">
      <c r="A112" s="32">
        <v>1</v>
      </c>
      <c r="B112" s="20" t="s">
        <v>184</v>
      </c>
      <c r="C112" s="32" t="s">
        <v>331</v>
      </c>
      <c r="D112" s="29">
        <v>560310</v>
      </c>
      <c r="E112" s="29">
        <v>595000</v>
      </c>
      <c r="F112" s="29">
        <v>696000</v>
      </c>
      <c r="G112" s="29"/>
      <c r="H112" s="58">
        <f t="shared" si="1"/>
        <v>0</v>
      </c>
      <c r="I112" s="3"/>
    </row>
    <row r="113" spans="1:11">
      <c r="A113" s="100"/>
      <c r="B113" s="122" t="s">
        <v>454</v>
      </c>
      <c r="C113" s="100"/>
      <c r="D113" s="102"/>
      <c r="E113" s="102"/>
      <c r="F113" s="102"/>
      <c r="G113" s="102"/>
      <c r="H113" s="123" t="str">
        <f t="shared" si="1"/>
        <v/>
      </c>
      <c r="I113" s="3"/>
    </row>
    <row r="114" spans="1:11" s="18" customFormat="1" ht="22.5" customHeight="1">
      <c r="A114" s="106" t="s">
        <v>38</v>
      </c>
      <c r="B114" s="126" t="s">
        <v>352</v>
      </c>
      <c r="C114" s="106"/>
      <c r="D114" s="125"/>
      <c r="E114" s="125"/>
      <c r="F114" s="125"/>
      <c r="G114" s="125"/>
      <c r="H114" s="110" t="str">
        <f t="shared" si="1"/>
        <v/>
      </c>
      <c r="I114" s="130"/>
    </row>
    <row r="115" spans="1:11" ht="22.5" hidden="1" customHeight="1" outlineLevel="1">
      <c r="A115" s="32">
        <v>1</v>
      </c>
      <c r="B115" s="20" t="s">
        <v>353</v>
      </c>
      <c r="C115" s="32" t="s">
        <v>62</v>
      </c>
      <c r="D115" s="29">
        <v>10520</v>
      </c>
      <c r="E115" s="29">
        <f>D116</f>
        <v>10685</v>
      </c>
      <c r="F115" s="29">
        <f>E116</f>
        <v>11120</v>
      </c>
      <c r="G115" s="29">
        <f>E116</f>
        <v>11120</v>
      </c>
      <c r="H115" s="58">
        <f t="shared" si="1"/>
        <v>100</v>
      </c>
      <c r="I115" s="3"/>
      <c r="K115" s="77"/>
    </row>
    <row r="116" spans="1:11" ht="22.5" hidden="1" customHeight="1" outlineLevel="1">
      <c r="A116" s="32">
        <v>2</v>
      </c>
      <c r="B116" s="20" t="s">
        <v>207</v>
      </c>
      <c r="C116" s="32" t="s">
        <v>62</v>
      </c>
      <c r="D116" s="29">
        <v>10685</v>
      </c>
      <c r="E116" s="29">
        <v>11120</v>
      </c>
      <c r="F116" s="29">
        <v>11380</v>
      </c>
      <c r="G116" s="29"/>
      <c r="H116" s="66">
        <f t="shared" si="1"/>
        <v>0</v>
      </c>
      <c r="I116" s="3"/>
      <c r="J116" s="77"/>
    </row>
    <row r="117" spans="1:11" ht="22.5" customHeight="1" collapsed="1">
      <c r="A117" s="32">
        <v>1</v>
      </c>
      <c r="B117" s="20" t="s">
        <v>131</v>
      </c>
      <c r="C117" s="32" t="s">
        <v>73</v>
      </c>
      <c r="D117" s="29">
        <v>44006</v>
      </c>
      <c r="E117" s="29">
        <f>D118</f>
        <v>45290</v>
      </c>
      <c r="F117" s="29">
        <f>E118</f>
        <v>46404</v>
      </c>
      <c r="G117" s="29"/>
      <c r="H117" s="58">
        <f t="shared" si="1"/>
        <v>0</v>
      </c>
      <c r="I117" s="3"/>
    </row>
    <row r="118" spans="1:11" ht="22.5" customHeight="1">
      <c r="A118" s="32">
        <v>2</v>
      </c>
      <c r="B118" s="20" t="s">
        <v>132</v>
      </c>
      <c r="C118" s="32" t="s">
        <v>73</v>
      </c>
      <c r="D118" s="29">
        <v>45290</v>
      </c>
      <c r="E118" s="29">
        <v>46404</v>
      </c>
      <c r="F118" s="29">
        <v>47500</v>
      </c>
      <c r="G118" s="29"/>
      <c r="H118" s="58">
        <f t="shared" si="1"/>
        <v>0</v>
      </c>
      <c r="I118" s="3"/>
    </row>
    <row r="119" spans="1:11" ht="22.5" customHeight="1">
      <c r="A119" s="32">
        <v>3</v>
      </c>
      <c r="B119" s="20" t="s">
        <v>339</v>
      </c>
      <c r="C119" s="32" t="s">
        <v>73</v>
      </c>
      <c r="D119" s="29">
        <f>(D117+D118)/2</f>
        <v>44648</v>
      </c>
      <c r="E119" s="29">
        <f>(E117+E118)/2</f>
        <v>45847</v>
      </c>
      <c r="F119" s="29">
        <f>(F117+F118)/2</f>
        <v>46952</v>
      </c>
      <c r="G119" s="29">
        <f>(G117+G118)/2</f>
        <v>0</v>
      </c>
      <c r="H119" s="58">
        <f t="shared" si="1"/>
        <v>0</v>
      </c>
      <c r="I119" s="3"/>
    </row>
    <row r="120" spans="1:11" ht="22.5" customHeight="1">
      <c r="A120" s="32">
        <v>4</v>
      </c>
      <c r="B120" s="48" t="s">
        <v>392</v>
      </c>
      <c r="C120" s="21" t="s">
        <v>170</v>
      </c>
      <c r="D120" s="74">
        <v>22.62</v>
      </c>
      <c r="E120" s="74">
        <v>22.92</v>
      </c>
      <c r="F120" s="74">
        <v>22</v>
      </c>
      <c r="G120" s="74"/>
      <c r="H120" s="66">
        <f t="shared" si="1"/>
        <v>0</v>
      </c>
      <c r="I120" s="3"/>
    </row>
    <row r="121" spans="1:11" s="18" customFormat="1" ht="21" customHeight="1">
      <c r="A121" s="106" t="s">
        <v>39</v>
      </c>
      <c r="B121" s="126" t="s">
        <v>163</v>
      </c>
      <c r="C121" s="106"/>
      <c r="D121" s="131"/>
      <c r="E121" s="131"/>
      <c r="F121" s="131"/>
      <c r="G121" s="131"/>
      <c r="H121" s="110" t="str">
        <f t="shared" si="1"/>
        <v/>
      </c>
      <c r="I121" s="130"/>
    </row>
    <row r="122" spans="1:11" ht="21" customHeight="1">
      <c r="A122" s="32">
        <v>1</v>
      </c>
      <c r="B122" s="20" t="s">
        <v>393</v>
      </c>
      <c r="C122" s="32" t="s">
        <v>33</v>
      </c>
      <c r="D122" s="58">
        <v>42.86</v>
      </c>
      <c r="E122" s="58">
        <v>43</v>
      </c>
      <c r="F122" s="58">
        <v>44</v>
      </c>
      <c r="G122" s="58"/>
      <c r="H122" s="66">
        <f t="shared" si="1"/>
        <v>0</v>
      </c>
      <c r="I122" s="3"/>
    </row>
    <row r="123" spans="1:11" ht="21" customHeight="1">
      <c r="A123" s="32"/>
      <c r="B123" s="20" t="s">
        <v>394</v>
      </c>
      <c r="C123" s="32" t="s">
        <v>33</v>
      </c>
      <c r="D123" s="58">
        <v>32</v>
      </c>
      <c r="E123" s="58">
        <v>35</v>
      </c>
      <c r="F123" s="58">
        <v>36</v>
      </c>
      <c r="G123" s="58"/>
      <c r="H123" s="66">
        <f t="shared" si="1"/>
        <v>0</v>
      </c>
      <c r="I123" s="3"/>
    </row>
    <row r="124" spans="1:11" ht="47.25">
      <c r="A124" s="32">
        <v>2</v>
      </c>
      <c r="B124" s="20" t="s">
        <v>357</v>
      </c>
      <c r="C124" s="32" t="s">
        <v>120</v>
      </c>
      <c r="D124" s="59">
        <f>174+50</f>
        <v>224</v>
      </c>
      <c r="E124" s="59">
        <v>175</v>
      </c>
      <c r="F124" s="59">
        <v>250</v>
      </c>
      <c r="G124" s="59"/>
      <c r="H124" s="66">
        <f t="shared" si="1"/>
        <v>0</v>
      </c>
      <c r="I124" s="3"/>
    </row>
    <row r="125" spans="1:11">
      <c r="A125" s="32"/>
      <c r="B125" s="20" t="s">
        <v>396</v>
      </c>
      <c r="C125" s="32" t="s">
        <v>397</v>
      </c>
      <c r="D125" s="20">
        <v>111</v>
      </c>
      <c r="E125" s="20">
        <v>115</v>
      </c>
      <c r="F125" s="20">
        <v>120</v>
      </c>
      <c r="G125" s="20"/>
      <c r="H125" s="66">
        <f t="shared" si="1"/>
        <v>0</v>
      </c>
      <c r="I125" s="3"/>
    </row>
    <row r="126" spans="1:11" ht="21" customHeight="1">
      <c r="A126" s="106" t="s">
        <v>47</v>
      </c>
      <c r="B126" s="126" t="s">
        <v>288</v>
      </c>
      <c r="C126" s="132"/>
      <c r="D126" s="133"/>
      <c r="E126" s="133"/>
      <c r="F126" s="133"/>
      <c r="G126" s="133"/>
      <c r="H126" s="110" t="str">
        <f t="shared" si="1"/>
        <v/>
      </c>
      <c r="I126" s="134"/>
    </row>
    <row r="127" spans="1:11" ht="29.25" customHeight="1">
      <c r="A127" s="60">
        <v>1</v>
      </c>
      <c r="B127" s="61" t="s">
        <v>355</v>
      </c>
      <c r="C127" s="32" t="s">
        <v>33</v>
      </c>
      <c r="D127" s="67" t="s">
        <v>358</v>
      </c>
      <c r="E127" s="88">
        <f>D128-E128</f>
        <v>3.1799999999999997</v>
      </c>
      <c r="F127" s="67" t="s">
        <v>388</v>
      </c>
      <c r="G127" s="67"/>
      <c r="H127" s="66" t="str">
        <f t="shared" si="1"/>
        <v/>
      </c>
      <c r="I127" s="3"/>
    </row>
    <row r="128" spans="1:11" ht="21" customHeight="1">
      <c r="A128" s="60">
        <v>2</v>
      </c>
      <c r="B128" s="61" t="s">
        <v>395</v>
      </c>
      <c r="C128" s="32" t="s">
        <v>33</v>
      </c>
      <c r="D128" s="80">
        <v>17.32</v>
      </c>
      <c r="E128" s="80">
        <v>14.14</v>
      </c>
      <c r="F128" s="80">
        <f>E128-3</f>
        <v>11.14</v>
      </c>
      <c r="G128" s="80"/>
      <c r="H128" s="58">
        <f t="shared" si="1"/>
        <v>0</v>
      </c>
      <c r="I128" s="3"/>
      <c r="J128" s="89"/>
    </row>
    <row r="129" spans="1:10" s="18" customFormat="1" ht="20.25" customHeight="1">
      <c r="A129" s="106" t="s">
        <v>48</v>
      </c>
      <c r="B129" s="126" t="s">
        <v>6</v>
      </c>
      <c r="C129" s="106"/>
      <c r="D129" s="125"/>
      <c r="E129" s="125"/>
      <c r="F129" s="125"/>
      <c r="G129" s="125"/>
      <c r="H129" s="110" t="str">
        <f t="shared" si="1"/>
        <v/>
      </c>
      <c r="I129" s="130"/>
    </row>
    <row r="130" spans="1:10" ht="23.25" customHeight="1">
      <c r="A130" s="32">
        <v>1</v>
      </c>
      <c r="B130" s="20" t="s">
        <v>506</v>
      </c>
      <c r="C130" s="32" t="s">
        <v>8</v>
      </c>
      <c r="D130" s="29">
        <f>SUM(D131:D137)</f>
        <v>13999</v>
      </c>
      <c r="E130" s="29">
        <f>SUM(E131:E137)</f>
        <v>14102</v>
      </c>
      <c r="F130" s="29">
        <f>F131+F135+F136+F137</f>
        <v>14530</v>
      </c>
      <c r="G130" s="29">
        <f>G131+G135+G136+G137</f>
        <v>14407</v>
      </c>
      <c r="H130" s="58">
        <f t="shared" si="1"/>
        <v>99.153475567790764</v>
      </c>
      <c r="I130" s="3"/>
    </row>
    <row r="131" spans="1:10" ht="21" customHeight="1">
      <c r="A131" s="32"/>
      <c r="B131" s="20" t="s">
        <v>188</v>
      </c>
      <c r="C131" s="32" t="s">
        <v>8</v>
      </c>
      <c r="D131" s="90">
        <v>4325</v>
      </c>
      <c r="E131" s="90">
        <v>4401</v>
      </c>
      <c r="F131" s="90">
        <f>F132+F134</f>
        <v>4430</v>
      </c>
      <c r="G131" s="90">
        <f>G132+G134</f>
        <v>4527</v>
      </c>
      <c r="H131" s="58">
        <f t="shared" si="1"/>
        <v>102.18961625282168</v>
      </c>
      <c r="I131" s="3"/>
      <c r="J131" s="81"/>
    </row>
    <row r="132" spans="1:10" s="42" customFormat="1" ht="21" customHeight="1" outlineLevel="1">
      <c r="A132" s="39"/>
      <c r="B132" s="62" t="s">
        <v>399</v>
      </c>
      <c r="C132" s="32" t="s">
        <v>12</v>
      </c>
      <c r="D132" s="91"/>
      <c r="E132" s="91"/>
      <c r="F132" s="91">
        <v>450</v>
      </c>
      <c r="G132" s="91">
        <v>398</v>
      </c>
      <c r="H132" s="58">
        <f t="shared" si="1"/>
        <v>88.444444444444443</v>
      </c>
      <c r="I132" s="84"/>
      <c r="J132" s="82"/>
    </row>
    <row r="133" spans="1:10" s="42" customFormat="1" ht="21" customHeight="1" outlineLevel="1">
      <c r="A133" s="39"/>
      <c r="B133" s="62" t="s">
        <v>425</v>
      </c>
      <c r="C133" s="32" t="s">
        <v>12</v>
      </c>
      <c r="D133" s="91"/>
      <c r="E133" s="91"/>
      <c r="F133" s="91">
        <v>350</v>
      </c>
      <c r="G133" s="91"/>
      <c r="H133" s="58">
        <f t="shared" si="1"/>
        <v>0</v>
      </c>
      <c r="I133" s="84"/>
      <c r="J133" s="82"/>
    </row>
    <row r="134" spans="1:10" s="42" customFormat="1" ht="21" customHeight="1" outlineLevel="1">
      <c r="A134" s="39"/>
      <c r="B134" s="62" t="s">
        <v>190</v>
      </c>
      <c r="C134" s="32" t="s">
        <v>12</v>
      </c>
      <c r="D134" s="91"/>
      <c r="E134" s="91"/>
      <c r="F134" s="91">
        <v>3980</v>
      </c>
      <c r="G134" s="91">
        <v>4129</v>
      </c>
      <c r="H134" s="58">
        <f t="shared" si="1"/>
        <v>103.74371859296483</v>
      </c>
      <c r="I134" s="84"/>
      <c r="J134" s="82"/>
    </row>
    <row r="135" spans="1:10" ht="21" customHeight="1">
      <c r="A135" s="32"/>
      <c r="B135" s="20" t="s">
        <v>272</v>
      </c>
      <c r="C135" s="32" t="s">
        <v>8</v>
      </c>
      <c r="D135" s="90">
        <v>5412</v>
      </c>
      <c r="E135" s="90">
        <v>5400</v>
      </c>
      <c r="F135" s="90">
        <v>5700</v>
      </c>
      <c r="G135" s="90">
        <v>5515</v>
      </c>
      <c r="H135" s="58">
        <f t="shared" si="1"/>
        <v>96.754385964912274</v>
      </c>
      <c r="I135" s="3"/>
      <c r="J135" s="81"/>
    </row>
    <row r="136" spans="1:10" ht="21" customHeight="1">
      <c r="A136" s="32"/>
      <c r="B136" s="20" t="s">
        <v>273</v>
      </c>
      <c r="C136" s="32" t="s">
        <v>8</v>
      </c>
      <c r="D136" s="90">
        <v>3521</v>
      </c>
      <c r="E136" s="90">
        <v>3560</v>
      </c>
      <c r="F136" s="90">
        <v>3570</v>
      </c>
      <c r="G136" s="90">
        <v>3558</v>
      </c>
      <c r="H136" s="58">
        <f t="shared" si="1"/>
        <v>99.663865546218474</v>
      </c>
      <c r="I136" s="3"/>
    </row>
    <row r="137" spans="1:10" ht="21" customHeight="1">
      <c r="A137" s="32"/>
      <c r="B137" s="20" t="s">
        <v>342</v>
      </c>
      <c r="C137" s="32" t="s">
        <v>8</v>
      </c>
      <c r="D137" s="90">
        <v>741</v>
      </c>
      <c r="E137" s="90">
        <v>741</v>
      </c>
      <c r="F137" s="90">
        <v>830</v>
      </c>
      <c r="G137" s="90">
        <v>807</v>
      </c>
      <c r="H137" s="58">
        <f t="shared" si="1"/>
        <v>97.228915662650593</v>
      </c>
      <c r="I137" s="3"/>
    </row>
    <row r="138" spans="1:10" s="104" customFormat="1" ht="22.5" hidden="1" customHeight="1" outlineLevel="1">
      <c r="A138" s="100"/>
      <c r="B138" s="101" t="s">
        <v>398</v>
      </c>
      <c r="C138" s="100"/>
      <c r="D138" s="102">
        <f>SUM(D140:D144)</f>
        <v>37</v>
      </c>
      <c r="E138" s="102">
        <f>SUM(E140:E144)</f>
        <v>38</v>
      </c>
      <c r="F138" s="102">
        <f>SUM(F140:F144)</f>
        <v>38</v>
      </c>
      <c r="G138" s="102">
        <f>SUM(G140:G144)</f>
        <v>38</v>
      </c>
      <c r="H138" s="103">
        <f t="shared" si="1"/>
        <v>100</v>
      </c>
      <c r="I138" s="129"/>
    </row>
    <row r="139" spans="1:10" s="104" customFormat="1" ht="22.5" hidden="1" customHeight="1" outlineLevel="1">
      <c r="A139" s="100"/>
      <c r="B139" s="105" t="s">
        <v>341</v>
      </c>
      <c r="C139" s="100"/>
      <c r="D139" s="102"/>
      <c r="E139" s="102"/>
      <c r="F139" s="102"/>
      <c r="G139" s="102"/>
      <c r="H139" s="103" t="str">
        <f t="shared" ref="H139:H182" si="2">IFERROR(G139/F139%,"")</f>
        <v/>
      </c>
      <c r="I139" s="129"/>
    </row>
    <row r="140" spans="1:10" s="104" customFormat="1" ht="22.5" hidden="1" customHeight="1" outlineLevel="1">
      <c r="A140" s="100"/>
      <c r="B140" s="101" t="s">
        <v>343</v>
      </c>
      <c r="C140" s="100" t="s">
        <v>143</v>
      </c>
      <c r="D140" s="102">
        <v>13</v>
      </c>
      <c r="E140" s="102">
        <v>13</v>
      </c>
      <c r="F140" s="102">
        <f>E140</f>
        <v>13</v>
      </c>
      <c r="G140" s="102">
        <f>E140</f>
        <v>13</v>
      </c>
      <c r="H140" s="103">
        <f t="shared" si="2"/>
        <v>100</v>
      </c>
      <c r="I140" s="129"/>
    </row>
    <row r="141" spans="1:10" s="104" customFormat="1" ht="22.5" hidden="1" customHeight="1" outlineLevel="1">
      <c r="A141" s="100"/>
      <c r="B141" s="101" t="s">
        <v>344</v>
      </c>
      <c r="C141" s="100" t="s">
        <v>143</v>
      </c>
      <c r="D141" s="102">
        <v>13</v>
      </c>
      <c r="E141" s="102">
        <v>14</v>
      </c>
      <c r="F141" s="102">
        <f>E141</f>
        <v>14</v>
      </c>
      <c r="G141" s="102">
        <f>E141</f>
        <v>14</v>
      </c>
      <c r="H141" s="103">
        <f t="shared" si="2"/>
        <v>99.999999999999986</v>
      </c>
      <c r="I141" s="129"/>
    </row>
    <row r="142" spans="1:10" s="104" customFormat="1" ht="22.5" hidden="1" customHeight="1" outlineLevel="1">
      <c r="A142" s="100"/>
      <c r="B142" s="101" t="s">
        <v>345</v>
      </c>
      <c r="C142" s="100" t="s">
        <v>143</v>
      </c>
      <c r="D142" s="102">
        <v>9</v>
      </c>
      <c r="E142" s="102">
        <v>9</v>
      </c>
      <c r="F142" s="102">
        <f>E142</f>
        <v>9</v>
      </c>
      <c r="G142" s="102">
        <f>E142</f>
        <v>9</v>
      </c>
      <c r="H142" s="103">
        <f t="shared" si="2"/>
        <v>100</v>
      </c>
      <c r="I142" s="129"/>
    </row>
    <row r="143" spans="1:10" s="104" customFormat="1" ht="22.5" hidden="1" customHeight="1" outlineLevel="1">
      <c r="A143" s="100"/>
      <c r="B143" s="101" t="s">
        <v>346</v>
      </c>
      <c r="C143" s="100" t="s">
        <v>143</v>
      </c>
      <c r="D143" s="102">
        <v>1</v>
      </c>
      <c r="E143" s="102">
        <v>1</v>
      </c>
      <c r="F143" s="102">
        <f>E143</f>
        <v>1</v>
      </c>
      <c r="G143" s="102">
        <f>E143</f>
        <v>1</v>
      </c>
      <c r="H143" s="103">
        <f t="shared" si="2"/>
        <v>100</v>
      </c>
      <c r="I143" s="129"/>
    </row>
    <row r="144" spans="1:10" s="104" customFormat="1" ht="22.5" hidden="1" customHeight="1" outlineLevel="1">
      <c r="A144" s="100"/>
      <c r="B144" s="101" t="s">
        <v>347</v>
      </c>
      <c r="C144" s="100" t="s">
        <v>143</v>
      </c>
      <c r="D144" s="102">
        <v>1</v>
      </c>
      <c r="E144" s="102">
        <v>1</v>
      </c>
      <c r="F144" s="102">
        <f>E144</f>
        <v>1</v>
      </c>
      <c r="G144" s="102">
        <f>E144</f>
        <v>1</v>
      </c>
      <c r="H144" s="103">
        <f t="shared" si="2"/>
        <v>100</v>
      </c>
      <c r="I144" s="129"/>
    </row>
    <row r="145" spans="1:9" s="104" customFormat="1" ht="22.5" hidden="1" customHeight="1" outlineLevel="1">
      <c r="A145" s="100"/>
      <c r="B145" s="101" t="s">
        <v>348</v>
      </c>
      <c r="C145" s="100" t="s">
        <v>143</v>
      </c>
      <c r="D145" s="102">
        <f>SUM(D147:D151)</f>
        <v>20</v>
      </c>
      <c r="E145" s="102">
        <f>SUM(E147:E151)</f>
        <v>22</v>
      </c>
      <c r="F145" s="102">
        <f>SUM(F147:F151)</f>
        <v>25</v>
      </c>
      <c r="G145" s="102">
        <f>SUM(G147:G151)</f>
        <v>22</v>
      </c>
      <c r="H145" s="103">
        <f t="shared" si="2"/>
        <v>88</v>
      </c>
      <c r="I145" s="129"/>
    </row>
    <row r="146" spans="1:9" s="104" customFormat="1" ht="22.5" hidden="1" customHeight="1" outlineLevel="1">
      <c r="A146" s="100"/>
      <c r="B146" s="105" t="s">
        <v>341</v>
      </c>
      <c r="C146" s="100"/>
      <c r="D146" s="102"/>
      <c r="E146" s="102"/>
      <c r="F146" s="102"/>
      <c r="G146" s="102"/>
      <c r="H146" s="103" t="str">
        <f t="shared" si="2"/>
        <v/>
      </c>
      <c r="I146" s="129"/>
    </row>
    <row r="147" spans="1:9" s="104" customFormat="1" ht="22.5" hidden="1" customHeight="1" outlineLevel="1">
      <c r="A147" s="100"/>
      <c r="B147" s="101" t="s">
        <v>343</v>
      </c>
      <c r="C147" s="100" t="s">
        <v>143</v>
      </c>
      <c r="D147" s="102">
        <v>5</v>
      </c>
      <c r="E147" s="102">
        <v>7</v>
      </c>
      <c r="F147" s="102">
        <v>8</v>
      </c>
      <c r="G147" s="102">
        <f>E147</f>
        <v>7</v>
      </c>
      <c r="H147" s="103">
        <f t="shared" si="2"/>
        <v>87.5</v>
      </c>
      <c r="I147" s="129"/>
    </row>
    <row r="148" spans="1:9" s="104" customFormat="1" ht="22.5" hidden="1" customHeight="1" outlineLevel="1">
      <c r="A148" s="100"/>
      <c r="B148" s="101" t="s">
        <v>344</v>
      </c>
      <c r="C148" s="100" t="s">
        <v>143</v>
      </c>
      <c r="D148" s="102">
        <v>9</v>
      </c>
      <c r="E148" s="102">
        <v>9</v>
      </c>
      <c r="F148" s="102">
        <v>10</v>
      </c>
      <c r="G148" s="102">
        <f>E148</f>
        <v>9</v>
      </c>
      <c r="H148" s="103">
        <f t="shared" si="2"/>
        <v>90</v>
      </c>
      <c r="I148" s="129"/>
    </row>
    <row r="149" spans="1:9" s="104" customFormat="1" ht="22.5" hidden="1" customHeight="1" outlineLevel="1">
      <c r="A149" s="100"/>
      <c r="B149" s="101" t="s">
        <v>345</v>
      </c>
      <c r="C149" s="100" t="s">
        <v>143</v>
      </c>
      <c r="D149" s="102">
        <v>4</v>
      </c>
      <c r="E149" s="102">
        <v>4</v>
      </c>
      <c r="F149" s="102">
        <v>5</v>
      </c>
      <c r="G149" s="102">
        <f>E149</f>
        <v>4</v>
      </c>
      <c r="H149" s="103">
        <f t="shared" si="2"/>
        <v>80</v>
      </c>
      <c r="I149" s="129"/>
    </row>
    <row r="150" spans="1:9" s="104" customFormat="1" ht="22.5" hidden="1" customHeight="1" outlineLevel="1">
      <c r="A150" s="100"/>
      <c r="B150" s="101" t="s">
        <v>346</v>
      </c>
      <c r="C150" s="100" t="s">
        <v>143</v>
      </c>
      <c r="D150" s="102">
        <v>1</v>
      </c>
      <c r="E150" s="102">
        <v>1</v>
      </c>
      <c r="F150" s="102">
        <v>1</v>
      </c>
      <c r="G150" s="102">
        <f>E150</f>
        <v>1</v>
      </c>
      <c r="H150" s="103">
        <f t="shared" si="2"/>
        <v>100</v>
      </c>
      <c r="I150" s="129"/>
    </row>
    <row r="151" spans="1:9" s="104" customFormat="1" ht="22.5" hidden="1" customHeight="1" outlineLevel="1">
      <c r="A151" s="100"/>
      <c r="B151" s="101" t="s">
        <v>347</v>
      </c>
      <c r="C151" s="100" t="s">
        <v>143</v>
      </c>
      <c r="D151" s="102">
        <v>1</v>
      </c>
      <c r="E151" s="102">
        <v>1</v>
      </c>
      <c r="F151" s="102">
        <v>1</v>
      </c>
      <c r="G151" s="102">
        <f>E151</f>
        <v>1</v>
      </c>
      <c r="H151" s="103">
        <f t="shared" si="2"/>
        <v>100</v>
      </c>
      <c r="I151" s="129"/>
    </row>
    <row r="152" spans="1:9" ht="22.5" customHeight="1" collapsed="1">
      <c r="A152" s="32">
        <v>2</v>
      </c>
      <c r="B152" s="20" t="s">
        <v>144</v>
      </c>
      <c r="C152" s="32" t="s">
        <v>33</v>
      </c>
      <c r="D152" s="74">
        <f>D145/D138%</f>
        <v>54.054054054054056</v>
      </c>
      <c r="E152" s="74">
        <f>E145/E138%</f>
        <v>57.89473684210526</v>
      </c>
      <c r="F152" s="74">
        <f>F145/F138%</f>
        <v>65.78947368421052</v>
      </c>
      <c r="G152" s="74">
        <f>G145/G138%</f>
        <v>57.89473684210526</v>
      </c>
      <c r="H152" s="58">
        <f t="shared" si="2"/>
        <v>88</v>
      </c>
      <c r="I152" s="3"/>
    </row>
    <row r="153" spans="1:9" ht="22.5" hidden="1" customHeight="1" outlineLevel="1">
      <c r="A153" s="32"/>
      <c r="B153" s="62" t="s">
        <v>341</v>
      </c>
      <c r="C153" s="32"/>
      <c r="D153" s="55"/>
      <c r="E153" s="55"/>
      <c r="F153" s="55"/>
      <c r="G153" s="55"/>
      <c r="H153" s="66" t="str">
        <f t="shared" si="2"/>
        <v/>
      </c>
      <c r="I153" s="3"/>
    </row>
    <row r="154" spans="1:9" ht="22.5" hidden="1" customHeight="1" outlineLevel="1">
      <c r="A154" s="32"/>
      <c r="B154" s="20" t="s">
        <v>343</v>
      </c>
      <c r="C154" s="32" t="s">
        <v>33</v>
      </c>
      <c r="D154" s="55">
        <f t="shared" ref="D154:G158" si="3">D147/D140%</f>
        <v>38.46153846153846</v>
      </c>
      <c r="E154" s="55">
        <f t="shared" si="3"/>
        <v>53.846153846153847</v>
      </c>
      <c r="F154" s="55">
        <f t="shared" si="3"/>
        <v>61.538461538461533</v>
      </c>
      <c r="G154" s="55">
        <f t="shared" si="3"/>
        <v>53.846153846153847</v>
      </c>
      <c r="H154" s="58">
        <f t="shared" si="2"/>
        <v>87.500000000000014</v>
      </c>
      <c r="I154" s="3"/>
    </row>
    <row r="155" spans="1:9" ht="22.5" hidden="1" customHeight="1" outlineLevel="1">
      <c r="A155" s="32"/>
      <c r="B155" s="20" t="s">
        <v>344</v>
      </c>
      <c r="C155" s="32" t="s">
        <v>33</v>
      </c>
      <c r="D155" s="55">
        <f t="shared" si="3"/>
        <v>69.230769230769226</v>
      </c>
      <c r="E155" s="55">
        <f t="shared" si="3"/>
        <v>64.285714285714278</v>
      </c>
      <c r="F155" s="55">
        <f t="shared" si="3"/>
        <v>71.428571428571416</v>
      </c>
      <c r="G155" s="55">
        <f t="shared" si="3"/>
        <v>64.285714285714278</v>
      </c>
      <c r="H155" s="58">
        <f t="shared" si="2"/>
        <v>90</v>
      </c>
      <c r="I155" s="3"/>
    </row>
    <row r="156" spans="1:9" ht="22.5" hidden="1" customHeight="1" outlineLevel="1">
      <c r="A156" s="32"/>
      <c r="B156" s="20" t="s">
        <v>345</v>
      </c>
      <c r="C156" s="32" t="s">
        <v>33</v>
      </c>
      <c r="D156" s="55">
        <f t="shared" si="3"/>
        <v>44.444444444444443</v>
      </c>
      <c r="E156" s="55">
        <f t="shared" si="3"/>
        <v>44.444444444444443</v>
      </c>
      <c r="F156" s="55">
        <f t="shared" si="3"/>
        <v>55.555555555555557</v>
      </c>
      <c r="G156" s="55">
        <f t="shared" si="3"/>
        <v>44.444444444444443</v>
      </c>
      <c r="H156" s="58">
        <f t="shared" si="2"/>
        <v>80</v>
      </c>
      <c r="I156" s="3"/>
    </row>
    <row r="157" spans="1:9" ht="22.5" hidden="1" customHeight="1" outlineLevel="1">
      <c r="A157" s="32"/>
      <c r="B157" s="20" t="s">
        <v>346</v>
      </c>
      <c r="C157" s="32" t="s">
        <v>33</v>
      </c>
      <c r="D157" s="55">
        <f t="shared" si="3"/>
        <v>100</v>
      </c>
      <c r="E157" s="55">
        <f t="shared" si="3"/>
        <v>100</v>
      </c>
      <c r="F157" s="55">
        <f t="shared" si="3"/>
        <v>100</v>
      </c>
      <c r="G157" s="55">
        <f t="shared" si="3"/>
        <v>100</v>
      </c>
      <c r="H157" s="58">
        <f t="shared" si="2"/>
        <v>100</v>
      </c>
      <c r="I157" s="3"/>
    </row>
    <row r="158" spans="1:9" ht="22.5" hidden="1" customHeight="1" outlineLevel="1">
      <c r="A158" s="32"/>
      <c r="B158" s="20" t="s">
        <v>347</v>
      </c>
      <c r="C158" s="32" t="s">
        <v>33</v>
      </c>
      <c r="D158" s="55">
        <f t="shared" si="3"/>
        <v>100</v>
      </c>
      <c r="E158" s="55">
        <f t="shared" si="3"/>
        <v>100</v>
      </c>
      <c r="F158" s="55">
        <f t="shared" si="3"/>
        <v>100</v>
      </c>
      <c r="G158" s="55">
        <f t="shared" si="3"/>
        <v>100</v>
      </c>
      <c r="H158" s="58">
        <f t="shared" si="2"/>
        <v>100</v>
      </c>
      <c r="I158" s="3"/>
    </row>
    <row r="159" spans="1:9" ht="22.5" hidden="1" customHeight="1" outlineLevel="1" collapsed="1">
      <c r="A159" s="32">
        <v>3</v>
      </c>
      <c r="B159" s="48" t="s">
        <v>390</v>
      </c>
      <c r="C159" s="32"/>
      <c r="D159" s="13"/>
      <c r="E159" s="13"/>
      <c r="F159" s="13"/>
      <c r="G159" s="13"/>
      <c r="H159" s="66" t="str">
        <f t="shared" si="2"/>
        <v/>
      </c>
      <c r="I159" s="3"/>
    </row>
    <row r="160" spans="1:9" ht="22.5" hidden="1" customHeight="1" outlineLevel="1">
      <c r="A160" s="73" t="s">
        <v>34</v>
      </c>
      <c r="B160" s="68" t="s">
        <v>188</v>
      </c>
      <c r="C160" s="32" t="s">
        <v>33</v>
      </c>
      <c r="D160" s="69"/>
      <c r="E160" s="69"/>
      <c r="F160" s="69"/>
      <c r="G160" s="69"/>
      <c r="H160" s="66" t="str">
        <f t="shared" si="2"/>
        <v/>
      </c>
      <c r="I160" s="3"/>
    </row>
    <row r="161" spans="1:9" ht="22.5" hidden="1" customHeight="1" outlineLevel="1">
      <c r="A161" s="73"/>
      <c r="B161" s="70" t="s">
        <v>189</v>
      </c>
      <c r="C161" s="32" t="s">
        <v>33</v>
      </c>
      <c r="D161" s="69">
        <v>11.7</v>
      </c>
      <c r="E161" s="69">
        <v>12.1</v>
      </c>
      <c r="F161" s="69">
        <v>12.5</v>
      </c>
      <c r="G161" s="69"/>
      <c r="H161" s="66">
        <f t="shared" si="2"/>
        <v>0</v>
      </c>
      <c r="I161" s="3"/>
    </row>
    <row r="162" spans="1:9" ht="22.5" hidden="1" customHeight="1" outlineLevel="1">
      <c r="A162" s="73"/>
      <c r="B162" s="70" t="s">
        <v>190</v>
      </c>
      <c r="C162" s="32" t="s">
        <v>33</v>
      </c>
      <c r="D162" s="69">
        <v>97.9</v>
      </c>
      <c r="E162" s="69">
        <v>97.2</v>
      </c>
      <c r="F162" s="69">
        <v>98</v>
      </c>
      <c r="G162" s="69"/>
      <c r="H162" s="66">
        <f t="shared" si="2"/>
        <v>0</v>
      </c>
      <c r="I162" s="3"/>
    </row>
    <row r="163" spans="1:9" ht="22.5" hidden="1" customHeight="1" outlineLevel="1">
      <c r="A163" s="73" t="s">
        <v>35</v>
      </c>
      <c r="B163" s="68" t="s">
        <v>272</v>
      </c>
      <c r="C163" s="32" t="s">
        <v>33</v>
      </c>
      <c r="D163" s="69">
        <v>99.9</v>
      </c>
      <c r="E163" s="69">
        <v>100</v>
      </c>
      <c r="F163" s="69">
        <v>100</v>
      </c>
      <c r="G163" s="69"/>
      <c r="H163" s="66">
        <f t="shared" si="2"/>
        <v>0</v>
      </c>
      <c r="I163" s="3"/>
    </row>
    <row r="164" spans="1:9" ht="22.5" hidden="1" customHeight="1" outlineLevel="1">
      <c r="A164" s="73" t="s">
        <v>36</v>
      </c>
      <c r="B164" s="68" t="s">
        <v>391</v>
      </c>
      <c r="C164" s="32" t="s">
        <v>33</v>
      </c>
      <c r="D164" s="69">
        <v>96.2</v>
      </c>
      <c r="E164" s="69">
        <v>99.8</v>
      </c>
      <c r="F164" s="69">
        <v>100</v>
      </c>
      <c r="G164" s="69"/>
      <c r="H164" s="66">
        <f t="shared" si="2"/>
        <v>0</v>
      </c>
      <c r="I164" s="3"/>
    </row>
    <row r="165" spans="1:9" ht="22.5" customHeight="1" collapsed="1">
      <c r="A165" s="106" t="s">
        <v>50</v>
      </c>
      <c r="B165" s="126" t="s">
        <v>350</v>
      </c>
      <c r="C165" s="132"/>
      <c r="D165" s="135"/>
      <c r="E165" s="135"/>
      <c r="F165" s="135"/>
      <c r="G165" s="135"/>
      <c r="H165" s="110" t="str">
        <f t="shared" si="2"/>
        <v/>
      </c>
      <c r="I165" s="134"/>
    </row>
    <row r="166" spans="1:9" ht="22.5" customHeight="1">
      <c r="A166" s="32">
        <v>1</v>
      </c>
      <c r="B166" s="20" t="s">
        <v>351</v>
      </c>
      <c r="C166" s="32" t="s">
        <v>145</v>
      </c>
      <c r="D166" s="13">
        <v>130</v>
      </c>
      <c r="E166" s="13">
        <v>130</v>
      </c>
      <c r="F166" s="13">
        <v>135</v>
      </c>
      <c r="G166" s="13">
        <v>135</v>
      </c>
      <c r="H166" s="58">
        <f t="shared" si="2"/>
        <v>100</v>
      </c>
      <c r="I166" s="3"/>
    </row>
    <row r="167" spans="1:9" ht="24" customHeight="1">
      <c r="A167" s="32">
        <v>2</v>
      </c>
      <c r="B167" s="20" t="s">
        <v>451</v>
      </c>
      <c r="C167" s="32" t="s">
        <v>349</v>
      </c>
      <c r="D167" s="13">
        <v>2</v>
      </c>
      <c r="E167" s="13">
        <v>6</v>
      </c>
      <c r="F167" s="13">
        <v>7</v>
      </c>
      <c r="G167" s="13">
        <v>4</v>
      </c>
      <c r="H167" s="58">
        <f t="shared" si="2"/>
        <v>57.142857142857139</v>
      </c>
      <c r="I167" s="3"/>
    </row>
    <row r="168" spans="1:9" ht="21" customHeight="1">
      <c r="A168" s="32"/>
      <c r="B168" s="47" t="s">
        <v>452</v>
      </c>
      <c r="C168" s="32" t="s">
        <v>33</v>
      </c>
      <c r="D168" s="55">
        <f>D167/9%</f>
        <v>22.222222222222221</v>
      </c>
      <c r="E168" s="55">
        <f>E167/9%</f>
        <v>66.666666666666671</v>
      </c>
      <c r="F168" s="55">
        <f>F167/9%</f>
        <v>77.777777777777786</v>
      </c>
      <c r="G168" s="55">
        <f>G167/9%</f>
        <v>44.444444444444443</v>
      </c>
      <c r="H168" s="58">
        <f t="shared" si="2"/>
        <v>57.142857142857132</v>
      </c>
      <c r="I168" s="3"/>
    </row>
    <row r="169" spans="1:9" ht="21.75" customHeight="1">
      <c r="A169" s="32">
        <v>3</v>
      </c>
      <c r="B169" s="46" t="s">
        <v>187</v>
      </c>
      <c r="C169" s="32" t="s">
        <v>33</v>
      </c>
      <c r="D169" s="55">
        <v>83.5</v>
      </c>
      <c r="E169" s="55">
        <v>87</v>
      </c>
      <c r="F169" s="55">
        <v>90</v>
      </c>
      <c r="G169" s="55"/>
      <c r="H169" s="66">
        <f t="shared" si="2"/>
        <v>0</v>
      </c>
      <c r="I169" s="3"/>
    </row>
    <row r="170" spans="1:9" ht="31.5">
      <c r="A170" s="32">
        <v>4</v>
      </c>
      <c r="B170" s="46" t="s">
        <v>412</v>
      </c>
      <c r="C170" s="32" t="s">
        <v>33</v>
      </c>
      <c r="D170" s="74">
        <v>33.1</v>
      </c>
      <c r="E170" s="55">
        <v>31.8</v>
      </c>
      <c r="F170" s="55">
        <v>31.3</v>
      </c>
      <c r="G170" s="55"/>
      <c r="H170" s="66">
        <f t="shared" si="2"/>
        <v>0</v>
      </c>
      <c r="I170" s="3"/>
    </row>
    <row r="171" spans="1:9" ht="31.5">
      <c r="A171" s="32">
        <v>5</v>
      </c>
      <c r="B171" s="46" t="s">
        <v>413</v>
      </c>
      <c r="C171" s="32" t="s">
        <v>33</v>
      </c>
      <c r="D171" s="74">
        <v>20.6</v>
      </c>
      <c r="E171" s="55">
        <v>20</v>
      </c>
      <c r="F171" s="55">
        <v>19.5</v>
      </c>
      <c r="G171" s="55"/>
      <c r="H171" s="66">
        <f t="shared" si="2"/>
        <v>0</v>
      </c>
      <c r="I171" s="3"/>
    </row>
    <row r="172" spans="1:9" ht="31.5">
      <c r="A172" s="106" t="s">
        <v>51</v>
      </c>
      <c r="B172" s="107" t="s">
        <v>192</v>
      </c>
      <c r="C172" s="108"/>
      <c r="D172" s="135"/>
      <c r="E172" s="135"/>
      <c r="F172" s="135"/>
      <c r="G172" s="135"/>
      <c r="H172" s="110" t="str">
        <f t="shared" si="2"/>
        <v/>
      </c>
      <c r="I172" s="134"/>
    </row>
    <row r="173" spans="1:9" ht="22.5" customHeight="1">
      <c r="A173" s="11">
        <v>1</v>
      </c>
      <c r="B173" s="63" t="s">
        <v>193</v>
      </c>
      <c r="C173" s="12"/>
      <c r="D173" s="13"/>
      <c r="E173" s="13"/>
      <c r="F173" s="13"/>
      <c r="G173" s="13"/>
      <c r="H173" s="66" t="str">
        <f t="shared" si="2"/>
        <v/>
      </c>
      <c r="I173" s="3"/>
    </row>
    <row r="174" spans="1:9" ht="22.5" customHeight="1">
      <c r="A174" s="19"/>
      <c r="B174" s="48" t="s">
        <v>194</v>
      </c>
      <c r="C174" s="21" t="s">
        <v>16</v>
      </c>
      <c r="D174" s="59">
        <v>1560</v>
      </c>
      <c r="E174" s="59">
        <v>1560</v>
      </c>
      <c r="F174" s="59">
        <f>E174</f>
        <v>1560</v>
      </c>
      <c r="G174" s="59">
        <v>390</v>
      </c>
      <c r="H174" s="58">
        <f t="shared" si="2"/>
        <v>25</v>
      </c>
      <c r="I174" s="3"/>
    </row>
    <row r="175" spans="1:9" ht="22.5" customHeight="1">
      <c r="A175" s="19"/>
      <c r="B175" s="48" t="s">
        <v>195</v>
      </c>
      <c r="C175" s="21" t="s">
        <v>16</v>
      </c>
      <c r="D175" s="59">
        <v>21800</v>
      </c>
      <c r="E175" s="59">
        <v>21800</v>
      </c>
      <c r="F175" s="59">
        <f>E175</f>
        <v>21800</v>
      </c>
      <c r="G175" s="59">
        <v>5400</v>
      </c>
      <c r="H175" s="58">
        <f t="shared" si="2"/>
        <v>24.770642201834864</v>
      </c>
      <c r="I175" s="3"/>
    </row>
    <row r="176" spans="1:9" ht="22.5" hidden="1" customHeight="1" outlineLevel="1">
      <c r="A176" s="11">
        <v>2</v>
      </c>
      <c r="B176" s="63" t="s">
        <v>196</v>
      </c>
      <c r="C176" s="21"/>
      <c r="D176" s="59"/>
      <c r="E176" s="59"/>
      <c r="F176" s="59"/>
      <c r="G176" s="59"/>
      <c r="H176" s="66" t="str">
        <f t="shared" si="2"/>
        <v/>
      </c>
      <c r="I176" s="3"/>
    </row>
    <row r="177" spans="1:9" ht="22.5" hidden="1" customHeight="1" outlineLevel="1">
      <c r="A177" s="32"/>
      <c r="B177" s="48" t="s">
        <v>198</v>
      </c>
      <c r="C177" s="21" t="s">
        <v>199</v>
      </c>
      <c r="D177" s="59">
        <v>9233</v>
      </c>
      <c r="E177" s="59">
        <v>10000</v>
      </c>
      <c r="F177" s="59">
        <v>10250</v>
      </c>
      <c r="G177" s="59"/>
      <c r="H177" s="66">
        <f t="shared" si="2"/>
        <v>0</v>
      </c>
      <c r="I177" s="3"/>
    </row>
    <row r="178" spans="1:9" ht="22.5" hidden="1" customHeight="1" outlineLevel="1">
      <c r="A178" s="32" t="s">
        <v>197</v>
      </c>
      <c r="B178" s="48" t="s">
        <v>200</v>
      </c>
      <c r="C178" s="41" t="s">
        <v>33</v>
      </c>
      <c r="D178" s="59">
        <v>85.6</v>
      </c>
      <c r="E178" s="59">
        <f>E177/E116%</f>
        <v>89.928057553956833</v>
      </c>
      <c r="F178" s="59">
        <f>F177/F116%</f>
        <v>90.070298769771526</v>
      </c>
      <c r="G178" s="59" t="e">
        <f>G177/G116%</f>
        <v>#DIV/0!</v>
      </c>
      <c r="H178" s="66" t="str">
        <f t="shared" si="2"/>
        <v/>
      </c>
      <c r="I178" s="3"/>
    </row>
    <row r="179" spans="1:9" ht="22.5" hidden="1" customHeight="1" outlineLevel="1">
      <c r="A179" s="32"/>
      <c r="B179" s="48" t="s">
        <v>202</v>
      </c>
      <c r="C179" s="21" t="s">
        <v>203</v>
      </c>
      <c r="D179" s="6">
        <v>58</v>
      </c>
      <c r="E179" s="6">
        <v>61</v>
      </c>
      <c r="F179" s="6">
        <v>61</v>
      </c>
      <c r="G179" s="6"/>
      <c r="H179" s="66">
        <f t="shared" si="2"/>
        <v>0</v>
      </c>
      <c r="I179" s="3"/>
    </row>
    <row r="180" spans="1:9" ht="22.5" hidden="1" customHeight="1" outlineLevel="1">
      <c r="A180" s="32" t="s">
        <v>201</v>
      </c>
      <c r="B180" s="48" t="s">
        <v>171</v>
      </c>
      <c r="C180" s="41" t="s">
        <v>33</v>
      </c>
      <c r="D180" s="59">
        <f>D179/67%</f>
        <v>86.567164179104466</v>
      </c>
      <c r="E180" s="59">
        <f>E179/67%</f>
        <v>91.044776119402982</v>
      </c>
      <c r="F180" s="59">
        <f>F179/67%</f>
        <v>91.044776119402982</v>
      </c>
      <c r="G180" s="59">
        <f>G179/67%</f>
        <v>0</v>
      </c>
      <c r="H180" s="66">
        <f t="shared" si="2"/>
        <v>0</v>
      </c>
      <c r="I180" s="3"/>
    </row>
    <row r="181" spans="1:9" ht="22.5" hidden="1" customHeight="1" outlineLevel="1">
      <c r="A181" s="32" t="s">
        <v>204</v>
      </c>
      <c r="B181" s="48" t="s">
        <v>205</v>
      </c>
      <c r="C181" s="21" t="s">
        <v>206</v>
      </c>
      <c r="D181" s="59">
        <v>88</v>
      </c>
      <c r="E181" s="59">
        <v>90</v>
      </c>
      <c r="F181" s="59">
        <v>90</v>
      </c>
      <c r="G181" s="59"/>
      <c r="H181" s="66">
        <f t="shared" si="2"/>
        <v>0</v>
      </c>
      <c r="I181" s="3"/>
    </row>
    <row r="182" spans="1:9" ht="22.5" hidden="1" customHeight="1" outlineLevel="1">
      <c r="A182" s="32" t="s">
        <v>354</v>
      </c>
      <c r="B182" s="20" t="s">
        <v>356</v>
      </c>
      <c r="C182" s="32" t="s">
        <v>61</v>
      </c>
      <c r="D182" s="59">
        <v>4</v>
      </c>
      <c r="E182" s="59">
        <v>4</v>
      </c>
      <c r="F182" s="59">
        <v>4</v>
      </c>
      <c r="G182" s="59"/>
      <c r="H182" s="66">
        <f t="shared" si="2"/>
        <v>0</v>
      </c>
      <c r="I182" s="3"/>
    </row>
    <row r="183" spans="1:9" collapsed="1">
      <c r="A183" s="4"/>
      <c r="B183" s="64"/>
      <c r="C183" s="4"/>
      <c r="D183" s="64"/>
      <c r="E183" s="64"/>
      <c r="F183" s="64"/>
      <c r="G183" s="64"/>
      <c r="H183" s="64"/>
      <c r="I183" s="64"/>
    </row>
  </sheetData>
  <mergeCells count="12">
    <mergeCell ref="A2:I2"/>
    <mergeCell ref="A3:I3"/>
    <mergeCell ref="A1:I1"/>
    <mergeCell ref="H5:H6"/>
    <mergeCell ref="I5:I6"/>
    <mergeCell ref="A5:A6"/>
    <mergeCell ref="B5:B6"/>
    <mergeCell ref="C5:C6"/>
    <mergeCell ref="D5:D6"/>
    <mergeCell ref="E5:E6"/>
    <mergeCell ref="F5:F6"/>
    <mergeCell ref="G5:G6"/>
  </mergeCells>
  <pageMargins left="0.47244094488188981" right="0.39370078740157483" top="0.59055118110236227" bottom="0.47244094488188981" header="0.31496062992125984" footer="0.31496062992125984"/>
  <pageSetup paperSize="9" scale="88" fitToHeight="0" orientation="portrait" r:id="rId1"/>
  <headerFooter>
    <oddFooter>&amp;R&amp;"Times New Roman,Regular"&amp;P/&amp;N</oddFooter>
  </headerFooter>
  <ignoredErrors>
    <ignoredError sqref="F88:G90" formulaRange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194"/>
  <sheetViews>
    <sheetView topLeftCell="A5" zoomScale="85" zoomScaleNormal="85" zoomScaleSheetLayoutView="100" workbookViewId="0">
      <pane xSplit="2" ySplit="3" topLeftCell="C175" activePane="bottomRight" state="frozen"/>
      <selection activeCell="J122" sqref="J122"/>
      <selection pane="topRight" activeCell="J122" sqref="J122"/>
      <selection pane="bottomLeft" activeCell="J122" sqref="J122"/>
      <selection pane="bottomRight" activeCell="J122" sqref="J122"/>
    </sheetView>
  </sheetViews>
  <sheetFormatPr defaultColWidth="9.140625" defaultRowHeight="15.75" outlineLevelRow="1" outlineLevelCol="1"/>
  <cols>
    <col min="1" max="1" width="5.5703125" style="65" customWidth="1"/>
    <col min="2" max="2" width="40.140625" style="5" customWidth="1"/>
    <col min="3" max="3" width="12.5703125" style="65" customWidth="1"/>
    <col min="4" max="5" width="12.140625" style="5" hidden="1" customWidth="1" outlineLevel="1"/>
    <col min="6" max="6" width="12.42578125" style="5" customWidth="1" collapsed="1"/>
    <col min="7" max="9" width="12.42578125" style="5" customWidth="1"/>
    <col min="10" max="10" width="10" style="5" bestFit="1" customWidth="1"/>
    <col min="11" max="11" width="11.85546875" style="5" bestFit="1" customWidth="1"/>
    <col min="12" max="16384" width="9.140625" style="5"/>
  </cols>
  <sheetData>
    <row r="1" spans="1:11" ht="18.75">
      <c r="A1" s="768" t="s">
        <v>166</v>
      </c>
      <c r="B1" s="768"/>
      <c r="C1" s="768"/>
      <c r="D1" s="768"/>
      <c r="E1" s="768"/>
      <c r="F1" s="768"/>
      <c r="G1" s="768"/>
      <c r="H1" s="768"/>
      <c r="I1" s="768"/>
    </row>
    <row r="2" spans="1:11" ht="18.75">
      <c r="A2" s="769" t="s">
        <v>513</v>
      </c>
      <c r="B2" s="769"/>
      <c r="C2" s="769"/>
      <c r="D2" s="769"/>
      <c r="E2" s="769"/>
      <c r="F2" s="769"/>
      <c r="G2" s="769"/>
      <c r="H2" s="769"/>
      <c r="I2" s="769"/>
    </row>
    <row r="3" spans="1:11" ht="18.75">
      <c r="A3" s="770" t="s">
        <v>400</v>
      </c>
      <c r="B3" s="770"/>
      <c r="C3" s="770"/>
      <c r="D3" s="770"/>
      <c r="E3" s="770"/>
      <c r="F3" s="770"/>
      <c r="G3" s="770"/>
      <c r="H3" s="770"/>
      <c r="I3" s="770"/>
    </row>
    <row r="4" spans="1:11" ht="9" customHeight="1">
      <c r="A4" s="7"/>
      <c r="B4" s="2"/>
      <c r="C4" s="8"/>
      <c r="D4" s="2"/>
      <c r="E4" s="2"/>
      <c r="F4" s="2"/>
      <c r="G4" s="2"/>
      <c r="H4" s="2"/>
    </row>
    <row r="5" spans="1:11" ht="16.5" customHeight="1">
      <c r="A5" s="764" t="s">
        <v>55</v>
      </c>
      <c r="B5" s="766" t="s">
        <v>69</v>
      </c>
      <c r="C5" s="766" t="s">
        <v>18</v>
      </c>
      <c r="D5" s="766" t="s">
        <v>361</v>
      </c>
      <c r="E5" s="766" t="s">
        <v>415</v>
      </c>
      <c r="F5" s="797" t="s">
        <v>387</v>
      </c>
      <c r="G5" s="772" t="s">
        <v>511</v>
      </c>
      <c r="H5" s="766" t="s">
        <v>438</v>
      </c>
      <c r="I5" s="766" t="s">
        <v>75</v>
      </c>
    </row>
    <row r="6" spans="1:11">
      <c r="A6" s="765"/>
      <c r="B6" s="767"/>
      <c r="C6" s="767"/>
      <c r="D6" s="767"/>
      <c r="E6" s="767"/>
      <c r="F6" s="798"/>
      <c r="G6" s="771"/>
      <c r="H6" s="767"/>
      <c r="I6" s="767"/>
    </row>
    <row r="7" spans="1:11">
      <c r="A7" s="9">
        <v>1</v>
      </c>
      <c r="B7" s="9">
        <v>2</v>
      </c>
      <c r="C7" s="9">
        <v>3</v>
      </c>
      <c r="D7" s="9"/>
      <c r="E7" s="9"/>
      <c r="F7" s="9">
        <v>4</v>
      </c>
      <c r="G7" s="9">
        <v>5</v>
      </c>
      <c r="H7" s="9" t="s">
        <v>453</v>
      </c>
      <c r="I7" s="9">
        <v>7</v>
      </c>
    </row>
    <row r="8" spans="1:11" ht="23.25" customHeight="1">
      <c r="A8" s="118"/>
      <c r="B8" s="119" t="s">
        <v>167</v>
      </c>
      <c r="C8" s="118"/>
      <c r="D8" s="120"/>
      <c r="E8" s="118"/>
      <c r="F8" s="118"/>
      <c r="G8" s="118"/>
      <c r="H8" s="121"/>
      <c r="I8" s="128"/>
    </row>
    <row r="9" spans="1:11" ht="21" customHeight="1" collapsed="1">
      <c r="A9" s="106" t="s">
        <v>40</v>
      </c>
      <c r="B9" s="107" t="s">
        <v>332</v>
      </c>
      <c r="C9" s="108"/>
      <c r="D9" s="109"/>
      <c r="E9" s="109"/>
      <c r="F9" s="109"/>
      <c r="G9" s="109"/>
      <c r="H9" s="110"/>
      <c r="I9" s="110"/>
      <c r="J9" s="14"/>
    </row>
    <row r="10" spans="1:11" s="18" customFormat="1" ht="25.5" customHeight="1">
      <c r="A10" s="11" t="s">
        <v>38</v>
      </c>
      <c r="B10" s="15" t="s">
        <v>172</v>
      </c>
      <c r="C10" s="12" t="s">
        <v>130</v>
      </c>
      <c r="D10" s="16">
        <v>347871</v>
      </c>
      <c r="E10" s="16">
        <v>313038</v>
      </c>
      <c r="F10" s="16">
        <v>277205</v>
      </c>
      <c r="G10" s="16">
        <v>160001</v>
      </c>
      <c r="H10" s="66">
        <f t="shared" ref="H10:H41" si="0">IFERROR(G10/F10%,"")</f>
        <v>57.719377356108289</v>
      </c>
      <c r="I10" s="83"/>
      <c r="J10" s="17"/>
    </row>
    <row r="11" spans="1:11" ht="21" customHeight="1">
      <c r="A11" s="19" t="s">
        <v>155</v>
      </c>
      <c r="B11" s="20" t="s">
        <v>173</v>
      </c>
      <c r="C11" s="21" t="s">
        <v>130</v>
      </c>
      <c r="D11" s="22">
        <v>90496</v>
      </c>
      <c r="E11" s="22">
        <v>104622</v>
      </c>
      <c r="F11" s="22">
        <v>82860</v>
      </c>
      <c r="G11" s="22">
        <v>42946</v>
      </c>
      <c r="H11" s="58">
        <f t="shared" si="0"/>
        <v>51.829592083031621</v>
      </c>
      <c r="I11" s="3"/>
      <c r="J11" s="14"/>
    </row>
    <row r="12" spans="1:11" s="42" customFormat="1" ht="21" customHeight="1">
      <c r="A12" s="71"/>
      <c r="B12" s="62" t="s">
        <v>455</v>
      </c>
      <c r="C12" s="41" t="s">
        <v>130</v>
      </c>
      <c r="D12" s="72">
        <v>84999</v>
      </c>
      <c r="E12" s="72">
        <v>71796</v>
      </c>
      <c r="F12" s="72">
        <v>70788</v>
      </c>
      <c r="G12" s="72">
        <v>34550</v>
      </c>
      <c r="H12" s="85">
        <f t="shared" si="0"/>
        <v>48.807707521048769</v>
      </c>
      <c r="I12" s="84"/>
      <c r="J12" s="14"/>
      <c r="K12" s="138"/>
    </row>
    <row r="13" spans="1:11" s="18" customFormat="1" ht="20.25" customHeight="1">
      <c r="A13" s="11" t="s">
        <v>39</v>
      </c>
      <c r="B13" s="15" t="s">
        <v>174</v>
      </c>
      <c r="C13" s="12" t="s">
        <v>130</v>
      </c>
      <c r="D13" s="16">
        <v>308217</v>
      </c>
      <c r="E13" s="16">
        <v>300633</v>
      </c>
      <c r="F13" s="16">
        <v>265133</v>
      </c>
      <c r="G13" s="16">
        <v>99197</v>
      </c>
      <c r="H13" s="66">
        <f t="shared" si="0"/>
        <v>37.414052569842305</v>
      </c>
      <c r="I13" s="83"/>
      <c r="J13" s="17"/>
    </row>
    <row r="14" spans="1:11" ht="24" customHeight="1">
      <c r="A14" s="19" t="s">
        <v>155</v>
      </c>
      <c r="B14" s="20" t="s">
        <v>175</v>
      </c>
      <c r="C14" s="21" t="s">
        <v>130</v>
      </c>
      <c r="D14" s="22">
        <v>239615</v>
      </c>
      <c r="E14" s="22">
        <v>264543</v>
      </c>
      <c r="F14" s="22">
        <v>232779</v>
      </c>
      <c r="G14" s="22">
        <v>83594</v>
      </c>
      <c r="H14" s="58">
        <f t="shared" si="0"/>
        <v>35.911315024121592</v>
      </c>
      <c r="I14" s="3"/>
      <c r="J14" s="14"/>
    </row>
    <row r="15" spans="1:11" ht="20.25" customHeight="1">
      <c r="A15" s="106" t="s">
        <v>43</v>
      </c>
      <c r="B15" s="111" t="s">
        <v>177</v>
      </c>
      <c r="C15" s="112"/>
      <c r="D15" s="113"/>
      <c r="E15" s="113"/>
      <c r="F15" s="113"/>
      <c r="G15" s="113"/>
      <c r="H15" s="110" t="str">
        <f t="shared" si="0"/>
        <v/>
      </c>
      <c r="I15" s="110"/>
    </row>
    <row r="16" spans="1:11" ht="20.25" customHeight="1">
      <c r="A16" s="32" t="s">
        <v>56</v>
      </c>
      <c r="B16" s="35" t="s">
        <v>401</v>
      </c>
      <c r="C16" s="32" t="s">
        <v>37</v>
      </c>
      <c r="D16" s="29">
        <f>D17+D70</f>
        <v>17898.73</v>
      </c>
      <c r="E16" s="29">
        <f>E17+E70</f>
        <v>17734.400000000001</v>
      </c>
      <c r="F16" s="29">
        <f>F17+F70</f>
        <v>18028.099999999999</v>
      </c>
      <c r="G16" s="29">
        <f>G17+G70</f>
        <v>16288.57</v>
      </c>
      <c r="H16" s="58">
        <f t="shared" si="0"/>
        <v>90.351007593700956</v>
      </c>
      <c r="I16" s="3"/>
    </row>
    <row r="17" spans="1:11" ht="17.25" customHeight="1">
      <c r="A17" s="11" t="s">
        <v>38</v>
      </c>
      <c r="B17" s="30" t="s">
        <v>439</v>
      </c>
      <c r="C17" s="11" t="s">
        <v>37</v>
      </c>
      <c r="D17" s="27">
        <f>D20+D49+D56+D52+D65</f>
        <v>8084.73</v>
      </c>
      <c r="E17" s="27">
        <f>E20+E49+E56+E52+E65</f>
        <v>7662.8</v>
      </c>
      <c r="F17" s="27">
        <f>F20+F49+F56+F52+F65</f>
        <v>7906</v>
      </c>
      <c r="G17" s="27">
        <f>G20+G49+G56+G52+G65</f>
        <v>6262.4699999999993</v>
      </c>
      <c r="H17" s="66">
        <f t="shared" si="0"/>
        <v>79.211611434353642</v>
      </c>
      <c r="I17" s="3"/>
      <c r="K17" s="77"/>
    </row>
    <row r="18" spans="1:11" ht="17.25" customHeight="1">
      <c r="A18" s="32" t="s">
        <v>56</v>
      </c>
      <c r="B18" s="35" t="s">
        <v>504</v>
      </c>
      <c r="C18" s="32" t="s">
        <v>37</v>
      </c>
      <c r="D18" s="29"/>
      <c r="E18" s="29"/>
      <c r="F18" s="29">
        <f>F28+F43+F52+F59</f>
        <v>747</v>
      </c>
      <c r="G18" s="29">
        <f>G28+G43+G52+G59</f>
        <v>751.07</v>
      </c>
      <c r="H18" s="58">
        <f t="shared" si="0"/>
        <v>100.54484605087016</v>
      </c>
      <c r="I18" s="3"/>
      <c r="K18" s="77"/>
    </row>
    <row r="19" spans="1:11" ht="17.25" customHeight="1">
      <c r="A19" s="32" t="s">
        <v>56</v>
      </c>
      <c r="B19" s="35" t="s">
        <v>503</v>
      </c>
      <c r="C19" s="32" t="s">
        <v>37</v>
      </c>
      <c r="D19" s="29"/>
      <c r="E19" s="29"/>
      <c r="F19" s="29">
        <f>F31+F46+F49+F62</f>
        <v>7127</v>
      </c>
      <c r="G19" s="29">
        <f>G31+G46+G49+G62</f>
        <v>5493</v>
      </c>
      <c r="H19" s="58">
        <f t="shared" si="0"/>
        <v>77.073102287077319</v>
      </c>
      <c r="I19" s="3"/>
      <c r="K19" s="77"/>
    </row>
    <row r="20" spans="1:11" s="18" customFormat="1" ht="17.25" customHeight="1">
      <c r="A20" s="11">
        <v>1</v>
      </c>
      <c r="B20" s="30" t="s">
        <v>22</v>
      </c>
      <c r="C20" s="11" t="s">
        <v>37</v>
      </c>
      <c r="D20" s="27">
        <f>D25+D40</f>
        <v>1649.23</v>
      </c>
      <c r="E20" s="27">
        <f>E25+E40</f>
        <v>1641.6</v>
      </c>
      <c r="F20" s="27">
        <f>F25+F40</f>
        <v>1614</v>
      </c>
      <c r="G20" s="27">
        <f>G25+G40</f>
        <v>907.07</v>
      </c>
      <c r="H20" s="66">
        <f t="shared" si="0"/>
        <v>56.200123915737301</v>
      </c>
      <c r="I20" s="83"/>
      <c r="K20" s="177"/>
    </row>
    <row r="21" spans="1:11" ht="17.25" customHeight="1">
      <c r="A21" s="32" t="s">
        <v>56</v>
      </c>
      <c r="B21" s="35" t="s">
        <v>23</v>
      </c>
      <c r="C21" s="34" t="s">
        <v>20</v>
      </c>
      <c r="D21" s="29">
        <f>SUM(D22:D23)</f>
        <v>6733.6763900000005</v>
      </c>
      <c r="E21" s="29">
        <f>SUM(E22:E23)</f>
        <v>7129.6886000000004</v>
      </c>
      <c r="F21" s="29">
        <f>SUM(F22:F23)</f>
        <v>7071.0429999999997</v>
      </c>
      <c r="G21" s="29">
        <f>SUM(G22:G23)</f>
        <v>2826.5450999999998</v>
      </c>
      <c r="H21" s="58">
        <f t="shared" si="0"/>
        <v>39.973524414997897</v>
      </c>
      <c r="I21" s="3"/>
    </row>
    <row r="22" spans="1:11" ht="17.25" customHeight="1">
      <c r="A22" s="32"/>
      <c r="B22" s="33" t="s">
        <v>24</v>
      </c>
      <c r="C22" s="34" t="s">
        <v>76</v>
      </c>
      <c r="D22" s="29">
        <f>D27</f>
        <v>6298.7078300000003</v>
      </c>
      <c r="E22" s="29">
        <f>E27</f>
        <v>6644.7176000000009</v>
      </c>
      <c r="F22" s="29">
        <f>F27</f>
        <v>6644.5429999999997</v>
      </c>
      <c r="G22" s="29">
        <f>G27</f>
        <v>2714.4050999999999</v>
      </c>
      <c r="H22" s="58">
        <f t="shared" si="0"/>
        <v>40.851644725604153</v>
      </c>
      <c r="I22" s="3"/>
    </row>
    <row r="23" spans="1:11" ht="17.25" customHeight="1">
      <c r="A23" s="32"/>
      <c r="B23" s="35" t="s">
        <v>137</v>
      </c>
      <c r="C23" s="34" t="s">
        <v>76</v>
      </c>
      <c r="D23" s="29">
        <f>D42</f>
        <v>434.96856000000002</v>
      </c>
      <c r="E23" s="29">
        <f>E42</f>
        <v>484.97099999999995</v>
      </c>
      <c r="F23" s="29">
        <f>F42</f>
        <v>426.5</v>
      </c>
      <c r="G23" s="29">
        <f>G42</f>
        <v>112.13999999999999</v>
      </c>
      <c r="H23" s="58">
        <f t="shared" si="0"/>
        <v>26.293083235638921</v>
      </c>
      <c r="I23" s="3"/>
    </row>
    <row r="24" spans="1:11" ht="17.25" customHeight="1">
      <c r="A24" s="32" t="s">
        <v>56</v>
      </c>
      <c r="B24" s="35" t="s">
        <v>25</v>
      </c>
      <c r="C24" s="32" t="s">
        <v>57</v>
      </c>
      <c r="D24" s="29">
        <f>D21/D129*1000</f>
        <v>150.81697702024726</v>
      </c>
      <c r="E24" s="29">
        <f>E21/E129*1000</f>
        <v>155.51047178659456</v>
      </c>
      <c r="F24" s="29">
        <f>F21/F129*1000</f>
        <v>150.60152922133241</v>
      </c>
      <c r="G24" s="29" t="str">
        <f>IFERROR(G21/G129*1000,"")</f>
        <v/>
      </c>
      <c r="H24" s="58" t="str">
        <f t="shared" si="0"/>
        <v/>
      </c>
      <c r="I24" s="3"/>
    </row>
    <row r="25" spans="1:11" s="18" customFormat="1" ht="17.25" customHeight="1">
      <c r="A25" s="11" t="s">
        <v>34</v>
      </c>
      <c r="B25" s="44" t="s">
        <v>440</v>
      </c>
      <c r="C25" s="11" t="s">
        <v>37</v>
      </c>
      <c r="D25" s="16">
        <f>D28+D31</f>
        <v>1558.31</v>
      </c>
      <c r="E25" s="16">
        <f>E28+E31</f>
        <v>1540</v>
      </c>
      <c r="F25" s="16">
        <f>F28+F31</f>
        <v>1531</v>
      </c>
      <c r="G25" s="16">
        <f>G28+G31</f>
        <v>863.87</v>
      </c>
      <c r="H25" s="66">
        <f t="shared" si="0"/>
        <v>56.425212279555844</v>
      </c>
      <c r="I25" s="83"/>
    </row>
    <row r="26" spans="1:11" ht="17.25" customHeight="1">
      <c r="A26" s="32"/>
      <c r="B26" s="37" t="s">
        <v>27</v>
      </c>
      <c r="C26" s="34" t="s">
        <v>21</v>
      </c>
      <c r="D26" s="38">
        <f>D27/D25*10</f>
        <v>40.420120707689748</v>
      </c>
      <c r="E26" s="38">
        <f>E27/E25*10</f>
        <v>43.147516883116886</v>
      </c>
      <c r="F26" s="38">
        <f>F27/F25*10</f>
        <v>43.400019595035921</v>
      </c>
      <c r="G26" s="38">
        <f>G27/G25*10</f>
        <v>31.421453459432552</v>
      </c>
      <c r="H26" s="58">
        <f t="shared" si="0"/>
        <v>72.399629660597029</v>
      </c>
      <c r="I26" s="3"/>
    </row>
    <row r="27" spans="1:11" ht="17.25" customHeight="1">
      <c r="A27" s="32"/>
      <c r="B27" s="37" t="s">
        <v>28</v>
      </c>
      <c r="C27" s="34" t="s">
        <v>76</v>
      </c>
      <c r="D27" s="22">
        <f>D30+D33</f>
        <v>6298.7078300000003</v>
      </c>
      <c r="E27" s="22">
        <f>E30+E33</f>
        <v>6644.7176000000009</v>
      </c>
      <c r="F27" s="22">
        <f>F30+F33</f>
        <v>6644.5429999999997</v>
      </c>
      <c r="G27" s="22">
        <f>G30+G33</f>
        <v>2714.4050999999999</v>
      </c>
      <c r="H27" s="58">
        <f t="shared" si="0"/>
        <v>40.851644725604153</v>
      </c>
      <c r="I27" s="3"/>
    </row>
    <row r="28" spans="1:11" ht="17.25" customHeight="1">
      <c r="A28" s="32" t="s">
        <v>420</v>
      </c>
      <c r="B28" s="116" t="s">
        <v>441</v>
      </c>
      <c r="C28" s="32" t="s">
        <v>37</v>
      </c>
      <c r="D28" s="22">
        <v>597.30999999999995</v>
      </c>
      <c r="E28" s="137">
        <v>570.5</v>
      </c>
      <c r="F28" s="59">
        <v>571</v>
      </c>
      <c r="G28" s="59">
        <v>573.87</v>
      </c>
      <c r="H28" s="58">
        <f t="shared" si="0"/>
        <v>100.50262697022767</v>
      </c>
      <c r="I28" s="3"/>
    </row>
    <row r="29" spans="1:11" ht="17.25" customHeight="1">
      <c r="A29" s="32"/>
      <c r="B29" s="116" t="s">
        <v>27</v>
      </c>
      <c r="C29" s="34" t="s">
        <v>21</v>
      </c>
      <c r="D29" s="25">
        <v>39.33</v>
      </c>
      <c r="E29" s="38">
        <v>47.2</v>
      </c>
      <c r="F29" s="58">
        <v>47.33</v>
      </c>
      <c r="G29" s="58">
        <v>47.3</v>
      </c>
      <c r="H29" s="58">
        <f t="shared" si="0"/>
        <v>99.936615254595395</v>
      </c>
      <c r="I29" s="3"/>
    </row>
    <row r="30" spans="1:11" ht="17.25" customHeight="1">
      <c r="A30" s="32"/>
      <c r="B30" s="117" t="s">
        <v>28</v>
      </c>
      <c r="C30" s="34" t="s">
        <v>76</v>
      </c>
      <c r="D30" s="22">
        <f>D28*D29/10</f>
        <v>2349.2202299999999</v>
      </c>
      <c r="E30" s="22">
        <f>E28*E29/10</f>
        <v>2692.76</v>
      </c>
      <c r="F30" s="22">
        <f>F28*F29/10</f>
        <v>2702.5430000000001</v>
      </c>
      <c r="G30" s="22">
        <f>G28*G29/10</f>
        <v>2714.4050999999999</v>
      </c>
      <c r="H30" s="58">
        <f t="shared" si="0"/>
        <v>100.43892363599765</v>
      </c>
      <c r="I30" s="3"/>
    </row>
    <row r="31" spans="1:11" ht="17.25" customHeight="1">
      <c r="A31" s="32" t="s">
        <v>421</v>
      </c>
      <c r="B31" s="116" t="s">
        <v>442</v>
      </c>
      <c r="C31" s="32" t="s">
        <v>37</v>
      </c>
      <c r="D31" s="22">
        <f>D34+D37</f>
        <v>961</v>
      </c>
      <c r="E31" s="29">
        <f>E34+E37</f>
        <v>969.5</v>
      </c>
      <c r="F31" s="29">
        <f>F34+F37</f>
        <v>960</v>
      </c>
      <c r="G31" s="29">
        <f>G34+G37</f>
        <v>290</v>
      </c>
      <c r="H31" s="58">
        <f t="shared" si="0"/>
        <v>30.208333333333336</v>
      </c>
      <c r="I31" s="3"/>
    </row>
    <row r="32" spans="1:11" ht="17.25" customHeight="1">
      <c r="A32" s="32"/>
      <c r="B32" s="117" t="s">
        <v>27</v>
      </c>
      <c r="C32" s="34" t="s">
        <v>21</v>
      </c>
      <c r="D32" s="38">
        <f>D33/D31*10</f>
        <v>41.097685744016658</v>
      </c>
      <c r="E32" s="28">
        <f>E33/E31*10</f>
        <v>40.762842702423939</v>
      </c>
      <c r="F32" s="28">
        <f>F33/F31*10</f>
        <v>41.0625</v>
      </c>
      <c r="G32" s="28">
        <f>G33/G31*10</f>
        <v>0</v>
      </c>
      <c r="H32" s="58">
        <f t="shared" si="0"/>
        <v>0</v>
      </c>
      <c r="I32" s="3"/>
    </row>
    <row r="33" spans="1:9" ht="17.25" customHeight="1">
      <c r="A33" s="32"/>
      <c r="B33" s="117" t="s">
        <v>28</v>
      </c>
      <c r="C33" s="34" t="s">
        <v>76</v>
      </c>
      <c r="D33" s="22">
        <f>D36+D39</f>
        <v>3949.4876000000004</v>
      </c>
      <c r="E33" s="29">
        <f>E36+E39</f>
        <v>3951.9576000000006</v>
      </c>
      <c r="F33" s="29">
        <f>F36+F39</f>
        <v>3942</v>
      </c>
      <c r="G33" s="29">
        <f>G36+G39</f>
        <v>0</v>
      </c>
      <c r="H33" s="58">
        <f t="shared" si="0"/>
        <v>0</v>
      </c>
      <c r="I33" s="3"/>
    </row>
    <row r="34" spans="1:9" ht="17.25" customHeight="1">
      <c r="A34" s="32"/>
      <c r="B34" s="114" t="s">
        <v>443</v>
      </c>
      <c r="C34" s="32" t="s">
        <v>37</v>
      </c>
      <c r="D34" s="22">
        <v>906.4</v>
      </c>
      <c r="E34" s="38">
        <v>903.3</v>
      </c>
      <c r="F34" s="22">
        <v>900</v>
      </c>
      <c r="G34" s="22">
        <v>280</v>
      </c>
      <c r="H34" s="58">
        <f t="shared" si="0"/>
        <v>31.111111111111111</v>
      </c>
      <c r="I34" s="3"/>
    </row>
    <row r="35" spans="1:9" ht="17.25" customHeight="1">
      <c r="A35" s="32"/>
      <c r="B35" s="115" t="s">
        <v>27</v>
      </c>
      <c r="C35" s="34" t="s">
        <v>21</v>
      </c>
      <c r="D35" s="25">
        <v>42.83</v>
      </c>
      <c r="E35" s="38">
        <v>42.84</v>
      </c>
      <c r="F35" s="38">
        <v>43</v>
      </c>
      <c r="G35" s="38"/>
      <c r="H35" s="58">
        <f t="shared" si="0"/>
        <v>0</v>
      </c>
      <c r="I35" s="3"/>
    </row>
    <row r="36" spans="1:9" ht="17.25" customHeight="1">
      <c r="A36" s="32"/>
      <c r="B36" s="115" t="s">
        <v>28</v>
      </c>
      <c r="C36" s="34" t="s">
        <v>76</v>
      </c>
      <c r="D36" s="22">
        <f>D35*D34/10</f>
        <v>3882.1112000000003</v>
      </c>
      <c r="E36" s="22">
        <f>E34*E35/10</f>
        <v>3869.7372000000005</v>
      </c>
      <c r="F36" s="22">
        <f>F34*F35/10</f>
        <v>3870</v>
      </c>
      <c r="G36" s="180">
        <f>G34*G35/10</f>
        <v>0</v>
      </c>
      <c r="H36" s="58">
        <f t="shared" si="0"/>
        <v>0</v>
      </c>
      <c r="I36" s="3"/>
    </row>
    <row r="37" spans="1:9" ht="17.25" customHeight="1">
      <c r="A37" s="32"/>
      <c r="B37" s="114" t="s">
        <v>456</v>
      </c>
      <c r="C37" s="32" t="s">
        <v>37</v>
      </c>
      <c r="D37" s="22">
        <v>54.6</v>
      </c>
      <c r="E37" s="22">
        <v>66.2</v>
      </c>
      <c r="F37" s="22">
        <v>60</v>
      </c>
      <c r="G37" s="22">
        <v>10</v>
      </c>
      <c r="H37" s="58">
        <f t="shared" si="0"/>
        <v>16.666666666666668</v>
      </c>
      <c r="I37" s="3"/>
    </row>
    <row r="38" spans="1:9" ht="17.25" customHeight="1">
      <c r="A38" s="32"/>
      <c r="B38" s="115" t="s">
        <v>27</v>
      </c>
      <c r="C38" s="34" t="s">
        <v>21</v>
      </c>
      <c r="D38" s="38">
        <v>12.34</v>
      </c>
      <c r="E38" s="38">
        <v>12.42</v>
      </c>
      <c r="F38" s="38">
        <v>12</v>
      </c>
      <c r="G38" s="38"/>
      <c r="H38" s="58">
        <f t="shared" si="0"/>
        <v>0</v>
      </c>
      <c r="I38" s="3"/>
    </row>
    <row r="39" spans="1:9" ht="17.25" customHeight="1">
      <c r="A39" s="32"/>
      <c r="B39" s="115" t="s">
        <v>28</v>
      </c>
      <c r="C39" s="34" t="s">
        <v>76</v>
      </c>
      <c r="D39" s="22">
        <f>D38*D37/10</f>
        <v>67.376400000000004</v>
      </c>
      <c r="E39" s="22">
        <f>E38*E37/10</f>
        <v>82.220400000000012</v>
      </c>
      <c r="F39" s="22">
        <f>F38*F37/10</f>
        <v>72</v>
      </c>
      <c r="G39" s="180">
        <f>G38*G37/10</f>
        <v>0</v>
      </c>
      <c r="H39" s="58">
        <f t="shared" si="0"/>
        <v>0</v>
      </c>
      <c r="I39" s="3"/>
    </row>
    <row r="40" spans="1:9" s="18" customFormat="1" ht="17.25" customHeight="1">
      <c r="A40" s="11" t="s">
        <v>35</v>
      </c>
      <c r="B40" s="44" t="s">
        <v>444</v>
      </c>
      <c r="C40" s="11" t="s">
        <v>37</v>
      </c>
      <c r="D40" s="16">
        <f>D43+D46</f>
        <v>90.92</v>
      </c>
      <c r="E40" s="16">
        <f>E43+E46</f>
        <v>101.6</v>
      </c>
      <c r="F40" s="16">
        <f>F43+F46</f>
        <v>83</v>
      </c>
      <c r="G40" s="16">
        <f>G43+G46</f>
        <v>43.2</v>
      </c>
      <c r="H40" s="66">
        <f t="shared" si="0"/>
        <v>52.048192771084345</v>
      </c>
      <c r="I40" s="83"/>
    </row>
    <row r="41" spans="1:9" ht="17.25" customHeight="1">
      <c r="A41" s="32"/>
      <c r="B41" s="37" t="s">
        <v>27</v>
      </c>
      <c r="C41" s="34" t="s">
        <v>21</v>
      </c>
      <c r="D41" s="38">
        <f>D42/D40*10</f>
        <v>47.840800703915534</v>
      </c>
      <c r="E41" s="38">
        <f>E42/E40*10</f>
        <v>47.733366141732283</v>
      </c>
      <c r="F41" s="38">
        <f>F42/F40*10</f>
        <v>51.385542168674696</v>
      </c>
      <c r="G41" s="38">
        <f>G42/G40*10</f>
        <v>25.958333333333329</v>
      </c>
      <c r="H41" s="58">
        <f t="shared" si="0"/>
        <v>50.516803438843297</v>
      </c>
      <c r="I41" s="3"/>
    </row>
    <row r="42" spans="1:9" ht="17.25" customHeight="1">
      <c r="A42" s="32"/>
      <c r="B42" s="37" t="s">
        <v>28</v>
      </c>
      <c r="C42" s="34" t="s">
        <v>76</v>
      </c>
      <c r="D42" s="22">
        <f>D45+D48</f>
        <v>434.96856000000002</v>
      </c>
      <c r="E42" s="22">
        <f>E45+E48</f>
        <v>484.97099999999995</v>
      </c>
      <c r="F42" s="22">
        <f>F45+F48</f>
        <v>426.5</v>
      </c>
      <c r="G42" s="22">
        <f>G45+G48</f>
        <v>112.13999999999999</v>
      </c>
      <c r="H42" s="58">
        <f t="shared" ref="H42:H73" si="1">IFERROR(G42/F42%,"")</f>
        <v>26.293083235638921</v>
      </c>
      <c r="I42" s="3"/>
    </row>
    <row r="43" spans="1:9" ht="17.25" customHeight="1">
      <c r="A43" s="32" t="s">
        <v>423</v>
      </c>
      <c r="B43" s="116" t="s">
        <v>457</v>
      </c>
      <c r="C43" s="32" t="s">
        <v>37</v>
      </c>
      <c r="D43" s="29">
        <v>28.22</v>
      </c>
      <c r="E43" s="29">
        <v>38.700000000000003</v>
      </c>
      <c r="F43" s="29">
        <v>23</v>
      </c>
      <c r="G43" s="29">
        <v>25.2</v>
      </c>
      <c r="H43" s="58">
        <f t="shared" si="1"/>
        <v>109.56521739130434</v>
      </c>
      <c r="I43" s="3"/>
    </row>
    <row r="44" spans="1:9" ht="17.25" customHeight="1">
      <c r="A44" s="32"/>
      <c r="B44" s="116" t="s">
        <v>27</v>
      </c>
      <c r="C44" s="34" t="s">
        <v>21</v>
      </c>
      <c r="D44" s="28">
        <v>56.13</v>
      </c>
      <c r="E44" s="28">
        <v>47.3</v>
      </c>
      <c r="F44" s="28">
        <v>55</v>
      </c>
      <c r="G44" s="28">
        <v>44.5</v>
      </c>
      <c r="H44" s="58">
        <f t="shared" si="1"/>
        <v>80.909090909090907</v>
      </c>
      <c r="I44" s="3"/>
    </row>
    <row r="45" spans="1:9" ht="17.25" customHeight="1">
      <c r="A45" s="32"/>
      <c r="B45" s="117" t="s">
        <v>28</v>
      </c>
      <c r="C45" s="34" t="s">
        <v>76</v>
      </c>
      <c r="D45" s="29">
        <f>D44*D43/10</f>
        <v>158.39885999999998</v>
      </c>
      <c r="E45" s="29">
        <f>E44*E43/10</f>
        <v>183.05099999999999</v>
      </c>
      <c r="F45" s="29">
        <f>F44*F43/10</f>
        <v>126.5</v>
      </c>
      <c r="G45" s="29">
        <f>G44*G43/10</f>
        <v>112.13999999999999</v>
      </c>
      <c r="H45" s="58">
        <f t="shared" si="1"/>
        <v>88.648221343873516</v>
      </c>
      <c r="I45" s="3"/>
    </row>
    <row r="46" spans="1:9" ht="17.25" customHeight="1">
      <c r="A46" s="32" t="s">
        <v>424</v>
      </c>
      <c r="B46" s="116" t="s">
        <v>458</v>
      </c>
      <c r="C46" s="32" t="s">
        <v>37</v>
      </c>
      <c r="D46" s="29">
        <v>62.7</v>
      </c>
      <c r="E46" s="29">
        <v>62.9</v>
      </c>
      <c r="F46" s="29">
        <v>60</v>
      </c>
      <c r="G46" s="29">
        <v>18</v>
      </c>
      <c r="H46" s="58">
        <f t="shared" si="1"/>
        <v>30</v>
      </c>
      <c r="I46" s="3"/>
    </row>
    <row r="47" spans="1:9" ht="17.25" customHeight="1">
      <c r="A47" s="32"/>
      <c r="B47" s="116" t="s">
        <v>27</v>
      </c>
      <c r="C47" s="34" t="s">
        <v>21</v>
      </c>
      <c r="D47" s="28">
        <v>44.11</v>
      </c>
      <c r="E47" s="28">
        <v>48</v>
      </c>
      <c r="F47" s="28">
        <v>50</v>
      </c>
      <c r="G47" s="28"/>
      <c r="H47" s="58">
        <f t="shared" si="1"/>
        <v>0</v>
      </c>
      <c r="I47" s="3"/>
    </row>
    <row r="48" spans="1:9" ht="17.25" customHeight="1">
      <c r="A48" s="32"/>
      <c r="B48" s="117" t="s">
        <v>28</v>
      </c>
      <c r="C48" s="34" t="s">
        <v>76</v>
      </c>
      <c r="D48" s="29">
        <f>D46*D47/10</f>
        <v>276.56970000000001</v>
      </c>
      <c r="E48" s="29">
        <f>E47*E46/10</f>
        <v>301.91999999999996</v>
      </c>
      <c r="F48" s="29">
        <f>F47*F46/10</f>
        <v>300</v>
      </c>
      <c r="G48" s="29">
        <f>G47*G46/10</f>
        <v>0</v>
      </c>
      <c r="H48" s="58">
        <f t="shared" si="1"/>
        <v>0</v>
      </c>
      <c r="I48" s="3"/>
    </row>
    <row r="49" spans="1:9" ht="19.5" customHeight="1">
      <c r="A49" s="11">
        <v>2</v>
      </c>
      <c r="B49" s="30" t="s">
        <v>29</v>
      </c>
      <c r="C49" s="32" t="s">
        <v>37</v>
      </c>
      <c r="D49" s="27">
        <v>6199.5</v>
      </c>
      <c r="E49" s="27">
        <v>5720.5</v>
      </c>
      <c r="F49" s="27">
        <v>6000</v>
      </c>
      <c r="G49" s="27">
        <v>5100</v>
      </c>
      <c r="H49" s="66">
        <f t="shared" si="1"/>
        <v>85</v>
      </c>
      <c r="I49" s="3"/>
    </row>
    <row r="50" spans="1:9" ht="19.5" customHeight="1">
      <c r="A50" s="39"/>
      <c r="B50" s="37" t="s">
        <v>27</v>
      </c>
      <c r="C50" s="34" t="s">
        <v>21</v>
      </c>
      <c r="D50" s="28">
        <f>D51/D49*10</f>
        <v>148.34260827486088</v>
      </c>
      <c r="E50" s="28">
        <v>148.51</v>
      </c>
      <c r="F50" s="28">
        <v>145</v>
      </c>
      <c r="G50" s="28"/>
      <c r="H50" s="66">
        <f t="shared" si="1"/>
        <v>0</v>
      </c>
      <c r="I50" s="3"/>
    </row>
    <row r="51" spans="1:9" ht="19.5" customHeight="1">
      <c r="A51" s="39"/>
      <c r="B51" s="37" t="s">
        <v>28</v>
      </c>
      <c r="C51" s="34" t="s">
        <v>76</v>
      </c>
      <c r="D51" s="29">
        <v>91965</v>
      </c>
      <c r="E51" s="29">
        <f>E50*E49/10</f>
        <v>84955.145499999999</v>
      </c>
      <c r="F51" s="29">
        <f>F50*F49/10</f>
        <v>87000</v>
      </c>
      <c r="G51" s="29">
        <f>G50*G49/10</f>
        <v>0</v>
      </c>
      <c r="H51" s="66">
        <f t="shared" si="1"/>
        <v>0</v>
      </c>
      <c r="I51" s="3"/>
    </row>
    <row r="52" spans="1:9" s="18" customFormat="1" ht="19.5" customHeight="1">
      <c r="A52" s="11">
        <v>3</v>
      </c>
      <c r="B52" s="30" t="s">
        <v>317</v>
      </c>
      <c r="C52" s="11" t="s">
        <v>37</v>
      </c>
      <c r="D52" s="27">
        <v>9.1999999999999993</v>
      </c>
      <c r="E52" s="27">
        <v>10.5</v>
      </c>
      <c r="F52" s="27">
        <v>30</v>
      </c>
      <c r="G52" s="27">
        <v>29.1</v>
      </c>
      <c r="H52" s="66">
        <f t="shared" si="1"/>
        <v>97.000000000000014</v>
      </c>
      <c r="I52" s="83"/>
    </row>
    <row r="53" spans="1:9" ht="19.5" customHeight="1">
      <c r="A53" s="32"/>
      <c r="B53" s="33" t="s">
        <v>123</v>
      </c>
      <c r="C53" s="32" t="s">
        <v>37</v>
      </c>
      <c r="D53" s="29"/>
      <c r="E53" s="29"/>
      <c r="F53" s="29">
        <v>20</v>
      </c>
      <c r="G53" s="29">
        <v>19.100000000000001</v>
      </c>
      <c r="H53" s="58">
        <f t="shared" si="1"/>
        <v>95.5</v>
      </c>
      <c r="I53" s="3"/>
    </row>
    <row r="54" spans="1:9" ht="19.5" customHeight="1">
      <c r="A54" s="39"/>
      <c r="B54" s="37" t="s">
        <v>27</v>
      </c>
      <c r="C54" s="34" t="s">
        <v>21</v>
      </c>
      <c r="D54" s="28"/>
      <c r="E54" s="28">
        <v>600</v>
      </c>
      <c r="F54" s="28">
        <v>733.3</v>
      </c>
      <c r="G54" s="28"/>
      <c r="H54" s="58">
        <f t="shared" si="1"/>
        <v>0</v>
      </c>
      <c r="I54" s="3"/>
    </row>
    <row r="55" spans="1:9" ht="19.5" customHeight="1">
      <c r="A55" s="39"/>
      <c r="B55" s="37" t="s">
        <v>28</v>
      </c>
      <c r="C55" s="34" t="s">
        <v>76</v>
      </c>
      <c r="D55" s="29">
        <f>D54*D52/10</f>
        <v>0</v>
      </c>
      <c r="E55" s="29">
        <f>E54*E52/10</f>
        <v>630</v>
      </c>
      <c r="F55" s="29">
        <f>F54*F52/10</f>
        <v>2199.9</v>
      </c>
      <c r="G55" s="29">
        <f>G54*G52/10</f>
        <v>0</v>
      </c>
      <c r="H55" s="58">
        <f t="shared" si="1"/>
        <v>0</v>
      </c>
      <c r="I55" s="3"/>
    </row>
    <row r="56" spans="1:9" ht="19.5" customHeight="1">
      <c r="A56" s="11">
        <v>4</v>
      </c>
      <c r="B56" s="30" t="s">
        <v>136</v>
      </c>
      <c r="C56" s="32" t="s">
        <v>37</v>
      </c>
      <c r="D56" s="27">
        <f>D59+D62</f>
        <v>219.3</v>
      </c>
      <c r="E56" s="27">
        <f>E59+E62</f>
        <v>259</v>
      </c>
      <c r="F56" s="27">
        <f>F59+F62</f>
        <v>230</v>
      </c>
      <c r="G56" s="27">
        <f>G59+G62</f>
        <v>207.9</v>
      </c>
      <c r="H56" s="66">
        <f t="shared" si="1"/>
        <v>90.391304347826093</v>
      </c>
      <c r="I56" s="3"/>
    </row>
    <row r="57" spans="1:9" ht="19.5" customHeight="1">
      <c r="A57" s="39"/>
      <c r="B57" s="37" t="s">
        <v>27</v>
      </c>
      <c r="C57" s="34" t="s">
        <v>21</v>
      </c>
      <c r="D57" s="28">
        <f>D58/D56*10</f>
        <v>119.96580027359781</v>
      </c>
      <c r="E57" s="28">
        <f>E58/E56*10</f>
        <v>134.57142857142858</v>
      </c>
      <c r="F57" s="28">
        <f>F58/F56*10</f>
        <v>136.63173913043477</v>
      </c>
      <c r="G57" s="28">
        <f>G58/G56*10</f>
        <v>89.854737854737849</v>
      </c>
      <c r="H57" s="58">
        <f t="shared" si="1"/>
        <v>65.76417633750421</v>
      </c>
      <c r="I57" s="3"/>
    </row>
    <row r="58" spans="1:9" ht="19.5" customHeight="1">
      <c r="A58" s="39"/>
      <c r="B58" s="37" t="s">
        <v>28</v>
      </c>
      <c r="C58" s="34" t="s">
        <v>76</v>
      </c>
      <c r="D58" s="29">
        <f>D61+D64</f>
        <v>2630.85</v>
      </c>
      <c r="E58" s="29">
        <f>E61+E64</f>
        <v>3485.4</v>
      </c>
      <c r="F58" s="29">
        <f>F61+F64</f>
        <v>3142.5299999999997</v>
      </c>
      <c r="G58" s="29">
        <f>G61+G64</f>
        <v>1868.08</v>
      </c>
      <c r="H58" s="58">
        <f t="shared" si="1"/>
        <v>59.445096785074448</v>
      </c>
      <c r="I58" s="3"/>
    </row>
    <row r="59" spans="1:9" ht="19.5" customHeight="1">
      <c r="A59" s="32"/>
      <c r="B59" s="136" t="s">
        <v>459</v>
      </c>
      <c r="C59" s="21" t="s">
        <v>37</v>
      </c>
      <c r="D59" s="22">
        <v>97.3</v>
      </c>
      <c r="E59" s="22">
        <v>137</v>
      </c>
      <c r="F59" s="22">
        <v>123</v>
      </c>
      <c r="G59" s="22">
        <v>122.9</v>
      </c>
      <c r="H59" s="58">
        <f t="shared" si="1"/>
        <v>99.918699186991873</v>
      </c>
      <c r="I59" s="3"/>
    </row>
    <row r="60" spans="1:9" ht="19.5" customHeight="1">
      <c r="A60" s="32"/>
      <c r="B60" s="136" t="s">
        <v>27</v>
      </c>
      <c r="C60" s="21" t="s">
        <v>21</v>
      </c>
      <c r="D60" s="38">
        <v>145</v>
      </c>
      <c r="E60" s="38">
        <v>152</v>
      </c>
      <c r="F60" s="38">
        <v>151.1</v>
      </c>
      <c r="G60" s="38">
        <v>152</v>
      </c>
      <c r="H60" s="58">
        <f t="shared" si="1"/>
        <v>100.59563203176705</v>
      </c>
      <c r="I60" s="3"/>
    </row>
    <row r="61" spans="1:9" ht="19.5" customHeight="1">
      <c r="A61" s="32"/>
      <c r="B61" s="136" t="s">
        <v>28</v>
      </c>
      <c r="C61" s="21" t="s">
        <v>76</v>
      </c>
      <c r="D61" s="22">
        <f>D60*D59/10</f>
        <v>1410.85</v>
      </c>
      <c r="E61" s="22">
        <f>E60*E59/10</f>
        <v>2082.4</v>
      </c>
      <c r="F61" s="22">
        <f>F60*F59/10</f>
        <v>1858.53</v>
      </c>
      <c r="G61" s="22">
        <f>G60*G59/10</f>
        <v>1868.08</v>
      </c>
      <c r="H61" s="58">
        <f t="shared" si="1"/>
        <v>100.51384696507455</v>
      </c>
      <c r="I61" s="3"/>
    </row>
    <row r="62" spans="1:9" ht="19.5" customHeight="1">
      <c r="A62" s="32"/>
      <c r="B62" s="136" t="s">
        <v>460</v>
      </c>
      <c r="C62" s="21" t="s">
        <v>37</v>
      </c>
      <c r="D62" s="22">
        <v>122</v>
      </c>
      <c r="E62" s="22">
        <v>122</v>
      </c>
      <c r="F62" s="22">
        <v>107</v>
      </c>
      <c r="G62" s="22">
        <v>85</v>
      </c>
      <c r="H62" s="58">
        <f t="shared" si="1"/>
        <v>79.43925233644859</v>
      </c>
      <c r="I62" s="3"/>
    </row>
    <row r="63" spans="1:9" ht="19.5" customHeight="1">
      <c r="A63" s="32"/>
      <c r="B63" s="136" t="s">
        <v>27</v>
      </c>
      <c r="C63" s="21" t="s">
        <v>21</v>
      </c>
      <c r="D63" s="38">
        <v>100</v>
      </c>
      <c r="E63" s="38">
        <v>115</v>
      </c>
      <c r="F63" s="38">
        <v>120</v>
      </c>
      <c r="G63" s="38"/>
      <c r="H63" s="58">
        <f t="shared" si="1"/>
        <v>0</v>
      </c>
      <c r="I63" s="3"/>
    </row>
    <row r="64" spans="1:9" ht="19.5" customHeight="1">
      <c r="A64" s="32"/>
      <c r="B64" s="136" t="s">
        <v>28</v>
      </c>
      <c r="C64" s="21" t="s">
        <v>76</v>
      </c>
      <c r="D64" s="22">
        <f>D63*D62/10</f>
        <v>1220</v>
      </c>
      <c r="E64" s="22">
        <f>E63*E62/10</f>
        <v>1403</v>
      </c>
      <c r="F64" s="22">
        <f>F63*F62/10</f>
        <v>1284</v>
      </c>
      <c r="G64" s="22">
        <f>G63*G62/10</f>
        <v>0</v>
      </c>
      <c r="H64" s="58">
        <f t="shared" si="1"/>
        <v>0</v>
      </c>
      <c r="I64" s="3"/>
    </row>
    <row r="65" spans="1:10" s="18" customFormat="1" ht="31.5">
      <c r="A65" s="11">
        <v>5</v>
      </c>
      <c r="B65" s="30" t="s">
        <v>411</v>
      </c>
      <c r="C65" s="11" t="s">
        <v>37</v>
      </c>
      <c r="D65" s="36">
        <f>SUM(D66:D68)</f>
        <v>7.5</v>
      </c>
      <c r="E65" s="36">
        <f>SUM(E66:E68)</f>
        <v>31.2</v>
      </c>
      <c r="F65" s="36">
        <f>SUM(F66:F69)</f>
        <v>32</v>
      </c>
      <c r="G65" s="36">
        <f>SUM(G66:G69)</f>
        <v>18.399999999999999</v>
      </c>
      <c r="H65" s="66">
        <f t="shared" si="1"/>
        <v>57.499999999999993</v>
      </c>
      <c r="I65" s="83"/>
    </row>
    <row r="66" spans="1:10" s="104" customFormat="1" ht="19.5" hidden="1" customHeight="1" outlineLevel="1">
      <c r="A66" s="100"/>
      <c r="B66" s="157" t="s">
        <v>402</v>
      </c>
      <c r="C66" s="100" t="s">
        <v>37</v>
      </c>
      <c r="D66" s="159">
        <v>3.7</v>
      </c>
      <c r="E66" s="159">
        <v>4</v>
      </c>
      <c r="F66" s="159">
        <v>4</v>
      </c>
      <c r="G66" s="159">
        <v>2.5</v>
      </c>
      <c r="H66" s="103">
        <f t="shared" si="1"/>
        <v>62.5</v>
      </c>
      <c r="I66" s="129"/>
    </row>
    <row r="67" spans="1:10" s="104" customFormat="1" ht="19.5" hidden="1" customHeight="1" outlineLevel="1">
      <c r="A67" s="100"/>
      <c r="B67" s="157" t="s">
        <v>403</v>
      </c>
      <c r="C67" s="100" t="s">
        <v>37</v>
      </c>
      <c r="D67" s="159">
        <v>3.8</v>
      </c>
      <c r="E67" s="159">
        <v>4</v>
      </c>
      <c r="F67" s="159">
        <v>4</v>
      </c>
      <c r="G67" s="159">
        <v>0.8</v>
      </c>
      <c r="H67" s="103">
        <f t="shared" si="1"/>
        <v>20</v>
      </c>
      <c r="I67" s="129"/>
    </row>
    <row r="68" spans="1:10" s="104" customFormat="1" ht="19.5" hidden="1" customHeight="1" outlineLevel="1">
      <c r="A68" s="100"/>
      <c r="B68" s="157" t="s">
        <v>404</v>
      </c>
      <c r="C68" s="100" t="s">
        <v>37</v>
      </c>
      <c r="D68" s="159"/>
      <c r="E68" s="159">
        <v>23.2</v>
      </c>
      <c r="F68" s="159">
        <v>24</v>
      </c>
      <c r="G68" s="159">
        <v>15.1</v>
      </c>
      <c r="H68" s="103">
        <f t="shared" si="1"/>
        <v>62.916666666666664</v>
      </c>
      <c r="I68" s="129"/>
    </row>
    <row r="69" spans="1:10" s="104" customFormat="1" ht="19.5" hidden="1" customHeight="1" outlineLevel="1">
      <c r="A69" s="100"/>
      <c r="B69" s="157" t="s">
        <v>498</v>
      </c>
      <c r="C69" s="100" t="s">
        <v>37</v>
      </c>
      <c r="D69" s="159"/>
      <c r="E69" s="159"/>
      <c r="F69" s="159"/>
      <c r="G69" s="159"/>
      <c r="H69" s="103" t="str">
        <f t="shared" si="1"/>
        <v/>
      </c>
      <c r="I69" s="129"/>
    </row>
    <row r="70" spans="1:10" ht="17.25" customHeight="1" collapsed="1">
      <c r="A70" s="24" t="s">
        <v>39</v>
      </c>
      <c r="B70" s="30" t="s">
        <v>122</v>
      </c>
      <c r="C70" s="11" t="s">
        <v>37</v>
      </c>
      <c r="D70" s="27">
        <f>D71+D83+D84</f>
        <v>9814</v>
      </c>
      <c r="E70" s="27">
        <f>E71+E83+E84</f>
        <v>10071.6</v>
      </c>
      <c r="F70" s="27">
        <f>F71+F83+F84</f>
        <v>10122.1</v>
      </c>
      <c r="G70" s="27">
        <f>G71+G83+G84</f>
        <v>10026.1</v>
      </c>
      <c r="H70" s="66">
        <f t="shared" si="1"/>
        <v>99.051580205688538</v>
      </c>
      <c r="I70" s="3"/>
    </row>
    <row r="71" spans="1:10" s="18" customFormat="1" ht="17.25" customHeight="1">
      <c r="A71" s="24">
        <v>1</v>
      </c>
      <c r="B71" s="23" t="s">
        <v>448</v>
      </c>
      <c r="C71" s="11" t="s">
        <v>37</v>
      </c>
      <c r="D71" s="27">
        <f>D72+D77</f>
        <v>9537.2999999999993</v>
      </c>
      <c r="E71" s="27">
        <f>E72+E77</f>
        <v>9722.1</v>
      </c>
      <c r="F71" s="27">
        <f>F72+F77</f>
        <v>9772.1</v>
      </c>
      <c r="G71" s="27">
        <f>G72+G77</f>
        <v>9677.2000000000007</v>
      </c>
      <c r="H71" s="66">
        <f t="shared" si="1"/>
        <v>99.028867899427965</v>
      </c>
      <c r="I71" s="83"/>
    </row>
    <row r="72" spans="1:10" s="18" customFormat="1" ht="17.25" customHeight="1">
      <c r="A72" s="11" t="s">
        <v>34</v>
      </c>
      <c r="B72" s="30" t="s">
        <v>445</v>
      </c>
      <c r="C72" s="11" t="s">
        <v>37</v>
      </c>
      <c r="D72" s="16">
        <v>1743.8</v>
      </c>
      <c r="E72" s="16">
        <f>D72+E73</f>
        <v>1919.5</v>
      </c>
      <c r="F72" s="16">
        <f>E72+F73</f>
        <v>1969.5</v>
      </c>
      <c r="G72" s="16">
        <f>E72+G73</f>
        <v>1919.5</v>
      </c>
      <c r="H72" s="66">
        <f t="shared" si="1"/>
        <v>97.461284589997462</v>
      </c>
      <c r="I72" s="83"/>
    </row>
    <row r="73" spans="1:10" ht="17.25" customHeight="1">
      <c r="A73" s="32"/>
      <c r="B73" s="35" t="s">
        <v>123</v>
      </c>
      <c r="C73" s="32" t="s">
        <v>37</v>
      </c>
      <c r="D73" s="38">
        <v>185.9</v>
      </c>
      <c r="E73" s="38">
        <v>175.7</v>
      </c>
      <c r="F73" s="38">
        <v>50</v>
      </c>
      <c r="G73" s="38"/>
      <c r="H73" s="58">
        <f t="shared" si="1"/>
        <v>0</v>
      </c>
      <c r="I73" s="3"/>
    </row>
    <row r="74" spans="1:10" ht="17.25" customHeight="1">
      <c r="A74" s="32"/>
      <c r="B74" s="35" t="s">
        <v>124</v>
      </c>
      <c r="C74" s="32" t="s">
        <v>37</v>
      </c>
      <c r="D74" s="22">
        <v>1246</v>
      </c>
      <c r="E74" s="22">
        <v>1384</v>
      </c>
      <c r="F74" s="22">
        <v>1559</v>
      </c>
      <c r="G74" s="22"/>
      <c r="H74" s="58">
        <f t="shared" ref="H74:H89" si="2">IFERROR(G74/F74%,"")</f>
        <v>0</v>
      </c>
      <c r="I74" s="3"/>
      <c r="J74" s="81"/>
    </row>
    <row r="75" spans="1:10" ht="17.25" customHeight="1">
      <c r="A75" s="32"/>
      <c r="B75" s="35" t="s">
        <v>125</v>
      </c>
      <c r="C75" s="32" t="s">
        <v>21</v>
      </c>
      <c r="D75" s="38">
        <v>31.73</v>
      </c>
      <c r="E75" s="38">
        <v>35.65</v>
      </c>
      <c r="F75" s="38">
        <v>35</v>
      </c>
      <c r="G75" s="38"/>
      <c r="H75" s="58">
        <f t="shared" si="2"/>
        <v>0</v>
      </c>
      <c r="I75" s="3"/>
    </row>
    <row r="76" spans="1:10" ht="17.25" customHeight="1">
      <c r="A76" s="32"/>
      <c r="B76" s="35" t="s">
        <v>320</v>
      </c>
      <c r="C76" s="32" t="s">
        <v>76</v>
      </c>
      <c r="D76" s="22">
        <f>D74*D75/10</f>
        <v>3953.558</v>
      </c>
      <c r="E76" s="22">
        <f>E74*E75/10</f>
        <v>4933.96</v>
      </c>
      <c r="F76" s="22">
        <f>F74*F75/10</f>
        <v>5456.5</v>
      </c>
      <c r="G76" s="180">
        <f>G74*G75/10</f>
        <v>0</v>
      </c>
      <c r="H76" s="58">
        <f t="shared" si="2"/>
        <v>0</v>
      </c>
      <c r="I76" s="3"/>
    </row>
    <row r="77" spans="1:10" s="18" customFormat="1" ht="17.25" customHeight="1">
      <c r="A77" s="11" t="s">
        <v>35</v>
      </c>
      <c r="B77" s="30" t="s">
        <v>446</v>
      </c>
      <c r="C77" s="11" t="s">
        <v>37</v>
      </c>
      <c r="D77" s="16">
        <v>7793.5</v>
      </c>
      <c r="E77" s="16">
        <f>D77+E78-E79</f>
        <v>7802.6</v>
      </c>
      <c r="F77" s="16">
        <f>E77+F78-F79</f>
        <v>7802.6</v>
      </c>
      <c r="G77" s="16">
        <f>E77+G78-G79</f>
        <v>7757.7000000000007</v>
      </c>
      <c r="H77" s="66">
        <f t="shared" si="2"/>
        <v>99.424550790762055</v>
      </c>
      <c r="I77" s="83"/>
    </row>
    <row r="78" spans="1:10" ht="17.25" customHeight="1">
      <c r="A78" s="32"/>
      <c r="B78" s="35" t="s">
        <v>123</v>
      </c>
      <c r="C78" s="32" t="s">
        <v>37</v>
      </c>
      <c r="D78" s="43">
        <v>0</v>
      </c>
      <c r="E78" s="28">
        <v>24.6</v>
      </c>
      <c r="F78" s="43"/>
      <c r="G78" s="43"/>
      <c r="H78" s="58" t="str">
        <f t="shared" si="2"/>
        <v/>
      </c>
      <c r="I78" s="3"/>
    </row>
    <row r="79" spans="1:10" ht="17.25" customHeight="1">
      <c r="A79" s="32"/>
      <c r="B79" s="35" t="s">
        <v>321</v>
      </c>
      <c r="C79" s="32" t="s">
        <v>37</v>
      </c>
      <c r="D79" s="28">
        <v>81.5</v>
      </c>
      <c r="E79" s="28">
        <v>15.5</v>
      </c>
      <c r="F79" s="43"/>
      <c r="G79" s="43">
        <v>44.9</v>
      </c>
      <c r="H79" s="58" t="str">
        <f t="shared" si="2"/>
        <v/>
      </c>
      <c r="I79" s="3"/>
    </row>
    <row r="80" spans="1:10" ht="17.25" customHeight="1">
      <c r="A80" s="32"/>
      <c r="B80" s="35" t="s">
        <v>124</v>
      </c>
      <c r="C80" s="32" t="s">
        <v>37</v>
      </c>
      <c r="D80" s="22">
        <v>4821</v>
      </c>
      <c r="E80" s="22">
        <v>5385</v>
      </c>
      <c r="F80" s="22">
        <v>5755</v>
      </c>
      <c r="G80" s="22"/>
      <c r="H80" s="58">
        <f t="shared" si="2"/>
        <v>0</v>
      </c>
      <c r="I80" s="3"/>
    </row>
    <row r="81" spans="1:11" ht="17.25" customHeight="1">
      <c r="A81" s="32"/>
      <c r="B81" s="35" t="s">
        <v>126</v>
      </c>
      <c r="C81" s="32" t="s">
        <v>21</v>
      </c>
      <c r="D81" s="38">
        <v>12.33</v>
      </c>
      <c r="E81" s="38">
        <v>12.35</v>
      </c>
      <c r="F81" s="38">
        <v>12.5</v>
      </c>
      <c r="G81" s="38"/>
      <c r="H81" s="58">
        <f t="shared" si="2"/>
        <v>0</v>
      </c>
      <c r="I81" s="3"/>
    </row>
    <row r="82" spans="1:11" ht="17.25" customHeight="1">
      <c r="A82" s="32"/>
      <c r="B82" s="35" t="s">
        <v>474</v>
      </c>
      <c r="C82" s="32" t="s">
        <v>76</v>
      </c>
      <c r="D82" s="22">
        <f>D80*D81/10</f>
        <v>5944.2929999999997</v>
      </c>
      <c r="E82" s="22">
        <f>E80*E81/10</f>
        <v>6650.4750000000004</v>
      </c>
      <c r="F82" s="22">
        <f>F80*F81/10</f>
        <v>7193.75</v>
      </c>
      <c r="G82" s="180">
        <f>G80*G81/10</f>
        <v>0</v>
      </c>
      <c r="H82" s="58">
        <f t="shared" si="2"/>
        <v>0</v>
      </c>
      <c r="I82" s="3"/>
    </row>
    <row r="83" spans="1:11" s="18" customFormat="1" ht="17.25" customHeight="1">
      <c r="A83" s="11">
        <v>2</v>
      </c>
      <c r="B83" s="30" t="s">
        <v>181</v>
      </c>
      <c r="C83" s="11" t="s">
        <v>37</v>
      </c>
      <c r="D83" s="16">
        <v>155.19999999999999</v>
      </c>
      <c r="E83" s="16">
        <v>218.9</v>
      </c>
      <c r="F83" s="16">
        <v>220</v>
      </c>
      <c r="G83" s="16">
        <v>218.9</v>
      </c>
      <c r="H83" s="66">
        <f t="shared" si="2"/>
        <v>99.5</v>
      </c>
      <c r="I83" s="83"/>
    </row>
    <row r="84" spans="1:11" s="18" customFormat="1" ht="31.5">
      <c r="A84" s="11">
        <v>3</v>
      </c>
      <c r="B84" s="30" t="s">
        <v>410</v>
      </c>
      <c r="C84" s="11" t="s">
        <v>37</v>
      </c>
      <c r="D84" s="16">
        <f>SUM(D85:D89)</f>
        <v>121.5</v>
      </c>
      <c r="E84" s="16">
        <f>SUM(E85:E89)</f>
        <v>130.60000000000002</v>
      </c>
      <c r="F84" s="16">
        <f>SUM(F85:F89)</f>
        <v>130</v>
      </c>
      <c r="G84" s="16">
        <v>130</v>
      </c>
      <c r="H84" s="66">
        <f t="shared" si="2"/>
        <v>100</v>
      </c>
      <c r="I84" s="83"/>
      <c r="J84" s="87"/>
      <c r="K84" s="87"/>
    </row>
    <row r="85" spans="1:11" s="104" customFormat="1" ht="17.25" hidden="1" customHeight="1" outlineLevel="1">
      <c r="A85" s="100"/>
      <c r="B85" s="157" t="s">
        <v>405</v>
      </c>
      <c r="C85" s="100" t="s">
        <v>37</v>
      </c>
      <c r="D85" s="158">
        <v>18.5</v>
      </c>
      <c r="E85" s="158">
        <v>17</v>
      </c>
      <c r="F85" s="158">
        <v>17</v>
      </c>
      <c r="G85" s="158"/>
      <c r="H85" s="123">
        <f t="shared" si="2"/>
        <v>0</v>
      </c>
      <c r="I85" s="129"/>
    </row>
    <row r="86" spans="1:11" s="104" customFormat="1" ht="17.25" hidden="1" customHeight="1" outlineLevel="1">
      <c r="A86" s="100"/>
      <c r="B86" s="157" t="s">
        <v>406</v>
      </c>
      <c r="C86" s="100" t="s">
        <v>37</v>
      </c>
      <c r="D86" s="158">
        <v>54.6</v>
      </c>
      <c r="E86" s="158">
        <v>61.9</v>
      </c>
      <c r="F86" s="158">
        <v>62</v>
      </c>
      <c r="G86" s="158"/>
      <c r="H86" s="123">
        <f t="shared" si="2"/>
        <v>0</v>
      </c>
      <c r="I86" s="129"/>
    </row>
    <row r="87" spans="1:11" s="104" customFormat="1" ht="17.25" hidden="1" customHeight="1" outlineLevel="1">
      <c r="A87" s="100"/>
      <c r="B87" s="157" t="s">
        <v>407</v>
      </c>
      <c r="C87" s="100" t="s">
        <v>37</v>
      </c>
      <c r="D87" s="158">
        <v>2</v>
      </c>
      <c r="E87" s="158">
        <v>2</v>
      </c>
      <c r="F87" s="158">
        <v>2</v>
      </c>
      <c r="G87" s="158"/>
      <c r="H87" s="123">
        <f t="shared" si="2"/>
        <v>0</v>
      </c>
      <c r="I87" s="129"/>
    </row>
    <row r="88" spans="1:11" s="104" customFormat="1" ht="17.25" hidden="1" customHeight="1" outlineLevel="1">
      <c r="A88" s="100"/>
      <c r="B88" s="157" t="s">
        <v>408</v>
      </c>
      <c r="C88" s="100" t="s">
        <v>37</v>
      </c>
      <c r="D88" s="158">
        <v>46.4</v>
      </c>
      <c r="E88" s="158">
        <v>30.4</v>
      </c>
      <c r="F88" s="158">
        <v>30</v>
      </c>
      <c r="G88" s="158"/>
      <c r="H88" s="123">
        <f t="shared" si="2"/>
        <v>0</v>
      </c>
      <c r="I88" s="129"/>
    </row>
    <row r="89" spans="1:11" s="104" customFormat="1" ht="17.25" hidden="1" customHeight="1" outlineLevel="1">
      <c r="A89" s="100"/>
      <c r="B89" s="157" t="s">
        <v>409</v>
      </c>
      <c r="C89" s="100" t="s">
        <v>37</v>
      </c>
      <c r="D89" s="158"/>
      <c r="E89" s="158">
        <v>19.3</v>
      </c>
      <c r="F89" s="158">
        <v>19</v>
      </c>
      <c r="G89" s="158"/>
      <c r="H89" s="123">
        <f t="shared" si="2"/>
        <v>0</v>
      </c>
      <c r="I89" s="129"/>
    </row>
    <row r="90" spans="1:11" s="104" customFormat="1" ht="17.25" hidden="1" customHeight="1" outlineLevel="1">
      <c r="A90" s="100"/>
      <c r="B90" s="157" t="s">
        <v>498</v>
      </c>
      <c r="C90" s="100" t="s">
        <v>37</v>
      </c>
      <c r="D90" s="158"/>
      <c r="E90" s="158"/>
      <c r="F90" s="158"/>
      <c r="G90" s="158"/>
      <c r="H90" s="123"/>
      <c r="I90" s="129"/>
    </row>
    <row r="91" spans="1:11" ht="18.75" customHeight="1" collapsed="1">
      <c r="A91" s="11" t="s">
        <v>47</v>
      </c>
      <c r="B91" s="30" t="s">
        <v>96</v>
      </c>
      <c r="C91" s="32"/>
      <c r="D91" s="28"/>
      <c r="E91" s="38"/>
      <c r="F91" s="38"/>
      <c r="G91" s="38"/>
      <c r="H91" s="66" t="str">
        <f t="shared" ref="H91:H104" si="3">IFERROR(G91/F91%,"")</f>
        <v/>
      </c>
      <c r="I91" s="3"/>
    </row>
    <row r="92" spans="1:11" s="18" customFormat="1" ht="18.75" customHeight="1">
      <c r="A92" s="11">
        <v>1</v>
      </c>
      <c r="B92" s="30" t="s">
        <v>447</v>
      </c>
      <c r="C92" s="11" t="s">
        <v>54</v>
      </c>
      <c r="D92" s="27">
        <f>SUM(D93:D95)</f>
        <v>20219</v>
      </c>
      <c r="E92" s="27">
        <f>SUM(E93:E95)</f>
        <v>18350</v>
      </c>
      <c r="F92" s="27">
        <f>SUM(F93:F95)</f>
        <v>20650</v>
      </c>
      <c r="G92" s="27">
        <f>SUM(G93:G95)</f>
        <v>19857</v>
      </c>
      <c r="H92" s="66">
        <f t="shared" si="3"/>
        <v>96.15980629539952</v>
      </c>
      <c r="I92" s="83"/>
    </row>
    <row r="93" spans="1:11" ht="18.75" customHeight="1">
      <c r="A93" s="32"/>
      <c r="B93" s="35" t="s">
        <v>322</v>
      </c>
      <c r="C93" s="32" t="s">
        <v>54</v>
      </c>
      <c r="D93" s="29">
        <v>2461</v>
      </c>
      <c r="E93" s="29">
        <v>2550</v>
      </c>
      <c r="F93" s="29">
        <v>2650</v>
      </c>
      <c r="G93" s="29">
        <v>2534</v>
      </c>
      <c r="H93" s="58">
        <f t="shared" si="3"/>
        <v>95.622641509433961</v>
      </c>
      <c r="I93" s="3"/>
    </row>
    <row r="94" spans="1:11" ht="18.75" customHeight="1">
      <c r="A94" s="32"/>
      <c r="B94" s="35" t="s">
        <v>323</v>
      </c>
      <c r="C94" s="32" t="s">
        <v>54</v>
      </c>
      <c r="D94" s="29">
        <v>4034</v>
      </c>
      <c r="E94" s="29">
        <v>4800</v>
      </c>
      <c r="F94" s="29">
        <v>5000</v>
      </c>
      <c r="G94" s="29">
        <v>4761</v>
      </c>
      <c r="H94" s="58">
        <f t="shared" si="3"/>
        <v>95.22</v>
      </c>
      <c r="I94" s="3"/>
    </row>
    <row r="95" spans="1:11" ht="18.75" customHeight="1">
      <c r="A95" s="32"/>
      <c r="B95" s="35" t="s">
        <v>324</v>
      </c>
      <c r="C95" s="32" t="s">
        <v>54</v>
      </c>
      <c r="D95" s="29">
        <v>13724</v>
      </c>
      <c r="E95" s="29">
        <v>11000</v>
      </c>
      <c r="F95" s="29">
        <v>13000</v>
      </c>
      <c r="G95" s="29">
        <v>12562</v>
      </c>
      <c r="H95" s="58">
        <f t="shared" si="3"/>
        <v>96.630769230769232</v>
      </c>
      <c r="I95" s="3"/>
    </row>
    <row r="96" spans="1:11" s="18" customFormat="1" ht="18.75" customHeight="1">
      <c r="A96" s="11">
        <v>2</v>
      </c>
      <c r="B96" s="44" t="s">
        <v>31</v>
      </c>
      <c r="C96" s="11" t="s">
        <v>54</v>
      </c>
      <c r="D96" s="27">
        <v>77894</v>
      </c>
      <c r="E96" s="27">
        <v>87000</v>
      </c>
      <c r="F96" s="27">
        <v>87000</v>
      </c>
      <c r="G96" s="27">
        <v>74830</v>
      </c>
      <c r="H96" s="66">
        <f t="shared" si="3"/>
        <v>86.011494252873561</v>
      </c>
      <c r="I96" s="83"/>
    </row>
    <row r="97" spans="1:11" s="18" customFormat="1" ht="18.75" customHeight="1">
      <c r="A97" s="11" t="s">
        <v>48</v>
      </c>
      <c r="B97" s="45" t="s">
        <v>325</v>
      </c>
      <c r="C97" s="11"/>
      <c r="D97" s="27"/>
      <c r="E97" s="27"/>
      <c r="F97" s="27"/>
      <c r="G97" s="27"/>
      <c r="H97" s="66" t="str">
        <f t="shared" si="3"/>
        <v/>
      </c>
      <c r="I97" s="83"/>
    </row>
    <row r="98" spans="1:11" ht="18.75" customHeight="1">
      <c r="A98" s="32">
        <v>1</v>
      </c>
      <c r="B98" s="46" t="s">
        <v>326</v>
      </c>
      <c r="C98" s="32" t="s">
        <v>37</v>
      </c>
      <c r="D98" s="28">
        <v>85</v>
      </c>
      <c r="E98" s="28">
        <v>85.5</v>
      </c>
      <c r="F98" s="28">
        <v>85.5</v>
      </c>
      <c r="G98" s="28">
        <v>86.1</v>
      </c>
      <c r="H98" s="58">
        <f t="shared" si="3"/>
        <v>100.7017543859649</v>
      </c>
      <c r="I98" s="3"/>
    </row>
    <row r="99" spans="1:11" ht="18.75" customHeight="1">
      <c r="A99" s="32">
        <v>2</v>
      </c>
      <c r="B99" s="46" t="s">
        <v>327</v>
      </c>
      <c r="C99" s="32" t="s">
        <v>76</v>
      </c>
      <c r="D99" s="29">
        <f>D100+D101</f>
        <v>427.4</v>
      </c>
      <c r="E99" s="29">
        <f>E100+E101</f>
        <v>320</v>
      </c>
      <c r="F99" s="29">
        <f>F100+F101</f>
        <v>335</v>
      </c>
      <c r="G99" s="29">
        <f>G100+G101</f>
        <v>73.300000000000011</v>
      </c>
      <c r="H99" s="58">
        <f t="shared" si="3"/>
        <v>21.880597014925375</v>
      </c>
      <c r="I99" s="3"/>
    </row>
    <row r="100" spans="1:11" ht="18.75" customHeight="1">
      <c r="A100" s="32"/>
      <c r="B100" s="48" t="s">
        <v>328</v>
      </c>
      <c r="C100" s="32" t="s">
        <v>76</v>
      </c>
      <c r="D100" s="29">
        <v>211.9</v>
      </c>
      <c r="E100" s="29">
        <v>210</v>
      </c>
      <c r="F100" s="29">
        <v>210</v>
      </c>
      <c r="G100" s="29">
        <v>53.2</v>
      </c>
      <c r="H100" s="58">
        <f t="shared" si="3"/>
        <v>25.333333333333332</v>
      </c>
      <c r="I100" s="3"/>
    </row>
    <row r="101" spans="1:11" ht="18.75" customHeight="1">
      <c r="A101" s="32"/>
      <c r="B101" s="48" t="s">
        <v>329</v>
      </c>
      <c r="C101" s="32" t="s">
        <v>76</v>
      </c>
      <c r="D101" s="29">
        <v>215.5</v>
      </c>
      <c r="E101" s="29">
        <v>110</v>
      </c>
      <c r="F101" s="29">
        <v>125</v>
      </c>
      <c r="G101" s="29">
        <f>17.5+2.6</f>
        <v>20.100000000000001</v>
      </c>
      <c r="H101" s="58">
        <f t="shared" si="3"/>
        <v>16.080000000000002</v>
      </c>
      <c r="I101" s="3"/>
    </row>
    <row r="102" spans="1:11">
      <c r="A102" s="49" t="s">
        <v>50</v>
      </c>
      <c r="B102" s="50" t="s">
        <v>104</v>
      </c>
      <c r="C102" s="49"/>
      <c r="D102" s="13"/>
      <c r="E102" s="13"/>
      <c r="F102" s="13"/>
      <c r="G102" s="13"/>
      <c r="H102" s="66" t="str">
        <f t="shared" si="3"/>
        <v/>
      </c>
      <c r="I102" s="3"/>
    </row>
    <row r="103" spans="1:11" ht="19.5" customHeight="1">
      <c r="A103" s="175">
        <v>1</v>
      </c>
      <c r="B103" s="52" t="s">
        <v>501</v>
      </c>
      <c r="C103" s="1" t="s">
        <v>37</v>
      </c>
      <c r="D103" s="53">
        <v>500.3</v>
      </c>
      <c r="E103" s="53">
        <v>4</v>
      </c>
      <c r="F103" s="53"/>
      <c r="G103" s="53"/>
      <c r="H103" s="66" t="str">
        <f t="shared" si="3"/>
        <v/>
      </c>
      <c r="I103" s="3"/>
    </row>
    <row r="104" spans="1:11" s="42" customFormat="1" ht="19.5" customHeight="1">
      <c r="A104" s="171"/>
      <c r="B104" s="172" t="s">
        <v>123</v>
      </c>
      <c r="C104" s="173" t="s">
        <v>37</v>
      </c>
      <c r="D104" s="174">
        <v>500.3</v>
      </c>
      <c r="E104" s="174">
        <v>4</v>
      </c>
      <c r="F104" s="174"/>
      <c r="G104" s="174"/>
      <c r="H104" s="160" t="str">
        <f t="shared" si="3"/>
        <v/>
      </c>
      <c r="I104" s="84"/>
    </row>
    <row r="105" spans="1:11" ht="17.25" customHeight="1">
      <c r="A105" s="32">
        <v>2</v>
      </c>
      <c r="B105" s="35" t="s">
        <v>30</v>
      </c>
      <c r="C105" s="32" t="s">
        <v>37</v>
      </c>
      <c r="D105" s="22">
        <v>1646</v>
      </c>
      <c r="E105" s="22">
        <f>D105+E106</f>
        <v>1675</v>
      </c>
      <c r="F105" s="22">
        <f>E105+F106</f>
        <v>1710</v>
      </c>
      <c r="G105" s="22">
        <f>F105</f>
        <v>1710</v>
      </c>
      <c r="H105" s="58">
        <f t="shared" ref="H105:H117" si="4">IFERROR(G105/F105%,"")</f>
        <v>99.999999999999986</v>
      </c>
      <c r="I105" s="3"/>
      <c r="J105" s="81"/>
    </row>
    <row r="106" spans="1:11" ht="17.25" customHeight="1">
      <c r="A106" s="32"/>
      <c r="B106" s="35" t="s">
        <v>123</v>
      </c>
      <c r="C106" s="32" t="s">
        <v>37</v>
      </c>
      <c r="D106" s="22">
        <v>57.2</v>
      </c>
      <c r="E106" s="22">
        <v>29</v>
      </c>
      <c r="F106" s="22">
        <v>35</v>
      </c>
      <c r="G106" s="22">
        <f>F106</f>
        <v>35</v>
      </c>
      <c r="H106" s="58">
        <f t="shared" si="4"/>
        <v>100</v>
      </c>
      <c r="I106" s="3"/>
    </row>
    <row r="107" spans="1:11" s="18" customFormat="1" ht="21.75" customHeight="1">
      <c r="A107" s="106" t="s">
        <v>176</v>
      </c>
      <c r="B107" s="124" t="s">
        <v>183</v>
      </c>
      <c r="C107" s="106"/>
      <c r="D107" s="125"/>
      <c r="E107" s="125"/>
      <c r="F107" s="125"/>
      <c r="G107" s="125"/>
      <c r="H107" s="110" t="str">
        <f t="shared" si="4"/>
        <v/>
      </c>
      <c r="I107" s="110"/>
    </row>
    <row r="108" spans="1:11" s="18" customFormat="1" ht="22.5" customHeight="1">
      <c r="A108" s="11">
        <v>1</v>
      </c>
      <c r="B108" s="54" t="s">
        <v>449</v>
      </c>
      <c r="C108" s="11" t="s">
        <v>331</v>
      </c>
      <c r="D108" s="27">
        <v>676693</v>
      </c>
      <c r="E108" s="27">
        <v>708000</v>
      </c>
      <c r="F108" s="27">
        <v>722000</v>
      </c>
      <c r="G108" s="27"/>
      <c r="H108" s="66">
        <f t="shared" si="4"/>
        <v>0</v>
      </c>
      <c r="I108" s="83"/>
      <c r="K108" s="179"/>
    </row>
    <row r="109" spans="1:11" s="18" customFormat="1" ht="20.25" customHeight="1">
      <c r="A109" s="11">
        <v>2</v>
      </c>
      <c r="B109" s="15" t="s">
        <v>333</v>
      </c>
      <c r="C109" s="11"/>
      <c r="D109" s="149"/>
      <c r="E109" s="149"/>
      <c r="F109" s="149"/>
      <c r="G109" s="149"/>
      <c r="H109" s="66" t="str">
        <f t="shared" si="4"/>
        <v/>
      </c>
      <c r="I109" s="83"/>
    </row>
    <row r="110" spans="1:11" ht="20.25" customHeight="1">
      <c r="A110" s="32"/>
      <c r="B110" s="20" t="s">
        <v>334</v>
      </c>
      <c r="C110" s="32" t="s">
        <v>65</v>
      </c>
      <c r="D110" s="29">
        <v>40</v>
      </c>
      <c r="E110" s="29">
        <v>42</v>
      </c>
      <c r="F110" s="29">
        <v>40</v>
      </c>
      <c r="G110" s="29"/>
      <c r="H110" s="58">
        <f t="shared" si="4"/>
        <v>0</v>
      </c>
      <c r="I110" s="3"/>
    </row>
    <row r="111" spans="1:11" ht="20.25" customHeight="1">
      <c r="A111" s="32"/>
      <c r="B111" s="20" t="s">
        <v>340</v>
      </c>
      <c r="C111" s="32" t="s">
        <v>65</v>
      </c>
      <c r="D111" s="29">
        <v>35</v>
      </c>
      <c r="E111" s="29">
        <v>30</v>
      </c>
      <c r="F111" s="29">
        <v>40</v>
      </c>
      <c r="G111" s="29"/>
      <c r="H111" s="58">
        <f t="shared" si="4"/>
        <v>0</v>
      </c>
      <c r="I111" s="3"/>
    </row>
    <row r="112" spans="1:11" ht="20.25" customHeight="1">
      <c r="A112" s="32"/>
      <c r="B112" s="20" t="s">
        <v>335</v>
      </c>
      <c r="C112" s="32" t="s">
        <v>76</v>
      </c>
      <c r="D112" s="29">
        <v>57219</v>
      </c>
      <c r="E112" s="29">
        <v>60000</v>
      </c>
      <c r="F112" s="29">
        <v>55000</v>
      </c>
      <c r="G112" s="29"/>
      <c r="H112" s="58">
        <f t="shared" si="4"/>
        <v>0</v>
      </c>
      <c r="I112" s="3"/>
    </row>
    <row r="113" spans="1:11" ht="20.25" customHeight="1">
      <c r="A113" s="32"/>
      <c r="B113" s="20" t="s">
        <v>336</v>
      </c>
      <c r="C113" s="32" t="s">
        <v>76</v>
      </c>
      <c r="D113" s="29">
        <v>12363</v>
      </c>
      <c r="E113" s="29">
        <v>13000</v>
      </c>
      <c r="F113" s="29">
        <v>12000</v>
      </c>
      <c r="G113" s="29"/>
      <c r="H113" s="58">
        <f t="shared" si="4"/>
        <v>0</v>
      </c>
      <c r="I113" s="3"/>
    </row>
    <row r="114" spans="1:11" ht="20.25" customHeight="1">
      <c r="A114" s="32"/>
      <c r="B114" s="20" t="s">
        <v>337</v>
      </c>
      <c r="C114" s="32" t="s">
        <v>466</v>
      </c>
      <c r="D114" s="29">
        <v>39713</v>
      </c>
      <c r="E114" s="29">
        <v>41000</v>
      </c>
      <c r="F114" s="29">
        <v>60000</v>
      </c>
      <c r="G114" s="29"/>
      <c r="H114" s="58">
        <f t="shared" si="4"/>
        <v>0</v>
      </c>
      <c r="I114" s="3"/>
    </row>
    <row r="115" spans="1:11" ht="20.25" customHeight="1">
      <c r="A115" s="32"/>
      <c r="B115" s="20" t="s">
        <v>338</v>
      </c>
      <c r="C115" s="32" t="s">
        <v>466</v>
      </c>
      <c r="D115" s="29">
        <v>34500</v>
      </c>
      <c r="E115" s="29">
        <v>35000</v>
      </c>
      <c r="F115" s="29">
        <v>54000</v>
      </c>
      <c r="G115" s="29"/>
      <c r="H115" s="58">
        <f t="shared" si="4"/>
        <v>0</v>
      </c>
      <c r="I115" s="3"/>
    </row>
    <row r="116" spans="1:11" s="18" customFormat="1">
      <c r="A116" s="106" t="s">
        <v>182</v>
      </c>
      <c r="B116" s="126" t="s">
        <v>450</v>
      </c>
      <c r="C116" s="106"/>
      <c r="D116" s="127"/>
      <c r="E116" s="127"/>
      <c r="F116" s="127"/>
      <c r="G116" s="127"/>
      <c r="H116" s="110" t="str">
        <f t="shared" si="4"/>
        <v/>
      </c>
      <c r="I116" s="110"/>
    </row>
    <row r="117" spans="1:11" ht="22.5" customHeight="1">
      <c r="A117" s="32">
        <v>1</v>
      </c>
      <c r="B117" s="20" t="s">
        <v>184</v>
      </c>
      <c r="C117" s="32" t="s">
        <v>331</v>
      </c>
      <c r="D117" s="29">
        <v>560310</v>
      </c>
      <c r="E117" s="29">
        <v>595000</v>
      </c>
      <c r="F117" s="29">
        <v>696000</v>
      </c>
      <c r="G117" s="29"/>
      <c r="H117" s="58">
        <f t="shared" si="4"/>
        <v>0</v>
      </c>
      <c r="I117" s="3"/>
    </row>
    <row r="118" spans="1:11" s="18" customFormat="1" ht="22.5" hidden="1" customHeight="1" outlineLevel="1">
      <c r="A118" s="11">
        <v>2</v>
      </c>
      <c r="B118" s="168" t="s">
        <v>489</v>
      </c>
      <c r="C118" s="1"/>
      <c r="D118" s="27"/>
      <c r="E118" s="27"/>
      <c r="F118" s="27"/>
      <c r="G118" s="27"/>
      <c r="H118" s="66"/>
      <c r="I118" s="83"/>
    </row>
    <row r="119" spans="1:11" ht="22.5" hidden="1" customHeight="1" outlineLevel="1">
      <c r="A119" s="32"/>
      <c r="B119" s="170" t="s">
        <v>490</v>
      </c>
      <c r="C119" s="1" t="s">
        <v>494</v>
      </c>
      <c r="D119" s="29"/>
      <c r="E119" s="29"/>
      <c r="F119" s="29"/>
      <c r="G119" s="29"/>
      <c r="H119" s="58" t="str">
        <f t="shared" ref="H119:H147" si="5">IFERROR(G119/F119%,"")</f>
        <v/>
      </c>
      <c r="I119" s="3"/>
    </row>
    <row r="120" spans="1:11" ht="22.5" hidden="1" customHeight="1" outlineLevel="1">
      <c r="A120" s="32"/>
      <c r="B120" s="170" t="s">
        <v>491</v>
      </c>
      <c r="C120" s="1" t="s">
        <v>49</v>
      </c>
      <c r="D120" s="29"/>
      <c r="E120" s="29"/>
      <c r="F120" s="29"/>
      <c r="G120" s="29"/>
      <c r="H120" s="58" t="str">
        <f t="shared" si="5"/>
        <v/>
      </c>
      <c r="I120" s="3"/>
    </row>
    <row r="121" spans="1:11" ht="22.5" hidden="1" customHeight="1" outlineLevel="1">
      <c r="A121" s="32"/>
      <c r="B121" s="170" t="s">
        <v>492</v>
      </c>
      <c r="C121" s="1" t="s">
        <v>331</v>
      </c>
      <c r="D121" s="29"/>
      <c r="E121" s="29"/>
      <c r="F121" s="29"/>
      <c r="G121" s="29"/>
      <c r="H121" s="58" t="str">
        <f t="shared" si="5"/>
        <v/>
      </c>
      <c r="I121" s="3"/>
    </row>
    <row r="122" spans="1:11" ht="22.5" hidden="1" customHeight="1" outlineLevel="1">
      <c r="A122" s="32"/>
      <c r="B122" s="170" t="s">
        <v>493</v>
      </c>
      <c r="C122" s="1" t="s">
        <v>33</v>
      </c>
      <c r="D122" s="29"/>
      <c r="E122" s="29"/>
      <c r="F122" s="29"/>
      <c r="G122" s="29"/>
      <c r="H122" s="58" t="str">
        <f t="shared" si="5"/>
        <v/>
      </c>
      <c r="I122" s="3"/>
    </row>
    <row r="123" spans="1:11" ht="22.5" customHeight="1" collapsed="1">
      <c r="A123" s="100"/>
      <c r="B123" s="122" t="s">
        <v>454</v>
      </c>
      <c r="C123" s="100"/>
      <c r="D123" s="102"/>
      <c r="E123" s="102"/>
      <c r="F123" s="102"/>
      <c r="G123" s="102"/>
      <c r="H123" s="123" t="str">
        <f t="shared" si="5"/>
        <v/>
      </c>
      <c r="I123" s="3"/>
    </row>
    <row r="124" spans="1:11" s="18" customFormat="1" ht="22.5" customHeight="1">
      <c r="A124" s="106" t="s">
        <v>38</v>
      </c>
      <c r="B124" s="126" t="s">
        <v>352</v>
      </c>
      <c r="C124" s="106"/>
      <c r="D124" s="125"/>
      <c r="E124" s="125"/>
      <c r="F124" s="125"/>
      <c r="G124" s="125"/>
      <c r="H124" s="110" t="str">
        <f t="shared" si="5"/>
        <v/>
      </c>
      <c r="I124" s="130"/>
    </row>
    <row r="125" spans="1:11" s="104" customFormat="1" ht="22.5" hidden="1" customHeight="1" outlineLevel="1">
      <c r="A125" s="100">
        <v>1</v>
      </c>
      <c r="B125" s="101" t="s">
        <v>353</v>
      </c>
      <c r="C125" s="100" t="s">
        <v>62</v>
      </c>
      <c r="D125" s="155">
        <v>10520</v>
      </c>
      <c r="E125" s="155">
        <f>D126</f>
        <v>10685</v>
      </c>
      <c r="F125" s="155">
        <f>E126</f>
        <v>11120</v>
      </c>
      <c r="G125" s="155"/>
      <c r="H125" s="123">
        <f t="shared" si="5"/>
        <v>0</v>
      </c>
      <c r="I125" s="129"/>
      <c r="K125" s="156"/>
    </row>
    <row r="126" spans="1:11" s="104" customFormat="1" ht="22.5" hidden="1" customHeight="1" outlineLevel="1">
      <c r="A126" s="100">
        <v>2</v>
      </c>
      <c r="B126" s="101" t="s">
        <v>207</v>
      </c>
      <c r="C126" s="100" t="s">
        <v>62</v>
      </c>
      <c r="D126" s="155">
        <v>10685</v>
      </c>
      <c r="E126" s="155">
        <v>11120</v>
      </c>
      <c r="F126" s="155">
        <v>11380</v>
      </c>
      <c r="G126" s="155"/>
      <c r="H126" s="123">
        <f t="shared" si="5"/>
        <v>0</v>
      </c>
      <c r="I126" s="129"/>
      <c r="J126" s="156"/>
    </row>
    <row r="127" spans="1:11" ht="22.5" customHeight="1" collapsed="1">
      <c r="A127" s="32">
        <v>1</v>
      </c>
      <c r="B127" s="20" t="s">
        <v>131</v>
      </c>
      <c r="C127" s="32" t="s">
        <v>73</v>
      </c>
      <c r="D127" s="29">
        <v>44006</v>
      </c>
      <c r="E127" s="29">
        <f>D128</f>
        <v>45290</v>
      </c>
      <c r="F127" s="29">
        <f>E128</f>
        <v>46404</v>
      </c>
      <c r="G127" s="29"/>
      <c r="H127" s="58">
        <f t="shared" si="5"/>
        <v>0</v>
      </c>
      <c r="I127" s="3"/>
    </row>
    <row r="128" spans="1:11" ht="22.5" customHeight="1">
      <c r="A128" s="32">
        <v>2</v>
      </c>
      <c r="B128" s="20" t="s">
        <v>132</v>
      </c>
      <c r="C128" s="32" t="s">
        <v>73</v>
      </c>
      <c r="D128" s="29">
        <v>45290</v>
      </c>
      <c r="E128" s="29">
        <v>46404</v>
      </c>
      <c r="F128" s="29">
        <v>47500</v>
      </c>
      <c r="G128" s="29"/>
      <c r="H128" s="58">
        <f t="shared" si="5"/>
        <v>0</v>
      </c>
      <c r="I128" s="3"/>
    </row>
    <row r="129" spans="1:10" ht="22.5" customHeight="1">
      <c r="A129" s="32">
        <v>3</v>
      </c>
      <c r="B129" s="20" t="s">
        <v>339</v>
      </c>
      <c r="C129" s="32" t="s">
        <v>73</v>
      </c>
      <c r="D129" s="29">
        <f>(D127+D128)/2</f>
        <v>44648</v>
      </c>
      <c r="E129" s="29">
        <f>(E127+E128)/2</f>
        <v>45847</v>
      </c>
      <c r="F129" s="29">
        <f>(F127+F128)/2</f>
        <v>46952</v>
      </c>
      <c r="G129" s="29"/>
      <c r="H129" s="58">
        <f t="shared" si="5"/>
        <v>0</v>
      </c>
      <c r="I129" s="3"/>
    </row>
    <row r="130" spans="1:10" ht="22.5" customHeight="1">
      <c r="A130" s="32">
        <v>4</v>
      </c>
      <c r="B130" s="48" t="s">
        <v>392</v>
      </c>
      <c r="C130" s="21" t="s">
        <v>170</v>
      </c>
      <c r="D130" s="74">
        <v>22.62</v>
      </c>
      <c r="E130" s="74">
        <v>22.92</v>
      </c>
      <c r="F130" s="74">
        <v>22</v>
      </c>
      <c r="G130" s="74"/>
      <c r="H130" s="66">
        <f t="shared" si="5"/>
        <v>0</v>
      </c>
      <c r="I130" s="3"/>
    </row>
    <row r="131" spans="1:10" s="18" customFormat="1" ht="21" customHeight="1">
      <c r="A131" s="106" t="s">
        <v>39</v>
      </c>
      <c r="B131" s="126" t="s">
        <v>163</v>
      </c>
      <c r="C131" s="106"/>
      <c r="D131" s="131"/>
      <c r="E131" s="131"/>
      <c r="F131" s="131"/>
      <c r="G131" s="131"/>
      <c r="H131" s="110" t="str">
        <f t="shared" si="5"/>
        <v/>
      </c>
      <c r="I131" s="130"/>
    </row>
    <row r="132" spans="1:10" ht="21" customHeight="1">
      <c r="A132" s="32">
        <v>1</v>
      </c>
      <c r="B132" s="20" t="s">
        <v>393</v>
      </c>
      <c r="C132" s="32" t="s">
        <v>33</v>
      </c>
      <c r="D132" s="58">
        <v>42.86</v>
      </c>
      <c r="E132" s="58">
        <v>43</v>
      </c>
      <c r="F132" s="58">
        <v>44</v>
      </c>
      <c r="G132" s="58"/>
      <c r="H132" s="58">
        <f t="shared" si="5"/>
        <v>0</v>
      </c>
      <c r="I132" s="3"/>
    </row>
    <row r="133" spans="1:10" ht="27.75" customHeight="1">
      <c r="A133" s="32"/>
      <c r="B133" s="20" t="s">
        <v>394</v>
      </c>
      <c r="C133" s="32" t="s">
        <v>33</v>
      </c>
      <c r="D133" s="58">
        <v>32</v>
      </c>
      <c r="E133" s="58">
        <v>35</v>
      </c>
      <c r="F133" s="58">
        <v>36</v>
      </c>
      <c r="G133" s="58"/>
      <c r="H133" s="58">
        <f t="shared" si="5"/>
        <v>0</v>
      </c>
      <c r="I133" s="3"/>
    </row>
    <row r="134" spans="1:10" ht="47.25">
      <c r="A134" s="32">
        <v>2</v>
      </c>
      <c r="B134" s="20" t="s">
        <v>357</v>
      </c>
      <c r="C134" s="32" t="s">
        <v>120</v>
      </c>
      <c r="D134" s="59">
        <f>174+50</f>
        <v>224</v>
      </c>
      <c r="E134" s="59">
        <v>175</v>
      </c>
      <c r="F134" s="59">
        <v>250</v>
      </c>
      <c r="G134" s="59">
        <v>200</v>
      </c>
      <c r="H134" s="58">
        <f t="shared" si="5"/>
        <v>80</v>
      </c>
      <c r="I134" s="3"/>
    </row>
    <row r="135" spans="1:10" ht="32.25" customHeight="1">
      <c r="A135" s="32"/>
      <c r="B135" s="20" t="s">
        <v>396</v>
      </c>
      <c r="C135" s="32" t="s">
        <v>397</v>
      </c>
      <c r="D135" s="20">
        <v>111</v>
      </c>
      <c r="E135" s="20">
        <v>115</v>
      </c>
      <c r="F135" s="20">
        <v>120</v>
      </c>
      <c r="G135" s="20"/>
      <c r="H135" s="58">
        <f t="shared" si="5"/>
        <v>0</v>
      </c>
      <c r="I135" s="3"/>
    </row>
    <row r="136" spans="1:10" ht="21" customHeight="1">
      <c r="A136" s="106" t="s">
        <v>512</v>
      </c>
      <c r="B136" s="126" t="s">
        <v>288</v>
      </c>
      <c r="C136" s="132"/>
      <c r="D136" s="133"/>
      <c r="E136" s="133"/>
      <c r="F136" s="133"/>
      <c r="G136" s="133"/>
      <c r="H136" s="110" t="str">
        <f t="shared" si="5"/>
        <v/>
      </c>
      <c r="I136" s="134"/>
    </row>
    <row r="137" spans="1:10" ht="37.5" customHeight="1">
      <c r="A137" s="60">
        <v>1</v>
      </c>
      <c r="B137" s="61" t="s">
        <v>355</v>
      </c>
      <c r="C137" s="32" t="s">
        <v>33</v>
      </c>
      <c r="D137" s="67" t="s">
        <v>358</v>
      </c>
      <c r="E137" s="88">
        <f>D138-E138</f>
        <v>3.1799999999999997</v>
      </c>
      <c r="F137" s="67" t="s">
        <v>388</v>
      </c>
      <c r="G137" s="88"/>
      <c r="H137" s="66" t="str">
        <f t="shared" si="5"/>
        <v/>
      </c>
      <c r="I137" s="3"/>
    </row>
    <row r="138" spans="1:10" ht="25.5" customHeight="1">
      <c r="A138" s="60">
        <v>2</v>
      </c>
      <c r="B138" s="61" t="s">
        <v>395</v>
      </c>
      <c r="C138" s="32" t="s">
        <v>33</v>
      </c>
      <c r="D138" s="80">
        <v>17.32</v>
      </c>
      <c r="E138" s="80">
        <v>14.14</v>
      </c>
      <c r="F138" s="80">
        <f>E138-3</f>
        <v>11.14</v>
      </c>
      <c r="G138" s="80"/>
      <c r="H138" s="58">
        <f t="shared" si="5"/>
        <v>0</v>
      </c>
      <c r="I138" s="3"/>
      <c r="J138" s="89"/>
    </row>
    <row r="139" spans="1:10" s="18" customFormat="1" ht="20.25" customHeight="1">
      <c r="A139" s="106" t="s">
        <v>48</v>
      </c>
      <c r="B139" s="126" t="s">
        <v>6</v>
      </c>
      <c r="C139" s="106"/>
      <c r="D139" s="125"/>
      <c r="E139" s="125"/>
      <c r="F139" s="125"/>
      <c r="G139" s="125"/>
      <c r="H139" s="110" t="str">
        <f t="shared" si="5"/>
        <v/>
      </c>
      <c r="I139" s="130"/>
    </row>
    <row r="140" spans="1:10" s="18" customFormat="1" ht="31.5" customHeight="1">
      <c r="A140" s="11">
        <v>1</v>
      </c>
      <c r="B140" s="15" t="s">
        <v>506</v>
      </c>
      <c r="C140" s="11" t="s">
        <v>8</v>
      </c>
      <c r="D140" s="27">
        <f>SUM(D141:D147)</f>
        <v>13999</v>
      </c>
      <c r="E140" s="27">
        <f>SUM(E141:E147)</f>
        <v>14102</v>
      </c>
      <c r="F140" s="27">
        <f>F141+F145+F146+F147</f>
        <v>14530</v>
      </c>
      <c r="G140" s="27">
        <f>G141+G145+G146+G147</f>
        <v>14407</v>
      </c>
      <c r="H140" s="66">
        <f t="shared" si="5"/>
        <v>99.153475567790764</v>
      </c>
      <c r="I140" s="83"/>
    </row>
    <row r="141" spans="1:10" ht="21" customHeight="1">
      <c r="A141" s="32"/>
      <c r="B141" s="20" t="s">
        <v>188</v>
      </c>
      <c r="C141" s="32" t="s">
        <v>8</v>
      </c>
      <c r="D141" s="90">
        <v>4325</v>
      </c>
      <c r="E141" s="90">
        <v>4401</v>
      </c>
      <c r="F141" s="90">
        <f>F142+F144</f>
        <v>4430</v>
      </c>
      <c r="G141" s="90">
        <f>G142+G144</f>
        <v>4527</v>
      </c>
      <c r="H141" s="58">
        <f t="shared" si="5"/>
        <v>102.18961625282168</v>
      </c>
      <c r="I141" s="3"/>
      <c r="J141" s="81"/>
    </row>
    <row r="142" spans="1:10" s="42" customFormat="1" ht="21" hidden="1" customHeight="1" outlineLevel="1">
      <c r="A142" s="39"/>
      <c r="B142" s="62" t="s">
        <v>399</v>
      </c>
      <c r="C142" s="32" t="s">
        <v>12</v>
      </c>
      <c r="D142" s="91"/>
      <c r="E142" s="91"/>
      <c r="F142" s="91">
        <v>450</v>
      </c>
      <c r="G142" s="91">
        <v>398</v>
      </c>
      <c r="H142" s="58">
        <f t="shared" si="5"/>
        <v>88.444444444444443</v>
      </c>
      <c r="I142" s="84"/>
      <c r="J142" s="82"/>
    </row>
    <row r="143" spans="1:10" s="42" customFormat="1" ht="21" hidden="1" customHeight="1" outlineLevel="1">
      <c r="A143" s="39"/>
      <c r="B143" s="62" t="s">
        <v>425</v>
      </c>
      <c r="C143" s="32" t="s">
        <v>12</v>
      </c>
      <c r="D143" s="91"/>
      <c r="E143" s="91"/>
      <c r="F143" s="91">
        <v>350</v>
      </c>
      <c r="G143" s="91"/>
      <c r="H143" s="58">
        <f t="shared" si="5"/>
        <v>0</v>
      </c>
      <c r="I143" s="84"/>
      <c r="J143" s="82"/>
    </row>
    <row r="144" spans="1:10" s="42" customFormat="1" ht="21" hidden="1" customHeight="1" outlineLevel="1">
      <c r="A144" s="39"/>
      <c r="B144" s="62" t="s">
        <v>190</v>
      </c>
      <c r="C144" s="32" t="s">
        <v>12</v>
      </c>
      <c r="D144" s="91"/>
      <c r="E144" s="91"/>
      <c r="F144" s="91">
        <v>3980</v>
      </c>
      <c r="G144" s="91">
        <v>4129</v>
      </c>
      <c r="H144" s="58">
        <f t="shared" si="5"/>
        <v>103.74371859296483</v>
      </c>
      <c r="I144" s="84"/>
      <c r="J144" s="82"/>
    </row>
    <row r="145" spans="1:10" ht="21" customHeight="1" collapsed="1">
      <c r="A145" s="32"/>
      <c r="B145" s="20" t="s">
        <v>272</v>
      </c>
      <c r="C145" s="32" t="s">
        <v>8</v>
      </c>
      <c r="D145" s="90">
        <v>5412</v>
      </c>
      <c r="E145" s="90">
        <v>5400</v>
      </c>
      <c r="F145" s="90">
        <v>5700</v>
      </c>
      <c r="G145" s="90">
        <v>5515</v>
      </c>
      <c r="H145" s="58">
        <f t="shared" si="5"/>
        <v>96.754385964912274</v>
      </c>
      <c r="I145" s="3"/>
      <c r="J145" s="81"/>
    </row>
    <row r="146" spans="1:10" ht="21" customHeight="1">
      <c r="A146" s="32"/>
      <c r="B146" s="20" t="s">
        <v>273</v>
      </c>
      <c r="C146" s="32" t="s">
        <v>8</v>
      </c>
      <c r="D146" s="90">
        <v>3521</v>
      </c>
      <c r="E146" s="90">
        <v>3560</v>
      </c>
      <c r="F146" s="90">
        <v>3570</v>
      </c>
      <c r="G146" s="90">
        <v>3558</v>
      </c>
      <c r="H146" s="58">
        <f t="shared" si="5"/>
        <v>99.663865546218474</v>
      </c>
      <c r="I146" s="3"/>
    </row>
    <row r="147" spans="1:10" ht="21" customHeight="1">
      <c r="A147" s="32"/>
      <c r="B147" s="20" t="s">
        <v>342</v>
      </c>
      <c r="C147" s="32" t="s">
        <v>8</v>
      </c>
      <c r="D147" s="90">
        <v>741</v>
      </c>
      <c r="E147" s="90">
        <v>741</v>
      </c>
      <c r="F147" s="90">
        <v>830</v>
      </c>
      <c r="G147" s="151">
        <v>807</v>
      </c>
      <c r="H147" s="58">
        <f t="shared" si="5"/>
        <v>97.228915662650593</v>
      </c>
      <c r="I147" s="3"/>
    </row>
    <row r="148" spans="1:10" s="18" customFormat="1" ht="21" customHeight="1">
      <c r="A148" s="11">
        <v>2</v>
      </c>
      <c r="B148" s="15" t="s">
        <v>436</v>
      </c>
      <c r="C148" s="11"/>
      <c r="D148" s="176"/>
      <c r="E148" s="176"/>
      <c r="F148" s="176"/>
      <c r="G148" s="176"/>
      <c r="H148" s="66"/>
      <c r="I148" s="83"/>
    </row>
    <row r="149" spans="1:10" ht="21" customHeight="1">
      <c r="A149" s="32"/>
      <c r="B149" s="46" t="s">
        <v>60</v>
      </c>
      <c r="C149" s="32" t="s">
        <v>8</v>
      </c>
      <c r="D149" s="90"/>
      <c r="E149" s="90"/>
      <c r="F149" s="90">
        <v>60</v>
      </c>
      <c r="G149" s="90">
        <v>41</v>
      </c>
      <c r="H149" s="58">
        <f t="shared" ref="H149:H190" si="6">IFERROR(G149/F149%,"")</f>
        <v>68.333333333333343</v>
      </c>
      <c r="I149" s="3"/>
    </row>
    <row r="150" spans="1:10" ht="21" customHeight="1">
      <c r="A150" s="32"/>
      <c r="B150" s="46" t="s">
        <v>59</v>
      </c>
      <c r="C150" s="32" t="s">
        <v>8</v>
      </c>
      <c r="D150" s="90"/>
      <c r="E150" s="90"/>
      <c r="F150" s="90">
        <v>60</v>
      </c>
      <c r="G150" s="90">
        <v>0</v>
      </c>
      <c r="H150" s="58">
        <f t="shared" si="6"/>
        <v>0</v>
      </c>
      <c r="I150" s="3"/>
    </row>
    <row r="151" spans="1:10" s="165" customFormat="1" ht="22.5" hidden="1" customHeight="1" outlineLevel="1">
      <c r="A151" s="161">
        <v>3</v>
      </c>
      <c r="B151" s="162" t="s">
        <v>398</v>
      </c>
      <c r="C151" s="161"/>
      <c r="D151" s="163">
        <f>SUM(D153:D157)</f>
        <v>37</v>
      </c>
      <c r="E151" s="163">
        <f>SUM(E153:E157)</f>
        <v>38</v>
      </c>
      <c r="F151" s="163">
        <f>SUM(F153:F157)</f>
        <v>38</v>
      </c>
      <c r="G151" s="163">
        <f>SUM(G153:G157)</f>
        <v>38</v>
      </c>
      <c r="H151" s="123">
        <f t="shared" si="6"/>
        <v>100</v>
      </c>
      <c r="I151" s="164"/>
    </row>
    <row r="152" spans="1:10" s="104" customFormat="1" ht="22.5" hidden="1" customHeight="1" outlineLevel="1">
      <c r="A152" s="100"/>
      <c r="B152" s="105" t="s">
        <v>341</v>
      </c>
      <c r="C152" s="100"/>
      <c r="D152" s="102"/>
      <c r="E152" s="102"/>
      <c r="F152" s="102"/>
      <c r="G152" s="102"/>
      <c r="H152" s="103" t="str">
        <f t="shared" si="6"/>
        <v/>
      </c>
      <c r="I152" s="129"/>
    </row>
    <row r="153" spans="1:10" s="104" customFormat="1" ht="22.5" hidden="1" customHeight="1" outlineLevel="1">
      <c r="A153" s="100"/>
      <c r="B153" s="101" t="s">
        <v>343</v>
      </c>
      <c r="C153" s="100" t="s">
        <v>143</v>
      </c>
      <c r="D153" s="102">
        <v>13</v>
      </c>
      <c r="E153" s="102">
        <v>13</v>
      </c>
      <c r="F153" s="102">
        <f>E153</f>
        <v>13</v>
      </c>
      <c r="G153" s="102">
        <f>E153</f>
        <v>13</v>
      </c>
      <c r="H153" s="103">
        <f t="shared" si="6"/>
        <v>100</v>
      </c>
      <c r="I153" s="129"/>
    </row>
    <row r="154" spans="1:10" s="104" customFormat="1" ht="22.5" hidden="1" customHeight="1" outlineLevel="1">
      <c r="A154" s="100"/>
      <c r="B154" s="101" t="s">
        <v>344</v>
      </c>
      <c r="C154" s="100" t="s">
        <v>143</v>
      </c>
      <c r="D154" s="102">
        <v>13</v>
      </c>
      <c r="E154" s="102">
        <v>14</v>
      </c>
      <c r="F154" s="102">
        <f>E154</f>
        <v>14</v>
      </c>
      <c r="G154" s="102">
        <f>E154</f>
        <v>14</v>
      </c>
      <c r="H154" s="103">
        <f t="shared" si="6"/>
        <v>99.999999999999986</v>
      </c>
      <c r="I154" s="129"/>
    </row>
    <row r="155" spans="1:10" s="104" customFormat="1" ht="22.5" hidden="1" customHeight="1" outlineLevel="1">
      <c r="A155" s="100"/>
      <c r="B155" s="101" t="s">
        <v>345</v>
      </c>
      <c r="C155" s="100" t="s">
        <v>143</v>
      </c>
      <c r="D155" s="102">
        <v>9</v>
      </c>
      <c r="E155" s="102">
        <v>9</v>
      </c>
      <c r="F155" s="102">
        <f>E155</f>
        <v>9</v>
      </c>
      <c r="G155" s="102">
        <f>E155</f>
        <v>9</v>
      </c>
      <c r="H155" s="103">
        <f t="shared" si="6"/>
        <v>100</v>
      </c>
      <c r="I155" s="129"/>
    </row>
    <row r="156" spans="1:10" s="104" customFormat="1" ht="22.5" hidden="1" customHeight="1" outlineLevel="1">
      <c r="A156" s="100"/>
      <c r="B156" s="101" t="s">
        <v>346</v>
      </c>
      <c r="C156" s="100" t="s">
        <v>143</v>
      </c>
      <c r="D156" s="102">
        <v>1</v>
      </c>
      <c r="E156" s="102">
        <v>1</v>
      </c>
      <c r="F156" s="102">
        <f>E156</f>
        <v>1</v>
      </c>
      <c r="G156" s="102">
        <f>E156</f>
        <v>1</v>
      </c>
      <c r="H156" s="103">
        <f t="shared" si="6"/>
        <v>100</v>
      </c>
      <c r="I156" s="129"/>
    </row>
    <row r="157" spans="1:10" s="104" customFormat="1" ht="22.5" hidden="1" customHeight="1" outlineLevel="1">
      <c r="A157" s="100"/>
      <c r="B157" s="101" t="s">
        <v>347</v>
      </c>
      <c r="C157" s="100" t="s">
        <v>143</v>
      </c>
      <c r="D157" s="102">
        <v>1</v>
      </c>
      <c r="E157" s="102">
        <v>1</v>
      </c>
      <c r="F157" s="102">
        <f>E157</f>
        <v>1</v>
      </c>
      <c r="G157" s="102">
        <f>E157</f>
        <v>1</v>
      </c>
      <c r="H157" s="103">
        <f t="shared" si="6"/>
        <v>100</v>
      </c>
      <c r="I157" s="129"/>
    </row>
    <row r="158" spans="1:10" s="165" customFormat="1" ht="22.5" hidden="1" customHeight="1" outlineLevel="1">
      <c r="A158" s="161">
        <v>4</v>
      </c>
      <c r="B158" s="162" t="s">
        <v>348</v>
      </c>
      <c r="C158" s="161" t="s">
        <v>143</v>
      </c>
      <c r="D158" s="163">
        <f>SUM(D160:D164)</f>
        <v>20</v>
      </c>
      <c r="E158" s="163">
        <f>SUM(E160:E164)</f>
        <v>22</v>
      </c>
      <c r="F158" s="163">
        <f>SUM(F160:F164)</f>
        <v>25</v>
      </c>
      <c r="G158" s="163">
        <f>SUM(G160:G164)</f>
        <v>22</v>
      </c>
      <c r="H158" s="123">
        <f t="shared" si="6"/>
        <v>88</v>
      </c>
      <c r="I158" s="164"/>
    </row>
    <row r="159" spans="1:10" s="104" customFormat="1" ht="22.5" hidden="1" customHeight="1" outlineLevel="1">
      <c r="A159" s="100"/>
      <c r="B159" s="105" t="s">
        <v>341</v>
      </c>
      <c r="C159" s="100"/>
      <c r="D159" s="102"/>
      <c r="E159" s="102"/>
      <c r="F159" s="102"/>
      <c r="G159" s="102"/>
      <c r="H159" s="103" t="str">
        <f t="shared" si="6"/>
        <v/>
      </c>
      <c r="I159" s="129"/>
    </row>
    <row r="160" spans="1:10" s="104" customFormat="1" ht="22.5" hidden="1" customHeight="1" outlineLevel="1">
      <c r="A160" s="100"/>
      <c r="B160" s="101" t="s">
        <v>343</v>
      </c>
      <c r="C160" s="100" t="s">
        <v>143</v>
      </c>
      <c r="D160" s="102">
        <v>5</v>
      </c>
      <c r="E160" s="102">
        <v>7</v>
      </c>
      <c r="F160" s="102">
        <v>8</v>
      </c>
      <c r="G160" s="102">
        <f>E160</f>
        <v>7</v>
      </c>
      <c r="H160" s="103">
        <f t="shared" si="6"/>
        <v>87.5</v>
      </c>
      <c r="I160" s="129"/>
    </row>
    <row r="161" spans="1:9" s="104" customFormat="1" ht="22.5" hidden="1" customHeight="1" outlineLevel="1">
      <c r="A161" s="100"/>
      <c r="B161" s="101" t="s">
        <v>344</v>
      </c>
      <c r="C161" s="100" t="s">
        <v>143</v>
      </c>
      <c r="D161" s="102">
        <v>9</v>
      </c>
      <c r="E161" s="102">
        <v>9</v>
      </c>
      <c r="F161" s="102">
        <v>10</v>
      </c>
      <c r="G161" s="102">
        <f>E161</f>
        <v>9</v>
      </c>
      <c r="H161" s="103">
        <f t="shared" si="6"/>
        <v>90</v>
      </c>
      <c r="I161" s="129"/>
    </row>
    <row r="162" spans="1:9" s="104" customFormat="1" ht="22.5" hidden="1" customHeight="1" outlineLevel="1">
      <c r="A162" s="100"/>
      <c r="B162" s="101" t="s">
        <v>345</v>
      </c>
      <c r="C162" s="100" t="s">
        <v>143</v>
      </c>
      <c r="D162" s="102">
        <v>4</v>
      </c>
      <c r="E162" s="102">
        <v>4</v>
      </c>
      <c r="F162" s="102">
        <v>5</v>
      </c>
      <c r="G162" s="102">
        <f>E162</f>
        <v>4</v>
      </c>
      <c r="H162" s="103">
        <f t="shared" si="6"/>
        <v>80</v>
      </c>
      <c r="I162" s="129"/>
    </row>
    <row r="163" spans="1:9" s="104" customFormat="1" ht="22.5" hidden="1" customHeight="1" outlineLevel="1">
      <c r="A163" s="100"/>
      <c r="B163" s="101" t="s">
        <v>346</v>
      </c>
      <c r="C163" s="100" t="s">
        <v>143</v>
      </c>
      <c r="D163" s="102">
        <v>1</v>
      </c>
      <c r="E163" s="102">
        <v>1</v>
      </c>
      <c r="F163" s="102">
        <v>1</v>
      </c>
      <c r="G163" s="102">
        <f>E163</f>
        <v>1</v>
      </c>
      <c r="H163" s="103">
        <f t="shared" si="6"/>
        <v>100</v>
      </c>
      <c r="I163" s="129"/>
    </row>
    <row r="164" spans="1:9" s="104" customFormat="1" ht="22.5" hidden="1" customHeight="1" outlineLevel="1">
      <c r="A164" s="100"/>
      <c r="B164" s="101" t="s">
        <v>347</v>
      </c>
      <c r="C164" s="100" t="s">
        <v>143</v>
      </c>
      <c r="D164" s="102">
        <v>1</v>
      </c>
      <c r="E164" s="102">
        <v>1</v>
      </c>
      <c r="F164" s="102">
        <v>1</v>
      </c>
      <c r="G164" s="102">
        <f>E164</f>
        <v>1</v>
      </c>
      <c r="H164" s="103">
        <f t="shared" si="6"/>
        <v>100</v>
      </c>
      <c r="I164" s="129"/>
    </row>
    <row r="165" spans="1:9" s="18" customFormat="1" ht="22.5" customHeight="1" collapsed="1">
      <c r="A165" s="11">
        <v>3</v>
      </c>
      <c r="B165" s="15" t="s">
        <v>144</v>
      </c>
      <c r="C165" s="11" t="s">
        <v>33</v>
      </c>
      <c r="D165" s="166">
        <f>D158/D151%</f>
        <v>54.054054054054056</v>
      </c>
      <c r="E165" s="166">
        <f>E158/E151%</f>
        <v>57.89473684210526</v>
      </c>
      <c r="F165" s="166">
        <f>F158/F151%</f>
        <v>65.78947368421052</v>
      </c>
      <c r="G165" s="166">
        <f>G158/G151%</f>
        <v>57.89473684210526</v>
      </c>
      <c r="H165" s="66">
        <f t="shared" si="6"/>
        <v>88</v>
      </c>
      <c r="I165" s="83"/>
    </row>
    <row r="166" spans="1:9" ht="22.5" hidden="1" customHeight="1" outlineLevel="1">
      <c r="A166" s="32"/>
      <c r="B166" s="62" t="s">
        <v>341</v>
      </c>
      <c r="C166" s="32"/>
      <c r="D166" s="55"/>
      <c r="E166" s="55"/>
      <c r="F166" s="55"/>
      <c r="G166" s="55"/>
      <c r="H166" s="66" t="str">
        <f t="shared" si="6"/>
        <v/>
      </c>
      <c r="I166" s="3"/>
    </row>
    <row r="167" spans="1:9" ht="22.5" hidden="1" customHeight="1" outlineLevel="1">
      <c r="A167" s="32"/>
      <c r="B167" s="20" t="s">
        <v>343</v>
      </c>
      <c r="C167" s="32" t="s">
        <v>33</v>
      </c>
      <c r="D167" s="55">
        <f t="shared" ref="D167:G171" si="7">D160/D153%</f>
        <v>38.46153846153846</v>
      </c>
      <c r="E167" s="55">
        <f t="shared" si="7"/>
        <v>53.846153846153847</v>
      </c>
      <c r="F167" s="55">
        <f t="shared" si="7"/>
        <v>61.538461538461533</v>
      </c>
      <c r="G167" s="55">
        <f t="shared" si="7"/>
        <v>53.846153846153847</v>
      </c>
      <c r="H167" s="58">
        <f t="shared" si="6"/>
        <v>87.500000000000014</v>
      </c>
      <c r="I167" s="3"/>
    </row>
    <row r="168" spans="1:9" ht="22.5" hidden="1" customHeight="1" outlineLevel="1">
      <c r="A168" s="32"/>
      <c r="B168" s="20" t="s">
        <v>344</v>
      </c>
      <c r="C168" s="32" t="s">
        <v>33</v>
      </c>
      <c r="D168" s="55">
        <f t="shared" si="7"/>
        <v>69.230769230769226</v>
      </c>
      <c r="E168" s="55">
        <f t="shared" si="7"/>
        <v>64.285714285714278</v>
      </c>
      <c r="F168" s="55">
        <f t="shared" si="7"/>
        <v>71.428571428571416</v>
      </c>
      <c r="G168" s="55">
        <f t="shared" si="7"/>
        <v>64.285714285714278</v>
      </c>
      <c r="H168" s="58">
        <f t="shared" si="6"/>
        <v>90</v>
      </c>
      <c r="I168" s="3"/>
    </row>
    <row r="169" spans="1:9" ht="22.5" hidden="1" customHeight="1" outlineLevel="1">
      <c r="A169" s="32"/>
      <c r="B169" s="20" t="s">
        <v>345</v>
      </c>
      <c r="C169" s="32" t="s">
        <v>33</v>
      </c>
      <c r="D169" s="55">
        <f t="shared" si="7"/>
        <v>44.444444444444443</v>
      </c>
      <c r="E169" s="55">
        <f t="shared" si="7"/>
        <v>44.444444444444443</v>
      </c>
      <c r="F169" s="55">
        <f t="shared" si="7"/>
        <v>55.555555555555557</v>
      </c>
      <c r="G169" s="55">
        <f t="shared" si="7"/>
        <v>44.444444444444443</v>
      </c>
      <c r="H169" s="58">
        <f t="shared" si="6"/>
        <v>80</v>
      </c>
      <c r="I169" s="3"/>
    </row>
    <row r="170" spans="1:9" ht="22.5" hidden="1" customHeight="1" outlineLevel="1">
      <c r="A170" s="32"/>
      <c r="B170" s="20" t="s">
        <v>346</v>
      </c>
      <c r="C170" s="32" t="s">
        <v>33</v>
      </c>
      <c r="D170" s="55">
        <f t="shared" si="7"/>
        <v>100</v>
      </c>
      <c r="E170" s="55">
        <f t="shared" si="7"/>
        <v>100</v>
      </c>
      <c r="F170" s="55">
        <f t="shared" si="7"/>
        <v>100</v>
      </c>
      <c r="G170" s="55">
        <f t="shared" si="7"/>
        <v>100</v>
      </c>
      <c r="H170" s="58">
        <f t="shared" si="6"/>
        <v>100</v>
      </c>
      <c r="I170" s="3"/>
    </row>
    <row r="171" spans="1:9" ht="22.5" hidden="1" customHeight="1" outlineLevel="1">
      <c r="A171" s="32"/>
      <c r="B171" s="20" t="s">
        <v>347</v>
      </c>
      <c r="C171" s="32" t="s">
        <v>33</v>
      </c>
      <c r="D171" s="55">
        <f t="shared" si="7"/>
        <v>100</v>
      </c>
      <c r="E171" s="55">
        <f t="shared" si="7"/>
        <v>100</v>
      </c>
      <c r="F171" s="55">
        <f t="shared" si="7"/>
        <v>100</v>
      </c>
      <c r="G171" s="55">
        <f t="shared" si="7"/>
        <v>100</v>
      </c>
      <c r="H171" s="58">
        <f t="shared" si="6"/>
        <v>100</v>
      </c>
      <c r="I171" s="3"/>
    </row>
    <row r="172" spans="1:9" ht="22.5" customHeight="1" collapsed="1">
      <c r="A172" s="106" t="s">
        <v>51</v>
      </c>
      <c r="B172" s="126" t="s">
        <v>350</v>
      </c>
      <c r="C172" s="132"/>
      <c r="D172" s="135"/>
      <c r="E172" s="135"/>
      <c r="F172" s="135"/>
      <c r="G172" s="135"/>
      <c r="H172" s="110" t="str">
        <f t="shared" si="6"/>
        <v/>
      </c>
      <c r="I172" s="134"/>
    </row>
    <row r="173" spans="1:9" ht="22.5" customHeight="1">
      <c r="A173" s="32">
        <v>1</v>
      </c>
      <c r="B173" s="20" t="s">
        <v>351</v>
      </c>
      <c r="C173" s="32" t="s">
        <v>145</v>
      </c>
      <c r="D173" s="13">
        <v>130</v>
      </c>
      <c r="E173" s="13">
        <v>130</v>
      </c>
      <c r="F173" s="13">
        <v>135</v>
      </c>
      <c r="G173" s="13">
        <v>135</v>
      </c>
      <c r="H173" s="58">
        <f t="shared" si="6"/>
        <v>100</v>
      </c>
      <c r="I173" s="3"/>
    </row>
    <row r="174" spans="1:9" ht="24" customHeight="1">
      <c r="A174" s="32">
        <v>2</v>
      </c>
      <c r="B174" s="20" t="s">
        <v>451</v>
      </c>
      <c r="C174" s="32" t="s">
        <v>349</v>
      </c>
      <c r="D174" s="13">
        <v>2</v>
      </c>
      <c r="E174" s="13">
        <v>6</v>
      </c>
      <c r="F174" s="13">
        <v>7</v>
      </c>
      <c r="G174" s="13">
        <v>4</v>
      </c>
      <c r="H174" s="58">
        <f t="shared" si="6"/>
        <v>57.142857142857139</v>
      </c>
      <c r="I174" s="3"/>
    </row>
    <row r="175" spans="1:9" ht="25.5" customHeight="1">
      <c r="A175" s="32"/>
      <c r="B175" s="47" t="s">
        <v>452</v>
      </c>
      <c r="C175" s="32" t="s">
        <v>33</v>
      </c>
      <c r="D175" s="55">
        <f>D174/9%</f>
        <v>22.222222222222221</v>
      </c>
      <c r="E175" s="55">
        <f>E174/9%</f>
        <v>66.666666666666671</v>
      </c>
      <c r="F175" s="55">
        <f>F174/9%</f>
        <v>77.777777777777786</v>
      </c>
      <c r="G175" s="55">
        <f>G174/9%</f>
        <v>44.444444444444443</v>
      </c>
      <c r="H175" s="58">
        <f t="shared" si="6"/>
        <v>57.142857142857132</v>
      </c>
      <c r="I175" s="3"/>
    </row>
    <row r="176" spans="1:9" ht="21.75" customHeight="1">
      <c r="A176" s="32">
        <v>3</v>
      </c>
      <c r="B176" s="46" t="s">
        <v>187</v>
      </c>
      <c r="C176" s="32" t="s">
        <v>33</v>
      </c>
      <c r="D176" s="55">
        <v>83.5</v>
      </c>
      <c r="E176" s="55">
        <v>87</v>
      </c>
      <c r="F176" s="55">
        <v>90</v>
      </c>
      <c r="G176" s="55"/>
      <c r="H176" s="66">
        <f t="shared" si="6"/>
        <v>0</v>
      </c>
      <c r="I176" s="3"/>
    </row>
    <row r="177" spans="1:9" ht="31.5">
      <c r="A177" s="32">
        <v>4</v>
      </c>
      <c r="B177" s="46" t="s">
        <v>412</v>
      </c>
      <c r="C177" s="32" t="s">
        <v>33</v>
      </c>
      <c r="D177" s="74">
        <v>33.1</v>
      </c>
      <c r="E177" s="55">
        <v>31.8</v>
      </c>
      <c r="F177" s="55">
        <v>31.3</v>
      </c>
      <c r="G177" s="55"/>
      <c r="H177" s="66">
        <f t="shared" si="6"/>
        <v>0</v>
      </c>
      <c r="I177" s="3"/>
    </row>
    <row r="178" spans="1:9" ht="31.5">
      <c r="A178" s="32">
        <v>5</v>
      </c>
      <c r="B178" s="46" t="s">
        <v>413</v>
      </c>
      <c r="C178" s="32" t="s">
        <v>33</v>
      </c>
      <c r="D178" s="74">
        <v>20.6</v>
      </c>
      <c r="E178" s="55">
        <v>20</v>
      </c>
      <c r="F178" s="55">
        <v>19.5</v>
      </c>
      <c r="G178" s="55"/>
      <c r="H178" s="66">
        <f t="shared" si="6"/>
        <v>0</v>
      </c>
      <c r="I178" s="3"/>
    </row>
    <row r="179" spans="1:9" ht="31.5">
      <c r="A179" s="106" t="s">
        <v>63</v>
      </c>
      <c r="B179" s="107" t="s">
        <v>192</v>
      </c>
      <c r="C179" s="108"/>
      <c r="D179" s="135"/>
      <c r="E179" s="135"/>
      <c r="F179" s="135"/>
      <c r="G179" s="135"/>
      <c r="H179" s="110" t="str">
        <f t="shared" si="6"/>
        <v/>
      </c>
      <c r="I179" s="134"/>
    </row>
    <row r="180" spans="1:9" ht="22.5" customHeight="1">
      <c r="A180" s="11">
        <v>1</v>
      </c>
      <c r="B180" s="63" t="s">
        <v>193</v>
      </c>
      <c r="C180" s="12"/>
      <c r="D180" s="13"/>
      <c r="E180" s="13"/>
      <c r="F180" s="13"/>
      <c r="G180" s="13"/>
      <c r="H180" s="66" t="str">
        <f t="shared" si="6"/>
        <v/>
      </c>
      <c r="I180" s="3"/>
    </row>
    <row r="181" spans="1:9" ht="22.5" customHeight="1">
      <c r="A181" s="19"/>
      <c r="B181" s="48" t="s">
        <v>194</v>
      </c>
      <c r="C181" s="21" t="s">
        <v>16</v>
      </c>
      <c r="D181" s="59">
        <v>1560</v>
      </c>
      <c r="E181" s="59">
        <v>1560</v>
      </c>
      <c r="F181" s="59">
        <f>E181</f>
        <v>1560</v>
      </c>
      <c r="G181" s="59">
        <v>430</v>
      </c>
      <c r="H181" s="58">
        <f t="shared" si="6"/>
        <v>27.564102564102566</v>
      </c>
      <c r="I181" s="3"/>
    </row>
    <row r="182" spans="1:9" ht="22.5" customHeight="1">
      <c r="A182" s="19"/>
      <c r="B182" s="48" t="s">
        <v>195</v>
      </c>
      <c r="C182" s="21" t="s">
        <v>16</v>
      </c>
      <c r="D182" s="59">
        <v>21800</v>
      </c>
      <c r="E182" s="59">
        <v>21800</v>
      </c>
      <c r="F182" s="59">
        <f>E182</f>
        <v>21800</v>
      </c>
      <c r="G182" s="59">
        <v>6100</v>
      </c>
      <c r="H182" s="58">
        <f t="shared" si="6"/>
        <v>27.98165137614679</v>
      </c>
      <c r="I182" s="3"/>
    </row>
    <row r="183" spans="1:9" ht="22.5" hidden="1" customHeight="1" outlineLevel="1">
      <c r="A183" s="11">
        <v>2</v>
      </c>
      <c r="B183" s="63" t="s">
        <v>196</v>
      </c>
      <c r="C183" s="21"/>
      <c r="D183" s="59"/>
      <c r="E183" s="59"/>
      <c r="F183" s="59"/>
      <c r="G183" s="59"/>
      <c r="H183" s="66" t="str">
        <f t="shared" si="6"/>
        <v/>
      </c>
      <c r="I183" s="3"/>
    </row>
    <row r="184" spans="1:9" ht="22.5" hidden="1" customHeight="1" outlineLevel="1">
      <c r="A184" s="32"/>
      <c r="B184" s="48" t="s">
        <v>198</v>
      </c>
      <c r="C184" s="21" t="s">
        <v>199</v>
      </c>
      <c r="D184" s="59">
        <v>9233</v>
      </c>
      <c r="E184" s="59">
        <v>10000</v>
      </c>
      <c r="F184" s="59">
        <v>10250</v>
      </c>
      <c r="G184" s="59"/>
      <c r="H184" s="66">
        <f t="shared" si="6"/>
        <v>0</v>
      </c>
      <c r="I184" s="3"/>
    </row>
    <row r="185" spans="1:9" ht="22.5" hidden="1" customHeight="1" outlineLevel="1">
      <c r="A185" s="32" t="s">
        <v>197</v>
      </c>
      <c r="B185" s="48" t="s">
        <v>200</v>
      </c>
      <c r="C185" s="41" t="s">
        <v>33</v>
      </c>
      <c r="D185" s="59">
        <v>85.6</v>
      </c>
      <c r="E185" s="59">
        <f>E184/E126%</f>
        <v>89.928057553956833</v>
      </c>
      <c r="F185" s="59">
        <f>F184/F126%</f>
        <v>90.070298769771526</v>
      </c>
      <c r="G185" s="59"/>
      <c r="H185" s="58">
        <f t="shared" si="6"/>
        <v>0</v>
      </c>
      <c r="I185" s="3"/>
    </row>
    <row r="186" spans="1:9" ht="22.5" hidden="1" customHeight="1" outlineLevel="1">
      <c r="A186" s="32"/>
      <c r="B186" s="48" t="s">
        <v>202</v>
      </c>
      <c r="C186" s="21" t="s">
        <v>203</v>
      </c>
      <c r="D186" s="6">
        <v>58</v>
      </c>
      <c r="E186" s="6">
        <v>61</v>
      </c>
      <c r="F186" s="6">
        <v>61</v>
      </c>
      <c r="G186" s="6"/>
      <c r="H186" s="58">
        <f t="shared" si="6"/>
        <v>0</v>
      </c>
      <c r="I186" s="3"/>
    </row>
    <row r="187" spans="1:9" ht="22.5" hidden="1" customHeight="1" outlineLevel="1">
      <c r="A187" s="32" t="s">
        <v>201</v>
      </c>
      <c r="B187" s="48" t="s">
        <v>171</v>
      </c>
      <c r="C187" s="41" t="s">
        <v>33</v>
      </c>
      <c r="D187" s="59">
        <f>D186/67%</f>
        <v>86.567164179104466</v>
      </c>
      <c r="E187" s="59">
        <f>E186/67%</f>
        <v>91.044776119402982</v>
      </c>
      <c r="F187" s="59">
        <f>F186/67%</f>
        <v>91.044776119402982</v>
      </c>
      <c r="G187" s="59"/>
      <c r="H187" s="58">
        <f t="shared" si="6"/>
        <v>0</v>
      </c>
      <c r="I187" s="3"/>
    </row>
    <row r="188" spans="1:9" ht="22.5" hidden="1" customHeight="1" outlineLevel="1">
      <c r="A188" s="32" t="s">
        <v>204</v>
      </c>
      <c r="B188" s="48" t="s">
        <v>205</v>
      </c>
      <c r="C188" s="21" t="s">
        <v>206</v>
      </c>
      <c r="D188" s="59">
        <v>88</v>
      </c>
      <c r="E188" s="59">
        <v>90</v>
      </c>
      <c r="F188" s="59">
        <v>90</v>
      </c>
      <c r="G188" s="59"/>
      <c r="H188" s="58">
        <f t="shared" si="6"/>
        <v>0</v>
      </c>
      <c r="I188" s="3"/>
    </row>
    <row r="189" spans="1:9" ht="22.5" hidden="1" customHeight="1" outlineLevel="1">
      <c r="A189" s="32" t="s">
        <v>354</v>
      </c>
      <c r="B189" s="20" t="s">
        <v>356</v>
      </c>
      <c r="C189" s="32" t="s">
        <v>61</v>
      </c>
      <c r="D189" s="59">
        <v>4</v>
      </c>
      <c r="E189" s="59">
        <v>4</v>
      </c>
      <c r="F189" s="59">
        <v>4</v>
      </c>
      <c r="G189" s="59">
        <v>4</v>
      </c>
      <c r="H189" s="58">
        <f t="shared" si="6"/>
        <v>100</v>
      </c>
      <c r="I189" s="3"/>
    </row>
    <row r="190" spans="1:9" ht="36.75" hidden="1" customHeight="1" outlineLevel="1">
      <c r="A190" s="100"/>
      <c r="B190" s="122" t="s">
        <v>502</v>
      </c>
      <c r="C190" s="100"/>
      <c r="D190" s="102"/>
      <c r="E190" s="102"/>
      <c r="F190" s="102"/>
      <c r="G190" s="102"/>
      <c r="H190" s="123" t="str">
        <f t="shared" si="6"/>
        <v/>
      </c>
      <c r="I190" s="3"/>
    </row>
    <row r="191" spans="1:9" ht="23.25" hidden="1" customHeight="1" outlineLevel="1">
      <c r="A191" s="32">
        <v>1</v>
      </c>
      <c r="B191" s="20" t="s">
        <v>299</v>
      </c>
      <c r="C191" s="32" t="s">
        <v>33</v>
      </c>
      <c r="D191" s="20"/>
      <c r="E191" s="20"/>
      <c r="F191" s="20">
        <v>100</v>
      </c>
      <c r="G191" s="20"/>
      <c r="H191" s="20"/>
      <c r="I191" s="20"/>
    </row>
    <row r="192" spans="1:9" ht="15" customHeight="1" collapsed="1">
      <c r="A192" s="97"/>
      <c r="B192" s="98"/>
      <c r="C192" s="97"/>
      <c r="D192" s="98"/>
      <c r="E192" s="98"/>
      <c r="F192" s="98"/>
      <c r="G192" s="98"/>
      <c r="H192" s="98"/>
      <c r="I192" s="98"/>
    </row>
    <row r="193" spans="1:9">
      <c r="A193" s="92"/>
      <c r="B193" s="56"/>
      <c r="C193" s="92"/>
      <c r="D193" s="56"/>
      <c r="E193" s="56"/>
      <c r="F193" s="56"/>
      <c r="G193" s="56"/>
      <c r="H193" s="56"/>
      <c r="I193" s="56"/>
    </row>
    <row r="194" spans="1:9">
      <c r="A194" s="92"/>
      <c r="B194" s="56"/>
      <c r="C194" s="92"/>
      <c r="D194" s="56"/>
      <c r="E194" s="56"/>
      <c r="F194" s="56"/>
      <c r="G194" s="56"/>
      <c r="H194" s="56"/>
      <c r="I194" s="56"/>
    </row>
  </sheetData>
  <mergeCells count="12">
    <mergeCell ref="A1:I1"/>
    <mergeCell ref="A2:I2"/>
    <mergeCell ref="A3:I3"/>
    <mergeCell ref="B5:B6"/>
    <mergeCell ref="A5:A6"/>
    <mergeCell ref="G5:G6"/>
    <mergeCell ref="I5:I6"/>
    <mergeCell ref="E5:E6"/>
    <mergeCell ref="D5:D6"/>
    <mergeCell ref="C5:C6"/>
    <mergeCell ref="F5:F6"/>
    <mergeCell ref="H5:H6"/>
  </mergeCells>
  <pageMargins left="0.47244094488188981" right="0.39370078740157483" top="0.59055118110236227" bottom="0.47244094488188981" header="0.31496062992125984" footer="0.31496062992125984"/>
  <pageSetup paperSize="9" scale="89" fitToHeight="0" orientation="portrait" r:id="rId1"/>
  <headerFooter>
    <oddFooter>&amp;R&amp;"Times New Roman,Regular"&amp;P/&amp;N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2"/>
  <sheetViews>
    <sheetView zoomScale="85" zoomScaleNormal="85" zoomScaleSheetLayoutView="100" workbookViewId="0">
      <pane xSplit="2" ySplit="8" topLeftCell="C97" activePane="bottomRight" state="frozen"/>
      <selection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5.75" outlineLevelRow="2" outlineLevelCol="1"/>
  <cols>
    <col min="1" max="1" width="5.5703125" style="65" customWidth="1"/>
    <col min="2" max="2" width="39.140625" style="5" customWidth="1"/>
    <col min="3" max="3" width="12.140625" style="65" customWidth="1"/>
    <col min="4" max="7" width="12.140625" style="5" hidden="1" customWidth="1" outlineLevel="1"/>
    <col min="8" max="8" width="12.140625" style="5" hidden="1" customWidth="1" outlineLevel="1" collapsed="1"/>
    <col min="9" max="9" width="12.28515625" style="5" customWidth="1" collapsed="1"/>
    <col min="10" max="11" width="12.28515625" style="5" customWidth="1"/>
    <col min="12" max="14" width="11.5703125" style="5" customWidth="1"/>
    <col min="15" max="15" width="10.5703125" style="5" bestFit="1" customWidth="1"/>
    <col min="16" max="16" width="13.7109375" style="5" hidden="1" customWidth="1" outlineLevel="1"/>
    <col min="17" max="17" width="9.140625" style="5" collapsed="1"/>
    <col min="18" max="16384" width="9.140625" style="5"/>
  </cols>
  <sheetData>
    <row r="1" spans="1:16" ht="18.75" hidden="1" outlineLevel="1">
      <c r="A1" s="768" t="s">
        <v>166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</row>
    <row r="2" spans="1:16" ht="18.75" hidden="1" outlineLevel="1">
      <c r="A2" s="769" t="s">
        <v>961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</row>
    <row r="3" spans="1:16" ht="18.75" hidden="1" outlineLevel="1">
      <c r="A3" s="770" t="s">
        <v>920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</row>
    <row r="4" spans="1:16" hidden="1" outlineLevel="1">
      <c r="A4" s="7"/>
      <c r="B4" s="2"/>
      <c r="C4" s="8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" ht="16.5" customHeight="1" collapsed="1">
      <c r="A5" s="771" t="s">
        <v>55</v>
      </c>
      <c r="B5" s="772" t="s">
        <v>69</v>
      </c>
      <c r="C5" s="772" t="s">
        <v>18</v>
      </c>
      <c r="D5" s="772" t="s">
        <v>361</v>
      </c>
      <c r="E5" s="772" t="s">
        <v>415</v>
      </c>
      <c r="F5" s="772" t="s">
        <v>514</v>
      </c>
      <c r="G5" s="772"/>
      <c r="H5" s="772"/>
      <c r="I5" s="766" t="s">
        <v>957</v>
      </c>
      <c r="J5" s="797" t="s">
        <v>516</v>
      </c>
      <c r="K5" s="766" t="s">
        <v>958</v>
      </c>
      <c r="L5" s="797" t="s">
        <v>475</v>
      </c>
      <c r="M5" s="812"/>
      <c r="N5" s="766" t="s">
        <v>75</v>
      </c>
    </row>
    <row r="6" spans="1:16" ht="31.5">
      <c r="A6" s="771"/>
      <c r="B6" s="772"/>
      <c r="C6" s="771"/>
      <c r="D6" s="772"/>
      <c r="E6" s="771"/>
      <c r="F6" s="663" t="s">
        <v>470</v>
      </c>
      <c r="G6" s="663" t="s">
        <v>832</v>
      </c>
      <c r="H6" s="663" t="s">
        <v>838</v>
      </c>
      <c r="I6" s="767"/>
      <c r="J6" s="798"/>
      <c r="K6" s="767"/>
      <c r="L6" s="662" t="s">
        <v>470</v>
      </c>
      <c r="M6" s="662" t="s">
        <v>471</v>
      </c>
      <c r="N6" s="767"/>
    </row>
    <row r="7" spans="1:16">
      <c r="A7" s="664">
        <v>1</v>
      </c>
      <c r="B7" s="664">
        <v>2</v>
      </c>
      <c r="C7" s="664">
        <v>3</v>
      </c>
      <c r="D7" s="664"/>
      <c r="E7" s="664">
        <v>4</v>
      </c>
      <c r="F7" s="664">
        <v>5</v>
      </c>
      <c r="G7" s="664"/>
      <c r="H7" s="664">
        <v>6</v>
      </c>
      <c r="I7" s="664">
        <v>4</v>
      </c>
      <c r="J7" s="664">
        <v>5</v>
      </c>
      <c r="K7" s="664">
        <v>6</v>
      </c>
      <c r="L7" s="665" t="s">
        <v>731</v>
      </c>
      <c r="M7" s="665" t="s">
        <v>833</v>
      </c>
      <c r="N7" s="664">
        <v>9</v>
      </c>
    </row>
    <row r="8" spans="1:16" ht="20.25" customHeight="1">
      <c r="A8" s="118"/>
      <c r="B8" s="119" t="s">
        <v>167</v>
      </c>
      <c r="C8" s="118"/>
      <c r="D8" s="120"/>
      <c r="E8" s="118"/>
      <c r="F8" s="118"/>
      <c r="G8" s="118"/>
      <c r="H8" s="118"/>
      <c r="I8" s="118"/>
      <c r="J8" s="118"/>
      <c r="K8" s="118"/>
      <c r="L8" s="118"/>
      <c r="M8" s="121"/>
      <c r="N8" s="632"/>
    </row>
    <row r="9" spans="1:16" ht="19.5" customHeight="1" collapsed="1">
      <c r="A9" s="161" t="s">
        <v>40</v>
      </c>
      <c r="B9" s="633" t="s">
        <v>332</v>
      </c>
      <c r="C9" s="122"/>
      <c r="D9" s="634"/>
      <c r="E9" s="634"/>
      <c r="F9" s="634"/>
      <c r="G9" s="634"/>
      <c r="H9" s="634"/>
      <c r="I9" s="634"/>
      <c r="J9" s="634"/>
      <c r="K9" s="634"/>
      <c r="L9" s="634"/>
      <c r="M9" s="123"/>
      <c r="N9" s="123"/>
      <c r="O9" s="14"/>
    </row>
    <row r="10" spans="1:16" s="18" customFormat="1" ht="19.5" customHeight="1">
      <c r="A10" s="161" t="s">
        <v>38</v>
      </c>
      <c r="B10" s="162" t="s">
        <v>172</v>
      </c>
      <c r="C10" s="122" t="s">
        <v>130</v>
      </c>
      <c r="D10" s="635">
        <v>347871</v>
      </c>
      <c r="E10" s="635">
        <v>313038</v>
      </c>
      <c r="F10" s="635">
        <v>277205</v>
      </c>
      <c r="G10" s="635">
        <v>239423</v>
      </c>
      <c r="H10" s="635">
        <v>360655</v>
      </c>
      <c r="I10" s="635">
        <v>160001</v>
      </c>
      <c r="J10" s="635">
        <v>312703</v>
      </c>
      <c r="K10" s="635">
        <v>163438</v>
      </c>
      <c r="L10" s="123">
        <f t="shared" ref="L10:L70" si="0">IFERROR(K10/J10%,"")</f>
        <v>52.26620787136676</v>
      </c>
      <c r="M10" s="123">
        <f t="shared" ref="M10:M70" si="1">IFERROR(K10/I10%,"")</f>
        <v>102.14811157430266</v>
      </c>
      <c r="N10" s="164"/>
      <c r="O10" s="17"/>
      <c r="P10" s="358">
        <v>313722</v>
      </c>
    </row>
    <row r="11" spans="1:16" ht="19.5" customHeight="1">
      <c r="A11" s="636" t="s">
        <v>155</v>
      </c>
      <c r="B11" s="101" t="s">
        <v>173</v>
      </c>
      <c r="C11" s="637" t="s">
        <v>130</v>
      </c>
      <c r="D11" s="638">
        <v>90496</v>
      </c>
      <c r="E11" s="638">
        <v>104622</v>
      </c>
      <c r="F11" s="638">
        <v>82860</v>
      </c>
      <c r="G11" s="638">
        <v>98907</v>
      </c>
      <c r="H11" s="638">
        <v>111075</v>
      </c>
      <c r="I11" s="638">
        <v>42946</v>
      </c>
      <c r="J11" s="638">
        <v>98770</v>
      </c>
      <c r="K11" s="638">
        <v>44591</v>
      </c>
      <c r="L11" s="103">
        <f t="shared" si="0"/>
        <v>45.146299483648882</v>
      </c>
      <c r="M11" s="103">
        <f t="shared" si="1"/>
        <v>103.83039165463606</v>
      </c>
      <c r="N11" s="129"/>
      <c r="O11" s="14"/>
      <c r="P11" s="359">
        <v>98700</v>
      </c>
    </row>
    <row r="12" spans="1:16" s="42" customFormat="1" ht="19.5" customHeight="1">
      <c r="A12" s="639"/>
      <c r="B12" s="105" t="s">
        <v>455</v>
      </c>
      <c r="C12" s="640" t="s">
        <v>130</v>
      </c>
      <c r="D12" s="641">
        <v>84999</v>
      </c>
      <c r="E12" s="641">
        <v>71796</v>
      </c>
      <c r="F12" s="641">
        <v>70788</v>
      </c>
      <c r="G12" s="641">
        <v>79682.86</v>
      </c>
      <c r="H12" s="641">
        <v>89040.21</v>
      </c>
      <c r="I12" s="641">
        <v>34550</v>
      </c>
      <c r="J12" s="641">
        <v>80858</v>
      </c>
      <c r="K12" s="641">
        <v>37456</v>
      </c>
      <c r="L12" s="642">
        <f t="shared" si="0"/>
        <v>46.323183853174697</v>
      </c>
      <c r="M12" s="642">
        <f t="shared" si="1"/>
        <v>108.41099855282199</v>
      </c>
      <c r="N12" s="643"/>
      <c r="O12" s="14"/>
      <c r="P12" s="359">
        <v>80858</v>
      </c>
    </row>
    <row r="13" spans="1:16" s="18" customFormat="1" ht="18.75" customHeight="1">
      <c r="A13" s="161" t="s">
        <v>39</v>
      </c>
      <c r="B13" s="162" t="s">
        <v>174</v>
      </c>
      <c r="C13" s="122" t="s">
        <v>130</v>
      </c>
      <c r="D13" s="635">
        <v>308217</v>
      </c>
      <c r="E13" s="635">
        <v>300633</v>
      </c>
      <c r="F13" s="635">
        <v>265133</v>
      </c>
      <c r="G13" s="635">
        <v>205352</v>
      </c>
      <c r="H13" s="635">
        <v>300789</v>
      </c>
      <c r="I13" s="635">
        <v>99197</v>
      </c>
      <c r="J13" s="635">
        <v>294791</v>
      </c>
      <c r="K13" s="635">
        <v>112230</v>
      </c>
      <c r="L13" s="123">
        <f t="shared" si="0"/>
        <v>38.071040160656196</v>
      </c>
      <c r="M13" s="123">
        <f t="shared" si="1"/>
        <v>113.13850217244473</v>
      </c>
      <c r="N13" s="164"/>
      <c r="O13" s="17"/>
      <c r="P13" s="358">
        <v>295880</v>
      </c>
    </row>
    <row r="14" spans="1:16" ht="20.25" customHeight="1">
      <c r="A14" s="636" t="s">
        <v>155</v>
      </c>
      <c r="B14" s="101" t="s">
        <v>175</v>
      </c>
      <c r="C14" s="637" t="s">
        <v>130</v>
      </c>
      <c r="D14" s="638">
        <v>239615</v>
      </c>
      <c r="E14" s="638">
        <v>264543</v>
      </c>
      <c r="F14" s="638">
        <v>232779</v>
      </c>
      <c r="G14" s="638">
        <v>177506</v>
      </c>
      <c r="H14" s="638">
        <v>252381</v>
      </c>
      <c r="I14" s="638">
        <v>83594</v>
      </c>
      <c r="J14" s="638">
        <v>245608</v>
      </c>
      <c r="K14" s="638">
        <v>110275</v>
      </c>
      <c r="L14" s="103">
        <f t="shared" si="0"/>
        <v>44.898781798638481</v>
      </c>
      <c r="M14" s="103">
        <f>IFERROR(K14/I14%,"")</f>
        <v>131.91736249013087</v>
      </c>
      <c r="N14" s="129"/>
      <c r="O14" s="14"/>
      <c r="P14" s="359">
        <v>245608</v>
      </c>
    </row>
    <row r="15" spans="1:16" ht="20.25" customHeight="1">
      <c r="A15" s="11"/>
      <c r="B15" s="30" t="s">
        <v>177</v>
      </c>
      <c r="C15" s="24"/>
      <c r="D15" s="25"/>
      <c r="E15" s="25"/>
      <c r="F15" s="25"/>
      <c r="G15" s="25"/>
      <c r="H15" s="25"/>
      <c r="I15" s="25"/>
      <c r="J15" s="25"/>
      <c r="K15" s="25"/>
      <c r="L15" s="66" t="str">
        <f t="shared" si="0"/>
        <v/>
      </c>
      <c r="M15" s="66" t="str">
        <f t="shared" si="1"/>
        <v/>
      </c>
      <c r="N15" s="66"/>
    </row>
    <row r="16" spans="1:16" ht="20.25" customHeight="1">
      <c r="A16" s="32" t="s">
        <v>56</v>
      </c>
      <c r="B16" s="35" t="s">
        <v>401</v>
      </c>
      <c r="C16" s="32" t="s">
        <v>37</v>
      </c>
      <c r="D16" s="29">
        <f t="shared" ref="D16:K16" si="2">D17+D67</f>
        <v>10546.03</v>
      </c>
      <c r="E16" s="29">
        <f t="shared" si="2"/>
        <v>10828.300000000001</v>
      </c>
      <c r="F16" s="29">
        <f t="shared" si="2"/>
        <v>10869.1</v>
      </c>
      <c r="G16" s="29">
        <f t="shared" si="2"/>
        <v>11169.87</v>
      </c>
      <c r="H16" s="29">
        <f t="shared" si="2"/>
        <v>11215.070000000002</v>
      </c>
      <c r="I16" s="29">
        <f t="shared" si="2"/>
        <v>16316.350000000002</v>
      </c>
      <c r="J16" s="29">
        <f t="shared" si="2"/>
        <v>18304.2</v>
      </c>
      <c r="K16" s="29">
        <f t="shared" si="2"/>
        <v>16550.800000000003</v>
      </c>
      <c r="L16" s="58">
        <f t="shared" si="0"/>
        <v>90.420777744998432</v>
      </c>
      <c r="M16" s="58">
        <f t="shared" si="1"/>
        <v>101.43690224835824</v>
      </c>
      <c r="N16" s="3"/>
    </row>
    <row r="17" spans="1:17" ht="17.25" customHeight="1">
      <c r="A17" s="11" t="s">
        <v>38</v>
      </c>
      <c r="B17" s="30" t="s">
        <v>439</v>
      </c>
      <c r="C17" s="11" t="s">
        <v>37</v>
      </c>
      <c r="D17" s="27">
        <f t="shared" ref="D17:I17" si="3">D20+D47+D54+D50+D63</f>
        <v>732.03</v>
      </c>
      <c r="E17" s="27">
        <f t="shared" si="3"/>
        <v>756.7</v>
      </c>
      <c r="F17" s="27">
        <f t="shared" si="3"/>
        <v>747</v>
      </c>
      <c r="G17" s="27">
        <f t="shared" si="3"/>
        <v>751.17000000000007</v>
      </c>
      <c r="H17" s="27">
        <f t="shared" si="3"/>
        <v>751.17000000000007</v>
      </c>
      <c r="I17" s="27">
        <f t="shared" si="3"/>
        <v>6239.7000000000007</v>
      </c>
      <c r="J17" s="27">
        <f>J20+J47+J54+J50+J63</f>
        <v>7873</v>
      </c>
      <c r="K17" s="27">
        <f>K20+K47+K54+K50+K63</f>
        <v>6218.8</v>
      </c>
      <c r="L17" s="66">
        <f t="shared" si="0"/>
        <v>78.988949574495109</v>
      </c>
      <c r="M17" s="66">
        <f t="shared" si="1"/>
        <v>99.665047999102512</v>
      </c>
      <c r="N17" s="3"/>
      <c r="Q17" s="77"/>
    </row>
    <row r="18" spans="1:17" ht="17.25" customHeight="1">
      <c r="A18" s="11"/>
      <c r="B18" s="35" t="s">
        <v>504</v>
      </c>
      <c r="C18" s="32" t="s">
        <v>37</v>
      </c>
      <c r="D18" s="27"/>
      <c r="E18" s="27"/>
      <c r="F18" s="27"/>
      <c r="G18" s="27"/>
      <c r="H18" s="27"/>
      <c r="I18" s="27">
        <f>I26+I41+I50+I57</f>
        <v>746.7</v>
      </c>
      <c r="J18" s="27">
        <f>J26+J41+J50+J57</f>
        <v>738</v>
      </c>
      <c r="K18" s="27">
        <f>K26+K41+K50+K57</f>
        <v>741.80000000000007</v>
      </c>
      <c r="L18" s="66">
        <f>IFERROR(K18/J18%,"")</f>
        <v>100.5149051490515</v>
      </c>
      <c r="M18" s="66">
        <f>IFERROR(K18/I18%,"")</f>
        <v>99.34377929556716</v>
      </c>
      <c r="N18" s="3"/>
    </row>
    <row r="19" spans="1:17" ht="17.25" customHeight="1">
      <c r="A19" s="11"/>
      <c r="B19" s="35" t="s">
        <v>503</v>
      </c>
      <c r="C19" s="32" t="s">
        <v>37</v>
      </c>
      <c r="D19" s="27"/>
      <c r="E19" s="27"/>
      <c r="F19" s="27"/>
      <c r="G19" s="27"/>
      <c r="H19" s="27"/>
      <c r="I19" s="27">
        <f>I29+I44+I47+I60</f>
        <v>5493</v>
      </c>
      <c r="J19" s="27">
        <f>J29+J44+J47+J60</f>
        <v>7135</v>
      </c>
      <c r="K19" s="27">
        <f>K29+K44+K47+K60</f>
        <v>5477</v>
      </c>
      <c r="L19" s="66">
        <f>IFERROR(K19/J19%,"")</f>
        <v>76.762438682550808</v>
      </c>
      <c r="M19" s="66">
        <f>IFERROR(K19/I19%,"")</f>
        <v>99.708720189331871</v>
      </c>
      <c r="N19" s="3"/>
    </row>
    <row r="20" spans="1:17" s="18" customFormat="1" ht="17.25" customHeight="1">
      <c r="A20" s="11">
        <v>1</v>
      </c>
      <c r="B20" s="30" t="s">
        <v>22</v>
      </c>
      <c r="C20" s="11" t="s">
        <v>37</v>
      </c>
      <c r="D20" s="27">
        <f t="shared" ref="D20:K20" si="4">D23+D38</f>
        <v>625.53</v>
      </c>
      <c r="E20" s="27">
        <f t="shared" si="4"/>
        <v>609.20000000000005</v>
      </c>
      <c r="F20" s="27">
        <f t="shared" si="4"/>
        <v>594</v>
      </c>
      <c r="G20" s="27">
        <f t="shared" si="4"/>
        <v>599.07000000000005</v>
      </c>
      <c r="H20" s="27">
        <f t="shared" si="4"/>
        <v>599.07000000000005</v>
      </c>
      <c r="I20" s="27">
        <f t="shared" si="4"/>
        <v>907.1</v>
      </c>
      <c r="J20" s="27">
        <f t="shared" si="4"/>
        <v>1613</v>
      </c>
      <c r="K20" s="27">
        <f t="shared" si="4"/>
        <v>925.7</v>
      </c>
      <c r="L20" s="66">
        <f t="shared" si="0"/>
        <v>57.389956602603853</v>
      </c>
      <c r="M20" s="66">
        <f t="shared" si="1"/>
        <v>102.05049057435785</v>
      </c>
      <c r="N20" s="83"/>
    </row>
    <row r="21" spans="1:17" ht="17.25" hidden="1" customHeight="1" outlineLevel="1">
      <c r="A21" s="32"/>
      <c r="B21" s="35"/>
      <c r="C21" s="34"/>
      <c r="D21" s="29"/>
      <c r="E21" s="29"/>
      <c r="F21" s="29"/>
      <c r="G21" s="29"/>
      <c r="H21" s="29"/>
      <c r="I21" s="29"/>
      <c r="J21" s="29"/>
      <c r="K21" s="29"/>
      <c r="L21" s="58"/>
      <c r="M21" s="58"/>
      <c r="N21" s="3"/>
    </row>
    <row r="22" spans="1:17" ht="17.25" hidden="1" customHeight="1" outlineLevel="1">
      <c r="A22" s="32"/>
      <c r="B22" s="35"/>
      <c r="C22" s="32"/>
      <c r="D22" s="29"/>
      <c r="E22" s="29"/>
      <c r="F22" s="29"/>
      <c r="G22" s="29"/>
      <c r="H22" s="29"/>
      <c r="I22" s="29"/>
      <c r="J22" s="29"/>
      <c r="K22" s="29"/>
      <c r="L22" s="58"/>
      <c r="M22" s="58"/>
      <c r="N22" s="3"/>
    </row>
    <row r="23" spans="1:17" s="18" customFormat="1" ht="17.25" customHeight="1" collapsed="1">
      <c r="A23" s="11" t="s">
        <v>34</v>
      </c>
      <c r="B23" s="44" t="s">
        <v>440</v>
      </c>
      <c r="C23" s="11" t="s">
        <v>37</v>
      </c>
      <c r="D23" s="16">
        <f t="shared" ref="D23:K23" si="5">D26+D29</f>
        <v>597.30999999999995</v>
      </c>
      <c r="E23" s="16">
        <f t="shared" si="5"/>
        <v>570.5</v>
      </c>
      <c r="F23" s="16">
        <f t="shared" si="5"/>
        <v>571</v>
      </c>
      <c r="G23" s="16">
        <f t="shared" si="5"/>
        <v>573.87</v>
      </c>
      <c r="H23" s="16">
        <f t="shared" si="5"/>
        <v>573.87</v>
      </c>
      <c r="I23" s="16">
        <f t="shared" si="5"/>
        <v>863.9</v>
      </c>
      <c r="J23" s="16">
        <f t="shared" si="5"/>
        <v>1531</v>
      </c>
      <c r="K23" s="16">
        <f t="shared" si="5"/>
        <v>893.2</v>
      </c>
      <c r="L23" s="66">
        <f t="shared" si="0"/>
        <v>58.340953625081646</v>
      </c>
      <c r="M23" s="66">
        <f t="shared" si="1"/>
        <v>103.39159624956594</v>
      </c>
      <c r="N23" s="83"/>
    </row>
    <row r="24" spans="1:17" ht="17.25" customHeight="1">
      <c r="A24" s="32"/>
      <c r="B24" s="37" t="s">
        <v>27</v>
      </c>
      <c r="C24" s="34" t="s">
        <v>21</v>
      </c>
      <c r="D24" s="38">
        <f t="shared" ref="D24:K24" si="6">D25/D23*10</f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 t="shared" si="6"/>
        <v>31.275856001852063</v>
      </c>
      <c r="J24" s="38">
        <f t="shared" si="6"/>
        <v>43.808922273024166</v>
      </c>
      <c r="K24" s="38">
        <f t="shared" si="6"/>
        <v>30.392691446484548</v>
      </c>
      <c r="L24" s="58">
        <f t="shared" si="0"/>
        <v>69.375574356914029</v>
      </c>
      <c r="M24" s="58">
        <f t="shared" si="1"/>
        <v>97.176209804408813</v>
      </c>
      <c r="N24" s="3"/>
    </row>
    <row r="25" spans="1:17" ht="17.25" customHeight="1">
      <c r="A25" s="32"/>
      <c r="B25" s="37" t="s">
        <v>28</v>
      </c>
      <c r="C25" s="34" t="s">
        <v>76</v>
      </c>
      <c r="D25" s="22">
        <f t="shared" ref="D25:K25" si="7">D28+D31</f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I25" s="22">
        <f t="shared" si="7"/>
        <v>2701.9211999999998</v>
      </c>
      <c r="J25" s="22">
        <f t="shared" si="7"/>
        <v>6707.1459999999997</v>
      </c>
      <c r="K25" s="22">
        <f t="shared" si="7"/>
        <v>2714.6752000000001</v>
      </c>
      <c r="L25" s="58">
        <f t="shared" si="0"/>
        <v>40.474371662701245</v>
      </c>
      <c r="M25" s="58">
        <f t="shared" si="1"/>
        <v>100.47203449160547</v>
      </c>
      <c r="N25" s="3"/>
    </row>
    <row r="26" spans="1:17" ht="17.25" customHeight="1">
      <c r="A26" s="32" t="s">
        <v>420</v>
      </c>
      <c r="B26" s="611" t="s">
        <v>441</v>
      </c>
      <c r="C26" s="32" t="s">
        <v>37</v>
      </c>
      <c r="D26" s="22">
        <v>597.30999999999995</v>
      </c>
      <c r="E26" s="137">
        <v>570.5</v>
      </c>
      <c r="F26" s="59">
        <v>571</v>
      </c>
      <c r="G26" s="59">
        <v>573.87</v>
      </c>
      <c r="H26" s="59">
        <v>573.87</v>
      </c>
      <c r="I26" s="58">
        <f>QI.2018!H26</f>
        <v>573.9</v>
      </c>
      <c r="J26" s="58">
        <v>571</v>
      </c>
      <c r="K26" s="58">
        <v>573.20000000000005</v>
      </c>
      <c r="L26" s="58">
        <f t="shared" si="0"/>
        <v>100.38528896672506</v>
      </c>
      <c r="M26" s="58">
        <f t="shared" si="1"/>
        <v>99.878027530928748</v>
      </c>
      <c r="N26" s="3"/>
    </row>
    <row r="27" spans="1:17" ht="17.25" customHeight="1">
      <c r="A27" s="32"/>
      <c r="B27" s="116" t="s">
        <v>27</v>
      </c>
      <c r="C27" s="34" t="s">
        <v>21</v>
      </c>
      <c r="D27" s="25"/>
      <c r="E27" s="38"/>
      <c r="F27" s="58"/>
      <c r="G27" s="58"/>
      <c r="H27" s="58"/>
      <c r="I27" s="58">
        <v>47.08</v>
      </c>
      <c r="J27" s="58">
        <v>47.26</v>
      </c>
      <c r="K27" s="58">
        <v>47.36</v>
      </c>
      <c r="L27" s="58">
        <f t="shared" si="0"/>
        <v>100.21159542953873</v>
      </c>
      <c r="M27" s="58">
        <f t="shared" si="1"/>
        <v>100.59473237043331</v>
      </c>
      <c r="N27" s="3"/>
    </row>
    <row r="28" spans="1:17" ht="17.25" customHeight="1">
      <c r="A28" s="32"/>
      <c r="B28" s="117" t="s">
        <v>28</v>
      </c>
      <c r="C28" s="34" t="s">
        <v>76</v>
      </c>
      <c r="D28" s="22"/>
      <c r="E28" s="22"/>
      <c r="F28" s="22"/>
      <c r="G28" s="22"/>
      <c r="H28" s="22"/>
      <c r="I28" s="22">
        <f>I26*I27/10</f>
        <v>2701.9211999999998</v>
      </c>
      <c r="J28" s="22">
        <f>J26*J27/10</f>
        <v>2698.5459999999998</v>
      </c>
      <c r="K28" s="22">
        <f>K26*K27/10</f>
        <v>2714.6752000000001</v>
      </c>
      <c r="L28" s="58">
        <f t="shared" si="0"/>
        <v>100.59769965010788</v>
      </c>
      <c r="M28" s="58">
        <f t="shared" si="1"/>
        <v>100.47203449160547</v>
      </c>
      <c r="N28" s="3"/>
    </row>
    <row r="29" spans="1:17" ht="17.25" customHeight="1">
      <c r="A29" s="32" t="s">
        <v>421</v>
      </c>
      <c r="B29" s="609" t="s">
        <v>442</v>
      </c>
      <c r="C29" s="32" t="s">
        <v>37</v>
      </c>
      <c r="D29" s="22"/>
      <c r="E29" s="29"/>
      <c r="F29" s="29"/>
      <c r="G29" s="29"/>
      <c r="H29" s="29"/>
      <c r="I29" s="29">
        <f>I32+I35</f>
        <v>290</v>
      </c>
      <c r="J29" s="29">
        <f>J32+J35</f>
        <v>960</v>
      </c>
      <c r="K29" s="29">
        <f>K32+K35</f>
        <v>320</v>
      </c>
      <c r="L29" s="58">
        <f t="shared" si="0"/>
        <v>33.333333333333336</v>
      </c>
      <c r="M29" s="58">
        <f t="shared" si="1"/>
        <v>110.3448275862069</v>
      </c>
      <c r="N29" s="3"/>
    </row>
    <row r="30" spans="1:17" ht="17.25" customHeight="1">
      <c r="A30" s="32"/>
      <c r="B30" s="117" t="s">
        <v>27</v>
      </c>
      <c r="C30" s="34" t="s">
        <v>21</v>
      </c>
      <c r="D30" s="38"/>
      <c r="E30" s="28"/>
      <c r="F30" s="28"/>
      <c r="G30" s="28"/>
      <c r="H30" s="28"/>
      <c r="I30" s="28">
        <f>I31/I29*10</f>
        <v>0</v>
      </c>
      <c r="J30" s="28">
        <f>J31/J29*10</f>
        <v>41.756250000000001</v>
      </c>
      <c r="K30" s="28">
        <f>K31/K29*10</f>
        <v>0</v>
      </c>
      <c r="L30" s="58">
        <f t="shared" si="0"/>
        <v>0</v>
      </c>
      <c r="M30" s="58" t="str">
        <f t="shared" si="1"/>
        <v/>
      </c>
      <c r="N30" s="3"/>
    </row>
    <row r="31" spans="1:17" ht="17.25" customHeight="1">
      <c r="A31" s="32"/>
      <c r="B31" s="117" t="s">
        <v>28</v>
      </c>
      <c r="C31" s="34" t="s">
        <v>76</v>
      </c>
      <c r="D31" s="22"/>
      <c r="E31" s="29"/>
      <c r="F31" s="29"/>
      <c r="G31" s="29"/>
      <c r="H31" s="29"/>
      <c r="I31" s="29">
        <f>I34+I37</f>
        <v>0</v>
      </c>
      <c r="J31" s="29">
        <f>J34+J37</f>
        <v>4008.6</v>
      </c>
      <c r="K31" s="29">
        <f>K34+K37</f>
        <v>0</v>
      </c>
      <c r="L31" s="58">
        <f t="shared" si="0"/>
        <v>0</v>
      </c>
      <c r="M31" s="58" t="str">
        <f t="shared" si="1"/>
        <v/>
      </c>
      <c r="N31" s="3"/>
    </row>
    <row r="32" spans="1:17" ht="17.25" customHeight="1">
      <c r="A32" s="32"/>
      <c r="B32" s="610" t="s">
        <v>443</v>
      </c>
      <c r="C32" s="32" t="s">
        <v>37</v>
      </c>
      <c r="D32" s="22"/>
      <c r="E32" s="38"/>
      <c r="F32" s="22"/>
      <c r="G32" s="22"/>
      <c r="H32" s="22"/>
      <c r="I32" s="22">
        <f>'Thang 5'!G34</f>
        <v>280</v>
      </c>
      <c r="J32" s="22">
        <v>900</v>
      </c>
      <c r="K32" s="22">
        <v>300</v>
      </c>
      <c r="L32" s="58">
        <f t="shared" si="0"/>
        <v>33.333333333333336</v>
      </c>
      <c r="M32" s="58">
        <f t="shared" si="1"/>
        <v>107.14285714285715</v>
      </c>
      <c r="N32" s="3"/>
    </row>
    <row r="33" spans="1:14" ht="17.25" customHeight="1">
      <c r="A33" s="32"/>
      <c r="B33" s="115" t="s">
        <v>27</v>
      </c>
      <c r="C33" s="34" t="s">
        <v>21</v>
      </c>
      <c r="D33" s="25"/>
      <c r="E33" s="38"/>
      <c r="F33" s="38"/>
      <c r="G33" s="38"/>
      <c r="H33" s="38"/>
      <c r="I33" s="38"/>
      <c r="J33" s="38">
        <v>43.74</v>
      </c>
      <c r="K33" s="38"/>
      <c r="L33" s="58">
        <f t="shared" si="0"/>
        <v>0</v>
      </c>
      <c r="M33" s="58" t="str">
        <f t="shared" si="1"/>
        <v/>
      </c>
      <c r="N33" s="3"/>
    </row>
    <row r="34" spans="1:14" ht="17.25" customHeight="1">
      <c r="A34" s="32"/>
      <c r="B34" s="115" t="s">
        <v>28</v>
      </c>
      <c r="C34" s="34" t="s">
        <v>76</v>
      </c>
      <c r="D34" s="22"/>
      <c r="E34" s="22"/>
      <c r="F34" s="22"/>
      <c r="G34" s="22"/>
      <c r="H34" s="22"/>
      <c r="I34" s="22">
        <f>I32*I33/10</f>
        <v>0</v>
      </c>
      <c r="J34" s="22">
        <f>J32*J33/10</f>
        <v>3936.6</v>
      </c>
      <c r="K34" s="22">
        <f>K32*K33/10</f>
        <v>0</v>
      </c>
      <c r="L34" s="58">
        <f t="shared" si="0"/>
        <v>0</v>
      </c>
      <c r="M34" s="58" t="str">
        <f t="shared" si="1"/>
        <v/>
      </c>
      <c r="N34" s="3"/>
    </row>
    <row r="35" spans="1:14" ht="17.25" customHeight="1">
      <c r="A35" s="32"/>
      <c r="B35" s="610" t="s">
        <v>456</v>
      </c>
      <c r="C35" s="32" t="s">
        <v>37</v>
      </c>
      <c r="D35" s="22"/>
      <c r="E35" s="22"/>
      <c r="F35" s="22"/>
      <c r="G35" s="22"/>
      <c r="H35" s="22"/>
      <c r="I35" s="22">
        <f>'Thang 5'!G37</f>
        <v>10</v>
      </c>
      <c r="J35" s="22">
        <v>60</v>
      </c>
      <c r="K35" s="22">
        <v>20</v>
      </c>
      <c r="L35" s="58">
        <f t="shared" si="0"/>
        <v>33.333333333333336</v>
      </c>
      <c r="M35" s="58">
        <f t="shared" si="1"/>
        <v>200</v>
      </c>
      <c r="N35" s="3"/>
    </row>
    <row r="36" spans="1:14" ht="17.25" customHeight="1">
      <c r="A36" s="32"/>
      <c r="B36" s="115" t="s">
        <v>27</v>
      </c>
      <c r="C36" s="34" t="s">
        <v>21</v>
      </c>
      <c r="D36" s="38"/>
      <c r="E36" s="38"/>
      <c r="F36" s="38"/>
      <c r="G36" s="38"/>
      <c r="H36" s="38"/>
      <c r="I36" s="38"/>
      <c r="J36" s="38">
        <v>12</v>
      </c>
      <c r="K36" s="38"/>
      <c r="L36" s="58">
        <f t="shared" si="0"/>
        <v>0</v>
      </c>
      <c r="M36" s="58" t="str">
        <f t="shared" si="1"/>
        <v/>
      </c>
      <c r="N36" s="3"/>
    </row>
    <row r="37" spans="1:14" ht="17.25" customHeight="1">
      <c r="A37" s="32"/>
      <c r="B37" s="115" t="s">
        <v>28</v>
      </c>
      <c r="C37" s="34" t="s">
        <v>76</v>
      </c>
      <c r="D37" s="22"/>
      <c r="E37" s="22"/>
      <c r="F37" s="22"/>
      <c r="G37" s="22"/>
      <c r="H37" s="22"/>
      <c r="I37" s="22">
        <f>I36*I35/10</f>
        <v>0</v>
      </c>
      <c r="J37" s="22">
        <f>J36*J35/10</f>
        <v>72</v>
      </c>
      <c r="K37" s="22">
        <f>K36*K35/10</f>
        <v>0</v>
      </c>
      <c r="L37" s="58">
        <f t="shared" si="0"/>
        <v>0</v>
      </c>
      <c r="M37" s="58" t="str">
        <f t="shared" si="1"/>
        <v/>
      </c>
      <c r="N37" s="3"/>
    </row>
    <row r="38" spans="1:14" s="18" customFormat="1" ht="17.25" customHeight="1">
      <c r="A38" s="11" t="s">
        <v>35</v>
      </c>
      <c r="B38" s="44" t="s">
        <v>444</v>
      </c>
      <c r="C38" s="11" t="s">
        <v>37</v>
      </c>
      <c r="D38" s="16">
        <f t="shared" ref="D38:K38" si="8">D41+D44</f>
        <v>28.22</v>
      </c>
      <c r="E38" s="16">
        <f t="shared" si="8"/>
        <v>38.700000000000003</v>
      </c>
      <c r="F38" s="16">
        <f t="shared" si="8"/>
        <v>23</v>
      </c>
      <c r="G38" s="16">
        <f t="shared" si="8"/>
        <v>25.2</v>
      </c>
      <c r="H38" s="16">
        <f t="shared" si="8"/>
        <v>25.2</v>
      </c>
      <c r="I38" s="16">
        <f t="shared" si="8"/>
        <v>43.2</v>
      </c>
      <c r="J38" s="16">
        <f t="shared" si="8"/>
        <v>82</v>
      </c>
      <c r="K38" s="16">
        <f t="shared" si="8"/>
        <v>32.5</v>
      </c>
      <c r="L38" s="58">
        <f t="shared" si="0"/>
        <v>39.634146341463421</v>
      </c>
      <c r="M38" s="58">
        <f t="shared" si="1"/>
        <v>75.231481481481467</v>
      </c>
      <c r="N38" s="83"/>
    </row>
    <row r="39" spans="1:14" ht="17.25" customHeight="1">
      <c r="A39" s="32"/>
      <c r="B39" s="37" t="s">
        <v>27</v>
      </c>
      <c r="C39" s="34" t="s">
        <v>21</v>
      </c>
      <c r="D39" s="38">
        <f t="shared" ref="D39:K39" si="9">D40/D38*10</f>
        <v>0</v>
      </c>
      <c r="E39" s="38">
        <f t="shared" si="9"/>
        <v>0</v>
      </c>
      <c r="F39" s="38">
        <f t="shared" si="9"/>
        <v>0</v>
      </c>
      <c r="G39" s="38">
        <f t="shared" si="9"/>
        <v>0</v>
      </c>
      <c r="H39" s="38">
        <f t="shared" si="9"/>
        <v>0</v>
      </c>
      <c r="I39" s="38">
        <f t="shared" si="9"/>
        <v>25.958333333333329</v>
      </c>
      <c r="J39" s="38">
        <f t="shared" si="9"/>
        <v>51.463414634146346</v>
      </c>
      <c r="K39" s="38">
        <f t="shared" si="9"/>
        <v>37.730769230769226</v>
      </c>
      <c r="L39" s="58">
        <f t="shared" si="0"/>
        <v>73.315712723295647</v>
      </c>
      <c r="M39" s="58">
        <f t="shared" si="1"/>
        <v>145.35127793554761</v>
      </c>
      <c r="N39" s="3"/>
    </row>
    <row r="40" spans="1:14" ht="17.25" customHeight="1">
      <c r="A40" s="32"/>
      <c r="B40" s="37" t="s">
        <v>28</v>
      </c>
      <c r="C40" s="34" t="s">
        <v>76</v>
      </c>
      <c r="D40" s="22">
        <f t="shared" ref="D40:K40" si="10">D43+D46</f>
        <v>0</v>
      </c>
      <c r="E40" s="22">
        <f t="shared" si="10"/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112.13999999999999</v>
      </c>
      <c r="J40" s="22">
        <f t="shared" si="10"/>
        <v>422</v>
      </c>
      <c r="K40" s="22">
        <f t="shared" si="10"/>
        <v>122.625</v>
      </c>
      <c r="L40" s="58">
        <f t="shared" si="0"/>
        <v>29.058056872037916</v>
      </c>
      <c r="M40" s="58">
        <f t="shared" si="1"/>
        <v>109.34991974317818</v>
      </c>
      <c r="N40" s="3"/>
    </row>
    <row r="41" spans="1:14" ht="17.25" customHeight="1">
      <c r="A41" s="32" t="s">
        <v>423</v>
      </c>
      <c r="B41" s="611" t="s">
        <v>457</v>
      </c>
      <c r="C41" s="32" t="s">
        <v>37</v>
      </c>
      <c r="D41" s="29">
        <v>28.22</v>
      </c>
      <c r="E41" s="29">
        <v>38.700000000000003</v>
      </c>
      <c r="F41" s="29">
        <v>23</v>
      </c>
      <c r="G41" s="29">
        <v>25.2</v>
      </c>
      <c r="H41" s="29">
        <v>25.2</v>
      </c>
      <c r="I41" s="29">
        <f>'Thang 4'!G41</f>
        <v>25.2</v>
      </c>
      <c r="J41" s="29">
        <v>22</v>
      </c>
      <c r="K41" s="29">
        <v>22.5</v>
      </c>
      <c r="L41" s="58">
        <f t="shared" si="0"/>
        <v>102.27272727272727</v>
      </c>
      <c r="M41" s="58">
        <f t="shared" si="1"/>
        <v>89.285714285714292</v>
      </c>
      <c r="N41" s="3"/>
    </row>
    <row r="42" spans="1:14" ht="17.25" customHeight="1">
      <c r="A42" s="32"/>
      <c r="B42" s="116" t="s">
        <v>27</v>
      </c>
      <c r="C42" s="34" t="s">
        <v>21</v>
      </c>
      <c r="D42" s="28"/>
      <c r="E42" s="28"/>
      <c r="F42" s="28"/>
      <c r="G42" s="28"/>
      <c r="H42" s="28"/>
      <c r="I42" s="28">
        <f>'Thang 4'!G42</f>
        <v>44.5</v>
      </c>
      <c r="J42" s="28">
        <v>50</v>
      </c>
      <c r="K42" s="28">
        <v>54.5</v>
      </c>
      <c r="L42" s="58">
        <f t="shared" si="0"/>
        <v>109</v>
      </c>
      <c r="M42" s="58">
        <f t="shared" si="1"/>
        <v>122.47191011235955</v>
      </c>
      <c r="N42" s="3"/>
    </row>
    <row r="43" spans="1:14" ht="17.25" customHeight="1">
      <c r="A43" s="32"/>
      <c r="B43" s="117" t="s">
        <v>28</v>
      </c>
      <c r="C43" s="34" t="s">
        <v>76</v>
      </c>
      <c r="D43" s="29"/>
      <c r="E43" s="29"/>
      <c r="F43" s="29"/>
      <c r="G43" s="29"/>
      <c r="H43" s="29"/>
      <c r="I43" s="29">
        <f>I42*I41/10</f>
        <v>112.13999999999999</v>
      </c>
      <c r="J43" s="29">
        <f>J42*J41/10</f>
        <v>110</v>
      </c>
      <c r="K43" s="29">
        <f>K42*K41/10</f>
        <v>122.625</v>
      </c>
      <c r="L43" s="58">
        <f t="shared" si="0"/>
        <v>111.47727272727272</v>
      </c>
      <c r="M43" s="58">
        <f t="shared" si="1"/>
        <v>109.34991974317818</v>
      </c>
      <c r="N43" s="3"/>
    </row>
    <row r="44" spans="1:14" ht="17.25" customHeight="1">
      <c r="A44" s="32" t="s">
        <v>424</v>
      </c>
      <c r="B44" s="611" t="s">
        <v>458</v>
      </c>
      <c r="C44" s="32" t="s">
        <v>37</v>
      </c>
      <c r="D44" s="29"/>
      <c r="E44" s="29"/>
      <c r="F44" s="29"/>
      <c r="G44" s="29"/>
      <c r="H44" s="29"/>
      <c r="I44" s="29">
        <f>'Thang 5'!G46</f>
        <v>18</v>
      </c>
      <c r="J44" s="29">
        <v>60</v>
      </c>
      <c r="K44" s="29">
        <v>10</v>
      </c>
      <c r="L44" s="58">
        <f t="shared" si="0"/>
        <v>16.666666666666668</v>
      </c>
      <c r="M44" s="58">
        <f t="shared" si="1"/>
        <v>55.555555555555557</v>
      </c>
      <c r="N44" s="3"/>
    </row>
    <row r="45" spans="1:14" ht="17.25" customHeight="1">
      <c r="A45" s="32"/>
      <c r="B45" s="116" t="s">
        <v>27</v>
      </c>
      <c r="C45" s="34" t="s">
        <v>21</v>
      </c>
      <c r="D45" s="28"/>
      <c r="E45" s="28"/>
      <c r="F45" s="28"/>
      <c r="G45" s="28"/>
      <c r="H45" s="28"/>
      <c r="I45" s="28"/>
      <c r="J45" s="28">
        <v>52</v>
      </c>
      <c r="K45" s="28"/>
      <c r="L45" s="58">
        <f t="shared" si="0"/>
        <v>0</v>
      </c>
      <c r="M45" s="58" t="str">
        <f t="shared" si="1"/>
        <v/>
      </c>
      <c r="N45" s="3"/>
    </row>
    <row r="46" spans="1:14" ht="17.25" customHeight="1">
      <c r="A46" s="32"/>
      <c r="B46" s="117" t="s">
        <v>28</v>
      </c>
      <c r="C46" s="34" t="s">
        <v>76</v>
      </c>
      <c r="D46" s="29"/>
      <c r="E46" s="29"/>
      <c r="F46" s="29"/>
      <c r="G46" s="29"/>
      <c r="H46" s="29"/>
      <c r="I46" s="29">
        <f>I45*I44/10</f>
        <v>0</v>
      </c>
      <c r="J46" s="29">
        <f>J45*J44/10</f>
        <v>312</v>
      </c>
      <c r="K46" s="29">
        <f>K45*K44/10</f>
        <v>0</v>
      </c>
      <c r="L46" s="58">
        <f t="shared" si="0"/>
        <v>0</v>
      </c>
      <c r="M46" s="58" t="str">
        <f t="shared" si="1"/>
        <v/>
      </c>
      <c r="N46" s="3"/>
    </row>
    <row r="47" spans="1:14" ht="19.5" customHeight="1">
      <c r="A47" s="11">
        <v>2</v>
      </c>
      <c r="B47" s="30" t="s">
        <v>29</v>
      </c>
      <c r="C47" s="32" t="s">
        <v>37</v>
      </c>
      <c r="D47" s="27"/>
      <c r="E47" s="27"/>
      <c r="F47" s="27"/>
      <c r="G47" s="27"/>
      <c r="H47" s="27"/>
      <c r="I47" s="27">
        <v>5100</v>
      </c>
      <c r="J47" s="27">
        <v>6000</v>
      </c>
      <c r="K47" s="27">
        <v>5057</v>
      </c>
      <c r="L47" s="58">
        <f t="shared" si="0"/>
        <v>84.283333333333331</v>
      </c>
      <c r="M47" s="58">
        <f t="shared" si="1"/>
        <v>99.156862745098039</v>
      </c>
      <c r="N47" s="3"/>
    </row>
    <row r="48" spans="1:14" ht="19.5" customHeight="1">
      <c r="A48" s="39"/>
      <c r="B48" s="37" t="s">
        <v>27</v>
      </c>
      <c r="C48" s="34" t="s">
        <v>21</v>
      </c>
      <c r="D48" s="28"/>
      <c r="E48" s="28"/>
      <c r="F48" s="28"/>
      <c r="G48" s="28"/>
      <c r="H48" s="28"/>
      <c r="I48" s="28"/>
      <c r="J48" s="28">
        <v>145</v>
      </c>
      <c r="K48" s="28"/>
      <c r="L48" s="58">
        <f t="shared" si="0"/>
        <v>0</v>
      </c>
      <c r="M48" s="58" t="str">
        <f t="shared" si="1"/>
        <v/>
      </c>
      <c r="N48" s="3"/>
    </row>
    <row r="49" spans="1:14" ht="19.5" customHeight="1">
      <c r="A49" s="39"/>
      <c r="B49" s="37" t="s">
        <v>28</v>
      </c>
      <c r="C49" s="34" t="s">
        <v>76</v>
      </c>
      <c r="D49" s="29"/>
      <c r="E49" s="29"/>
      <c r="F49" s="29"/>
      <c r="G49" s="29"/>
      <c r="H49" s="29"/>
      <c r="I49" s="29"/>
      <c r="J49" s="29">
        <f>J48*J47/10</f>
        <v>87000</v>
      </c>
      <c r="K49" s="29"/>
      <c r="L49" s="58">
        <f t="shared" si="0"/>
        <v>0</v>
      </c>
      <c r="M49" s="58" t="str">
        <f t="shared" si="1"/>
        <v/>
      </c>
      <c r="N49" s="3"/>
    </row>
    <row r="50" spans="1:14" s="18" customFormat="1" ht="19.5" customHeight="1">
      <c r="A50" s="11">
        <v>3</v>
      </c>
      <c r="B50" s="30" t="s">
        <v>317</v>
      </c>
      <c r="C50" s="11" t="s">
        <v>37</v>
      </c>
      <c r="D50" s="27">
        <v>9.1999999999999993</v>
      </c>
      <c r="E50" s="27">
        <v>10.5</v>
      </c>
      <c r="F50" s="27">
        <v>30</v>
      </c>
      <c r="G50" s="27">
        <v>29.1</v>
      </c>
      <c r="H50" s="27">
        <v>29.1</v>
      </c>
      <c r="I50" s="27">
        <f>QI.2018!H50</f>
        <v>29.1</v>
      </c>
      <c r="J50" s="27">
        <v>30</v>
      </c>
      <c r="K50" s="27">
        <v>29.1</v>
      </c>
      <c r="L50" s="66">
        <f t="shared" si="0"/>
        <v>97.000000000000014</v>
      </c>
      <c r="M50" s="66">
        <f t="shared" si="1"/>
        <v>99.999999999999986</v>
      </c>
      <c r="N50" s="83"/>
    </row>
    <row r="51" spans="1:14" ht="19.5" hidden="1" customHeight="1" outlineLevel="1">
      <c r="A51" s="32"/>
      <c r="B51" s="33"/>
      <c r="C51" s="32"/>
      <c r="D51" s="29"/>
      <c r="E51" s="29"/>
      <c r="F51" s="29"/>
      <c r="G51" s="29"/>
      <c r="H51" s="29"/>
      <c r="I51" s="29"/>
      <c r="J51" s="29"/>
      <c r="K51" s="29"/>
      <c r="L51" s="58"/>
      <c r="M51" s="58"/>
      <c r="N51" s="3"/>
    </row>
    <row r="52" spans="1:14" ht="19.5" hidden="1" customHeight="1" outlineLevel="1">
      <c r="A52" s="39"/>
      <c r="B52" s="37"/>
      <c r="C52" s="34"/>
      <c r="D52" s="28"/>
      <c r="E52" s="28"/>
      <c r="F52" s="28"/>
      <c r="G52" s="28"/>
      <c r="H52" s="28"/>
      <c r="I52" s="28"/>
      <c r="J52" s="28"/>
      <c r="K52" s="28"/>
      <c r="L52" s="58"/>
      <c r="M52" s="58"/>
      <c r="N52" s="3"/>
    </row>
    <row r="53" spans="1:14" ht="19.5" hidden="1" customHeight="1" outlineLevel="1">
      <c r="A53" s="39"/>
      <c r="B53" s="37"/>
      <c r="C53" s="34"/>
      <c r="D53" s="29"/>
      <c r="E53" s="29"/>
      <c r="F53" s="29"/>
      <c r="G53" s="29"/>
      <c r="H53" s="29"/>
      <c r="I53" s="29"/>
      <c r="J53" s="29"/>
      <c r="K53" s="29"/>
      <c r="L53" s="58"/>
      <c r="M53" s="58"/>
      <c r="N53" s="3"/>
    </row>
    <row r="54" spans="1:14" ht="19.5" customHeight="1" collapsed="1">
      <c r="A54" s="11">
        <v>4</v>
      </c>
      <c r="B54" s="30" t="s">
        <v>136</v>
      </c>
      <c r="C54" s="11" t="s">
        <v>37</v>
      </c>
      <c r="D54" s="27">
        <f t="shared" ref="D54:K54" si="11">D57+D60</f>
        <v>97.3</v>
      </c>
      <c r="E54" s="27">
        <f t="shared" si="11"/>
        <v>137</v>
      </c>
      <c r="F54" s="27">
        <f t="shared" si="11"/>
        <v>123</v>
      </c>
      <c r="G54" s="27">
        <f t="shared" si="11"/>
        <v>123</v>
      </c>
      <c r="H54" s="27">
        <f t="shared" si="11"/>
        <v>123</v>
      </c>
      <c r="I54" s="27">
        <f t="shared" si="11"/>
        <v>203.5</v>
      </c>
      <c r="J54" s="27">
        <f t="shared" si="11"/>
        <v>230</v>
      </c>
      <c r="K54" s="27">
        <f t="shared" si="11"/>
        <v>207</v>
      </c>
      <c r="L54" s="66">
        <f t="shared" si="0"/>
        <v>90</v>
      </c>
      <c r="M54" s="66">
        <f t="shared" si="1"/>
        <v>101.71990171990171</v>
      </c>
      <c r="N54" s="3"/>
    </row>
    <row r="55" spans="1:14" ht="19.5" customHeight="1">
      <c r="A55" s="39"/>
      <c r="B55" s="37" t="s">
        <v>27</v>
      </c>
      <c r="C55" s="34" t="s">
        <v>21</v>
      </c>
      <c r="D55" s="28">
        <f t="shared" ref="D55:K55" si="12">D56/D54*10</f>
        <v>0</v>
      </c>
      <c r="E55" s="28">
        <f t="shared" si="12"/>
        <v>0</v>
      </c>
      <c r="F55" s="28">
        <f t="shared" si="12"/>
        <v>0</v>
      </c>
      <c r="G55" s="28">
        <f t="shared" si="12"/>
        <v>0</v>
      </c>
      <c r="H55" s="28">
        <f t="shared" si="12"/>
        <v>0</v>
      </c>
      <c r="I55" s="28">
        <f t="shared" si="12"/>
        <v>88.511056511056523</v>
      </c>
      <c r="J55" s="28">
        <f t="shared" si="12"/>
        <v>136.19999999999999</v>
      </c>
      <c r="K55" s="28">
        <f t="shared" si="12"/>
        <v>86.53478260869565</v>
      </c>
      <c r="L55" s="58">
        <f t="shared" si="0"/>
        <v>63.535082678924859</v>
      </c>
      <c r="M55" s="58">
        <f t="shared" si="1"/>
        <v>97.767201092991129</v>
      </c>
      <c r="N55" s="3"/>
    </row>
    <row r="56" spans="1:14" ht="19.5" customHeight="1">
      <c r="A56" s="39"/>
      <c r="B56" s="37" t="s">
        <v>28</v>
      </c>
      <c r="C56" s="34" t="s">
        <v>76</v>
      </c>
      <c r="D56" s="29">
        <f t="shared" ref="D56:K56" si="13">D59+D62</f>
        <v>0</v>
      </c>
      <c r="E56" s="29">
        <f t="shared" si="13"/>
        <v>0</v>
      </c>
      <c r="F56" s="29">
        <f t="shared" si="13"/>
        <v>0</v>
      </c>
      <c r="G56" s="29">
        <f t="shared" si="13"/>
        <v>0</v>
      </c>
      <c r="H56" s="29">
        <f t="shared" si="13"/>
        <v>0</v>
      </c>
      <c r="I56" s="29">
        <f t="shared" si="13"/>
        <v>1801.2</v>
      </c>
      <c r="J56" s="29">
        <f t="shared" si="13"/>
        <v>3132.6</v>
      </c>
      <c r="K56" s="29">
        <f t="shared" si="13"/>
        <v>1791.27</v>
      </c>
      <c r="L56" s="58">
        <f t="shared" si="0"/>
        <v>57.181574411032365</v>
      </c>
      <c r="M56" s="58">
        <f t="shared" si="1"/>
        <v>99.448700866089268</v>
      </c>
      <c r="N56" s="3"/>
    </row>
    <row r="57" spans="1:14" ht="19.5" customHeight="1">
      <c r="A57" s="32"/>
      <c r="B57" s="612" t="s">
        <v>459</v>
      </c>
      <c r="C57" s="21" t="s">
        <v>37</v>
      </c>
      <c r="D57" s="22">
        <v>97.3</v>
      </c>
      <c r="E57" s="22">
        <v>137</v>
      </c>
      <c r="F57" s="22">
        <v>123</v>
      </c>
      <c r="G57" s="22">
        <v>123</v>
      </c>
      <c r="H57" s="22">
        <v>123</v>
      </c>
      <c r="I57" s="22">
        <f>'T4. 2019'!I57</f>
        <v>118.5</v>
      </c>
      <c r="J57" s="22">
        <v>115</v>
      </c>
      <c r="K57" s="22">
        <v>117</v>
      </c>
      <c r="L57" s="58">
        <f t="shared" si="0"/>
        <v>101.73913043478262</v>
      </c>
      <c r="M57" s="58">
        <f t="shared" si="1"/>
        <v>98.734177215189874</v>
      </c>
      <c r="N57" s="3"/>
    </row>
    <row r="58" spans="1:14" ht="19.5" customHeight="1">
      <c r="A58" s="32"/>
      <c r="B58" s="136" t="s">
        <v>27</v>
      </c>
      <c r="C58" s="21"/>
      <c r="D58" s="38"/>
      <c r="E58" s="38"/>
      <c r="F58" s="38"/>
      <c r="G58" s="38"/>
      <c r="H58" s="38"/>
      <c r="I58" s="22">
        <f>'Thang 5'!G60</f>
        <v>152</v>
      </c>
      <c r="J58" s="38">
        <v>152.4</v>
      </c>
      <c r="K58" s="38">
        <v>153.1</v>
      </c>
      <c r="L58" s="58">
        <f>IFERROR(K58/J58%,"")</f>
        <v>100.45931758530183</v>
      </c>
      <c r="M58" s="58">
        <f>IFERROR(K58/I58%,"")</f>
        <v>100.72368421052632</v>
      </c>
      <c r="N58" s="3"/>
    </row>
    <row r="59" spans="1:14" ht="19.5" customHeight="1">
      <c r="A59" s="32"/>
      <c r="B59" s="136" t="s">
        <v>28</v>
      </c>
      <c r="C59" s="21"/>
      <c r="D59" s="22"/>
      <c r="E59" s="22"/>
      <c r="F59" s="22"/>
      <c r="G59" s="22"/>
      <c r="H59" s="22"/>
      <c r="I59" s="22">
        <f>I58*I57/10</f>
        <v>1801.2</v>
      </c>
      <c r="J59" s="22">
        <f>J58*J57/10</f>
        <v>1752.6</v>
      </c>
      <c r="K59" s="22">
        <f>K58*K57/10</f>
        <v>1791.27</v>
      </c>
      <c r="L59" s="58">
        <f>IFERROR(K59/J59%,"")</f>
        <v>102.20643615200274</v>
      </c>
      <c r="M59" s="58">
        <f>IFERROR(K59/I59%,"")</f>
        <v>99.448700866089268</v>
      </c>
      <c r="N59" s="3"/>
    </row>
    <row r="60" spans="1:14" ht="19.5" customHeight="1">
      <c r="A60" s="32"/>
      <c r="B60" s="612" t="s">
        <v>460</v>
      </c>
      <c r="C60" s="21"/>
      <c r="D60" s="22"/>
      <c r="E60" s="22"/>
      <c r="F60" s="22"/>
      <c r="G60" s="22"/>
      <c r="H60" s="22"/>
      <c r="I60" s="22">
        <f>'Thang 5'!G62</f>
        <v>85</v>
      </c>
      <c r="J60" s="22">
        <v>115</v>
      </c>
      <c r="K60" s="22">
        <v>90</v>
      </c>
      <c r="L60" s="58">
        <f>IFERROR(K60/J60%,"")</f>
        <v>78.260869565217391</v>
      </c>
      <c r="M60" s="58">
        <f>IFERROR(K60/I60%,"")</f>
        <v>105.88235294117648</v>
      </c>
      <c r="N60" s="3"/>
    </row>
    <row r="61" spans="1:14" ht="19.5" customHeight="1">
      <c r="A61" s="32"/>
      <c r="B61" s="136" t="s">
        <v>27</v>
      </c>
      <c r="C61" s="21"/>
      <c r="D61" s="38"/>
      <c r="E61" s="38"/>
      <c r="F61" s="38"/>
      <c r="G61" s="38"/>
      <c r="H61" s="38"/>
      <c r="I61" s="38"/>
      <c r="J61" s="38">
        <v>120</v>
      </c>
      <c r="K61" s="38"/>
      <c r="L61" s="58">
        <f>IFERROR(K61/J61%,"")</f>
        <v>0</v>
      </c>
      <c r="M61" s="58" t="str">
        <f>IFERROR(K61/I61%,"")</f>
        <v/>
      </c>
      <c r="N61" s="3"/>
    </row>
    <row r="62" spans="1:14" ht="19.5" customHeight="1">
      <c r="A62" s="32"/>
      <c r="B62" s="136" t="s">
        <v>28</v>
      </c>
      <c r="C62" s="21"/>
      <c r="D62" s="22"/>
      <c r="E62" s="22"/>
      <c r="F62" s="22"/>
      <c r="G62" s="22"/>
      <c r="H62" s="22"/>
      <c r="I62" s="22">
        <f>I61*I60/10</f>
        <v>0</v>
      </c>
      <c r="J62" s="22">
        <f>J61*J60/10</f>
        <v>1380</v>
      </c>
      <c r="K62" s="22">
        <f>K61*K60/10</f>
        <v>0</v>
      </c>
      <c r="L62" s="58">
        <f>IFERROR(K62/J62%,"")</f>
        <v>0</v>
      </c>
      <c r="M62" s="58" t="str">
        <f>IFERROR(K62/I62%,"")</f>
        <v/>
      </c>
      <c r="N62" s="3"/>
    </row>
    <row r="63" spans="1:14" s="18" customFormat="1" hidden="1" outlineLevel="1">
      <c r="A63" s="11"/>
      <c r="B63" s="30"/>
      <c r="C63" s="11"/>
      <c r="D63" s="36"/>
      <c r="E63" s="36"/>
      <c r="F63" s="36"/>
      <c r="G63" s="36"/>
      <c r="H63" s="36"/>
      <c r="I63" s="36"/>
      <c r="J63" s="36"/>
      <c r="K63" s="36"/>
      <c r="L63" s="66"/>
      <c r="M63" s="66"/>
      <c r="N63" s="83"/>
    </row>
    <row r="64" spans="1:14" ht="19.5" hidden="1" customHeight="1" outlineLevel="1">
      <c r="A64" s="32"/>
      <c r="B64" s="35"/>
      <c r="C64" s="32"/>
      <c r="D64" s="28"/>
      <c r="E64" s="28"/>
      <c r="F64" s="28"/>
      <c r="G64" s="28"/>
      <c r="H64" s="28"/>
      <c r="I64" s="28"/>
      <c r="J64" s="28"/>
      <c r="K64" s="28"/>
      <c r="L64" s="58"/>
      <c r="M64" s="58"/>
      <c r="N64" s="3"/>
    </row>
    <row r="65" spans="1:15" ht="19.5" hidden="1" customHeight="1" outlineLevel="1">
      <c r="A65" s="32"/>
      <c r="B65" s="35"/>
      <c r="C65" s="32"/>
      <c r="D65" s="28"/>
      <c r="E65" s="28"/>
      <c r="F65" s="28"/>
      <c r="G65" s="28"/>
      <c r="H65" s="28"/>
      <c r="I65" s="28"/>
      <c r="J65" s="28"/>
      <c r="K65" s="28"/>
      <c r="L65" s="58"/>
      <c r="M65" s="58"/>
      <c r="N65" s="3"/>
    </row>
    <row r="66" spans="1:15" ht="19.5" hidden="1" customHeight="1" outlineLevel="1">
      <c r="A66" s="32"/>
      <c r="B66" s="35"/>
      <c r="C66" s="32"/>
      <c r="D66" s="28"/>
      <c r="E66" s="28"/>
      <c r="F66" s="28"/>
      <c r="G66" s="28"/>
      <c r="H66" s="28"/>
      <c r="I66" s="28"/>
      <c r="J66" s="28"/>
      <c r="K66" s="28"/>
      <c r="L66" s="58"/>
      <c r="M66" s="58"/>
      <c r="N66" s="3"/>
    </row>
    <row r="67" spans="1:15" ht="17.25" customHeight="1" collapsed="1">
      <c r="A67" s="24" t="s">
        <v>39</v>
      </c>
      <c r="B67" s="30" t="s">
        <v>122</v>
      </c>
      <c r="C67" s="11" t="s">
        <v>37</v>
      </c>
      <c r="D67" s="27">
        <f t="shared" ref="D67:K67" si="14">D68+D81+D82</f>
        <v>9814</v>
      </c>
      <c r="E67" s="27">
        <f t="shared" si="14"/>
        <v>10071.6</v>
      </c>
      <c r="F67" s="27">
        <f t="shared" si="14"/>
        <v>10122.1</v>
      </c>
      <c r="G67" s="27">
        <f t="shared" si="14"/>
        <v>10418.700000000001</v>
      </c>
      <c r="H67" s="27">
        <f>H68+H81+H82</f>
        <v>10463.900000000001</v>
      </c>
      <c r="I67" s="27">
        <f>I68+I81+I82</f>
        <v>10076.650000000001</v>
      </c>
      <c r="J67" s="27">
        <f t="shared" si="14"/>
        <v>10431.200000000001</v>
      </c>
      <c r="K67" s="27">
        <f t="shared" si="14"/>
        <v>10332.000000000002</v>
      </c>
      <c r="L67" s="66">
        <f t="shared" si="0"/>
        <v>99.049006825676827</v>
      </c>
      <c r="M67" s="66">
        <f t="shared" si="1"/>
        <v>102.53407630512126</v>
      </c>
      <c r="N67" s="3"/>
    </row>
    <row r="68" spans="1:15" s="18" customFormat="1" ht="17.25" customHeight="1">
      <c r="A68" s="24">
        <v>1</v>
      </c>
      <c r="B68" s="23" t="s">
        <v>448</v>
      </c>
      <c r="C68" s="11" t="s">
        <v>37</v>
      </c>
      <c r="D68" s="27">
        <f t="shared" ref="D68:K68" si="15">D69+D75</f>
        <v>9537.2999999999993</v>
      </c>
      <c r="E68" s="27">
        <f t="shared" si="15"/>
        <v>9722.1</v>
      </c>
      <c r="F68" s="27">
        <f t="shared" si="15"/>
        <v>9772.1</v>
      </c>
      <c r="G68" s="27">
        <f t="shared" si="15"/>
        <v>10029.6</v>
      </c>
      <c r="H68" s="27">
        <f t="shared" si="15"/>
        <v>10029.6</v>
      </c>
      <c r="I68" s="27">
        <f t="shared" si="15"/>
        <v>9734.5500000000011</v>
      </c>
      <c r="J68" s="27">
        <f t="shared" si="15"/>
        <v>10079.6</v>
      </c>
      <c r="K68" s="27">
        <f t="shared" si="15"/>
        <v>9987.9000000000015</v>
      </c>
      <c r="L68" s="66">
        <f t="shared" si="0"/>
        <v>99.090241676257008</v>
      </c>
      <c r="M68" s="66">
        <f t="shared" si="1"/>
        <v>102.60258563569964</v>
      </c>
      <c r="N68" s="83"/>
    </row>
    <row r="69" spans="1:15" s="18" customFormat="1" ht="17.25" customHeight="1">
      <c r="A69" s="11" t="s">
        <v>34</v>
      </c>
      <c r="B69" s="30" t="s">
        <v>445</v>
      </c>
      <c r="C69" s="11" t="s">
        <v>37</v>
      </c>
      <c r="D69" s="16">
        <v>1743.8</v>
      </c>
      <c r="E69" s="16">
        <f>D69+E70</f>
        <v>1919.5</v>
      </c>
      <c r="F69" s="16">
        <f>E69+F70-F71</f>
        <v>1969.5</v>
      </c>
      <c r="G69" s="16">
        <f>E69+G70-G71</f>
        <v>2299.5</v>
      </c>
      <c r="H69" s="16">
        <f>E69+H70-H71</f>
        <v>2299.5</v>
      </c>
      <c r="I69" s="16">
        <f>E69+I70</f>
        <v>1969.85</v>
      </c>
      <c r="J69" s="16">
        <f>H69+J70</f>
        <v>2349.5</v>
      </c>
      <c r="K69" s="16">
        <f>H69+K70</f>
        <v>2313.5</v>
      </c>
      <c r="L69" s="66">
        <f t="shared" si="0"/>
        <v>98.467759097680357</v>
      </c>
      <c r="M69" s="66">
        <f t="shared" si="1"/>
        <v>117.44549077340915</v>
      </c>
      <c r="N69" s="83"/>
    </row>
    <row r="70" spans="1:15" ht="17.25" customHeight="1">
      <c r="A70" s="32"/>
      <c r="B70" s="35" t="s">
        <v>123</v>
      </c>
      <c r="C70" s="32" t="s">
        <v>37</v>
      </c>
      <c r="D70" s="38">
        <v>185.9</v>
      </c>
      <c r="E70" s="38">
        <v>175.7</v>
      </c>
      <c r="F70" s="38">
        <v>50</v>
      </c>
      <c r="G70" s="38">
        <v>381</v>
      </c>
      <c r="H70" s="38">
        <v>381</v>
      </c>
      <c r="I70" s="38">
        <v>50.35</v>
      </c>
      <c r="J70" s="38">
        <v>50</v>
      </c>
      <c r="K70" s="38">
        <v>14</v>
      </c>
      <c r="L70" s="58">
        <f t="shared" si="0"/>
        <v>28</v>
      </c>
      <c r="M70" s="58">
        <f t="shared" si="1"/>
        <v>27.805362462760673</v>
      </c>
      <c r="N70" s="3"/>
    </row>
    <row r="71" spans="1:15" ht="17.25" customHeight="1">
      <c r="A71" s="32"/>
      <c r="B71" s="35" t="s">
        <v>321</v>
      </c>
      <c r="C71" s="32" t="s">
        <v>37</v>
      </c>
      <c r="D71" s="38"/>
      <c r="E71" s="38"/>
      <c r="F71" s="38"/>
      <c r="G71" s="38">
        <v>1</v>
      </c>
      <c r="H71" s="38">
        <v>1</v>
      </c>
      <c r="I71" s="38"/>
      <c r="J71" s="38"/>
      <c r="K71" s="38"/>
      <c r="L71" s="58"/>
      <c r="M71" s="58"/>
      <c r="N71" s="3"/>
    </row>
    <row r="72" spans="1:15" ht="17.25" hidden="1" customHeight="1" outlineLevel="1">
      <c r="A72" s="32"/>
      <c r="B72" s="35" t="s">
        <v>124</v>
      </c>
      <c r="C72" s="32" t="s">
        <v>37</v>
      </c>
      <c r="D72" s="22">
        <v>1246</v>
      </c>
      <c r="E72" s="22">
        <v>1384</v>
      </c>
      <c r="F72" s="22">
        <v>1559</v>
      </c>
      <c r="G72" s="22">
        <v>1558</v>
      </c>
      <c r="H72" s="22">
        <v>1558</v>
      </c>
      <c r="I72" s="22">
        <v>1745</v>
      </c>
      <c r="J72" s="22">
        <v>1745</v>
      </c>
      <c r="K72" s="22">
        <v>1745</v>
      </c>
      <c r="L72" s="58">
        <f t="shared" ref="L72:L105" si="16">IFERROR(K72/J72%,"")</f>
        <v>100</v>
      </c>
      <c r="M72" s="58">
        <f t="shared" ref="M72:M105" si="17">IFERROR(K72/I72%,"")</f>
        <v>100</v>
      </c>
      <c r="N72" s="3"/>
      <c r="O72" s="81"/>
    </row>
    <row r="73" spans="1:15" ht="17.25" hidden="1" customHeight="1" outlineLevel="1">
      <c r="A73" s="32"/>
      <c r="B73" s="35" t="s">
        <v>125</v>
      </c>
      <c r="C73" s="32" t="s">
        <v>21</v>
      </c>
      <c r="D73" s="38">
        <v>31.73</v>
      </c>
      <c r="E73" s="38">
        <v>35.65</v>
      </c>
      <c r="F73" s="38">
        <v>35</v>
      </c>
      <c r="G73" s="38"/>
      <c r="H73" s="38">
        <v>35</v>
      </c>
      <c r="I73" s="38">
        <v>35</v>
      </c>
      <c r="J73" s="38">
        <v>35</v>
      </c>
      <c r="K73" s="38">
        <v>35</v>
      </c>
      <c r="L73" s="58">
        <f t="shared" si="16"/>
        <v>100</v>
      </c>
      <c r="M73" s="58">
        <f t="shared" si="17"/>
        <v>100</v>
      </c>
      <c r="N73" s="3"/>
    </row>
    <row r="74" spans="1:15" ht="17.25" hidden="1" customHeight="1" outlineLevel="1">
      <c r="A74" s="32"/>
      <c r="B74" s="35" t="s">
        <v>320</v>
      </c>
      <c r="C74" s="32" t="s">
        <v>76</v>
      </c>
      <c r="D74" s="22">
        <f t="shared" ref="D74:K74" si="18">D72*D73/10</f>
        <v>3953.558</v>
      </c>
      <c r="E74" s="22">
        <f t="shared" si="18"/>
        <v>4933.96</v>
      </c>
      <c r="F74" s="22">
        <f t="shared" si="18"/>
        <v>5456.5</v>
      </c>
      <c r="G74" s="22">
        <f t="shared" si="18"/>
        <v>0</v>
      </c>
      <c r="H74" s="22">
        <f t="shared" si="18"/>
        <v>5453</v>
      </c>
      <c r="I74" s="22">
        <f t="shared" si="18"/>
        <v>6107.5</v>
      </c>
      <c r="J74" s="22">
        <f t="shared" si="18"/>
        <v>6107.5</v>
      </c>
      <c r="K74" s="22">
        <f t="shared" si="18"/>
        <v>6107.5</v>
      </c>
      <c r="L74" s="58">
        <f t="shared" si="16"/>
        <v>100</v>
      </c>
      <c r="M74" s="58">
        <f t="shared" si="17"/>
        <v>100</v>
      </c>
      <c r="N74" s="3"/>
    </row>
    <row r="75" spans="1:15" s="18" customFormat="1" ht="17.25" customHeight="1" collapsed="1">
      <c r="A75" s="11" t="s">
        <v>35</v>
      </c>
      <c r="B75" s="30" t="s">
        <v>446</v>
      </c>
      <c r="C75" s="11" t="s">
        <v>37</v>
      </c>
      <c r="D75" s="16">
        <v>7793.5</v>
      </c>
      <c r="E75" s="16">
        <f>D75+E76-E77</f>
        <v>7802.6</v>
      </c>
      <c r="F75" s="16">
        <f>E75+F76-F77</f>
        <v>7802.6</v>
      </c>
      <c r="G75" s="16">
        <f>E75+G76-G77</f>
        <v>7730.1</v>
      </c>
      <c r="H75" s="16">
        <f>E75+H76-H77</f>
        <v>7730.1</v>
      </c>
      <c r="I75" s="16">
        <f>E75+I76-I77</f>
        <v>7764.7000000000007</v>
      </c>
      <c r="J75" s="16">
        <f>H75+J76-J77</f>
        <v>7730.1</v>
      </c>
      <c r="K75" s="16">
        <f>H75+K76-K77</f>
        <v>7674.4000000000005</v>
      </c>
      <c r="L75" s="66">
        <f t="shared" si="16"/>
        <v>99.279440110735962</v>
      </c>
      <c r="M75" s="66">
        <f t="shared" si="17"/>
        <v>98.837044573518611</v>
      </c>
      <c r="N75" s="83"/>
    </row>
    <row r="76" spans="1:15" ht="17.25" customHeight="1">
      <c r="A76" s="32"/>
      <c r="B76" s="35" t="s">
        <v>123</v>
      </c>
      <c r="C76" s="32" t="s">
        <v>37</v>
      </c>
      <c r="D76" s="43">
        <v>0</v>
      </c>
      <c r="E76" s="28">
        <v>24.6</v>
      </c>
      <c r="F76" s="43"/>
      <c r="G76" s="43">
        <v>38.299999999999997</v>
      </c>
      <c r="H76" s="43">
        <v>38.299999999999997</v>
      </c>
      <c r="I76" s="43">
        <v>7</v>
      </c>
      <c r="J76" s="43"/>
      <c r="K76" s="43"/>
      <c r="L76" s="58" t="str">
        <f t="shared" si="16"/>
        <v/>
      </c>
      <c r="M76" s="58">
        <f t="shared" si="17"/>
        <v>0</v>
      </c>
      <c r="N76" s="3"/>
    </row>
    <row r="77" spans="1:15" ht="17.25" customHeight="1">
      <c r="A77" s="32"/>
      <c r="B77" s="35" t="s">
        <v>321</v>
      </c>
      <c r="C77" s="32" t="s">
        <v>37</v>
      </c>
      <c r="D77" s="28">
        <v>81.5</v>
      </c>
      <c r="E77" s="28">
        <v>15.5</v>
      </c>
      <c r="F77" s="43"/>
      <c r="G77" s="43">
        <v>110.8</v>
      </c>
      <c r="H77" s="43">
        <v>110.8</v>
      </c>
      <c r="I77" s="43">
        <f>'Thang 5'!G79</f>
        <v>44.9</v>
      </c>
      <c r="J77" s="43"/>
      <c r="K77" s="43">
        <v>55.7</v>
      </c>
      <c r="L77" s="58" t="str">
        <f t="shared" si="16"/>
        <v/>
      </c>
      <c r="M77" s="58">
        <f t="shared" si="17"/>
        <v>124.05345211581292</v>
      </c>
      <c r="N77" s="3"/>
    </row>
    <row r="78" spans="1:15" ht="17.25" hidden="1" customHeight="1" outlineLevel="1">
      <c r="A78" s="32"/>
      <c r="B78" s="35" t="s">
        <v>124</v>
      </c>
      <c r="C78" s="32" t="s">
        <v>37</v>
      </c>
      <c r="D78" s="22">
        <v>4821</v>
      </c>
      <c r="E78" s="22">
        <v>5385</v>
      </c>
      <c r="F78" s="22">
        <v>5755</v>
      </c>
      <c r="G78" s="22">
        <v>5723.7</v>
      </c>
      <c r="H78" s="22">
        <v>5723.7</v>
      </c>
      <c r="I78" s="22">
        <v>6190</v>
      </c>
      <c r="J78" s="22">
        <v>6190</v>
      </c>
      <c r="K78" s="22">
        <v>6190</v>
      </c>
      <c r="L78" s="58">
        <f t="shared" si="16"/>
        <v>100</v>
      </c>
      <c r="M78" s="58">
        <f t="shared" si="17"/>
        <v>100</v>
      </c>
      <c r="N78" s="3"/>
    </row>
    <row r="79" spans="1:15" ht="17.25" hidden="1" customHeight="1" outlineLevel="1">
      <c r="A79" s="32"/>
      <c r="B79" s="35" t="s">
        <v>126</v>
      </c>
      <c r="C79" s="32" t="s">
        <v>21</v>
      </c>
      <c r="D79" s="38">
        <v>12.33</v>
      </c>
      <c r="E79" s="38">
        <v>12.35</v>
      </c>
      <c r="F79" s="38">
        <v>12.5</v>
      </c>
      <c r="G79" s="38">
        <v>12.5</v>
      </c>
      <c r="H79" s="38">
        <v>12.5</v>
      </c>
      <c r="I79" s="38">
        <v>12.5</v>
      </c>
      <c r="J79" s="38">
        <v>12.5</v>
      </c>
      <c r="K79" s="38">
        <v>12.5</v>
      </c>
      <c r="L79" s="58">
        <f t="shared" si="16"/>
        <v>100</v>
      </c>
      <c r="M79" s="58">
        <f t="shared" si="17"/>
        <v>100</v>
      </c>
      <c r="N79" s="3"/>
    </row>
    <row r="80" spans="1:15" ht="17.25" hidden="1" customHeight="1" outlineLevel="1">
      <c r="A80" s="32"/>
      <c r="B80" s="35" t="s">
        <v>474</v>
      </c>
      <c r="C80" s="32" t="s">
        <v>76</v>
      </c>
      <c r="D80" s="22">
        <f t="shared" ref="D80:K80" si="19">D78*D79/10</f>
        <v>5944.2929999999997</v>
      </c>
      <c r="E80" s="22">
        <f t="shared" si="19"/>
        <v>6650.4750000000004</v>
      </c>
      <c r="F80" s="22">
        <f t="shared" si="19"/>
        <v>7193.75</v>
      </c>
      <c r="G80" s="22">
        <f t="shared" si="19"/>
        <v>7154.625</v>
      </c>
      <c r="H80" s="22">
        <f t="shared" si="19"/>
        <v>7154.625</v>
      </c>
      <c r="I80" s="22">
        <f t="shared" si="19"/>
        <v>7737.5</v>
      </c>
      <c r="J80" s="22">
        <f t="shared" si="19"/>
        <v>7737.5</v>
      </c>
      <c r="K80" s="22">
        <f t="shared" si="19"/>
        <v>7737.5</v>
      </c>
      <c r="L80" s="58">
        <f t="shared" si="16"/>
        <v>100</v>
      </c>
      <c r="M80" s="58">
        <f t="shared" si="17"/>
        <v>100</v>
      </c>
      <c r="N80" s="3"/>
    </row>
    <row r="81" spans="1:15" s="18" customFormat="1" ht="17.25" hidden="1" customHeight="1" outlineLevel="1" collapsed="1">
      <c r="A81" s="11">
        <v>2</v>
      </c>
      <c r="B81" s="30" t="s">
        <v>181</v>
      </c>
      <c r="C81" s="11" t="s">
        <v>37</v>
      </c>
      <c r="D81" s="16">
        <v>155.19999999999999</v>
      </c>
      <c r="E81" s="16">
        <v>218.9</v>
      </c>
      <c r="F81" s="16">
        <v>220</v>
      </c>
      <c r="G81" s="16">
        <v>266</v>
      </c>
      <c r="H81" s="16">
        <v>302.70000000000005</v>
      </c>
      <c r="I81" s="16">
        <v>219</v>
      </c>
      <c r="J81" s="16">
        <v>220</v>
      </c>
      <c r="K81" s="16">
        <v>221</v>
      </c>
      <c r="L81" s="66">
        <f t="shared" si="16"/>
        <v>100.45454545454545</v>
      </c>
      <c r="M81" s="66">
        <f t="shared" si="17"/>
        <v>100.91324200913242</v>
      </c>
      <c r="N81" s="83"/>
    </row>
    <row r="82" spans="1:15" s="18" customFormat="1" ht="31.5" hidden="1" outlineLevel="1">
      <c r="A82" s="11">
        <v>3</v>
      </c>
      <c r="B82" s="30" t="s">
        <v>410</v>
      </c>
      <c r="C82" s="11" t="s">
        <v>37</v>
      </c>
      <c r="D82" s="16">
        <f t="shared" ref="D82:J82" si="20">SUM(D83:D87)</f>
        <v>121.5</v>
      </c>
      <c r="E82" s="16">
        <f t="shared" si="20"/>
        <v>130.60000000000002</v>
      </c>
      <c r="F82" s="16">
        <f t="shared" si="20"/>
        <v>130</v>
      </c>
      <c r="G82" s="16">
        <f t="shared" si="20"/>
        <v>123.10000000000001</v>
      </c>
      <c r="H82" s="16">
        <f t="shared" si="20"/>
        <v>131.60000000000002</v>
      </c>
      <c r="I82" s="16">
        <f>SUM(I83:I87)</f>
        <v>123.10000000000001</v>
      </c>
      <c r="J82" s="16">
        <f t="shared" si="20"/>
        <v>131.60000000000002</v>
      </c>
      <c r="K82" s="16">
        <f>SUM(K83:K87)</f>
        <v>123.10000000000001</v>
      </c>
      <c r="L82" s="66">
        <f t="shared" si="16"/>
        <v>93.541033434650444</v>
      </c>
      <c r="M82" s="66">
        <f t="shared" si="17"/>
        <v>100</v>
      </c>
      <c r="N82" s="83"/>
      <c r="O82" s="87"/>
    </row>
    <row r="83" spans="1:15" ht="17.25" hidden="1" customHeight="1" outlineLevel="1">
      <c r="A83" s="32"/>
      <c r="B83" s="35" t="s">
        <v>405</v>
      </c>
      <c r="C83" s="32" t="s">
        <v>37</v>
      </c>
      <c r="D83" s="38">
        <v>18.5</v>
      </c>
      <c r="E83" s="38">
        <v>17</v>
      </c>
      <c r="F83" s="38">
        <v>17</v>
      </c>
      <c r="G83" s="38">
        <v>14</v>
      </c>
      <c r="H83" s="38">
        <v>22.5</v>
      </c>
      <c r="I83" s="38">
        <f t="shared" ref="I83:K87" si="21">G83</f>
        <v>14</v>
      </c>
      <c r="J83" s="38">
        <f t="shared" si="21"/>
        <v>22.5</v>
      </c>
      <c r="K83" s="38">
        <f t="shared" si="21"/>
        <v>14</v>
      </c>
      <c r="L83" s="58">
        <f t="shared" si="16"/>
        <v>62.222222222222221</v>
      </c>
      <c r="M83" s="58">
        <f t="shared" si="17"/>
        <v>99.999999999999986</v>
      </c>
      <c r="N83" s="3"/>
    </row>
    <row r="84" spans="1:15" ht="17.25" hidden="1" customHeight="1" outlineLevel="1">
      <c r="A84" s="32"/>
      <c r="B84" s="35" t="s">
        <v>406</v>
      </c>
      <c r="C84" s="32" t="s">
        <v>37</v>
      </c>
      <c r="D84" s="38">
        <v>54.6</v>
      </c>
      <c r="E84" s="38">
        <v>61.9</v>
      </c>
      <c r="F84" s="38">
        <v>62</v>
      </c>
      <c r="G84" s="38">
        <v>62.4</v>
      </c>
      <c r="H84" s="38">
        <v>62.4</v>
      </c>
      <c r="I84" s="38">
        <f t="shared" si="21"/>
        <v>62.4</v>
      </c>
      <c r="J84" s="38">
        <f t="shared" si="21"/>
        <v>62.4</v>
      </c>
      <c r="K84" s="38">
        <f t="shared" si="21"/>
        <v>62.4</v>
      </c>
      <c r="L84" s="58">
        <f t="shared" si="16"/>
        <v>100</v>
      </c>
      <c r="M84" s="58">
        <f t="shared" si="17"/>
        <v>100</v>
      </c>
      <c r="N84" s="3"/>
    </row>
    <row r="85" spans="1:15" ht="17.25" hidden="1" customHeight="1" outlineLevel="1">
      <c r="A85" s="32"/>
      <c r="B85" s="35" t="s">
        <v>407</v>
      </c>
      <c r="C85" s="32" t="s">
        <v>37</v>
      </c>
      <c r="D85" s="38">
        <v>2</v>
      </c>
      <c r="E85" s="38">
        <v>2</v>
      </c>
      <c r="F85" s="38">
        <v>2</v>
      </c>
      <c r="G85" s="38">
        <f>F85</f>
        <v>2</v>
      </c>
      <c r="H85" s="38">
        <f>G85</f>
        <v>2</v>
      </c>
      <c r="I85" s="38">
        <f t="shared" si="21"/>
        <v>2</v>
      </c>
      <c r="J85" s="38">
        <f t="shared" si="21"/>
        <v>2</v>
      </c>
      <c r="K85" s="38">
        <f t="shared" si="21"/>
        <v>2</v>
      </c>
      <c r="L85" s="58">
        <f t="shared" si="16"/>
        <v>100</v>
      </c>
      <c r="M85" s="58">
        <f t="shared" si="17"/>
        <v>100</v>
      </c>
      <c r="N85" s="3"/>
    </row>
    <row r="86" spans="1:15" ht="17.25" hidden="1" customHeight="1" outlineLevel="1">
      <c r="A86" s="32"/>
      <c r="B86" s="35" t="s">
        <v>408</v>
      </c>
      <c r="C86" s="32" t="s">
        <v>37</v>
      </c>
      <c r="D86" s="38">
        <v>46.4</v>
      </c>
      <c r="E86" s="38">
        <v>30.4</v>
      </c>
      <c r="F86" s="38">
        <v>30</v>
      </c>
      <c r="G86" s="38">
        <v>28.9</v>
      </c>
      <c r="H86" s="38">
        <v>28.9</v>
      </c>
      <c r="I86" s="38">
        <f t="shared" si="21"/>
        <v>28.9</v>
      </c>
      <c r="J86" s="38">
        <f t="shared" si="21"/>
        <v>28.9</v>
      </c>
      <c r="K86" s="38">
        <f t="shared" si="21"/>
        <v>28.9</v>
      </c>
      <c r="L86" s="58">
        <f t="shared" si="16"/>
        <v>100</v>
      </c>
      <c r="M86" s="58">
        <f t="shared" si="17"/>
        <v>100</v>
      </c>
      <c r="N86" s="3"/>
    </row>
    <row r="87" spans="1:15" ht="17.25" hidden="1" customHeight="1" outlineLevel="1">
      <c r="A87" s="32"/>
      <c r="B87" s="35" t="s">
        <v>409</v>
      </c>
      <c r="C87" s="32" t="s">
        <v>37</v>
      </c>
      <c r="D87" s="38"/>
      <c r="E87" s="38">
        <v>19.3</v>
      </c>
      <c r="F87" s="38">
        <v>19</v>
      </c>
      <c r="G87" s="38">
        <v>15.8</v>
      </c>
      <c r="H87" s="38">
        <v>15.8</v>
      </c>
      <c r="I87" s="38">
        <f t="shared" si="21"/>
        <v>15.8</v>
      </c>
      <c r="J87" s="38">
        <f t="shared" si="21"/>
        <v>15.8</v>
      </c>
      <c r="K87" s="38">
        <f t="shared" si="21"/>
        <v>15.8</v>
      </c>
      <c r="L87" s="58">
        <f t="shared" si="16"/>
        <v>100</v>
      </c>
      <c r="M87" s="58">
        <f t="shared" si="17"/>
        <v>100</v>
      </c>
      <c r="N87" s="3"/>
    </row>
    <row r="88" spans="1:15" ht="18.75" customHeight="1" collapsed="1">
      <c r="A88" s="11" t="s">
        <v>47</v>
      </c>
      <c r="B88" s="30" t="s">
        <v>96</v>
      </c>
      <c r="C88" s="32"/>
      <c r="D88" s="28"/>
      <c r="E88" s="38"/>
      <c r="F88" s="38"/>
      <c r="G88" s="38"/>
      <c r="H88" s="38"/>
      <c r="I88" s="38"/>
      <c r="J88" s="38"/>
      <c r="K88" s="38"/>
      <c r="L88" s="66" t="str">
        <f t="shared" si="16"/>
        <v/>
      </c>
      <c r="M88" s="66" t="str">
        <f t="shared" si="17"/>
        <v/>
      </c>
      <c r="N88" s="3"/>
    </row>
    <row r="89" spans="1:15" ht="18.75" customHeight="1">
      <c r="A89" s="11">
        <v>1</v>
      </c>
      <c r="B89" s="30" t="s">
        <v>447</v>
      </c>
      <c r="C89" s="11" t="s">
        <v>54</v>
      </c>
      <c r="D89" s="27">
        <f>SUM(D90:D92)</f>
        <v>20219</v>
      </c>
      <c r="E89" s="27">
        <f t="shared" ref="E89:K89" si="22">SUM(E90:E92)</f>
        <v>18350</v>
      </c>
      <c r="F89" s="27">
        <f t="shared" si="22"/>
        <v>20650</v>
      </c>
      <c r="G89" s="27">
        <f t="shared" si="22"/>
        <v>20174</v>
      </c>
      <c r="H89" s="27">
        <f t="shared" si="22"/>
        <v>20238</v>
      </c>
      <c r="I89" s="27">
        <f t="shared" si="22"/>
        <v>19857</v>
      </c>
      <c r="J89" s="27">
        <f t="shared" si="22"/>
        <v>20900</v>
      </c>
      <c r="K89" s="27">
        <f t="shared" si="22"/>
        <v>17523</v>
      </c>
      <c r="L89" s="66">
        <f t="shared" si="16"/>
        <v>83.84210526315789</v>
      </c>
      <c r="M89" s="66">
        <f t="shared" si="17"/>
        <v>88.245958604018739</v>
      </c>
      <c r="N89" s="83"/>
    </row>
    <row r="90" spans="1:15" ht="18.75" customHeight="1">
      <c r="A90" s="32"/>
      <c r="B90" s="35" t="s">
        <v>322</v>
      </c>
      <c r="C90" s="32" t="s">
        <v>54</v>
      </c>
      <c r="D90" s="29">
        <v>2461</v>
      </c>
      <c r="E90" s="29">
        <v>2550</v>
      </c>
      <c r="F90" s="29">
        <v>2650</v>
      </c>
      <c r="G90" s="29">
        <v>2536</v>
      </c>
      <c r="H90" s="29">
        <v>2600</v>
      </c>
      <c r="I90" s="29">
        <v>2534</v>
      </c>
      <c r="J90" s="29">
        <v>2700</v>
      </c>
      <c r="K90" s="29">
        <v>2559</v>
      </c>
      <c r="L90" s="58">
        <f t="shared" si="16"/>
        <v>94.777777777777771</v>
      </c>
      <c r="M90" s="58">
        <f t="shared" si="17"/>
        <v>100.98658247829519</v>
      </c>
      <c r="N90" s="3"/>
    </row>
    <row r="91" spans="1:15" ht="18.75" customHeight="1">
      <c r="A91" s="32"/>
      <c r="B91" s="35" t="s">
        <v>323</v>
      </c>
      <c r="C91" s="32" t="s">
        <v>54</v>
      </c>
      <c r="D91" s="29">
        <v>4034</v>
      </c>
      <c r="E91" s="29">
        <v>4800</v>
      </c>
      <c r="F91" s="29">
        <v>5000</v>
      </c>
      <c r="G91" s="29">
        <v>5087</v>
      </c>
      <c r="H91" s="29">
        <v>5087</v>
      </c>
      <c r="I91" s="29">
        <v>4761</v>
      </c>
      <c r="J91" s="29">
        <v>5200</v>
      </c>
      <c r="K91" s="29">
        <v>4812</v>
      </c>
      <c r="L91" s="58">
        <f t="shared" si="16"/>
        <v>92.538461538461533</v>
      </c>
      <c r="M91" s="58">
        <f t="shared" si="17"/>
        <v>101.07120352867045</v>
      </c>
      <c r="N91" s="3"/>
    </row>
    <row r="92" spans="1:15" ht="18.75" customHeight="1">
      <c r="A92" s="32"/>
      <c r="B92" s="35" t="s">
        <v>324</v>
      </c>
      <c r="C92" s="32" t="s">
        <v>54</v>
      </c>
      <c r="D92" s="29">
        <v>13724</v>
      </c>
      <c r="E92" s="29">
        <v>11000</v>
      </c>
      <c r="F92" s="29">
        <v>13000</v>
      </c>
      <c r="G92" s="29">
        <v>12551</v>
      </c>
      <c r="H92" s="29">
        <v>12551</v>
      </c>
      <c r="I92" s="29">
        <v>12562</v>
      </c>
      <c r="J92" s="29">
        <v>13000</v>
      </c>
      <c r="K92" s="29">
        <v>10152</v>
      </c>
      <c r="L92" s="58">
        <f t="shared" si="16"/>
        <v>78.092307692307699</v>
      </c>
      <c r="M92" s="58">
        <f t="shared" si="17"/>
        <v>80.815156822162066</v>
      </c>
      <c r="N92" s="3"/>
    </row>
    <row r="93" spans="1:15" ht="18.75" customHeight="1">
      <c r="A93" s="11">
        <v>2</v>
      </c>
      <c r="B93" s="44" t="s">
        <v>31</v>
      </c>
      <c r="C93" s="11" t="s">
        <v>54</v>
      </c>
      <c r="D93" s="27">
        <v>77894</v>
      </c>
      <c r="E93" s="27">
        <v>87000</v>
      </c>
      <c r="F93" s="27">
        <v>87000</v>
      </c>
      <c r="G93" s="27">
        <v>78000</v>
      </c>
      <c r="H93" s="27">
        <v>78000</v>
      </c>
      <c r="I93" s="27">
        <v>74830</v>
      </c>
      <c r="J93" s="27">
        <v>80000</v>
      </c>
      <c r="K93" s="27">
        <v>75000</v>
      </c>
      <c r="L93" s="66">
        <f t="shared" si="16"/>
        <v>93.75</v>
      </c>
      <c r="M93" s="66">
        <f t="shared" si="17"/>
        <v>100.22718161165308</v>
      </c>
      <c r="N93" s="83"/>
    </row>
    <row r="94" spans="1:15" s="18" customFormat="1" ht="18.75" customHeight="1">
      <c r="A94" s="11" t="s">
        <v>48</v>
      </c>
      <c r="B94" s="45" t="s">
        <v>325</v>
      </c>
      <c r="C94" s="11"/>
      <c r="D94" s="27"/>
      <c r="E94" s="27"/>
      <c r="F94" s="27"/>
      <c r="G94" s="27"/>
      <c r="H94" s="27"/>
      <c r="I94" s="27"/>
      <c r="J94" s="27"/>
      <c r="K94" s="27"/>
      <c r="L94" s="66" t="str">
        <f t="shared" si="16"/>
        <v/>
      </c>
      <c r="M94" s="66" t="str">
        <f t="shared" si="17"/>
        <v/>
      </c>
      <c r="N94" s="83"/>
    </row>
    <row r="95" spans="1:15" ht="18.75" customHeight="1">
      <c r="A95" s="32">
        <v>1</v>
      </c>
      <c r="B95" s="46" t="s">
        <v>326</v>
      </c>
      <c r="C95" s="32" t="s">
        <v>37</v>
      </c>
      <c r="D95" s="28">
        <v>85</v>
      </c>
      <c r="E95" s="28">
        <v>85.5</v>
      </c>
      <c r="F95" s="28">
        <v>85.5</v>
      </c>
      <c r="G95" s="28">
        <v>89.100000000000009</v>
      </c>
      <c r="H95" s="28">
        <v>89.100000000000009</v>
      </c>
      <c r="I95" s="28">
        <f>'Thang 5'!G98</f>
        <v>86.1</v>
      </c>
      <c r="J95" s="28">
        <v>89.100000000000009</v>
      </c>
      <c r="K95" s="28">
        <v>90.7</v>
      </c>
      <c r="L95" s="58">
        <f t="shared" si="16"/>
        <v>101.79573512906845</v>
      </c>
      <c r="M95" s="58">
        <f t="shared" si="17"/>
        <v>105.34262485481999</v>
      </c>
      <c r="N95" s="3"/>
    </row>
    <row r="96" spans="1:15" ht="18.75" customHeight="1">
      <c r="A96" s="32">
        <v>2</v>
      </c>
      <c r="B96" s="46" t="s">
        <v>327</v>
      </c>
      <c r="C96" s="32" t="s">
        <v>76</v>
      </c>
      <c r="D96" s="29">
        <f t="shared" ref="D96:K96" si="23">D97+D98</f>
        <v>427.4</v>
      </c>
      <c r="E96" s="29">
        <f t="shared" si="23"/>
        <v>320</v>
      </c>
      <c r="F96" s="29">
        <f t="shared" si="23"/>
        <v>335</v>
      </c>
      <c r="G96" s="29">
        <f t="shared" si="23"/>
        <v>124</v>
      </c>
      <c r="H96" s="29">
        <f t="shared" si="23"/>
        <v>207</v>
      </c>
      <c r="I96" s="29">
        <f t="shared" si="23"/>
        <v>73.300000000000011</v>
      </c>
      <c r="J96" s="29">
        <f t="shared" si="23"/>
        <v>305</v>
      </c>
      <c r="K96" s="29">
        <f t="shared" si="23"/>
        <v>77.5</v>
      </c>
      <c r="L96" s="58">
        <f t="shared" si="16"/>
        <v>25.409836065573771</v>
      </c>
      <c r="M96" s="58">
        <f t="shared" si="17"/>
        <v>105.72987721691676</v>
      </c>
      <c r="N96" s="3"/>
    </row>
    <row r="97" spans="1:15" ht="18.75" customHeight="1">
      <c r="A97" s="32"/>
      <c r="B97" s="48" t="s">
        <v>328</v>
      </c>
      <c r="C97" s="32" t="s">
        <v>76</v>
      </c>
      <c r="D97" s="29">
        <v>211.9</v>
      </c>
      <c r="E97" s="29">
        <v>210</v>
      </c>
      <c r="F97" s="29">
        <v>210</v>
      </c>
      <c r="G97" s="29">
        <v>86.5</v>
      </c>
      <c r="H97" s="29">
        <v>137</v>
      </c>
      <c r="I97" s="29">
        <f>'Thang 5'!G100</f>
        <v>53.2</v>
      </c>
      <c r="J97" s="29">
        <v>195</v>
      </c>
      <c r="K97" s="29">
        <v>54</v>
      </c>
      <c r="L97" s="58">
        <f t="shared" si="16"/>
        <v>27.692307692307693</v>
      </c>
      <c r="M97" s="58">
        <f t="shared" si="17"/>
        <v>101.50375939849623</v>
      </c>
      <c r="N97" s="3"/>
    </row>
    <row r="98" spans="1:15" ht="18.75" customHeight="1">
      <c r="A98" s="32"/>
      <c r="B98" s="48" t="s">
        <v>329</v>
      </c>
      <c r="C98" s="32" t="s">
        <v>76</v>
      </c>
      <c r="D98" s="29">
        <v>215.5</v>
      </c>
      <c r="E98" s="29">
        <v>110</v>
      </c>
      <c r="F98" s="29">
        <v>125</v>
      </c>
      <c r="G98" s="29">
        <v>37.5</v>
      </c>
      <c r="H98" s="29">
        <v>70</v>
      </c>
      <c r="I98" s="29">
        <f>'Thang 5'!G101</f>
        <v>20.100000000000001</v>
      </c>
      <c r="J98" s="29">
        <v>110</v>
      </c>
      <c r="K98" s="29">
        <v>23.5</v>
      </c>
      <c r="L98" s="58">
        <f t="shared" si="16"/>
        <v>21.363636363636363</v>
      </c>
      <c r="M98" s="58">
        <f t="shared" si="17"/>
        <v>116.91542288557213</v>
      </c>
      <c r="N98" s="3"/>
    </row>
    <row r="99" spans="1:15" hidden="1" outlineLevel="1">
      <c r="A99" s="145" t="s">
        <v>50</v>
      </c>
      <c r="B99" s="146" t="s">
        <v>104</v>
      </c>
      <c r="C99" s="145"/>
      <c r="D99" s="13"/>
      <c r="E99" s="13"/>
      <c r="F99" s="13"/>
      <c r="G99" s="13"/>
      <c r="H99" s="13"/>
      <c r="I99" s="13"/>
      <c r="J99" s="13"/>
      <c r="K99" s="13"/>
      <c r="L99" s="66" t="str">
        <f t="shared" si="16"/>
        <v/>
      </c>
      <c r="M99" s="66" t="str">
        <f t="shared" si="17"/>
        <v/>
      </c>
      <c r="N99" s="3"/>
    </row>
    <row r="100" spans="1:15" ht="19.5" hidden="1" customHeight="1" outlineLevel="1">
      <c r="A100" s="147"/>
      <c r="B100" s="148" t="s">
        <v>330</v>
      </c>
      <c r="C100" s="32" t="s">
        <v>37</v>
      </c>
      <c r="D100" s="53">
        <v>500.3</v>
      </c>
      <c r="E100" s="53">
        <v>4</v>
      </c>
      <c r="F100" s="53"/>
      <c r="G100" s="53"/>
      <c r="H100" s="53">
        <v>27</v>
      </c>
      <c r="I100" s="53"/>
      <c r="J100" s="53"/>
      <c r="K100" s="53"/>
      <c r="L100" s="58" t="str">
        <f t="shared" si="16"/>
        <v/>
      </c>
      <c r="M100" s="58" t="str">
        <f t="shared" si="17"/>
        <v/>
      </c>
      <c r="N100" s="3"/>
    </row>
    <row r="101" spans="1:15" ht="19.5" hidden="1" customHeight="1" outlineLevel="1">
      <c r="A101" s="147"/>
      <c r="B101" s="46" t="s">
        <v>712</v>
      </c>
      <c r="C101" s="32" t="s">
        <v>37</v>
      </c>
      <c r="D101" s="53">
        <v>50870.31</v>
      </c>
      <c r="E101" s="53">
        <v>50870.31</v>
      </c>
      <c r="F101" s="53">
        <v>50870.31</v>
      </c>
      <c r="G101" s="53">
        <v>50870.31</v>
      </c>
      <c r="H101" s="53">
        <v>50870.31</v>
      </c>
      <c r="I101" s="53"/>
      <c r="J101" s="53">
        <v>50870.31</v>
      </c>
      <c r="K101" s="53"/>
      <c r="L101" s="58">
        <f t="shared" si="16"/>
        <v>0</v>
      </c>
      <c r="M101" s="58" t="str">
        <f t="shared" si="17"/>
        <v/>
      </c>
      <c r="N101" s="3"/>
    </row>
    <row r="102" spans="1:15" ht="19.5" hidden="1" customHeight="1" outlineLevel="1">
      <c r="A102" s="147"/>
      <c r="B102" s="46" t="s">
        <v>713</v>
      </c>
      <c r="C102" s="32" t="s">
        <v>37</v>
      </c>
      <c r="D102" s="53"/>
      <c r="E102" s="53">
        <v>15886.3</v>
      </c>
      <c r="F102" s="53">
        <v>15886</v>
      </c>
      <c r="G102" s="53">
        <v>15886</v>
      </c>
      <c r="H102" s="53">
        <v>15886</v>
      </c>
      <c r="I102" s="53"/>
      <c r="J102" s="53">
        <v>15886</v>
      </c>
      <c r="K102" s="53"/>
      <c r="L102" s="58">
        <f t="shared" si="16"/>
        <v>0</v>
      </c>
      <c r="M102" s="58" t="str">
        <f t="shared" si="17"/>
        <v/>
      </c>
      <c r="N102" s="3"/>
    </row>
    <row r="103" spans="1:15" ht="19.5" hidden="1" customHeight="1" outlineLevel="1">
      <c r="A103" s="147"/>
      <c r="B103" s="148" t="s">
        <v>711</v>
      </c>
      <c r="C103" s="32" t="s">
        <v>33</v>
      </c>
      <c r="D103" s="269">
        <v>31.37</v>
      </c>
      <c r="E103" s="288">
        <f>E102/50640%</f>
        <v>31.37105055292259</v>
      </c>
      <c r="F103" s="288">
        <f>F102/50640%</f>
        <v>31.370458135860982</v>
      </c>
      <c r="G103" s="288">
        <f>G102/50640%</f>
        <v>31.370458135860982</v>
      </c>
      <c r="H103" s="288">
        <f>H102/50640%</f>
        <v>31.370458135860982</v>
      </c>
      <c r="I103" s="288"/>
      <c r="J103" s="288">
        <f>J102/50640%</f>
        <v>31.370458135860982</v>
      </c>
      <c r="K103" s="288"/>
      <c r="L103" s="58">
        <f t="shared" si="16"/>
        <v>0</v>
      </c>
      <c r="M103" s="58" t="str">
        <f t="shared" si="17"/>
        <v/>
      </c>
      <c r="N103" s="3"/>
    </row>
    <row r="104" spans="1:15" ht="17.25" hidden="1" customHeight="1" outlineLevel="1">
      <c r="A104" s="32">
        <v>1</v>
      </c>
      <c r="B104" s="35" t="s">
        <v>30</v>
      </c>
      <c r="C104" s="32" t="s">
        <v>37</v>
      </c>
      <c r="D104" s="22">
        <v>1646</v>
      </c>
      <c r="E104" s="22">
        <f>D104+E105</f>
        <v>1675</v>
      </c>
      <c r="F104" s="22">
        <f>E104+F105</f>
        <v>1710</v>
      </c>
      <c r="G104" s="22">
        <f>E104+G105</f>
        <v>1710</v>
      </c>
      <c r="H104" s="22">
        <f>E104+H105-H106</f>
        <v>1725</v>
      </c>
      <c r="I104" s="22"/>
      <c r="J104" s="22">
        <f>H104+J105</f>
        <v>1725</v>
      </c>
      <c r="K104" s="22"/>
      <c r="L104" s="58">
        <f t="shared" si="16"/>
        <v>0</v>
      </c>
      <c r="M104" s="58" t="str">
        <f t="shared" si="17"/>
        <v/>
      </c>
      <c r="N104" s="3"/>
      <c r="O104" s="81"/>
    </row>
    <row r="105" spans="1:15" ht="17.25" hidden="1" customHeight="1" outlineLevel="2">
      <c r="A105" s="32"/>
      <c r="B105" s="35" t="s">
        <v>123</v>
      </c>
      <c r="C105" s="32" t="s">
        <v>37</v>
      </c>
      <c r="D105" s="22">
        <v>57.2</v>
      </c>
      <c r="E105" s="22">
        <v>29</v>
      </c>
      <c r="F105" s="22">
        <v>35</v>
      </c>
      <c r="G105" s="22">
        <f>F105</f>
        <v>35</v>
      </c>
      <c r="H105" s="22">
        <v>54</v>
      </c>
      <c r="I105" s="22"/>
      <c r="J105" s="22"/>
      <c r="K105" s="22"/>
      <c r="L105" s="58" t="str">
        <f t="shared" si="16"/>
        <v/>
      </c>
      <c r="M105" s="58" t="str">
        <f t="shared" si="17"/>
        <v/>
      </c>
      <c r="N105" s="3"/>
    </row>
    <row r="106" spans="1:15" ht="17.25" hidden="1" customHeight="1" outlineLevel="2">
      <c r="A106" s="32"/>
      <c r="B106" s="35" t="s">
        <v>721</v>
      </c>
      <c r="C106" s="32" t="s">
        <v>37</v>
      </c>
      <c r="D106" s="22"/>
      <c r="E106" s="22"/>
      <c r="F106" s="22"/>
      <c r="G106" s="22"/>
      <c r="H106" s="22">
        <v>4</v>
      </c>
      <c r="I106" s="22"/>
      <c r="J106" s="22"/>
      <c r="K106" s="22"/>
      <c r="L106" s="58"/>
      <c r="M106" s="58"/>
      <c r="N106" s="3"/>
    </row>
    <row r="107" spans="1:15" s="18" customFormat="1" collapsed="1">
      <c r="A107" s="11" t="s">
        <v>176</v>
      </c>
      <c r="B107" s="54" t="s">
        <v>183</v>
      </c>
      <c r="C107" s="11"/>
      <c r="D107" s="149"/>
      <c r="E107" s="149"/>
      <c r="F107" s="149"/>
      <c r="G107" s="149"/>
      <c r="H107" s="149"/>
      <c r="I107" s="149"/>
      <c r="J107" s="149"/>
      <c r="K107" s="149"/>
      <c r="L107" s="66" t="str">
        <f t="shared" ref="L107:L142" si="24">IFERROR(K107/J107%,"")</f>
        <v/>
      </c>
      <c r="M107" s="66" t="str">
        <f t="shared" ref="M107:M142" si="25">IFERROR(K107/I107%,"")</f>
        <v/>
      </c>
      <c r="N107" s="66"/>
    </row>
    <row r="108" spans="1:15" ht="22.5" customHeight="1">
      <c r="A108" s="11">
        <v>1</v>
      </c>
      <c r="B108" s="54" t="s">
        <v>449</v>
      </c>
      <c r="C108" s="11" t="s">
        <v>331</v>
      </c>
      <c r="D108" s="27">
        <v>676693</v>
      </c>
      <c r="E108" s="27">
        <v>708000</v>
      </c>
      <c r="F108" s="27">
        <v>722000</v>
      </c>
      <c r="G108" s="27">
        <v>435000</v>
      </c>
      <c r="H108" s="27">
        <v>730000</v>
      </c>
      <c r="I108" s="27">
        <f>190200+64000+66000</f>
        <v>320200</v>
      </c>
      <c r="J108" s="27">
        <v>750000</v>
      </c>
      <c r="K108" s="27">
        <f>197000+67000+69000</f>
        <v>333000</v>
      </c>
      <c r="L108" s="66">
        <f t="shared" si="24"/>
        <v>44.4</v>
      </c>
      <c r="M108" s="66">
        <f t="shared" si="25"/>
        <v>103.99750156152405</v>
      </c>
      <c r="N108" s="83"/>
      <c r="O108" s="77"/>
    </row>
    <row r="109" spans="1:15" ht="20.25" customHeight="1">
      <c r="A109" s="32">
        <v>2</v>
      </c>
      <c r="B109" s="20" t="s">
        <v>333</v>
      </c>
      <c r="C109" s="32"/>
      <c r="D109" s="13"/>
      <c r="E109" s="13"/>
      <c r="F109" s="13"/>
      <c r="G109" s="149"/>
      <c r="H109" s="13"/>
      <c r="I109" s="13"/>
      <c r="J109" s="13"/>
      <c r="K109" s="13"/>
      <c r="L109" s="58" t="str">
        <f t="shared" si="24"/>
        <v/>
      </c>
      <c r="M109" s="58" t="str">
        <f t="shared" si="25"/>
        <v/>
      </c>
      <c r="N109" s="3"/>
      <c r="O109" s="77"/>
    </row>
    <row r="110" spans="1:15" ht="20.25" customHeight="1">
      <c r="A110" s="32"/>
      <c r="B110" s="20" t="s">
        <v>334</v>
      </c>
      <c r="C110" s="32" t="s">
        <v>65</v>
      </c>
      <c r="D110" s="29">
        <v>40</v>
      </c>
      <c r="E110" s="29">
        <v>42</v>
      </c>
      <c r="F110" s="29">
        <v>40</v>
      </c>
      <c r="G110" s="29">
        <v>30</v>
      </c>
      <c r="H110" s="29">
        <v>38</v>
      </c>
      <c r="I110" s="29"/>
      <c r="J110" s="29">
        <v>45</v>
      </c>
      <c r="K110" s="29"/>
      <c r="L110" s="58">
        <f t="shared" si="24"/>
        <v>0</v>
      </c>
      <c r="M110" s="58" t="str">
        <f t="shared" si="25"/>
        <v/>
      </c>
      <c r="N110" s="3"/>
    </row>
    <row r="111" spans="1:15" ht="20.25" customHeight="1">
      <c r="A111" s="32"/>
      <c r="B111" s="20" t="s">
        <v>340</v>
      </c>
      <c r="C111" s="32" t="s">
        <v>65</v>
      </c>
      <c r="D111" s="29">
        <v>35</v>
      </c>
      <c r="E111" s="29">
        <v>30</v>
      </c>
      <c r="F111" s="29">
        <v>40</v>
      </c>
      <c r="G111" s="29">
        <v>32</v>
      </c>
      <c r="H111" s="29">
        <v>40</v>
      </c>
      <c r="I111" s="29"/>
      <c r="J111" s="29">
        <v>45</v>
      </c>
      <c r="K111" s="29"/>
      <c r="L111" s="58">
        <f t="shared" si="24"/>
        <v>0</v>
      </c>
      <c r="M111" s="58" t="str">
        <f t="shared" si="25"/>
        <v/>
      </c>
      <c r="N111" s="3"/>
    </row>
    <row r="112" spans="1:15" ht="20.25" customHeight="1">
      <c r="A112" s="32"/>
      <c r="B112" s="20" t="s">
        <v>335</v>
      </c>
      <c r="C112" s="32" t="s">
        <v>76</v>
      </c>
      <c r="D112" s="29">
        <v>57219</v>
      </c>
      <c r="E112" s="29">
        <v>60000</v>
      </c>
      <c r="F112" s="29">
        <v>55000</v>
      </c>
      <c r="G112" s="29">
        <v>31000</v>
      </c>
      <c r="H112" s="29">
        <v>55300</v>
      </c>
      <c r="I112" s="29"/>
      <c r="J112" s="29">
        <v>55000</v>
      </c>
      <c r="K112" s="29"/>
      <c r="L112" s="58">
        <f t="shared" si="24"/>
        <v>0</v>
      </c>
      <c r="M112" s="58" t="str">
        <f t="shared" si="25"/>
        <v/>
      </c>
      <c r="N112" s="3"/>
    </row>
    <row r="113" spans="1:17" ht="20.25" customHeight="1">
      <c r="A113" s="32"/>
      <c r="B113" s="20" t="s">
        <v>336</v>
      </c>
      <c r="C113" s="32" t="s">
        <v>76</v>
      </c>
      <c r="D113" s="29">
        <v>12363</v>
      </c>
      <c r="E113" s="29">
        <v>13000</v>
      </c>
      <c r="F113" s="29">
        <v>12000</v>
      </c>
      <c r="G113" s="29">
        <v>4950</v>
      </c>
      <c r="H113" s="29">
        <v>12125</v>
      </c>
      <c r="I113" s="29"/>
      <c r="J113" s="29">
        <v>12000</v>
      </c>
      <c r="K113" s="29"/>
      <c r="L113" s="58">
        <f t="shared" si="24"/>
        <v>0</v>
      </c>
      <c r="M113" s="58" t="str">
        <f t="shared" si="25"/>
        <v/>
      </c>
      <c r="N113" s="3"/>
    </row>
    <row r="114" spans="1:17" ht="20.25" customHeight="1">
      <c r="A114" s="32"/>
      <c r="B114" s="20" t="s">
        <v>337</v>
      </c>
      <c r="C114" s="32" t="s">
        <v>466</v>
      </c>
      <c r="D114" s="29">
        <v>39713</v>
      </c>
      <c r="E114" s="29">
        <v>41000</v>
      </c>
      <c r="F114" s="29">
        <v>60000</v>
      </c>
      <c r="G114" s="29">
        <v>47180</v>
      </c>
      <c r="H114" s="29">
        <v>67350</v>
      </c>
      <c r="I114" s="29"/>
      <c r="J114" s="29">
        <v>80000</v>
      </c>
      <c r="K114" s="29"/>
      <c r="L114" s="58">
        <f t="shared" si="24"/>
        <v>0</v>
      </c>
      <c r="M114" s="58" t="str">
        <f t="shared" si="25"/>
        <v/>
      </c>
      <c r="N114" s="3"/>
    </row>
    <row r="115" spans="1:17" ht="20.25" customHeight="1">
      <c r="A115" s="32"/>
      <c r="B115" s="20" t="s">
        <v>338</v>
      </c>
      <c r="C115" s="32" t="s">
        <v>466</v>
      </c>
      <c r="D115" s="29">
        <v>34500</v>
      </c>
      <c r="E115" s="29">
        <v>35000</v>
      </c>
      <c r="F115" s="29">
        <v>54000</v>
      </c>
      <c r="G115" s="29">
        <v>30850</v>
      </c>
      <c r="H115" s="29">
        <v>37000</v>
      </c>
      <c r="I115" s="29"/>
      <c r="J115" s="29">
        <v>70000</v>
      </c>
      <c r="K115" s="29"/>
      <c r="L115" s="58">
        <f t="shared" si="24"/>
        <v>0</v>
      </c>
      <c r="M115" s="58" t="str">
        <f t="shared" si="25"/>
        <v/>
      </c>
      <c r="N115" s="3"/>
    </row>
    <row r="116" spans="1:17" s="18" customFormat="1" ht="17.25" customHeight="1">
      <c r="A116" s="11" t="s">
        <v>182</v>
      </c>
      <c r="B116" s="15" t="s">
        <v>450</v>
      </c>
      <c r="C116" s="11"/>
      <c r="D116" s="29"/>
      <c r="E116" s="29"/>
      <c r="F116" s="29"/>
      <c r="G116" s="29"/>
      <c r="H116" s="29"/>
      <c r="I116" s="29"/>
      <c r="J116" s="29"/>
      <c r="K116" s="29"/>
      <c r="L116" s="66" t="str">
        <f t="shared" si="24"/>
        <v/>
      </c>
      <c r="M116" s="66" t="str">
        <f t="shared" si="25"/>
        <v/>
      </c>
      <c r="N116" s="66"/>
    </row>
    <row r="117" spans="1:17" ht="22.5" customHeight="1">
      <c r="A117" s="32">
        <v>1</v>
      </c>
      <c r="B117" s="20" t="s">
        <v>184</v>
      </c>
      <c r="C117" s="32" t="s">
        <v>331</v>
      </c>
      <c r="D117" s="29">
        <v>560310</v>
      </c>
      <c r="E117" s="29">
        <v>595000</v>
      </c>
      <c r="F117" s="29">
        <v>696000</v>
      </c>
      <c r="G117" s="29">
        <v>450000</v>
      </c>
      <c r="H117" s="29">
        <v>698000</v>
      </c>
      <c r="I117" s="29">
        <f>149000+49000+56000</f>
        <v>254000</v>
      </c>
      <c r="J117" s="29">
        <v>730000</v>
      </c>
      <c r="K117" s="29">
        <f>160000+54000+58000</f>
        <v>272000</v>
      </c>
      <c r="L117" s="58">
        <f t="shared" si="24"/>
        <v>37.260273972602739</v>
      </c>
      <c r="M117" s="58">
        <f t="shared" si="25"/>
        <v>107.08661417322834</v>
      </c>
      <c r="N117" s="3"/>
      <c r="O117" s="77"/>
    </row>
    <row r="118" spans="1:17" ht="19.5" customHeight="1">
      <c r="A118" s="32"/>
      <c r="B118" s="12" t="s">
        <v>454</v>
      </c>
      <c r="C118" s="32"/>
      <c r="D118" s="13"/>
      <c r="E118" s="13"/>
      <c r="F118" s="13"/>
      <c r="G118" s="13"/>
      <c r="H118" s="13"/>
      <c r="I118" s="13"/>
      <c r="J118" s="13"/>
      <c r="K118" s="13"/>
      <c r="L118" s="66" t="str">
        <f t="shared" si="24"/>
        <v/>
      </c>
      <c r="M118" s="66" t="str">
        <f t="shared" si="25"/>
        <v/>
      </c>
      <c r="N118" s="3"/>
    </row>
    <row r="119" spans="1:17" s="18" customFormat="1" ht="22.5" customHeight="1">
      <c r="A119" s="11" t="s">
        <v>38</v>
      </c>
      <c r="B119" s="15" t="s">
        <v>352</v>
      </c>
      <c r="C119" s="11"/>
      <c r="D119" s="149"/>
      <c r="E119" s="149"/>
      <c r="F119" s="149"/>
      <c r="G119" s="149"/>
      <c r="H119" s="149"/>
      <c r="I119" s="149"/>
      <c r="J119" s="149"/>
      <c r="K119" s="149"/>
      <c r="L119" s="66" t="str">
        <f t="shared" si="24"/>
        <v/>
      </c>
      <c r="M119" s="66" t="str">
        <f t="shared" si="25"/>
        <v/>
      </c>
      <c r="N119" s="83"/>
    </row>
    <row r="120" spans="1:17" ht="22.5" hidden="1" customHeight="1" outlineLevel="1">
      <c r="A120" s="613">
        <v>1</v>
      </c>
      <c r="B120" s="462" t="s">
        <v>353</v>
      </c>
      <c r="C120" s="613" t="s">
        <v>62</v>
      </c>
      <c r="D120" s="614">
        <v>10520</v>
      </c>
      <c r="E120" s="614">
        <f>D121</f>
        <v>10685</v>
      </c>
      <c r="F120" s="614">
        <f>E121</f>
        <v>11308</v>
      </c>
      <c r="G120" s="614">
        <f>E121</f>
        <v>11308</v>
      </c>
      <c r="H120" s="614">
        <f>F120</f>
        <v>11308</v>
      </c>
      <c r="I120" s="614"/>
      <c r="J120" s="614">
        <f>H121</f>
        <v>11350</v>
      </c>
      <c r="K120" s="614"/>
      <c r="L120" s="445">
        <f t="shared" si="24"/>
        <v>0</v>
      </c>
      <c r="M120" s="445" t="str">
        <f t="shared" si="25"/>
        <v/>
      </c>
      <c r="N120" s="615"/>
      <c r="O120" s="77"/>
    </row>
    <row r="121" spans="1:17" ht="22.5" hidden="1" customHeight="1" outlineLevel="1">
      <c r="A121" s="613">
        <v>2</v>
      </c>
      <c r="B121" s="462" t="s">
        <v>207</v>
      </c>
      <c r="C121" s="613" t="s">
        <v>62</v>
      </c>
      <c r="D121" s="614">
        <v>10685</v>
      </c>
      <c r="E121" s="614">
        <v>11308</v>
      </c>
      <c r="F121" s="614">
        <f>F120+630</f>
        <v>11938</v>
      </c>
      <c r="G121" s="614">
        <f>G120+420</f>
        <v>11728</v>
      </c>
      <c r="H121" s="614">
        <v>11350</v>
      </c>
      <c r="I121" s="614"/>
      <c r="J121" s="614">
        <v>11650</v>
      </c>
      <c r="K121" s="614"/>
      <c r="L121" s="445">
        <f t="shared" si="24"/>
        <v>0</v>
      </c>
      <c r="M121" s="445" t="str">
        <f t="shared" si="25"/>
        <v/>
      </c>
      <c r="N121" s="615"/>
      <c r="O121" s="77"/>
    </row>
    <row r="122" spans="1:17" ht="22.5" customHeight="1" collapsed="1">
      <c r="A122" s="32">
        <v>1</v>
      </c>
      <c r="B122" s="20" t="s">
        <v>131</v>
      </c>
      <c r="C122" s="32" t="s">
        <v>73</v>
      </c>
      <c r="D122" s="29">
        <v>44006</v>
      </c>
      <c r="E122" s="29">
        <f>D123</f>
        <v>45290</v>
      </c>
      <c r="F122" s="29">
        <f>E123</f>
        <v>46365</v>
      </c>
      <c r="G122" s="29">
        <f>E123</f>
        <v>46365</v>
      </c>
      <c r="H122" s="29">
        <f>E123</f>
        <v>46365</v>
      </c>
      <c r="I122" s="29"/>
      <c r="J122" s="29">
        <f>H123</f>
        <v>47571</v>
      </c>
      <c r="K122" s="29"/>
      <c r="L122" s="58">
        <f t="shared" si="24"/>
        <v>0</v>
      </c>
      <c r="M122" s="58" t="str">
        <f t="shared" si="25"/>
        <v/>
      </c>
      <c r="N122" s="3"/>
      <c r="O122" s="77"/>
    </row>
    <row r="123" spans="1:17" ht="22.5" customHeight="1">
      <c r="A123" s="32">
        <v>2</v>
      </c>
      <c r="B123" s="20" t="s">
        <v>132</v>
      </c>
      <c r="C123" s="32" t="s">
        <v>73</v>
      </c>
      <c r="D123" s="29">
        <v>45290</v>
      </c>
      <c r="E123" s="29">
        <v>46365</v>
      </c>
      <c r="F123" s="29">
        <v>47500</v>
      </c>
      <c r="G123" s="29">
        <f>G122+757</f>
        <v>47122</v>
      </c>
      <c r="H123" s="29">
        <v>47571</v>
      </c>
      <c r="I123" s="29"/>
      <c r="J123" s="29">
        <v>48828.800000000003</v>
      </c>
      <c r="K123" s="29"/>
      <c r="L123" s="58">
        <f t="shared" si="24"/>
        <v>0</v>
      </c>
      <c r="M123" s="58" t="str">
        <f t="shared" si="25"/>
        <v/>
      </c>
      <c r="N123" s="3"/>
      <c r="O123" s="77"/>
      <c r="Q123" s="616"/>
    </row>
    <row r="124" spans="1:17" ht="22.5" customHeight="1">
      <c r="A124" s="32">
        <v>3</v>
      </c>
      <c r="B124" s="20" t="s">
        <v>339</v>
      </c>
      <c r="C124" s="32" t="s">
        <v>73</v>
      </c>
      <c r="D124" s="29">
        <f t="shared" ref="D124:J124" si="26">(D122+D123)/2</f>
        <v>44648</v>
      </c>
      <c r="E124" s="29">
        <f t="shared" si="26"/>
        <v>45827.5</v>
      </c>
      <c r="F124" s="29">
        <f t="shared" si="26"/>
        <v>46932.5</v>
      </c>
      <c r="G124" s="29">
        <f t="shared" si="26"/>
        <v>46743.5</v>
      </c>
      <c r="H124" s="29">
        <f t="shared" si="26"/>
        <v>46968</v>
      </c>
      <c r="I124" s="29"/>
      <c r="J124" s="29">
        <f t="shared" si="26"/>
        <v>48199.9</v>
      </c>
      <c r="K124" s="29"/>
      <c r="L124" s="58">
        <f t="shared" si="24"/>
        <v>0</v>
      </c>
      <c r="M124" s="58" t="str">
        <f t="shared" si="25"/>
        <v/>
      </c>
      <c r="N124" s="3"/>
      <c r="O124" s="77"/>
    </row>
    <row r="125" spans="1:17" ht="22.5" customHeight="1">
      <c r="A125" s="32">
        <v>4</v>
      </c>
      <c r="B125" s="48" t="s">
        <v>392</v>
      </c>
      <c r="C125" s="21" t="s">
        <v>170</v>
      </c>
      <c r="D125" s="74">
        <v>22.62</v>
      </c>
      <c r="E125" s="74">
        <v>22.92</v>
      </c>
      <c r="F125" s="74">
        <v>22</v>
      </c>
      <c r="G125" s="74">
        <v>22</v>
      </c>
      <c r="H125" s="74">
        <v>22</v>
      </c>
      <c r="I125" s="74"/>
      <c r="J125" s="74">
        <f>'B05'!E21*10</f>
        <v>22.134283492043473</v>
      </c>
      <c r="K125" s="74"/>
      <c r="L125" s="58">
        <f t="shared" si="24"/>
        <v>0</v>
      </c>
      <c r="M125" s="58" t="str">
        <f t="shared" si="25"/>
        <v/>
      </c>
      <c r="N125" s="3"/>
    </row>
    <row r="126" spans="1:17" s="18" customFormat="1" ht="21" customHeight="1">
      <c r="A126" s="11" t="s">
        <v>39</v>
      </c>
      <c r="B126" s="15" t="s">
        <v>163</v>
      </c>
      <c r="C126" s="11"/>
      <c r="D126" s="57"/>
      <c r="E126" s="57"/>
      <c r="F126" s="57"/>
      <c r="G126" s="57"/>
      <c r="H126" s="57"/>
      <c r="I126" s="57"/>
      <c r="J126" s="57"/>
      <c r="K126" s="57"/>
      <c r="L126" s="66" t="str">
        <f t="shared" si="24"/>
        <v/>
      </c>
      <c r="M126" s="66" t="str">
        <f t="shared" si="25"/>
        <v/>
      </c>
      <c r="N126" s="83"/>
    </row>
    <row r="127" spans="1:17" ht="21" customHeight="1">
      <c r="A127" s="32">
        <v>1</v>
      </c>
      <c r="B127" s="20" t="s">
        <v>393</v>
      </c>
      <c r="C127" s="32" t="s">
        <v>33</v>
      </c>
      <c r="D127" s="58">
        <v>42.86</v>
      </c>
      <c r="E127" s="58">
        <v>43</v>
      </c>
      <c r="F127" s="58">
        <v>44</v>
      </c>
      <c r="G127" s="58">
        <v>43</v>
      </c>
      <c r="H127" s="58">
        <f>F127</f>
        <v>44</v>
      </c>
      <c r="I127" s="58"/>
      <c r="J127" s="58">
        <v>44.5</v>
      </c>
      <c r="K127" s="58"/>
      <c r="L127" s="58">
        <f t="shared" si="24"/>
        <v>0</v>
      </c>
      <c r="M127" s="58" t="str">
        <f t="shared" si="25"/>
        <v/>
      </c>
      <c r="N127" s="3"/>
    </row>
    <row r="128" spans="1:17" ht="21" customHeight="1">
      <c r="A128" s="32"/>
      <c r="B128" s="20" t="s">
        <v>394</v>
      </c>
      <c r="C128" s="32" t="s">
        <v>33</v>
      </c>
      <c r="D128" s="58">
        <v>32</v>
      </c>
      <c r="E128" s="58">
        <v>35</v>
      </c>
      <c r="F128" s="58">
        <v>36</v>
      </c>
      <c r="G128" s="58">
        <v>35</v>
      </c>
      <c r="H128" s="58">
        <f>F128</f>
        <v>36</v>
      </c>
      <c r="I128" s="58"/>
      <c r="J128" s="58">
        <v>36.5</v>
      </c>
      <c r="K128" s="58"/>
      <c r="L128" s="58">
        <f t="shared" si="24"/>
        <v>0</v>
      </c>
      <c r="M128" s="58" t="str">
        <f t="shared" si="25"/>
        <v/>
      </c>
      <c r="N128" s="3"/>
    </row>
    <row r="129" spans="1:15" ht="47.25">
      <c r="A129" s="32">
        <v>2</v>
      </c>
      <c r="B129" s="20" t="s">
        <v>357</v>
      </c>
      <c r="C129" s="32" t="s">
        <v>120</v>
      </c>
      <c r="D129" s="59">
        <f>174+50</f>
        <v>224</v>
      </c>
      <c r="E129" s="59">
        <v>175</v>
      </c>
      <c r="F129" s="59">
        <v>250</v>
      </c>
      <c r="G129" s="59">
        <v>305</v>
      </c>
      <c r="H129" s="59">
        <v>290</v>
      </c>
      <c r="I129" s="59"/>
      <c r="J129" s="59">
        <v>250</v>
      </c>
      <c r="K129" s="59"/>
      <c r="L129" s="58">
        <f t="shared" si="24"/>
        <v>0</v>
      </c>
      <c r="M129" s="58" t="str">
        <f t="shared" si="25"/>
        <v/>
      </c>
      <c r="N129" s="3"/>
    </row>
    <row r="130" spans="1:15" ht="30.75" customHeight="1">
      <c r="A130" s="32"/>
      <c r="B130" s="20" t="s">
        <v>396</v>
      </c>
      <c r="C130" s="32" t="s">
        <v>397</v>
      </c>
      <c r="D130" s="20">
        <v>111</v>
      </c>
      <c r="E130" s="20">
        <v>115</v>
      </c>
      <c r="F130" s="20">
        <v>120</v>
      </c>
      <c r="G130" s="20">
        <v>115</v>
      </c>
      <c r="H130" s="59">
        <f>F130</f>
        <v>120</v>
      </c>
      <c r="I130" s="59"/>
      <c r="J130" s="20">
        <v>120</v>
      </c>
      <c r="K130" s="20"/>
      <c r="L130" s="58">
        <f t="shared" si="24"/>
        <v>0</v>
      </c>
      <c r="M130" s="58" t="str">
        <f t="shared" si="25"/>
        <v/>
      </c>
      <c r="N130" s="3"/>
    </row>
    <row r="131" spans="1:15" ht="21" customHeight="1">
      <c r="A131" s="11" t="s">
        <v>47</v>
      </c>
      <c r="B131" s="15" t="s">
        <v>288</v>
      </c>
      <c r="C131" s="32"/>
      <c r="D131" s="59"/>
      <c r="E131" s="59"/>
      <c r="F131" s="59"/>
      <c r="G131" s="59"/>
      <c r="H131" s="59"/>
      <c r="I131" s="59"/>
      <c r="J131" s="59"/>
      <c r="K131" s="59"/>
      <c r="L131" s="66" t="str">
        <f t="shared" si="24"/>
        <v/>
      </c>
      <c r="M131" s="66" t="str">
        <f t="shared" si="25"/>
        <v/>
      </c>
      <c r="N131" s="3"/>
    </row>
    <row r="132" spans="1:15" ht="29.25" customHeight="1">
      <c r="A132" s="60">
        <v>1</v>
      </c>
      <c r="B132" s="61" t="s">
        <v>355</v>
      </c>
      <c r="C132" s="32" t="s">
        <v>33</v>
      </c>
      <c r="D132" s="67" t="s">
        <v>358</v>
      </c>
      <c r="E132" s="88">
        <f>D133-E133</f>
        <v>3.1799999999999997</v>
      </c>
      <c r="F132" s="88">
        <v>3</v>
      </c>
      <c r="G132" s="67"/>
      <c r="H132" s="67">
        <v>2.14</v>
      </c>
      <c r="I132" s="67"/>
      <c r="J132" s="88">
        <v>3</v>
      </c>
      <c r="K132" s="88"/>
      <c r="L132" s="58">
        <f t="shared" si="24"/>
        <v>0</v>
      </c>
      <c r="M132" s="58" t="str">
        <f t="shared" si="25"/>
        <v/>
      </c>
      <c r="N132" s="3"/>
    </row>
    <row r="133" spans="1:15" ht="21" customHeight="1">
      <c r="A133" s="60">
        <v>2</v>
      </c>
      <c r="B133" s="61" t="s">
        <v>395</v>
      </c>
      <c r="C133" s="32" t="s">
        <v>33</v>
      </c>
      <c r="D133" s="80">
        <v>17.32</v>
      </c>
      <c r="E133" s="80">
        <v>14.14</v>
      </c>
      <c r="F133" s="80">
        <f>E133-3</f>
        <v>11.14</v>
      </c>
      <c r="G133" s="80"/>
      <c r="H133" s="80">
        <f>E133-H132</f>
        <v>12</v>
      </c>
      <c r="I133" s="80"/>
      <c r="J133" s="80">
        <f>H133-J132</f>
        <v>9</v>
      </c>
      <c r="K133" s="80"/>
      <c r="L133" s="58">
        <f t="shared" si="24"/>
        <v>0</v>
      </c>
      <c r="M133" s="58" t="str">
        <f t="shared" si="25"/>
        <v/>
      </c>
      <c r="N133" s="3"/>
      <c r="O133" s="89"/>
    </row>
    <row r="134" spans="1:15" s="18" customFormat="1" ht="20.25" customHeight="1">
      <c r="A134" s="11" t="s">
        <v>48</v>
      </c>
      <c r="B134" s="15" t="s">
        <v>6</v>
      </c>
      <c r="C134" s="11"/>
      <c r="D134" s="149"/>
      <c r="E134" s="149"/>
      <c r="F134" s="149"/>
      <c r="G134" s="149"/>
      <c r="H134" s="149"/>
      <c r="I134" s="149"/>
      <c r="J134" s="149"/>
      <c r="K134" s="149"/>
      <c r="L134" s="66" t="str">
        <f t="shared" si="24"/>
        <v/>
      </c>
      <c r="M134" s="66" t="str">
        <f t="shared" si="25"/>
        <v/>
      </c>
      <c r="N134" s="83"/>
    </row>
    <row r="135" spans="1:15" ht="23.25" customHeight="1">
      <c r="A135" s="32">
        <v>1</v>
      </c>
      <c r="B135" s="20" t="s">
        <v>389</v>
      </c>
      <c r="C135" s="32" t="s">
        <v>8</v>
      </c>
      <c r="D135" s="29">
        <f>SUM(D136:D144)</f>
        <v>13999</v>
      </c>
      <c r="E135" s="29">
        <f>SUM(E136:E144)</f>
        <v>14102</v>
      </c>
      <c r="F135" s="29">
        <f>F136+F141+F142+F144</f>
        <v>14530</v>
      </c>
      <c r="G135" s="29">
        <f>G136+G141+G142+G144</f>
        <v>14536</v>
      </c>
      <c r="H135" s="29">
        <f>H136+H141+H142+H144</f>
        <v>14495</v>
      </c>
      <c r="I135" s="29">
        <f>QI.2018!H130</f>
        <v>14407</v>
      </c>
      <c r="J135" s="29">
        <f>J136+J141+J142+J144</f>
        <v>15222</v>
      </c>
      <c r="K135" s="29">
        <f>K136+K141+K142+K144</f>
        <v>14912</v>
      </c>
      <c r="L135" s="58">
        <f t="shared" si="24"/>
        <v>97.963473919327285</v>
      </c>
      <c r="M135" s="58">
        <f t="shared" si="25"/>
        <v>103.50524050808635</v>
      </c>
      <c r="N135" s="3"/>
    </row>
    <row r="136" spans="1:15" ht="21" hidden="1" customHeight="1" outlineLevel="1">
      <c r="A136" s="32" t="s">
        <v>34</v>
      </c>
      <c r="B136" s="20" t="s">
        <v>188</v>
      </c>
      <c r="C136" s="32" t="s">
        <v>8</v>
      </c>
      <c r="D136" s="151">
        <v>4325</v>
      </c>
      <c r="E136" s="151">
        <v>4401</v>
      </c>
      <c r="F136" s="151">
        <f>F137+F139</f>
        <v>4430</v>
      </c>
      <c r="G136" s="151">
        <f>G137+G139</f>
        <v>4480</v>
      </c>
      <c r="H136" s="151">
        <f>H137+H139</f>
        <v>4476</v>
      </c>
      <c r="I136" s="151"/>
      <c r="J136" s="151">
        <f>J137+J139</f>
        <v>4570</v>
      </c>
      <c r="K136" s="151">
        <f>K137+K139</f>
        <v>4376</v>
      </c>
      <c r="L136" s="58">
        <f t="shared" si="24"/>
        <v>95.754923413566729</v>
      </c>
      <c r="M136" s="58" t="str">
        <f t="shared" si="25"/>
        <v/>
      </c>
      <c r="N136" s="3"/>
      <c r="O136" s="81"/>
    </row>
    <row r="137" spans="1:15" s="42" customFormat="1" ht="21" hidden="1" customHeight="1" outlineLevel="1">
      <c r="A137" s="39" t="s">
        <v>557</v>
      </c>
      <c r="B137" s="20" t="s">
        <v>189</v>
      </c>
      <c r="C137" s="32" t="s">
        <v>12</v>
      </c>
      <c r="D137" s="152"/>
      <c r="E137" s="151"/>
      <c r="F137" s="151">
        <v>450</v>
      </c>
      <c r="G137" s="151">
        <v>516</v>
      </c>
      <c r="H137" s="151">
        <v>516</v>
      </c>
      <c r="I137" s="151"/>
      <c r="J137" s="151">
        <v>520</v>
      </c>
      <c r="K137" s="151">
        <v>496</v>
      </c>
      <c r="L137" s="58">
        <f t="shared" si="24"/>
        <v>95.384615384615387</v>
      </c>
      <c r="M137" s="58" t="str">
        <f t="shared" si="25"/>
        <v/>
      </c>
      <c r="N137" s="84"/>
      <c r="O137" s="82"/>
    </row>
    <row r="138" spans="1:15" s="42" customFormat="1" ht="21" hidden="1" customHeight="1" outlineLevel="1">
      <c r="A138" s="39"/>
      <c r="B138" s="62" t="s">
        <v>849</v>
      </c>
      <c r="C138" s="32" t="s">
        <v>12</v>
      </c>
      <c r="D138" s="152"/>
      <c r="E138" s="151"/>
      <c r="F138" s="151">
        <v>350</v>
      </c>
      <c r="G138" s="151">
        <v>365</v>
      </c>
      <c r="H138" s="151">
        <v>365</v>
      </c>
      <c r="I138" s="151"/>
      <c r="J138" s="151">
        <v>361</v>
      </c>
      <c r="K138" s="151"/>
      <c r="L138" s="58">
        <f t="shared" si="24"/>
        <v>0</v>
      </c>
      <c r="M138" s="58" t="str">
        <f t="shared" si="25"/>
        <v/>
      </c>
      <c r="N138" s="84"/>
      <c r="O138" s="82"/>
    </row>
    <row r="139" spans="1:15" s="42" customFormat="1" ht="21" hidden="1" customHeight="1" outlineLevel="1">
      <c r="A139" s="32" t="s">
        <v>557</v>
      </c>
      <c r="B139" s="20" t="s">
        <v>190</v>
      </c>
      <c r="C139" s="32" t="s">
        <v>12</v>
      </c>
      <c r="D139" s="152"/>
      <c r="E139" s="151"/>
      <c r="F139" s="151">
        <v>3980</v>
      </c>
      <c r="G139" s="151">
        <v>3964</v>
      </c>
      <c r="H139" s="151">
        <v>3960</v>
      </c>
      <c r="I139" s="151"/>
      <c r="J139" s="151">
        <v>4050</v>
      </c>
      <c r="K139" s="151">
        <v>3880</v>
      </c>
      <c r="L139" s="58">
        <f t="shared" si="24"/>
        <v>95.802469135802468</v>
      </c>
      <c r="M139" s="58" t="str">
        <f t="shared" si="25"/>
        <v/>
      </c>
      <c r="N139" s="84"/>
      <c r="O139" s="82"/>
    </row>
    <row r="140" spans="1:15" s="42" customFormat="1" ht="21" hidden="1" customHeight="1" outlineLevel="1">
      <c r="A140" s="32"/>
      <c r="B140" s="62" t="s">
        <v>849</v>
      </c>
      <c r="C140" s="32" t="s">
        <v>12</v>
      </c>
      <c r="D140" s="152"/>
      <c r="E140" s="151"/>
      <c r="F140" s="151"/>
      <c r="G140" s="151"/>
      <c r="H140" s="151"/>
      <c r="I140" s="151"/>
      <c r="J140" s="151">
        <f>J139</f>
        <v>4050</v>
      </c>
      <c r="K140" s="151"/>
      <c r="L140" s="58">
        <f t="shared" si="24"/>
        <v>0</v>
      </c>
      <c r="M140" s="58" t="str">
        <f t="shared" si="25"/>
        <v/>
      </c>
      <c r="N140" s="84"/>
      <c r="O140" s="82"/>
    </row>
    <row r="141" spans="1:15" ht="21" hidden="1" customHeight="1" outlineLevel="1">
      <c r="A141" s="32" t="s">
        <v>35</v>
      </c>
      <c r="B141" s="20" t="s">
        <v>272</v>
      </c>
      <c r="C141" s="32" t="s">
        <v>8</v>
      </c>
      <c r="D141" s="151">
        <v>5412</v>
      </c>
      <c r="E141" s="151">
        <v>5400</v>
      </c>
      <c r="F141" s="151">
        <v>5700</v>
      </c>
      <c r="G141" s="151">
        <v>5691</v>
      </c>
      <c r="H141" s="151">
        <v>5682</v>
      </c>
      <c r="I141" s="151"/>
      <c r="J141" s="151">
        <v>6079</v>
      </c>
      <c r="K141" s="151">
        <v>6027</v>
      </c>
      <c r="L141" s="58">
        <f t="shared" si="24"/>
        <v>99.144596150682673</v>
      </c>
      <c r="M141" s="58" t="str">
        <f t="shared" si="25"/>
        <v/>
      </c>
      <c r="N141" s="3"/>
      <c r="O141" s="81"/>
    </row>
    <row r="142" spans="1:15" ht="21" hidden="1" customHeight="1" outlineLevel="1">
      <c r="A142" s="32" t="s">
        <v>36</v>
      </c>
      <c r="B142" s="20" t="s">
        <v>273</v>
      </c>
      <c r="C142" s="32" t="s">
        <v>8</v>
      </c>
      <c r="D142" s="151">
        <v>3521</v>
      </c>
      <c r="E142" s="151">
        <v>3560</v>
      </c>
      <c r="F142" s="151">
        <v>3570</v>
      </c>
      <c r="G142" s="151">
        <v>3558</v>
      </c>
      <c r="H142" s="151">
        <f>3457+73</f>
        <v>3530</v>
      </c>
      <c r="I142" s="151"/>
      <c r="J142" s="151">
        <v>3653</v>
      </c>
      <c r="K142" s="151">
        <v>3616</v>
      </c>
      <c r="L142" s="58">
        <f t="shared" si="24"/>
        <v>98.987133862578702</v>
      </c>
      <c r="M142" s="58" t="str">
        <f t="shared" si="25"/>
        <v/>
      </c>
      <c r="N142" s="3"/>
    </row>
    <row r="143" spans="1:15" ht="21" hidden="1" customHeight="1" outlineLevel="1">
      <c r="A143" s="32"/>
      <c r="B143" s="62" t="s">
        <v>850</v>
      </c>
      <c r="C143" s="32"/>
      <c r="D143" s="151"/>
      <c r="E143" s="151"/>
      <c r="F143" s="151"/>
      <c r="G143" s="151"/>
      <c r="H143" s="151"/>
      <c r="I143" s="151"/>
      <c r="J143" s="151">
        <v>3593</v>
      </c>
      <c r="K143" s="151"/>
      <c r="L143" s="58"/>
      <c r="M143" s="58"/>
      <c r="N143" s="3"/>
      <c r="O143" s="81"/>
    </row>
    <row r="144" spans="1:15" ht="21" hidden="1" customHeight="1" outlineLevel="1">
      <c r="A144" s="32" t="s">
        <v>53</v>
      </c>
      <c r="B144" s="20" t="s">
        <v>342</v>
      </c>
      <c r="C144" s="32" t="s">
        <v>8</v>
      </c>
      <c r="D144" s="151">
        <v>741</v>
      </c>
      <c r="E144" s="151">
        <v>741</v>
      </c>
      <c r="F144" s="151">
        <v>830</v>
      </c>
      <c r="G144" s="151">
        <v>807</v>
      </c>
      <c r="H144" s="151">
        <v>807</v>
      </c>
      <c r="I144" s="151"/>
      <c r="J144" s="151">
        <v>920</v>
      </c>
      <c r="K144" s="151">
        <v>893</v>
      </c>
      <c r="L144" s="58">
        <f t="shared" ref="L144:L191" si="27">IFERROR(K144/J144%,"")</f>
        <v>97.065217391304358</v>
      </c>
      <c r="M144" s="58" t="str">
        <f t="shared" ref="M144:M191" si="28">IFERROR(K144/I144%,"")</f>
        <v/>
      </c>
      <c r="N144" s="3"/>
      <c r="O144" s="81"/>
    </row>
    <row r="145" spans="1:14" ht="22.5" hidden="1" customHeight="1" outlineLevel="1">
      <c r="A145" s="32"/>
      <c r="B145" s="20" t="s">
        <v>398</v>
      </c>
      <c r="C145" s="32"/>
      <c r="D145" s="13">
        <f t="shared" ref="D145:J145" si="29">SUM(D147:D151)</f>
        <v>37</v>
      </c>
      <c r="E145" s="13">
        <f t="shared" si="29"/>
        <v>38</v>
      </c>
      <c r="F145" s="13">
        <f t="shared" si="29"/>
        <v>38</v>
      </c>
      <c r="G145" s="13">
        <f t="shared" si="29"/>
        <v>38</v>
      </c>
      <c r="H145" s="13">
        <f t="shared" si="29"/>
        <v>38</v>
      </c>
      <c r="I145" s="13"/>
      <c r="J145" s="13">
        <f t="shared" si="29"/>
        <v>38</v>
      </c>
      <c r="K145" s="13"/>
      <c r="L145" s="58">
        <f t="shared" si="27"/>
        <v>0</v>
      </c>
      <c r="M145" s="58" t="str">
        <f t="shared" si="28"/>
        <v/>
      </c>
      <c r="N145" s="3"/>
    </row>
    <row r="146" spans="1:14" ht="22.5" hidden="1" customHeight="1" outlineLevel="1">
      <c r="A146" s="32"/>
      <c r="B146" s="62" t="s">
        <v>341</v>
      </c>
      <c r="C146" s="32"/>
      <c r="D146" s="13"/>
      <c r="E146" s="13"/>
      <c r="F146" s="13"/>
      <c r="G146" s="13"/>
      <c r="H146" s="13"/>
      <c r="I146" s="13"/>
      <c r="J146" s="13"/>
      <c r="K146" s="13"/>
      <c r="L146" s="58" t="str">
        <f t="shared" si="27"/>
        <v/>
      </c>
      <c r="M146" s="58" t="str">
        <f t="shared" si="28"/>
        <v/>
      </c>
      <c r="N146" s="3"/>
    </row>
    <row r="147" spans="1:14" ht="22.5" hidden="1" customHeight="1" outlineLevel="1">
      <c r="A147" s="32"/>
      <c r="B147" s="20" t="s">
        <v>343</v>
      </c>
      <c r="C147" s="32" t="s">
        <v>143</v>
      </c>
      <c r="D147" s="13">
        <v>13</v>
      </c>
      <c r="E147" s="13">
        <v>13</v>
      </c>
      <c r="F147" s="13">
        <f t="shared" ref="F147:H151" si="30">E147</f>
        <v>13</v>
      </c>
      <c r="G147" s="13">
        <f t="shared" si="30"/>
        <v>13</v>
      </c>
      <c r="H147" s="13">
        <f t="shared" si="30"/>
        <v>13</v>
      </c>
      <c r="I147" s="13"/>
      <c r="J147" s="13">
        <f>E147</f>
        <v>13</v>
      </c>
      <c r="K147" s="13"/>
      <c r="L147" s="58">
        <f t="shared" si="27"/>
        <v>0</v>
      </c>
      <c r="M147" s="58" t="str">
        <f t="shared" si="28"/>
        <v/>
      </c>
      <c r="N147" s="3"/>
    </row>
    <row r="148" spans="1:14" ht="22.5" hidden="1" customHeight="1" outlineLevel="1">
      <c r="A148" s="32"/>
      <c r="B148" s="20" t="s">
        <v>344</v>
      </c>
      <c r="C148" s="32" t="s">
        <v>143</v>
      </c>
      <c r="D148" s="13">
        <v>13</v>
      </c>
      <c r="E148" s="13">
        <v>14</v>
      </c>
      <c r="F148" s="13">
        <f t="shared" si="30"/>
        <v>14</v>
      </c>
      <c r="G148" s="13">
        <f t="shared" si="30"/>
        <v>14</v>
      </c>
      <c r="H148" s="13">
        <f t="shared" si="30"/>
        <v>14</v>
      </c>
      <c r="I148" s="13"/>
      <c r="J148" s="13">
        <f>E148</f>
        <v>14</v>
      </c>
      <c r="K148" s="13"/>
      <c r="L148" s="58">
        <f t="shared" si="27"/>
        <v>0</v>
      </c>
      <c r="M148" s="58" t="str">
        <f t="shared" si="28"/>
        <v/>
      </c>
      <c r="N148" s="3"/>
    </row>
    <row r="149" spans="1:14" ht="22.5" hidden="1" customHeight="1" outlineLevel="1">
      <c r="A149" s="32"/>
      <c r="B149" s="20" t="s">
        <v>345</v>
      </c>
      <c r="C149" s="32" t="s">
        <v>143</v>
      </c>
      <c r="D149" s="13">
        <v>9</v>
      </c>
      <c r="E149" s="13">
        <v>9</v>
      </c>
      <c r="F149" s="13">
        <f t="shared" si="30"/>
        <v>9</v>
      </c>
      <c r="G149" s="13">
        <f t="shared" si="30"/>
        <v>9</v>
      </c>
      <c r="H149" s="13">
        <f t="shared" si="30"/>
        <v>9</v>
      </c>
      <c r="I149" s="13"/>
      <c r="J149" s="13">
        <f>E149</f>
        <v>9</v>
      </c>
      <c r="K149" s="13"/>
      <c r="L149" s="58">
        <f t="shared" si="27"/>
        <v>0</v>
      </c>
      <c r="M149" s="58" t="str">
        <f t="shared" si="28"/>
        <v/>
      </c>
      <c r="N149" s="3"/>
    </row>
    <row r="150" spans="1:14" ht="22.5" hidden="1" customHeight="1" outlineLevel="1">
      <c r="A150" s="32"/>
      <c r="B150" s="20" t="s">
        <v>346</v>
      </c>
      <c r="C150" s="32" t="s">
        <v>143</v>
      </c>
      <c r="D150" s="13">
        <v>1</v>
      </c>
      <c r="E150" s="13">
        <v>1</v>
      </c>
      <c r="F150" s="13">
        <f t="shared" si="30"/>
        <v>1</v>
      </c>
      <c r="G150" s="13">
        <f t="shared" si="30"/>
        <v>1</v>
      </c>
      <c r="H150" s="13">
        <f t="shared" si="30"/>
        <v>1</v>
      </c>
      <c r="I150" s="13"/>
      <c r="J150" s="13">
        <f>E150</f>
        <v>1</v>
      </c>
      <c r="K150" s="13"/>
      <c r="L150" s="58">
        <f t="shared" si="27"/>
        <v>0</v>
      </c>
      <c r="M150" s="58" t="str">
        <f t="shared" si="28"/>
        <v/>
      </c>
      <c r="N150" s="3"/>
    </row>
    <row r="151" spans="1:14" ht="22.5" hidden="1" customHeight="1" outlineLevel="1">
      <c r="A151" s="32"/>
      <c r="B151" s="20" t="s">
        <v>347</v>
      </c>
      <c r="C151" s="32" t="s">
        <v>143</v>
      </c>
      <c r="D151" s="13">
        <v>1</v>
      </c>
      <c r="E151" s="13">
        <v>1</v>
      </c>
      <c r="F151" s="13">
        <f t="shared" si="30"/>
        <v>1</v>
      </c>
      <c r="G151" s="13">
        <f t="shared" si="30"/>
        <v>1</v>
      </c>
      <c r="H151" s="13">
        <f t="shared" si="30"/>
        <v>1</v>
      </c>
      <c r="I151" s="13"/>
      <c r="J151" s="13">
        <f>E151</f>
        <v>1</v>
      </c>
      <c r="K151" s="13"/>
      <c r="L151" s="58">
        <f t="shared" si="27"/>
        <v>0</v>
      </c>
      <c r="M151" s="58" t="str">
        <f t="shared" si="28"/>
        <v/>
      </c>
      <c r="N151" s="3"/>
    </row>
    <row r="152" spans="1:14" ht="22.5" hidden="1" customHeight="1" outlineLevel="1">
      <c r="A152" s="32"/>
      <c r="B152" s="20" t="s">
        <v>348</v>
      </c>
      <c r="C152" s="32" t="s">
        <v>143</v>
      </c>
      <c r="D152" s="13">
        <f t="shared" ref="D152:J152" si="31">SUM(D154:D158)</f>
        <v>20</v>
      </c>
      <c r="E152" s="13">
        <f t="shared" si="31"/>
        <v>21</v>
      </c>
      <c r="F152" s="13">
        <f t="shared" si="31"/>
        <v>25</v>
      </c>
      <c r="G152" s="13">
        <f t="shared" si="31"/>
        <v>21</v>
      </c>
      <c r="H152" s="13">
        <f t="shared" si="31"/>
        <v>21</v>
      </c>
      <c r="I152" s="13"/>
      <c r="J152" s="13">
        <f t="shared" si="31"/>
        <v>24</v>
      </c>
      <c r="K152" s="13"/>
      <c r="L152" s="58">
        <f t="shared" si="27"/>
        <v>0</v>
      </c>
      <c r="M152" s="58" t="str">
        <f t="shared" si="28"/>
        <v/>
      </c>
      <c r="N152" s="3"/>
    </row>
    <row r="153" spans="1:14" ht="22.5" hidden="1" customHeight="1" outlineLevel="1">
      <c r="A153" s="32"/>
      <c r="B153" s="62" t="s">
        <v>341</v>
      </c>
      <c r="C153" s="32"/>
      <c r="D153" s="13"/>
      <c r="E153" s="13"/>
      <c r="F153" s="13"/>
      <c r="G153" s="13"/>
      <c r="H153" s="13"/>
      <c r="I153" s="13"/>
      <c r="J153" s="13"/>
      <c r="K153" s="13"/>
      <c r="L153" s="58" t="str">
        <f t="shared" si="27"/>
        <v/>
      </c>
      <c r="M153" s="58" t="str">
        <f t="shared" si="28"/>
        <v/>
      </c>
      <c r="N153" s="3"/>
    </row>
    <row r="154" spans="1:14" ht="22.5" hidden="1" customHeight="1" outlineLevel="1">
      <c r="A154" s="32"/>
      <c r="B154" s="20" t="s">
        <v>343</v>
      </c>
      <c r="C154" s="32" t="s">
        <v>143</v>
      </c>
      <c r="D154" s="13">
        <v>5</v>
      </c>
      <c r="E154" s="13">
        <v>6</v>
      </c>
      <c r="F154" s="13">
        <v>8</v>
      </c>
      <c r="G154" s="13">
        <v>6</v>
      </c>
      <c r="H154" s="13">
        <v>6</v>
      </c>
      <c r="I154" s="13"/>
      <c r="J154" s="13">
        <v>7</v>
      </c>
      <c r="K154" s="13"/>
      <c r="L154" s="58">
        <f t="shared" si="27"/>
        <v>0</v>
      </c>
      <c r="M154" s="58" t="str">
        <f t="shared" si="28"/>
        <v/>
      </c>
      <c r="N154" s="3"/>
    </row>
    <row r="155" spans="1:14" ht="22.5" hidden="1" customHeight="1" outlineLevel="1">
      <c r="A155" s="32"/>
      <c r="B155" s="20" t="s">
        <v>344</v>
      </c>
      <c r="C155" s="32" t="s">
        <v>143</v>
      </c>
      <c r="D155" s="13">
        <v>9</v>
      </c>
      <c r="E155" s="13">
        <v>9</v>
      </c>
      <c r="F155" s="13">
        <v>10</v>
      </c>
      <c r="G155" s="13">
        <v>9</v>
      </c>
      <c r="H155" s="13">
        <v>9</v>
      </c>
      <c r="I155" s="13"/>
      <c r="J155" s="13">
        <v>10</v>
      </c>
      <c r="K155" s="13"/>
      <c r="L155" s="58">
        <f t="shared" si="27"/>
        <v>0</v>
      </c>
      <c r="M155" s="58" t="str">
        <f t="shared" si="28"/>
        <v/>
      </c>
      <c r="N155" s="3"/>
    </row>
    <row r="156" spans="1:14" ht="22.5" hidden="1" customHeight="1" outlineLevel="1">
      <c r="A156" s="32"/>
      <c r="B156" s="20" t="s">
        <v>345</v>
      </c>
      <c r="C156" s="32" t="s">
        <v>143</v>
      </c>
      <c r="D156" s="13">
        <v>4</v>
      </c>
      <c r="E156" s="13">
        <v>4</v>
      </c>
      <c r="F156" s="13">
        <v>5</v>
      </c>
      <c r="G156" s="13">
        <v>4</v>
      </c>
      <c r="H156" s="13">
        <v>4</v>
      </c>
      <c r="I156" s="13"/>
      <c r="J156" s="13">
        <v>5</v>
      </c>
      <c r="K156" s="13"/>
      <c r="L156" s="58">
        <f t="shared" si="27"/>
        <v>0</v>
      </c>
      <c r="M156" s="58" t="str">
        <f t="shared" si="28"/>
        <v/>
      </c>
      <c r="N156" s="3"/>
    </row>
    <row r="157" spans="1:14" ht="22.5" hidden="1" customHeight="1" outlineLevel="1">
      <c r="A157" s="32"/>
      <c r="B157" s="20" t="s">
        <v>346</v>
      </c>
      <c r="C157" s="32" t="s">
        <v>143</v>
      </c>
      <c r="D157" s="13">
        <v>1</v>
      </c>
      <c r="E157" s="13">
        <v>1</v>
      </c>
      <c r="F157" s="13">
        <v>1</v>
      </c>
      <c r="G157" s="13">
        <v>1</v>
      </c>
      <c r="H157" s="13">
        <v>1</v>
      </c>
      <c r="I157" s="13"/>
      <c r="J157" s="13">
        <v>1</v>
      </c>
      <c r="K157" s="13"/>
      <c r="L157" s="58">
        <f t="shared" si="27"/>
        <v>0</v>
      </c>
      <c r="M157" s="58" t="str">
        <f t="shared" si="28"/>
        <v/>
      </c>
      <c r="N157" s="3"/>
    </row>
    <row r="158" spans="1:14" ht="22.5" hidden="1" customHeight="1" outlineLevel="1">
      <c r="A158" s="32"/>
      <c r="B158" s="20" t="s">
        <v>347</v>
      </c>
      <c r="C158" s="32" t="s">
        <v>143</v>
      </c>
      <c r="D158" s="13">
        <v>1</v>
      </c>
      <c r="E158" s="13">
        <v>1</v>
      </c>
      <c r="F158" s="13">
        <v>1</v>
      </c>
      <c r="G158" s="13">
        <v>1</v>
      </c>
      <c r="H158" s="13">
        <v>1</v>
      </c>
      <c r="I158" s="13"/>
      <c r="J158" s="13">
        <v>1</v>
      </c>
      <c r="K158" s="13"/>
      <c r="L158" s="58">
        <f t="shared" si="27"/>
        <v>0</v>
      </c>
      <c r="M158" s="58" t="str">
        <f t="shared" si="28"/>
        <v/>
      </c>
      <c r="N158" s="3"/>
    </row>
    <row r="159" spans="1:14" ht="22.5" customHeight="1" collapsed="1">
      <c r="A159" s="32">
        <v>2</v>
      </c>
      <c r="B159" s="20" t="s">
        <v>144</v>
      </c>
      <c r="C159" s="32" t="s">
        <v>33</v>
      </c>
      <c r="D159" s="74">
        <f t="shared" ref="D159:J159" si="32">D152/D145%</f>
        <v>54.054054054054056</v>
      </c>
      <c r="E159" s="55">
        <f t="shared" si="32"/>
        <v>55.263157894736842</v>
      </c>
      <c r="F159" s="55">
        <f t="shared" si="32"/>
        <v>65.78947368421052</v>
      </c>
      <c r="G159" s="55">
        <f t="shared" si="32"/>
        <v>55.263157894736842</v>
      </c>
      <c r="H159" s="55">
        <f t="shared" si="32"/>
        <v>55.263157894736842</v>
      </c>
      <c r="I159" s="55">
        <f>QI.2018!H168</f>
        <v>44.444444444444443</v>
      </c>
      <c r="J159" s="55">
        <f t="shared" si="32"/>
        <v>63.157894736842103</v>
      </c>
      <c r="K159" s="55">
        <f>H159</f>
        <v>55.263157894736842</v>
      </c>
      <c r="L159" s="58">
        <f t="shared" si="27"/>
        <v>87.5</v>
      </c>
      <c r="M159" s="58">
        <f t="shared" si="28"/>
        <v>124.3421052631579</v>
      </c>
      <c r="N159" s="3"/>
    </row>
    <row r="160" spans="1:14" ht="22.5" hidden="1" customHeight="1" outlineLevel="1">
      <c r="A160" s="32"/>
      <c r="B160" s="62" t="s">
        <v>341</v>
      </c>
      <c r="C160" s="32"/>
      <c r="D160" s="55"/>
      <c r="E160" s="55"/>
      <c r="F160" s="55"/>
      <c r="G160" s="55"/>
      <c r="H160" s="55"/>
      <c r="I160" s="55"/>
      <c r="J160" s="55"/>
      <c r="K160" s="55"/>
      <c r="L160" s="58" t="str">
        <f t="shared" si="27"/>
        <v/>
      </c>
      <c r="M160" s="58" t="str">
        <f t="shared" si="28"/>
        <v/>
      </c>
      <c r="N160" s="3"/>
    </row>
    <row r="161" spans="1:14" ht="22.5" hidden="1" customHeight="1" outlineLevel="1">
      <c r="A161" s="32"/>
      <c r="B161" s="20" t="s">
        <v>343</v>
      </c>
      <c r="C161" s="32" t="s">
        <v>33</v>
      </c>
      <c r="D161" s="55">
        <f t="shared" ref="D161:J165" si="33">D154/D147%</f>
        <v>38.46153846153846</v>
      </c>
      <c r="E161" s="55">
        <f t="shared" si="33"/>
        <v>46.153846153846153</v>
      </c>
      <c r="F161" s="55">
        <f t="shared" si="33"/>
        <v>61.538461538461533</v>
      </c>
      <c r="G161" s="55">
        <f t="shared" si="33"/>
        <v>46.153846153846153</v>
      </c>
      <c r="H161" s="55">
        <f t="shared" si="33"/>
        <v>46.153846153846153</v>
      </c>
      <c r="I161" s="55"/>
      <c r="J161" s="55">
        <f t="shared" si="33"/>
        <v>53.846153846153847</v>
      </c>
      <c r="K161" s="55"/>
      <c r="L161" s="58">
        <f t="shared" si="27"/>
        <v>0</v>
      </c>
      <c r="M161" s="58" t="str">
        <f t="shared" si="28"/>
        <v/>
      </c>
      <c r="N161" s="3"/>
    </row>
    <row r="162" spans="1:14" ht="22.5" hidden="1" customHeight="1" outlineLevel="1">
      <c r="A162" s="32"/>
      <c r="B162" s="20" t="s">
        <v>344</v>
      </c>
      <c r="C162" s="32" t="s">
        <v>33</v>
      </c>
      <c r="D162" s="55">
        <f t="shared" si="33"/>
        <v>69.230769230769226</v>
      </c>
      <c r="E162" s="55">
        <f t="shared" si="33"/>
        <v>64.285714285714278</v>
      </c>
      <c r="F162" s="55">
        <f t="shared" si="33"/>
        <v>71.428571428571416</v>
      </c>
      <c r="G162" s="55">
        <f t="shared" si="33"/>
        <v>64.285714285714278</v>
      </c>
      <c r="H162" s="55">
        <f t="shared" si="33"/>
        <v>64.285714285714278</v>
      </c>
      <c r="I162" s="55"/>
      <c r="J162" s="55">
        <f t="shared" si="33"/>
        <v>71.428571428571416</v>
      </c>
      <c r="K162" s="55"/>
      <c r="L162" s="58">
        <f t="shared" si="27"/>
        <v>0</v>
      </c>
      <c r="M162" s="58" t="str">
        <f t="shared" si="28"/>
        <v/>
      </c>
      <c r="N162" s="3"/>
    </row>
    <row r="163" spans="1:14" ht="22.5" hidden="1" customHeight="1" outlineLevel="1">
      <c r="A163" s="32"/>
      <c r="B163" s="20" t="s">
        <v>345</v>
      </c>
      <c r="C163" s="32" t="s">
        <v>33</v>
      </c>
      <c r="D163" s="55">
        <f t="shared" si="33"/>
        <v>44.444444444444443</v>
      </c>
      <c r="E163" s="55">
        <f t="shared" si="33"/>
        <v>44.444444444444443</v>
      </c>
      <c r="F163" s="55">
        <f t="shared" si="33"/>
        <v>55.555555555555557</v>
      </c>
      <c r="G163" s="55">
        <f t="shared" si="33"/>
        <v>44.444444444444443</v>
      </c>
      <c r="H163" s="55">
        <f t="shared" si="33"/>
        <v>44.444444444444443</v>
      </c>
      <c r="I163" s="55"/>
      <c r="J163" s="55">
        <f t="shared" si="33"/>
        <v>55.555555555555557</v>
      </c>
      <c r="K163" s="55"/>
      <c r="L163" s="58">
        <f t="shared" si="27"/>
        <v>0</v>
      </c>
      <c r="M163" s="58" t="str">
        <f t="shared" si="28"/>
        <v/>
      </c>
      <c r="N163" s="3"/>
    </row>
    <row r="164" spans="1:14" ht="22.5" hidden="1" customHeight="1" outlineLevel="1">
      <c r="A164" s="32"/>
      <c r="B164" s="20" t="s">
        <v>346</v>
      </c>
      <c r="C164" s="32" t="s">
        <v>33</v>
      </c>
      <c r="D164" s="55">
        <f t="shared" si="33"/>
        <v>100</v>
      </c>
      <c r="E164" s="55">
        <f t="shared" si="33"/>
        <v>100</v>
      </c>
      <c r="F164" s="55">
        <f t="shared" si="33"/>
        <v>100</v>
      </c>
      <c r="G164" s="55">
        <f t="shared" si="33"/>
        <v>100</v>
      </c>
      <c r="H164" s="55">
        <f t="shared" si="33"/>
        <v>100</v>
      </c>
      <c r="I164" s="55"/>
      <c r="J164" s="55">
        <f t="shared" si="33"/>
        <v>100</v>
      </c>
      <c r="K164" s="55"/>
      <c r="L164" s="58">
        <f t="shared" si="27"/>
        <v>0</v>
      </c>
      <c r="M164" s="58" t="str">
        <f t="shared" si="28"/>
        <v/>
      </c>
      <c r="N164" s="3"/>
    </row>
    <row r="165" spans="1:14" ht="22.5" hidden="1" customHeight="1" outlineLevel="1">
      <c r="A165" s="32"/>
      <c r="B165" s="20" t="s">
        <v>347</v>
      </c>
      <c r="C165" s="32" t="s">
        <v>33</v>
      </c>
      <c r="D165" s="55">
        <f t="shared" si="33"/>
        <v>100</v>
      </c>
      <c r="E165" s="55">
        <f t="shared" si="33"/>
        <v>100</v>
      </c>
      <c r="F165" s="55">
        <f t="shared" si="33"/>
        <v>100</v>
      </c>
      <c r="G165" s="55">
        <f t="shared" si="33"/>
        <v>100</v>
      </c>
      <c r="H165" s="55">
        <f t="shared" si="33"/>
        <v>100</v>
      </c>
      <c r="I165" s="55"/>
      <c r="J165" s="55">
        <f t="shared" si="33"/>
        <v>100</v>
      </c>
      <c r="K165" s="55"/>
      <c r="L165" s="58">
        <f t="shared" si="27"/>
        <v>0</v>
      </c>
      <c r="M165" s="58" t="str">
        <f t="shared" si="28"/>
        <v/>
      </c>
      <c r="N165" s="3"/>
    </row>
    <row r="166" spans="1:14" ht="22.5" hidden="1" customHeight="1" outlineLevel="1" collapsed="1">
      <c r="A166" s="32">
        <v>3</v>
      </c>
      <c r="B166" s="48" t="s">
        <v>390</v>
      </c>
      <c r="C166" s="32"/>
      <c r="D166" s="13"/>
      <c r="E166" s="13"/>
      <c r="F166" s="13"/>
      <c r="G166" s="13"/>
      <c r="H166" s="13"/>
      <c r="I166" s="13"/>
      <c r="J166" s="13"/>
      <c r="K166" s="13"/>
      <c r="L166" s="58" t="str">
        <f t="shared" si="27"/>
        <v/>
      </c>
      <c r="M166" s="58" t="str">
        <f t="shared" si="28"/>
        <v/>
      </c>
      <c r="N166" s="3"/>
    </row>
    <row r="167" spans="1:14" ht="22.5" hidden="1" customHeight="1" outlineLevel="1">
      <c r="A167" s="73" t="s">
        <v>34</v>
      </c>
      <c r="B167" s="68" t="s">
        <v>188</v>
      </c>
      <c r="C167" s="32" t="s">
        <v>33</v>
      </c>
      <c r="D167" s="153"/>
      <c r="E167" s="153"/>
      <c r="F167" s="153"/>
      <c r="G167" s="153"/>
      <c r="H167" s="153"/>
      <c r="I167" s="153"/>
      <c r="J167" s="153"/>
      <c r="K167" s="153"/>
      <c r="L167" s="58" t="str">
        <f t="shared" si="27"/>
        <v/>
      </c>
      <c r="M167" s="58" t="str">
        <f t="shared" si="28"/>
        <v/>
      </c>
      <c r="N167" s="3"/>
    </row>
    <row r="168" spans="1:14" ht="22.5" hidden="1" customHeight="1" outlineLevel="1">
      <c r="A168" s="73"/>
      <c r="B168" s="70" t="s">
        <v>189</v>
      </c>
      <c r="C168" s="32" t="s">
        <v>33</v>
      </c>
      <c r="D168" s="153">
        <v>11.7</v>
      </c>
      <c r="E168" s="153">
        <v>12.1</v>
      </c>
      <c r="F168" s="153">
        <v>12.5</v>
      </c>
      <c r="G168" s="153">
        <v>17.34</v>
      </c>
      <c r="H168" s="153">
        <v>17.34</v>
      </c>
      <c r="I168" s="153"/>
      <c r="J168" s="153">
        <v>17.5</v>
      </c>
      <c r="K168" s="153"/>
      <c r="L168" s="58">
        <f t="shared" si="27"/>
        <v>0</v>
      </c>
      <c r="M168" s="58" t="str">
        <f t="shared" si="28"/>
        <v/>
      </c>
      <c r="N168" s="3"/>
    </row>
    <row r="169" spans="1:14" ht="22.5" hidden="1" customHeight="1" outlineLevel="1">
      <c r="A169" s="73"/>
      <c r="B169" s="70" t="s">
        <v>190</v>
      </c>
      <c r="C169" s="32" t="s">
        <v>33</v>
      </c>
      <c r="D169" s="153">
        <v>97.9</v>
      </c>
      <c r="E169" s="153">
        <v>97.2</v>
      </c>
      <c r="F169" s="153">
        <v>98</v>
      </c>
      <c r="G169" s="153">
        <v>97.6</v>
      </c>
      <c r="H169" s="153">
        <v>97.6</v>
      </c>
      <c r="I169" s="153"/>
      <c r="J169" s="153">
        <v>98</v>
      </c>
      <c r="K169" s="153"/>
      <c r="L169" s="58">
        <f t="shared" si="27"/>
        <v>0</v>
      </c>
      <c r="M169" s="58" t="str">
        <f t="shared" si="28"/>
        <v/>
      </c>
      <c r="N169" s="3"/>
    </row>
    <row r="170" spans="1:14" ht="22.5" hidden="1" customHeight="1" outlineLevel="1">
      <c r="A170" s="73" t="s">
        <v>35</v>
      </c>
      <c r="B170" s="68" t="s">
        <v>272</v>
      </c>
      <c r="C170" s="32" t="s">
        <v>33</v>
      </c>
      <c r="D170" s="153">
        <v>99.9</v>
      </c>
      <c r="E170" s="153">
        <v>100</v>
      </c>
      <c r="F170" s="153">
        <v>100</v>
      </c>
      <c r="G170" s="153">
        <v>100</v>
      </c>
      <c r="H170" s="153">
        <v>100</v>
      </c>
      <c r="I170" s="153"/>
      <c r="J170" s="153">
        <v>100</v>
      </c>
      <c r="K170" s="153"/>
      <c r="L170" s="58">
        <f t="shared" si="27"/>
        <v>0</v>
      </c>
      <c r="M170" s="58" t="str">
        <f t="shared" si="28"/>
        <v/>
      </c>
      <c r="N170" s="3"/>
    </row>
    <row r="171" spans="1:14" ht="22.5" hidden="1" customHeight="1" outlineLevel="1">
      <c r="A171" s="73" t="s">
        <v>36</v>
      </c>
      <c r="B171" s="68" t="s">
        <v>391</v>
      </c>
      <c r="C171" s="32" t="s">
        <v>33</v>
      </c>
      <c r="D171" s="153">
        <v>96.2</v>
      </c>
      <c r="E171" s="153">
        <v>99.8</v>
      </c>
      <c r="F171" s="153">
        <v>100</v>
      </c>
      <c r="G171" s="153">
        <v>99.8</v>
      </c>
      <c r="H171" s="153">
        <v>99.9</v>
      </c>
      <c r="I171" s="153"/>
      <c r="J171" s="153">
        <v>99.9</v>
      </c>
      <c r="K171" s="153"/>
      <c r="L171" s="58">
        <f t="shared" si="27"/>
        <v>0</v>
      </c>
      <c r="M171" s="58" t="str">
        <f t="shared" si="28"/>
        <v/>
      </c>
      <c r="N171" s="3"/>
    </row>
    <row r="172" spans="1:14" ht="22.5" customHeight="1" collapsed="1">
      <c r="A172" s="11" t="s">
        <v>50</v>
      </c>
      <c r="B172" s="15" t="s">
        <v>350</v>
      </c>
      <c r="C172" s="32"/>
      <c r="D172" s="13"/>
      <c r="E172" s="13"/>
      <c r="F172" s="13"/>
      <c r="G172" s="13"/>
      <c r="H172" s="13"/>
      <c r="I172" s="13"/>
      <c r="J172" s="13"/>
      <c r="K172" s="13"/>
      <c r="L172" s="66" t="str">
        <f t="shared" si="27"/>
        <v/>
      </c>
      <c r="M172" s="66" t="str">
        <f t="shared" si="28"/>
        <v/>
      </c>
      <c r="N172" s="3"/>
    </row>
    <row r="173" spans="1:14" ht="22.5" customHeight="1">
      <c r="A173" s="32">
        <v>1</v>
      </c>
      <c r="B173" s="20" t="s">
        <v>351</v>
      </c>
      <c r="C173" s="32" t="s">
        <v>145</v>
      </c>
      <c r="D173" s="13">
        <f>D174+D175</f>
        <v>130</v>
      </c>
      <c r="E173" s="13">
        <f t="shared" ref="E173:J173" si="34">E174+E175</f>
        <v>130</v>
      </c>
      <c r="F173" s="13">
        <f t="shared" si="34"/>
        <v>130</v>
      </c>
      <c r="G173" s="13">
        <f t="shared" si="34"/>
        <v>130</v>
      </c>
      <c r="H173" s="13">
        <f t="shared" si="34"/>
        <v>130</v>
      </c>
      <c r="I173" s="13">
        <v>135</v>
      </c>
      <c r="J173" s="13">
        <f t="shared" si="34"/>
        <v>175</v>
      </c>
      <c r="K173" s="13">
        <v>135</v>
      </c>
      <c r="L173" s="58">
        <f t="shared" si="27"/>
        <v>77.142857142857139</v>
      </c>
      <c r="M173" s="58">
        <f t="shared" si="28"/>
        <v>100</v>
      </c>
      <c r="N173" s="3"/>
    </row>
    <row r="174" spans="1:14" ht="22.5" hidden="1" customHeight="1" outlineLevel="1">
      <c r="A174" s="32"/>
      <c r="B174" s="20" t="s">
        <v>851</v>
      </c>
      <c r="C174" s="32" t="s">
        <v>145</v>
      </c>
      <c r="D174" s="13">
        <v>85</v>
      </c>
      <c r="E174" s="13">
        <v>85</v>
      </c>
      <c r="F174" s="13">
        <v>85</v>
      </c>
      <c r="G174" s="13">
        <v>85</v>
      </c>
      <c r="H174" s="13">
        <v>85</v>
      </c>
      <c r="I174" s="13"/>
      <c r="J174" s="13">
        <v>130</v>
      </c>
      <c r="K174" s="13"/>
      <c r="L174" s="58">
        <f t="shared" si="27"/>
        <v>0</v>
      </c>
      <c r="M174" s="58" t="str">
        <f t="shared" si="28"/>
        <v/>
      </c>
      <c r="N174" s="3"/>
    </row>
    <row r="175" spans="1:14" ht="22.5" hidden="1" customHeight="1" outlineLevel="1">
      <c r="A175" s="32"/>
      <c r="B175" s="20" t="s">
        <v>852</v>
      </c>
      <c r="C175" s="32" t="s">
        <v>145</v>
      </c>
      <c r="D175" s="13">
        <v>45</v>
      </c>
      <c r="E175" s="13">
        <v>45</v>
      </c>
      <c r="F175" s="13">
        <v>45</v>
      </c>
      <c r="G175" s="13">
        <v>45</v>
      </c>
      <c r="H175" s="13">
        <v>45</v>
      </c>
      <c r="I175" s="13"/>
      <c r="J175" s="13">
        <v>45</v>
      </c>
      <c r="K175" s="13"/>
      <c r="L175" s="58">
        <f t="shared" si="27"/>
        <v>0</v>
      </c>
      <c r="M175" s="58" t="str">
        <f t="shared" si="28"/>
        <v/>
      </c>
      <c r="N175" s="3"/>
    </row>
    <row r="176" spans="1:14" ht="24" customHeight="1" collapsed="1">
      <c r="A176" s="32">
        <v>2</v>
      </c>
      <c r="B176" s="20" t="s">
        <v>451</v>
      </c>
      <c r="C176" s="32" t="s">
        <v>349</v>
      </c>
      <c r="D176" s="13">
        <v>2</v>
      </c>
      <c r="E176" s="13">
        <v>4</v>
      </c>
      <c r="F176" s="13">
        <v>7</v>
      </c>
      <c r="G176" s="13">
        <v>4</v>
      </c>
      <c r="H176" s="13">
        <v>7</v>
      </c>
      <c r="I176" s="13">
        <v>4</v>
      </c>
      <c r="J176" s="13">
        <v>7</v>
      </c>
      <c r="K176" s="13">
        <v>4</v>
      </c>
      <c r="L176" s="58">
        <f t="shared" si="27"/>
        <v>57.142857142857139</v>
      </c>
      <c r="M176" s="58">
        <f t="shared" si="28"/>
        <v>100</v>
      </c>
      <c r="N176" s="3"/>
    </row>
    <row r="177" spans="1:15" ht="21" customHeight="1">
      <c r="A177" s="32"/>
      <c r="B177" s="47" t="s">
        <v>452</v>
      </c>
      <c r="C177" s="32" t="s">
        <v>33</v>
      </c>
      <c r="D177" s="55">
        <f t="shared" ref="D177:K177" si="35">D176/9%</f>
        <v>22.222222222222221</v>
      </c>
      <c r="E177" s="55">
        <f t="shared" si="35"/>
        <v>44.444444444444443</v>
      </c>
      <c r="F177" s="55">
        <f t="shared" si="35"/>
        <v>77.777777777777786</v>
      </c>
      <c r="G177" s="55">
        <f t="shared" si="35"/>
        <v>44.444444444444443</v>
      </c>
      <c r="H177" s="55">
        <f t="shared" si="35"/>
        <v>77.777777777777786</v>
      </c>
      <c r="I177" s="55">
        <f t="shared" si="35"/>
        <v>44.444444444444443</v>
      </c>
      <c r="J177" s="55">
        <f t="shared" si="35"/>
        <v>77.777777777777786</v>
      </c>
      <c r="K177" s="55">
        <f t="shared" si="35"/>
        <v>44.444444444444443</v>
      </c>
      <c r="L177" s="58">
        <f t="shared" si="27"/>
        <v>57.142857142857132</v>
      </c>
      <c r="M177" s="58">
        <f t="shared" si="28"/>
        <v>100</v>
      </c>
      <c r="N177" s="3"/>
    </row>
    <row r="178" spans="1:15" ht="21.75" hidden="1" customHeight="1" outlineLevel="1">
      <c r="A178" s="32">
        <v>3</v>
      </c>
      <c r="B178" s="46" t="s">
        <v>187</v>
      </c>
      <c r="C178" s="32" t="s">
        <v>33</v>
      </c>
      <c r="D178" s="55">
        <v>83.5</v>
      </c>
      <c r="E178" s="55">
        <v>85</v>
      </c>
      <c r="F178" s="55">
        <v>90</v>
      </c>
      <c r="G178" s="55"/>
      <c r="H178" s="55">
        <v>86</v>
      </c>
      <c r="I178" s="55"/>
      <c r="J178" s="55">
        <v>91</v>
      </c>
      <c r="K178" s="55"/>
      <c r="L178" s="58">
        <f t="shared" si="27"/>
        <v>0</v>
      </c>
      <c r="M178" s="58" t="str">
        <f t="shared" si="28"/>
        <v/>
      </c>
      <c r="N178" s="3"/>
    </row>
    <row r="179" spans="1:15" ht="31.5" hidden="1" outlineLevel="1">
      <c r="A179" s="32">
        <v>4</v>
      </c>
      <c r="B179" s="46" t="s">
        <v>412</v>
      </c>
      <c r="C179" s="32" t="s">
        <v>33</v>
      </c>
      <c r="D179" s="74">
        <v>33.1</v>
      </c>
      <c r="E179" s="55">
        <v>31.8</v>
      </c>
      <c r="F179" s="55">
        <v>31.3</v>
      </c>
      <c r="G179" s="55"/>
      <c r="H179" s="55">
        <f>F179</f>
        <v>31.3</v>
      </c>
      <c r="I179" s="55"/>
      <c r="J179" s="55">
        <v>31</v>
      </c>
      <c r="K179" s="55"/>
      <c r="L179" s="58">
        <f t="shared" si="27"/>
        <v>0</v>
      </c>
      <c r="M179" s="58" t="str">
        <f t="shared" si="28"/>
        <v/>
      </c>
      <c r="N179" s="3"/>
    </row>
    <row r="180" spans="1:15" ht="31.5" hidden="1" outlineLevel="1">
      <c r="A180" s="32">
        <v>5</v>
      </c>
      <c r="B180" s="46" t="s">
        <v>413</v>
      </c>
      <c r="C180" s="32" t="s">
        <v>33</v>
      </c>
      <c r="D180" s="74">
        <v>20.6</v>
      </c>
      <c r="E180" s="55">
        <v>20</v>
      </c>
      <c r="F180" s="55">
        <v>19.5</v>
      </c>
      <c r="G180" s="55"/>
      <c r="H180" s="55">
        <f>F180</f>
        <v>19.5</v>
      </c>
      <c r="I180" s="55"/>
      <c r="J180" s="55">
        <v>19</v>
      </c>
      <c r="K180" s="55"/>
      <c r="L180" s="58">
        <f t="shared" si="27"/>
        <v>0</v>
      </c>
      <c r="M180" s="58" t="str">
        <f t="shared" si="28"/>
        <v/>
      </c>
      <c r="N180" s="3"/>
    </row>
    <row r="181" spans="1:15" ht="31.5" collapsed="1">
      <c r="A181" s="11" t="s">
        <v>51</v>
      </c>
      <c r="B181" s="142" t="s">
        <v>192</v>
      </c>
      <c r="C181" s="12"/>
      <c r="D181" s="13"/>
      <c r="E181" s="13"/>
      <c r="F181" s="13"/>
      <c r="G181" s="13"/>
      <c r="H181" s="13"/>
      <c r="I181" s="13"/>
      <c r="J181" s="13"/>
      <c r="K181" s="13"/>
      <c r="L181" s="66" t="str">
        <f t="shared" si="27"/>
        <v/>
      </c>
      <c r="M181" s="66" t="str">
        <f t="shared" si="28"/>
        <v/>
      </c>
      <c r="N181" s="3"/>
    </row>
    <row r="182" spans="1:15" ht="22.5" customHeight="1">
      <c r="A182" s="11">
        <v>1</v>
      </c>
      <c r="B182" s="63" t="s">
        <v>193</v>
      </c>
      <c r="C182" s="12"/>
      <c r="D182" s="13"/>
      <c r="E182" s="13"/>
      <c r="F182" s="13"/>
      <c r="G182" s="13"/>
      <c r="H182" s="13"/>
      <c r="I182" s="13"/>
      <c r="J182" s="13"/>
      <c r="K182" s="13"/>
      <c r="L182" s="66" t="str">
        <f t="shared" si="27"/>
        <v/>
      </c>
      <c r="M182" s="66" t="str">
        <f t="shared" si="28"/>
        <v/>
      </c>
      <c r="N182" s="3"/>
    </row>
    <row r="183" spans="1:15" ht="22.5" customHeight="1">
      <c r="A183" s="19"/>
      <c r="B183" s="48" t="s">
        <v>194</v>
      </c>
      <c r="C183" s="21" t="s">
        <v>16</v>
      </c>
      <c r="D183" s="59">
        <v>1560</v>
      </c>
      <c r="E183" s="59">
        <v>1560</v>
      </c>
      <c r="F183" s="59">
        <f>E183</f>
        <v>1560</v>
      </c>
      <c r="G183" s="59">
        <v>1248</v>
      </c>
      <c r="H183" s="59">
        <f>F183</f>
        <v>1560</v>
      </c>
      <c r="I183" s="59">
        <f>'Thang 5'!G181</f>
        <v>430</v>
      </c>
      <c r="J183" s="59">
        <f>H183</f>
        <v>1560</v>
      </c>
      <c r="K183" s="59">
        <f>I183</f>
        <v>430</v>
      </c>
      <c r="L183" s="58">
        <f t="shared" si="27"/>
        <v>27.564102564102566</v>
      </c>
      <c r="M183" s="58">
        <f t="shared" si="28"/>
        <v>100</v>
      </c>
      <c r="N183" s="3"/>
    </row>
    <row r="184" spans="1:15" ht="22.5" customHeight="1">
      <c r="A184" s="19"/>
      <c r="B184" s="48" t="s">
        <v>195</v>
      </c>
      <c r="C184" s="21" t="s">
        <v>16</v>
      </c>
      <c r="D184" s="59">
        <v>21800</v>
      </c>
      <c r="E184" s="59">
        <v>21800</v>
      </c>
      <c r="F184" s="59">
        <f>E184</f>
        <v>21800</v>
      </c>
      <c r="G184" s="59">
        <v>16320</v>
      </c>
      <c r="H184" s="59">
        <f>F184</f>
        <v>21800</v>
      </c>
      <c r="I184" s="59">
        <f>'Thang 5'!G182</f>
        <v>6100</v>
      </c>
      <c r="J184" s="59">
        <f>H184</f>
        <v>21800</v>
      </c>
      <c r="K184" s="59">
        <f>I184</f>
        <v>6100</v>
      </c>
      <c r="L184" s="58">
        <f t="shared" si="27"/>
        <v>27.98165137614679</v>
      </c>
      <c r="M184" s="58">
        <f t="shared" si="28"/>
        <v>100</v>
      </c>
      <c r="N184" s="3"/>
      <c r="O184" s="77"/>
    </row>
    <row r="185" spans="1:15" ht="22.5" hidden="1" customHeight="1" outlineLevel="1">
      <c r="A185" s="11">
        <v>2</v>
      </c>
      <c r="B185" s="63" t="s">
        <v>196</v>
      </c>
      <c r="C185" s="21"/>
      <c r="D185" s="59"/>
      <c r="E185" s="59"/>
      <c r="F185" s="59"/>
      <c r="G185" s="59"/>
      <c r="H185" s="59"/>
      <c r="I185" s="59"/>
      <c r="J185" s="59"/>
      <c r="K185" s="59"/>
      <c r="L185" s="66" t="str">
        <f t="shared" si="27"/>
        <v/>
      </c>
      <c r="M185" s="66" t="str">
        <f t="shared" si="28"/>
        <v/>
      </c>
      <c r="N185" s="3"/>
    </row>
    <row r="186" spans="1:15" ht="22.5" hidden="1" customHeight="1" outlineLevel="2">
      <c r="A186" s="32"/>
      <c r="B186" s="48" t="s">
        <v>198</v>
      </c>
      <c r="C186" s="21" t="s">
        <v>199</v>
      </c>
      <c r="D186" s="59">
        <v>9233</v>
      </c>
      <c r="E186" s="59">
        <f>E121*E187%</f>
        <v>9781.42</v>
      </c>
      <c r="F186" s="59">
        <f>F121*F187%</f>
        <v>10744.2</v>
      </c>
      <c r="G186" s="59">
        <f>G121*G187%</f>
        <v>0</v>
      </c>
      <c r="H186" s="59">
        <f>H121*H187%</f>
        <v>10215</v>
      </c>
      <c r="I186" s="59"/>
      <c r="J186" s="59">
        <f>J121*J187%</f>
        <v>10485</v>
      </c>
      <c r="K186" s="59"/>
      <c r="L186" s="58">
        <f t="shared" si="27"/>
        <v>0</v>
      </c>
      <c r="M186" s="58" t="str">
        <f t="shared" si="28"/>
        <v/>
      </c>
      <c r="N186" s="3"/>
    </row>
    <row r="187" spans="1:15" ht="22.5" hidden="1" customHeight="1" outlineLevel="1" collapsed="1">
      <c r="A187" s="32" t="s">
        <v>197</v>
      </c>
      <c r="B187" s="48" t="s">
        <v>200</v>
      </c>
      <c r="C187" s="41" t="s">
        <v>33</v>
      </c>
      <c r="D187" s="59">
        <v>85.6</v>
      </c>
      <c r="E187" s="58">
        <v>86.5</v>
      </c>
      <c r="F187" s="58">
        <v>90</v>
      </c>
      <c r="G187" s="58"/>
      <c r="H187" s="58">
        <f>F187</f>
        <v>90</v>
      </c>
      <c r="I187" s="58"/>
      <c r="J187" s="58">
        <v>90</v>
      </c>
      <c r="K187" s="58"/>
      <c r="L187" s="58">
        <f t="shared" si="27"/>
        <v>0</v>
      </c>
      <c r="M187" s="58" t="str">
        <f t="shared" si="28"/>
        <v/>
      </c>
      <c r="N187" s="3"/>
    </row>
    <row r="188" spans="1:15" ht="22.5" hidden="1" customHeight="1" outlineLevel="2">
      <c r="A188" s="32"/>
      <c r="B188" s="48" t="s">
        <v>202</v>
      </c>
      <c r="C188" s="21" t="s">
        <v>203</v>
      </c>
      <c r="D188" s="59">
        <v>58</v>
      </c>
      <c r="E188" s="58">
        <f>67*E189%</f>
        <v>57.954999999999998</v>
      </c>
      <c r="F188" s="58">
        <f>67*F189%</f>
        <v>60.97</v>
      </c>
      <c r="G188" s="58">
        <f>67*G189%</f>
        <v>0</v>
      </c>
      <c r="H188" s="58">
        <f>67*H189%</f>
        <v>60.97</v>
      </c>
      <c r="I188" s="58"/>
      <c r="J188" s="59">
        <v>61</v>
      </c>
      <c r="K188" s="59"/>
      <c r="L188" s="58">
        <f t="shared" si="27"/>
        <v>0</v>
      </c>
      <c r="M188" s="58" t="str">
        <f t="shared" si="28"/>
        <v/>
      </c>
      <c r="N188" s="3"/>
    </row>
    <row r="189" spans="1:15" ht="22.5" hidden="1" customHeight="1" outlineLevel="1" collapsed="1">
      <c r="A189" s="32" t="s">
        <v>201</v>
      </c>
      <c r="B189" s="48" t="s">
        <v>171</v>
      </c>
      <c r="C189" s="41" t="s">
        <v>33</v>
      </c>
      <c r="D189" s="59">
        <f>D188/67%</f>
        <v>86.567164179104466</v>
      </c>
      <c r="E189" s="58">
        <v>86.5</v>
      </c>
      <c r="F189" s="58">
        <v>91</v>
      </c>
      <c r="G189" s="58"/>
      <c r="H189" s="58">
        <v>91</v>
      </c>
      <c r="I189" s="58"/>
      <c r="J189" s="58">
        <v>91</v>
      </c>
      <c r="K189" s="58"/>
      <c r="L189" s="58">
        <f t="shared" si="27"/>
        <v>0</v>
      </c>
      <c r="M189" s="58" t="str">
        <f t="shared" si="28"/>
        <v/>
      </c>
      <c r="N189" s="3"/>
    </row>
    <row r="190" spans="1:15" ht="22.5" hidden="1" customHeight="1" outlineLevel="1">
      <c r="A190" s="32" t="s">
        <v>204</v>
      </c>
      <c r="B190" s="48" t="s">
        <v>205</v>
      </c>
      <c r="C190" s="21" t="s">
        <v>206</v>
      </c>
      <c r="D190" s="59">
        <v>88</v>
      </c>
      <c r="E190" s="59">
        <v>90</v>
      </c>
      <c r="F190" s="59">
        <v>90</v>
      </c>
      <c r="G190" s="59">
        <v>88</v>
      </c>
      <c r="H190" s="59">
        <f>F190</f>
        <v>90</v>
      </c>
      <c r="I190" s="59"/>
      <c r="J190" s="59">
        <v>90</v>
      </c>
      <c r="K190" s="59"/>
      <c r="L190" s="58">
        <f t="shared" si="27"/>
        <v>0</v>
      </c>
      <c r="M190" s="58" t="str">
        <f t="shared" si="28"/>
        <v/>
      </c>
      <c r="N190" s="3"/>
    </row>
    <row r="191" spans="1:15" ht="22.5" hidden="1" customHeight="1" outlineLevel="1">
      <c r="A191" s="32" t="s">
        <v>354</v>
      </c>
      <c r="B191" s="20" t="s">
        <v>356</v>
      </c>
      <c r="C191" s="32" t="s">
        <v>61</v>
      </c>
      <c r="D191" s="59">
        <v>4</v>
      </c>
      <c r="E191" s="59">
        <v>4</v>
      </c>
      <c r="F191" s="59">
        <v>4</v>
      </c>
      <c r="G191" s="59">
        <v>4</v>
      </c>
      <c r="H191" s="59">
        <v>4</v>
      </c>
      <c r="I191" s="59"/>
      <c r="J191" s="59">
        <v>5</v>
      </c>
      <c r="K191" s="59"/>
      <c r="L191" s="58">
        <f t="shared" si="27"/>
        <v>0</v>
      </c>
      <c r="M191" s="58" t="str">
        <f t="shared" si="28"/>
        <v/>
      </c>
      <c r="N191" s="3"/>
    </row>
    <row r="192" spans="1:15" ht="10.5" customHeight="1" collapsed="1">
      <c r="A192" s="4"/>
      <c r="B192" s="64"/>
      <c r="C192" s="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</row>
  </sheetData>
  <mergeCells count="14">
    <mergeCell ref="J5:J6"/>
    <mergeCell ref="K5:K6"/>
    <mergeCell ref="L5:M5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H5"/>
    <mergeCell ref="I5:I6"/>
  </mergeCells>
  <pageMargins left="0.47244094488188981" right="0.39370078740157483" top="0.78740157480314965" bottom="0.47244094488188981" header="0.31496062992125984" footer="0.31496062992125984"/>
  <pageSetup paperSize="9" scale="76" fitToHeight="0" orientation="portrait" r:id="rId1"/>
  <headerFooter>
    <oddFooter>&amp;R&amp;"Times New Roman,Regular"&amp;14&amp;P/&amp;N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208"/>
  <sheetViews>
    <sheetView zoomScale="85" zoomScaleNormal="85" zoomScaleSheetLayoutView="100" workbookViewId="0">
      <pane xSplit="2" ySplit="8" topLeftCell="C109" activePane="bottomRight" state="frozen"/>
      <selection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5.75" outlineLevelRow="1" outlineLevelCol="1"/>
  <cols>
    <col min="1" max="1" width="5.5703125" style="65" customWidth="1"/>
    <col min="2" max="2" width="39.140625" style="5" customWidth="1"/>
    <col min="3" max="3" width="12.5703125" style="65" customWidth="1"/>
    <col min="4" max="5" width="12.140625" style="5" hidden="1" customWidth="1" outlineLevel="1"/>
    <col min="6" max="6" width="12.140625" style="5" customWidth="1" collapsed="1"/>
    <col min="7" max="12" width="12.42578125" style="5" customWidth="1"/>
    <col min="13" max="13" width="10" style="5" bestFit="1" customWidth="1"/>
    <col min="14" max="14" width="11.85546875" style="5" bestFit="1" customWidth="1"/>
    <col min="15" max="16384" width="9.140625" style="5"/>
  </cols>
  <sheetData>
    <row r="1" spans="1:14" ht="18.75" hidden="1" outlineLevel="1">
      <c r="A1" s="813" t="s">
        <v>476</v>
      </c>
      <c r="B1" s="813"/>
      <c r="C1" s="813"/>
      <c r="D1" s="813"/>
      <c r="E1" s="813"/>
      <c r="F1" s="813"/>
      <c r="G1" s="813"/>
      <c r="H1" s="813"/>
      <c r="I1" s="813"/>
      <c r="J1" s="813"/>
      <c r="K1" s="813"/>
      <c r="L1" s="813"/>
    </row>
    <row r="2" spans="1:14" ht="18.75" hidden="1" outlineLevel="1">
      <c r="A2" s="769" t="s">
        <v>510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</row>
    <row r="3" spans="1:14" ht="18.75" hidden="1" outlineLevel="1">
      <c r="A3" s="770" t="s">
        <v>400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4" ht="9" hidden="1" customHeight="1" outlineLevel="1">
      <c r="A4" s="7"/>
      <c r="B4" s="2"/>
      <c r="C4" s="8"/>
      <c r="D4" s="2"/>
      <c r="E4" s="2"/>
      <c r="F4" s="2"/>
      <c r="G4" s="2"/>
      <c r="H4" s="2"/>
      <c r="I4" s="2"/>
      <c r="J4" s="2"/>
      <c r="K4" s="2"/>
    </row>
    <row r="5" spans="1:14" ht="16.5" customHeight="1" collapsed="1">
      <c r="A5" s="771" t="s">
        <v>55</v>
      </c>
      <c r="B5" s="772" t="s">
        <v>69</v>
      </c>
      <c r="C5" s="772" t="s">
        <v>18</v>
      </c>
      <c r="D5" s="772" t="s">
        <v>361</v>
      </c>
      <c r="E5" s="772" t="s">
        <v>415</v>
      </c>
      <c r="F5" s="766" t="s">
        <v>479</v>
      </c>
      <c r="G5" s="772" t="s">
        <v>387</v>
      </c>
      <c r="H5" s="772"/>
      <c r="I5" s="772"/>
      <c r="J5" s="772" t="s">
        <v>475</v>
      </c>
      <c r="K5" s="772"/>
      <c r="L5" s="766" t="s">
        <v>75</v>
      </c>
    </row>
    <row r="6" spans="1:14" ht="47.25">
      <c r="A6" s="771"/>
      <c r="B6" s="772"/>
      <c r="C6" s="771"/>
      <c r="D6" s="772"/>
      <c r="E6" s="771"/>
      <c r="F6" s="767"/>
      <c r="G6" s="141" t="s">
        <v>470</v>
      </c>
      <c r="H6" s="141" t="s">
        <v>477</v>
      </c>
      <c r="I6" s="141" t="s">
        <v>478</v>
      </c>
      <c r="J6" s="140" t="s">
        <v>471</v>
      </c>
      <c r="K6" s="140" t="s">
        <v>470</v>
      </c>
      <c r="L6" s="767"/>
    </row>
    <row r="7" spans="1:14">
      <c r="A7" s="9">
        <v>1</v>
      </c>
      <c r="B7" s="9">
        <v>2</v>
      </c>
      <c r="C7" s="9">
        <v>3</v>
      </c>
      <c r="D7" s="9"/>
      <c r="E7" s="9"/>
      <c r="F7" s="9">
        <v>4</v>
      </c>
      <c r="G7" s="9">
        <v>5</v>
      </c>
      <c r="H7" s="9">
        <v>6</v>
      </c>
      <c r="I7" s="9">
        <v>7</v>
      </c>
      <c r="J7" s="9" t="s">
        <v>480</v>
      </c>
      <c r="K7" s="9" t="s">
        <v>481</v>
      </c>
      <c r="L7" s="9">
        <v>10</v>
      </c>
    </row>
    <row r="8" spans="1:14" ht="23.25" customHeight="1">
      <c r="A8" s="118"/>
      <c r="B8" s="119" t="s">
        <v>167</v>
      </c>
      <c r="C8" s="118"/>
      <c r="D8" s="120"/>
      <c r="E8" s="118"/>
      <c r="F8" s="118"/>
      <c r="G8" s="118"/>
      <c r="H8" s="118"/>
      <c r="I8" s="118"/>
      <c r="J8" s="121"/>
      <c r="K8" s="121"/>
      <c r="L8" s="128"/>
    </row>
    <row r="9" spans="1:14" ht="21" customHeight="1" collapsed="1">
      <c r="A9" s="106" t="s">
        <v>40</v>
      </c>
      <c r="B9" s="107" t="s">
        <v>332</v>
      </c>
      <c r="C9" s="108"/>
      <c r="D9" s="109"/>
      <c r="E9" s="109"/>
      <c r="F9" s="109"/>
      <c r="G9" s="109"/>
      <c r="H9" s="109"/>
      <c r="I9" s="109"/>
      <c r="J9" s="110"/>
      <c r="K9" s="110"/>
      <c r="L9" s="110"/>
      <c r="M9" s="14"/>
    </row>
    <row r="10" spans="1:14" s="18" customFormat="1" ht="25.5" customHeight="1">
      <c r="A10" s="11" t="s">
        <v>38</v>
      </c>
      <c r="B10" s="15" t="s">
        <v>172</v>
      </c>
      <c r="C10" s="12" t="s">
        <v>130</v>
      </c>
      <c r="D10" s="16">
        <v>347871</v>
      </c>
      <c r="E10" s="16">
        <v>313038</v>
      </c>
      <c r="F10" s="16">
        <v>167286</v>
      </c>
      <c r="G10" s="16">
        <v>277205</v>
      </c>
      <c r="H10" s="16">
        <v>100990</v>
      </c>
      <c r="I10" s="16">
        <v>207474</v>
      </c>
      <c r="J10" s="66">
        <f t="shared" ref="J10:J43" si="0">IFERROR(I10/F10%,"")</f>
        <v>124.02352856784191</v>
      </c>
      <c r="K10" s="66">
        <f t="shared" ref="K10:K43" si="1">IFERROR(I10/G10%,"")</f>
        <v>74.844970328818022</v>
      </c>
      <c r="L10" s="83"/>
      <c r="M10" s="17"/>
    </row>
    <row r="11" spans="1:14" ht="21" customHeight="1">
      <c r="A11" s="19" t="s">
        <v>155</v>
      </c>
      <c r="B11" s="20" t="s">
        <v>173</v>
      </c>
      <c r="C11" s="21" t="s">
        <v>130</v>
      </c>
      <c r="D11" s="22">
        <v>90496</v>
      </c>
      <c r="E11" s="22">
        <v>104622</v>
      </c>
      <c r="F11" s="22">
        <v>53468</v>
      </c>
      <c r="G11" s="22">
        <v>82860</v>
      </c>
      <c r="H11" s="22">
        <v>29601</v>
      </c>
      <c r="I11" s="22">
        <v>49146</v>
      </c>
      <c r="J11" s="58">
        <f t="shared" si="0"/>
        <v>91.916660432408179</v>
      </c>
      <c r="K11" s="58">
        <f t="shared" si="1"/>
        <v>59.312092686459088</v>
      </c>
      <c r="L11" s="3"/>
      <c r="M11" s="14"/>
    </row>
    <row r="12" spans="1:14" s="42" customFormat="1" ht="21" customHeight="1">
      <c r="A12" s="71"/>
      <c r="B12" s="62" t="s">
        <v>455</v>
      </c>
      <c r="C12" s="41" t="s">
        <v>130</v>
      </c>
      <c r="D12" s="72">
        <v>84999</v>
      </c>
      <c r="E12" s="72">
        <v>71796</v>
      </c>
      <c r="F12" s="72">
        <v>31300</v>
      </c>
      <c r="G12" s="72">
        <v>70788</v>
      </c>
      <c r="H12" s="72">
        <v>23624</v>
      </c>
      <c r="I12" s="72">
        <v>38205</v>
      </c>
      <c r="J12" s="85">
        <f t="shared" si="0"/>
        <v>122.06070287539936</v>
      </c>
      <c r="K12" s="85">
        <f t="shared" si="1"/>
        <v>53.971012035938294</v>
      </c>
      <c r="L12" s="84"/>
      <c r="M12" s="14"/>
      <c r="N12" s="138"/>
    </row>
    <row r="13" spans="1:14" s="18" customFormat="1" ht="20.25" customHeight="1">
      <c r="A13" s="11" t="s">
        <v>39</v>
      </c>
      <c r="B13" s="15" t="s">
        <v>174</v>
      </c>
      <c r="C13" s="12" t="s">
        <v>130</v>
      </c>
      <c r="D13" s="16">
        <v>308217</v>
      </c>
      <c r="E13" s="16">
        <v>300633</v>
      </c>
      <c r="F13" s="16">
        <v>114521</v>
      </c>
      <c r="G13" s="16">
        <v>265133</v>
      </c>
      <c r="H13" s="16">
        <v>57166</v>
      </c>
      <c r="I13" s="16">
        <v>148884</v>
      </c>
      <c r="J13" s="66">
        <f t="shared" si="0"/>
        <v>130.005850455375</v>
      </c>
      <c r="K13" s="66">
        <f t="shared" si="1"/>
        <v>56.154458328461565</v>
      </c>
      <c r="L13" s="83"/>
      <c r="M13" s="17"/>
    </row>
    <row r="14" spans="1:14" ht="24" customHeight="1">
      <c r="A14" s="19" t="s">
        <v>155</v>
      </c>
      <c r="B14" s="20" t="s">
        <v>175</v>
      </c>
      <c r="C14" s="21" t="s">
        <v>130</v>
      </c>
      <c r="D14" s="22">
        <v>239615</v>
      </c>
      <c r="E14" s="22">
        <v>264543</v>
      </c>
      <c r="F14" s="22">
        <v>111976</v>
      </c>
      <c r="G14" s="22">
        <v>232779</v>
      </c>
      <c r="H14" s="22">
        <v>56857</v>
      </c>
      <c r="I14" s="22">
        <v>92574</v>
      </c>
      <c r="J14" s="58">
        <f t="shared" si="0"/>
        <v>82.673072801314575</v>
      </c>
      <c r="K14" s="58">
        <f t="shared" si="1"/>
        <v>39.769051331950045</v>
      </c>
      <c r="L14" s="3"/>
      <c r="M14" s="14"/>
    </row>
    <row r="15" spans="1:14" ht="20.25" customHeight="1">
      <c r="A15" s="106" t="s">
        <v>43</v>
      </c>
      <c r="B15" s="111" t="s">
        <v>177</v>
      </c>
      <c r="C15" s="112"/>
      <c r="D15" s="113"/>
      <c r="E15" s="113"/>
      <c r="F15" s="113"/>
      <c r="G15" s="113"/>
      <c r="H15" s="113"/>
      <c r="I15" s="113"/>
      <c r="J15" s="110" t="str">
        <f>IFERROR(I15/F15%,"")</f>
        <v/>
      </c>
      <c r="K15" s="110" t="str">
        <f t="shared" si="1"/>
        <v/>
      </c>
      <c r="L15" s="110"/>
    </row>
    <row r="16" spans="1:14" ht="20.25" customHeight="1">
      <c r="A16" s="32" t="s">
        <v>56</v>
      </c>
      <c r="B16" s="35" t="s">
        <v>401</v>
      </c>
      <c r="C16" s="32" t="s">
        <v>37</v>
      </c>
      <c r="D16" s="29">
        <f t="shared" ref="D16:I16" si="2">D17+D70</f>
        <v>17898.73</v>
      </c>
      <c r="E16" s="29">
        <f t="shared" si="2"/>
        <v>17734.400000000001</v>
      </c>
      <c r="F16" s="29">
        <f t="shared" si="2"/>
        <v>17350.52</v>
      </c>
      <c r="G16" s="29">
        <f t="shared" si="2"/>
        <v>18028.099999999999</v>
      </c>
      <c r="H16" s="29">
        <f t="shared" si="2"/>
        <v>10420.970000000001</v>
      </c>
      <c r="I16" s="29">
        <f t="shared" si="2"/>
        <v>17295.97</v>
      </c>
      <c r="J16" s="58">
        <f t="shared" si="0"/>
        <v>99.685600201031448</v>
      </c>
      <c r="K16" s="58">
        <f t="shared" si="1"/>
        <v>95.938950860046276</v>
      </c>
      <c r="L16" s="3"/>
    </row>
    <row r="17" spans="1:14" ht="17.25" customHeight="1">
      <c r="A17" s="11" t="s">
        <v>38</v>
      </c>
      <c r="B17" s="30" t="s">
        <v>439</v>
      </c>
      <c r="C17" s="11" t="s">
        <v>37</v>
      </c>
      <c r="D17" s="27">
        <f t="shared" ref="D17:I17" si="3">D20+D49+D56+D52+D65</f>
        <v>8084.73</v>
      </c>
      <c r="E17" s="27">
        <f t="shared" si="3"/>
        <v>7662.8</v>
      </c>
      <c r="F17" s="27">
        <f t="shared" si="3"/>
        <v>7573.32</v>
      </c>
      <c r="G17" s="27">
        <f t="shared" si="3"/>
        <v>7906</v>
      </c>
      <c r="H17" s="27">
        <f t="shared" si="3"/>
        <v>743.77</v>
      </c>
      <c r="I17" s="27">
        <f t="shared" si="3"/>
        <v>7565.77</v>
      </c>
      <c r="J17" s="66">
        <f t="shared" si="0"/>
        <v>99.900307923077335</v>
      </c>
      <c r="K17" s="66">
        <f t="shared" si="1"/>
        <v>95.696559575006333</v>
      </c>
      <c r="L17" s="3"/>
    </row>
    <row r="18" spans="1:14" ht="17.25" customHeight="1">
      <c r="A18" s="32" t="s">
        <v>56</v>
      </c>
      <c r="B18" s="35" t="s">
        <v>504</v>
      </c>
      <c r="C18" s="32" t="s">
        <v>37</v>
      </c>
      <c r="D18" s="29"/>
      <c r="E18" s="29"/>
      <c r="F18" s="29">
        <f>F28+F43+F52+F59</f>
        <v>737.42000000000007</v>
      </c>
      <c r="G18" s="29">
        <f>G28+G43+G52+G59</f>
        <v>747</v>
      </c>
      <c r="H18" s="29">
        <f>H28+H43+H52+H59</f>
        <v>743.77</v>
      </c>
      <c r="I18" s="29">
        <f>I28+I43+I52+I59</f>
        <v>743.77</v>
      </c>
      <c r="J18" s="58">
        <f>IFERROR(I18/F18%,"")</f>
        <v>100.86111035773371</v>
      </c>
      <c r="K18" s="58">
        <f>IFERROR(I18/G18%,"")</f>
        <v>99.567603748326647</v>
      </c>
      <c r="L18" s="3"/>
    </row>
    <row r="19" spans="1:14" ht="17.25" customHeight="1">
      <c r="A19" s="32" t="s">
        <v>56</v>
      </c>
      <c r="B19" s="35" t="s">
        <v>503</v>
      </c>
      <c r="C19" s="32" t="s">
        <v>37</v>
      </c>
      <c r="D19" s="29"/>
      <c r="E19" s="29"/>
      <c r="F19" s="29">
        <f>F31+F46+F49+F62</f>
        <v>6822.9</v>
      </c>
      <c r="G19" s="29">
        <f>G31+G46+G49+G62</f>
        <v>7127</v>
      </c>
      <c r="H19" s="29">
        <f>H31+H46+H49+H62</f>
        <v>0</v>
      </c>
      <c r="I19" s="29">
        <f>I31+I46+I49+I62</f>
        <v>6790</v>
      </c>
      <c r="J19" s="58">
        <f>IFERROR(I19/F19%,"")</f>
        <v>99.517800348825276</v>
      </c>
      <c r="K19" s="58">
        <f>IFERROR(I19/G19%,"")</f>
        <v>95.271502736074083</v>
      </c>
      <c r="L19" s="3"/>
      <c r="N19" s="77"/>
    </row>
    <row r="20" spans="1:14" s="18" customFormat="1" ht="17.25" customHeight="1">
      <c r="A20" s="11">
        <v>1</v>
      </c>
      <c r="B20" s="30" t="s">
        <v>22</v>
      </c>
      <c r="C20" s="11" t="s">
        <v>37</v>
      </c>
      <c r="D20" s="27">
        <f t="shared" ref="D20:I20" si="4">D25+D40</f>
        <v>1649.23</v>
      </c>
      <c r="E20" s="27">
        <f t="shared" si="4"/>
        <v>1641.6</v>
      </c>
      <c r="F20" s="27">
        <f t="shared" si="4"/>
        <v>1638.3700000000001</v>
      </c>
      <c r="G20" s="27">
        <f t="shared" si="4"/>
        <v>1614</v>
      </c>
      <c r="H20" s="27">
        <f t="shared" si="4"/>
        <v>598.87</v>
      </c>
      <c r="I20" s="27">
        <f t="shared" si="4"/>
        <v>1618.87</v>
      </c>
      <c r="J20" s="66">
        <f t="shared" si="0"/>
        <v>98.809792659777699</v>
      </c>
      <c r="K20" s="66">
        <f t="shared" si="1"/>
        <v>100.30173482032217</v>
      </c>
      <c r="L20" s="83"/>
      <c r="N20" s="177"/>
    </row>
    <row r="21" spans="1:14" ht="17.25" customHeight="1">
      <c r="A21" s="32" t="s">
        <v>56</v>
      </c>
      <c r="B21" s="35" t="s">
        <v>23</v>
      </c>
      <c r="C21" s="34" t="s">
        <v>20</v>
      </c>
      <c r="D21" s="29">
        <f t="shared" ref="D21:I21" si="5">SUM(D22:D23)</f>
        <v>6733.6763900000005</v>
      </c>
      <c r="E21" s="29">
        <f t="shared" si="5"/>
        <v>7129.6886000000004</v>
      </c>
      <c r="F21" s="29">
        <f t="shared" si="5"/>
        <v>2861.24613</v>
      </c>
      <c r="G21" s="29">
        <f t="shared" si="5"/>
        <v>7071.0429999999997</v>
      </c>
      <c r="H21" s="29">
        <f t="shared" si="5"/>
        <v>0</v>
      </c>
      <c r="I21" s="29">
        <f t="shared" si="5"/>
        <v>7101.4050999999999</v>
      </c>
      <c r="J21" s="58">
        <f t="shared" si="0"/>
        <v>248.19273761673904</v>
      </c>
      <c r="K21" s="58">
        <f t="shared" si="1"/>
        <v>100.42938644270724</v>
      </c>
      <c r="L21" s="3"/>
    </row>
    <row r="22" spans="1:14" ht="17.25" customHeight="1">
      <c r="A22" s="32"/>
      <c r="B22" s="33" t="s">
        <v>24</v>
      </c>
      <c r="C22" s="34" t="s">
        <v>76</v>
      </c>
      <c r="D22" s="29">
        <f t="shared" ref="D22:I22" si="6">D27</f>
        <v>6298.7078300000003</v>
      </c>
      <c r="E22" s="29">
        <f t="shared" si="6"/>
        <v>6644.7176000000009</v>
      </c>
      <c r="F22" s="29">
        <f t="shared" si="6"/>
        <v>2693.0944500000001</v>
      </c>
      <c r="G22" s="29">
        <f t="shared" si="6"/>
        <v>6644.5429999999997</v>
      </c>
      <c r="H22" s="29">
        <f t="shared" si="6"/>
        <v>0</v>
      </c>
      <c r="I22" s="29">
        <f t="shared" si="6"/>
        <v>6656.4050999999999</v>
      </c>
      <c r="J22" s="58">
        <f t="shared" si="0"/>
        <v>247.1656759011924</v>
      </c>
      <c r="K22" s="58">
        <f t="shared" si="1"/>
        <v>100.17852394062315</v>
      </c>
      <c r="L22" s="3"/>
    </row>
    <row r="23" spans="1:14" ht="17.25" customHeight="1">
      <c r="A23" s="32"/>
      <c r="B23" s="35" t="s">
        <v>137</v>
      </c>
      <c r="C23" s="34" t="s">
        <v>76</v>
      </c>
      <c r="D23" s="29">
        <f t="shared" ref="D23:I23" si="7">D42</f>
        <v>434.96856000000002</v>
      </c>
      <c r="E23" s="29">
        <f t="shared" si="7"/>
        <v>484.97099999999995</v>
      </c>
      <c r="F23" s="29">
        <f t="shared" si="7"/>
        <v>168.15168000000003</v>
      </c>
      <c r="G23" s="29">
        <f t="shared" si="7"/>
        <v>426.5</v>
      </c>
      <c r="H23" s="29">
        <f t="shared" si="7"/>
        <v>0</v>
      </c>
      <c r="I23" s="29">
        <f t="shared" si="7"/>
        <v>445</v>
      </c>
      <c r="J23" s="58">
        <f t="shared" si="0"/>
        <v>264.64201844429977</v>
      </c>
      <c r="K23" s="58">
        <f t="shared" si="1"/>
        <v>104.33763188745604</v>
      </c>
      <c r="L23" s="3"/>
    </row>
    <row r="24" spans="1:14" ht="17.25" customHeight="1">
      <c r="A24" s="32" t="s">
        <v>56</v>
      </c>
      <c r="B24" s="35" t="s">
        <v>25</v>
      </c>
      <c r="C24" s="32" t="s">
        <v>57</v>
      </c>
      <c r="D24" s="29">
        <f>D21/D131*1000</f>
        <v>150.81697702024726</v>
      </c>
      <c r="E24" s="29">
        <f>E21/E131*1000</f>
        <v>155.51047178659456</v>
      </c>
      <c r="F24" s="29" t="str">
        <f>IFERROR(F21/F131*1000,"")</f>
        <v/>
      </c>
      <c r="G24" s="29">
        <f>G21/G131*1000</f>
        <v>150.60152922133241</v>
      </c>
      <c r="H24" s="29" t="str">
        <f>IFERROR(H21/H131*1000,"")</f>
        <v/>
      </c>
      <c r="I24" s="29" t="str">
        <f>IFERROR(I21/I131*1000,"")</f>
        <v/>
      </c>
      <c r="J24" s="58" t="str">
        <f t="shared" si="0"/>
        <v/>
      </c>
      <c r="K24" s="58" t="str">
        <f t="shared" si="1"/>
        <v/>
      </c>
      <c r="L24" s="3"/>
    </row>
    <row r="25" spans="1:14" s="18" customFormat="1" ht="17.25" customHeight="1">
      <c r="A25" s="11" t="s">
        <v>34</v>
      </c>
      <c r="B25" s="44" t="s">
        <v>440</v>
      </c>
      <c r="C25" s="11" t="s">
        <v>37</v>
      </c>
      <c r="D25" s="16">
        <f t="shared" ref="D25:I25" si="8">D28+D31</f>
        <v>1558.31</v>
      </c>
      <c r="E25" s="16">
        <f t="shared" si="8"/>
        <v>1540</v>
      </c>
      <c r="F25" s="16">
        <f t="shared" si="8"/>
        <v>1539.95</v>
      </c>
      <c r="G25" s="16">
        <f t="shared" si="8"/>
        <v>1531</v>
      </c>
      <c r="H25" s="16">
        <f t="shared" si="8"/>
        <v>573.87</v>
      </c>
      <c r="I25" s="16">
        <f t="shared" si="8"/>
        <v>1533.87</v>
      </c>
      <c r="J25" s="66">
        <f t="shared" si="0"/>
        <v>99.605181986428121</v>
      </c>
      <c r="K25" s="66">
        <f t="shared" si="1"/>
        <v>100.18745917700848</v>
      </c>
      <c r="L25" s="83"/>
    </row>
    <row r="26" spans="1:14" ht="17.25" customHeight="1">
      <c r="A26" s="32"/>
      <c r="B26" s="37" t="s">
        <v>27</v>
      </c>
      <c r="C26" s="34" t="s">
        <v>21</v>
      </c>
      <c r="D26" s="38">
        <f t="shared" ref="D26:I26" si="9">D27/D25*10</f>
        <v>40.420120707689748</v>
      </c>
      <c r="E26" s="38">
        <f t="shared" si="9"/>
        <v>43.147516883116886</v>
      </c>
      <c r="F26" s="38">
        <f t="shared" si="9"/>
        <v>17.488194097210947</v>
      </c>
      <c r="G26" s="38">
        <f t="shared" si="9"/>
        <v>43.400019595035921</v>
      </c>
      <c r="H26" s="38">
        <f t="shared" si="9"/>
        <v>0</v>
      </c>
      <c r="I26" s="38">
        <f t="shared" si="9"/>
        <v>43.396148956560864</v>
      </c>
      <c r="J26" s="58">
        <f t="shared" si="0"/>
        <v>248.1453986348526</v>
      </c>
      <c r="K26" s="58">
        <f t="shared" si="1"/>
        <v>99.991081482194772</v>
      </c>
      <c r="L26" s="3"/>
    </row>
    <row r="27" spans="1:14" ht="17.25" customHeight="1">
      <c r="A27" s="32"/>
      <c r="B27" s="37" t="s">
        <v>28</v>
      </c>
      <c r="C27" s="34" t="s">
        <v>76</v>
      </c>
      <c r="D27" s="22">
        <f t="shared" ref="D27:I27" si="10">D30+D33</f>
        <v>6298.7078300000003</v>
      </c>
      <c r="E27" s="22">
        <f t="shared" si="10"/>
        <v>6644.7176000000009</v>
      </c>
      <c r="F27" s="22">
        <f t="shared" si="10"/>
        <v>2693.0944500000001</v>
      </c>
      <c r="G27" s="22">
        <f t="shared" si="10"/>
        <v>6644.5429999999997</v>
      </c>
      <c r="H27" s="22">
        <f t="shared" si="10"/>
        <v>0</v>
      </c>
      <c r="I27" s="22">
        <f t="shared" si="10"/>
        <v>6656.4050999999999</v>
      </c>
      <c r="J27" s="58">
        <f t="shared" si="0"/>
        <v>247.1656759011924</v>
      </c>
      <c r="K27" s="58">
        <f t="shared" si="1"/>
        <v>100.17852394062315</v>
      </c>
      <c r="L27" s="3"/>
    </row>
    <row r="28" spans="1:14" ht="17.25" customHeight="1">
      <c r="A28" s="32" t="s">
        <v>420</v>
      </c>
      <c r="B28" s="116" t="s">
        <v>441</v>
      </c>
      <c r="C28" s="32" t="s">
        <v>37</v>
      </c>
      <c r="D28" s="22">
        <v>597.30999999999995</v>
      </c>
      <c r="E28" s="137">
        <v>570.5</v>
      </c>
      <c r="F28" s="59">
        <v>570.45000000000005</v>
      </c>
      <c r="G28" s="59">
        <v>571</v>
      </c>
      <c r="H28" s="59">
        <v>573.87</v>
      </c>
      <c r="I28" s="59">
        <v>573.87</v>
      </c>
      <c r="J28" s="58">
        <f t="shared" si="0"/>
        <v>100.59952668945569</v>
      </c>
      <c r="K28" s="58">
        <f t="shared" si="1"/>
        <v>100.50262697022767</v>
      </c>
      <c r="L28" s="3"/>
    </row>
    <row r="29" spans="1:14" ht="17.25" customHeight="1">
      <c r="A29" s="32"/>
      <c r="B29" s="116" t="s">
        <v>27</v>
      </c>
      <c r="C29" s="34" t="s">
        <v>21</v>
      </c>
      <c r="D29" s="25">
        <v>39.33</v>
      </c>
      <c r="E29" s="38">
        <v>47.2</v>
      </c>
      <c r="F29" s="58">
        <v>47.21</v>
      </c>
      <c r="G29" s="58">
        <v>47.33</v>
      </c>
      <c r="H29" s="58"/>
      <c r="I29" s="58">
        <v>47.3</v>
      </c>
      <c r="J29" s="58">
        <f t="shared" si="0"/>
        <v>100.19063757678457</v>
      </c>
      <c r="K29" s="58">
        <f t="shared" si="1"/>
        <v>99.936615254595395</v>
      </c>
      <c r="L29" s="3"/>
    </row>
    <row r="30" spans="1:14" ht="17.25" customHeight="1">
      <c r="A30" s="32"/>
      <c r="B30" s="117" t="s">
        <v>28</v>
      </c>
      <c r="C30" s="34" t="s">
        <v>76</v>
      </c>
      <c r="D30" s="22">
        <f t="shared" ref="D30:I30" si="11">D28*D29/10</f>
        <v>2349.2202299999999</v>
      </c>
      <c r="E30" s="22">
        <f t="shared" si="11"/>
        <v>2692.76</v>
      </c>
      <c r="F30" s="22">
        <f t="shared" si="11"/>
        <v>2693.0944500000001</v>
      </c>
      <c r="G30" s="22">
        <f t="shared" si="11"/>
        <v>2702.5430000000001</v>
      </c>
      <c r="H30" s="22">
        <f t="shared" si="11"/>
        <v>0</v>
      </c>
      <c r="I30" s="22">
        <f t="shared" si="11"/>
        <v>2714.4050999999999</v>
      </c>
      <c r="J30" s="58">
        <f t="shared" si="0"/>
        <v>100.79130718939322</v>
      </c>
      <c r="K30" s="58">
        <f t="shared" si="1"/>
        <v>100.43892363599765</v>
      </c>
      <c r="L30" s="3"/>
    </row>
    <row r="31" spans="1:14" ht="17.25" customHeight="1">
      <c r="A31" s="32" t="s">
        <v>421</v>
      </c>
      <c r="B31" s="116" t="s">
        <v>442</v>
      </c>
      <c r="C31" s="32" t="s">
        <v>37</v>
      </c>
      <c r="D31" s="22">
        <f t="shared" ref="D31:I31" si="12">D34+D37</f>
        <v>961</v>
      </c>
      <c r="E31" s="29">
        <f t="shared" si="12"/>
        <v>969.5</v>
      </c>
      <c r="F31" s="29">
        <f t="shared" si="12"/>
        <v>969.5</v>
      </c>
      <c r="G31" s="29">
        <f t="shared" si="12"/>
        <v>960</v>
      </c>
      <c r="H31" s="29">
        <f t="shared" si="12"/>
        <v>0</v>
      </c>
      <c r="I31" s="29">
        <f t="shared" si="12"/>
        <v>960</v>
      </c>
      <c r="J31" s="58">
        <f t="shared" si="0"/>
        <v>99.020113460546668</v>
      </c>
      <c r="K31" s="58">
        <f t="shared" si="1"/>
        <v>100</v>
      </c>
      <c r="L31" s="3"/>
    </row>
    <row r="32" spans="1:14" ht="17.25" customHeight="1">
      <c r="A32" s="32"/>
      <c r="B32" s="117" t="s">
        <v>27</v>
      </c>
      <c r="C32" s="34" t="s">
        <v>21</v>
      </c>
      <c r="D32" s="38">
        <f>D33/D31*10</f>
        <v>41.097685744016658</v>
      </c>
      <c r="E32" s="28">
        <f>E33/E31*10</f>
        <v>40.762842702423939</v>
      </c>
      <c r="F32" s="28">
        <f>F33/F31*10</f>
        <v>0</v>
      </c>
      <c r="G32" s="28">
        <f>G33/G31*10</f>
        <v>41.0625</v>
      </c>
      <c r="H32" s="28" t="str">
        <f>IFERROR(H33/H31*10,"")</f>
        <v/>
      </c>
      <c r="I32" s="28">
        <f>I33/I31*10</f>
        <v>41.0625</v>
      </c>
      <c r="J32" s="58" t="str">
        <f t="shared" si="0"/>
        <v/>
      </c>
      <c r="K32" s="58">
        <f t="shared" si="1"/>
        <v>100</v>
      </c>
      <c r="L32" s="3"/>
    </row>
    <row r="33" spans="1:12" ht="17.25" customHeight="1">
      <c r="A33" s="32"/>
      <c r="B33" s="117" t="s">
        <v>28</v>
      </c>
      <c r="C33" s="34" t="s">
        <v>76</v>
      </c>
      <c r="D33" s="22">
        <f t="shared" ref="D33:I33" si="13">D36+D39</f>
        <v>3949.4876000000004</v>
      </c>
      <c r="E33" s="29">
        <f t="shared" si="13"/>
        <v>3951.9576000000006</v>
      </c>
      <c r="F33" s="29">
        <f t="shared" si="13"/>
        <v>0</v>
      </c>
      <c r="G33" s="29">
        <f t="shared" si="13"/>
        <v>3942</v>
      </c>
      <c r="H33" s="29">
        <f t="shared" si="13"/>
        <v>0</v>
      </c>
      <c r="I33" s="29">
        <f t="shared" si="13"/>
        <v>3942</v>
      </c>
      <c r="J33" s="58" t="str">
        <f t="shared" si="0"/>
        <v/>
      </c>
      <c r="K33" s="58">
        <f t="shared" si="1"/>
        <v>100</v>
      </c>
      <c r="L33" s="3"/>
    </row>
    <row r="34" spans="1:12" ht="17.25" customHeight="1">
      <c r="A34" s="32"/>
      <c r="B34" s="114" t="s">
        <v>443</v>
      </c>
      <c r="C34" s="32" t="s">
        <v>37</v>
      </c>
      <c r="D34" s="22">
        <v>906.4</v>
      </c>
      <c r="E34" s="38">
        <v>903.3</v>
      </c>
      <c r="F34" s="22">
        <v>903.3</v>
      </c>
      <c r="G34" s="22">
        <v>900</v>
      </c>
      <c r="H34" s="22"/>
      <c r="I34" s="22">
        <v>900</v>
      </c>
      <c r="J34" s="58">
        <f t="shared" si="0"/>
        <v>99.63467286615743</v>
      </c>
      <c r="K34" s="58">
        <f t="shared" si="1"/>
        <v>100</v>
      </c>
      <c r="L34" s="3"/>
    </row>
    <row r="35" spans="1:12" ht="17.25" customHeight="1">
      <c r="A35" s="32"/>
      <c r="B35" s="115" t="s">
        <v>27</v>
      </c>
      <c r="C35" s="34" t="s">
        <v>21</v>
      </c>
      <c r="D35" s="25">
        <v>42.83</v>
      </c>
      <c r="E35" s="38">
        <v>42.84</v>
      </c>
      <c r="F35" s="38"/>
      <c r="G35" s="38">
        <v>43</v>
      </c>
      <c r="H35" s="38"/>
      <c r="I35" s="38">
        <v>43</v>
      </c>
      <c r="J35" s="58" t="str">
        <f t="shared" si="0"/>
        <v/>
      </c>
      <c r="K35" s="58">
        <f t="shared" si="1"/>
        <v>100</v>
      </c>
      <c r="L35" s="3"/>
    </row>
    <row r="36" spans="1:12" ht="17.25" customHeight="1">
      <c r="A36" s="32"/>
      <c r="B36" s="115" t="s">
        <v>28</v>
      </c>
      <c r="C36" s="34" t="s">
        <v>76</v>
      </c>
      <c r="D36" s="22">
        <f>D35*D34/10</f>
        <v>3882.1112000000003</v>
      </c>
      <c r="E36" s="22">
        <f>E34*E35/10</f>
        <v>3869.7372000000005</v>
      </c>
      <c r="F36" s="22">
        <f>F34*F35/10</f>
        <v>0</v>
      </c>
      <c r="G36" s="22">
        <f>G34*G35/10</f>
        <v>3870</v>
      </c>
      <c r="H36" s="22">
        <f>H34*H35/10</f>
        <v>0</v>
      </c>
      <c r="I36" s="22">
        <f>I34*I35/10</f>
        <v>3870</v>
      </c>
      <c r="J36" s="58" t="str">
        <f t="shared" si="0"/>
        <v/>
      </c>
      <c r="K36" s="58">
        <f t="shared" si="1"/>
        <v>99.999999999999986</v>
      </c>
      <c r="L36" s="3"/>
    </row>
    <row r="37" spans="1:12" ht="17.25" customHeight="1">
      <c r="A37" s="32"/>
      <c r="B37" s="114" t="s">
        <v>456</v>
      </c>
      <c r="C37" s="32" t="s">
        <v>37</v>
      </c>
      <c r="D37" s="22">
        <v>54.6</v>
      </c>
      <c r="E37" s="22">
        <v>66.2</v>
      </c>
      <c r="F37" s="22">
        <v>66.2</v>
      </c>
      <c r="G37" s="22">
        <v>60</v>
      </c>
      <c r="H37" s="22"/>
      <c r="I37" s="22">
        <v>60</v>
      </c>
      <c r="J37" s="58">
        <f t="shared" si="0"/>
        <v>90.634441087613283</v>
      </c>
      <c r="K37" s="58">
        <f t="shared" si="1"/>
        <v>100</v>
      </c>
      <c r="L37" s="3"/>
    </row>
    <row r="38" spans="1:12" ht="17.25" customHeight="1">
      <c r="A38" s="32"/>
      <c r="B38" s="115" t="s">
        <v>27</v>
      </c>
      <c r="C38" s="34" t="s">
        <v>21</v>
      </c>
      <c r="D38" s="38">
        <v>12.34</v>
      </c>
      <c r="E38" s="38">
        <v>12.42</v>
      </c>
      <c r="F38" s="38"/>
      <c r="G38" s="38">
        <v>12</v>
      </c>
      <c r="H38" s="38"/>
      <c r="I38" s="38">
        <v>12</v>
      </c>
      <c r="J38" s="58" t="str">
        <f t="shared" si="0"/>
        <v/>
      </c>
      <c r="K38" s="58">
        <f t="shared" si="1"/>
        <v>100</v>
      </c>
      <c r="L38" s="3"/>
    </row>
    <row r="39" spans="1:12" ht="17.25" customHeight="1">
      <c r="A39" s="32"/>
      <c r="B39" s="115" t="s">
        <v>28</v>
      </c>
      <c r="C39" s="34" t="s">
        <v>76</v>
      </c>
      <c r="D39" s="22">
        <f t="shared" ref="D39:I39" si="14">D38*D37/10</f>
        <v>67.376400000000004</v>
      </c>
      <c r="E39" s="22">
        <f t="shared" si="14"/>
        <v>82.220400000000012</v>
      </c>
      <c r="F39" s="22">
        <f t="shared" si="14"/>
        <v>0</v>
      </c>
      <c r="G39" s="22">
        <f t="shared" si="14"/>
        <v>72</v>
      </c>
      <c r="H39" s="22">
        <f t="shared" si="14"/>
        <v>0</v>
      </c>
      <c r="I39" s="22">
        <f t="shared" si="14"/>
        <v>72</v>
      </c>
      <c r="J39" s="58" t="str">
        <f t="shared" si="0"/>
        <v/>
      </c>
      <c r="K39" s="58">
        <f t="shared" si="1"/>
        <v>100</v>
      </c>
      <c r="L39" s="3"/>
    </row>
    <row r="40" spans="1:12" s="18" customFormat="1" ht="17.25" customHeight="1">
      <c r="A40" s="11" t="s">
        <v>35</v>
      </c>
      <c r="B40" s="44" t="s">
        <v>444</v>
      </c>
      <c r="C40" s="11" t="s">
        <v>37</v>
      </c>
      <c r="D40" s="16">
        <f t="shared" ref="D40:I40" si="15">D43+D46</f>
        <v>90.92</v>
      </c>
      <c r="E40" s="16">
        <f t="shared" si="15"/>
        <v>101.6</v>
      </c>
      <c r="F40" s="16">
        <f t="shared" si="15"/>
        <v>98.42</v>
      </c>
      <c r="G40" s="16">
        <f t="shared" si="15"/>
        <v>83</v>
      </c>
      <c r="H40" s="16">
        <f t="shared" si="15"/>
        <v>25</v>
      </c>
      <c r="I40" s="16">
        <f t="shared" si="15"/>
        <v>85</v>
      </c>
      <c r="J40" s="66">
        <f t="shared" si="0"/>
        <v>86.364560048770585</v>
      </c>
      <c r="K40" s="66">
        <f t="shared" si="1"/>
        <v>102.40963855421687</v>
      </c>
      <c r="L40" s="83"/>
    </row>
    <row r="41" spans="1:12" ht="17.25" customHeight="1">
      <c r="A41" s="32"/>
      <c r="B41" s="37" t="s">
        <v>27</v>
      </c>
      <c r="C41" s="34" t="s">
        <v>21</v>
      </c>
      <c r="D41" s="38">
        <f t="shared" ref="D41:I41" si="16">D42/D40*10</f>
        <v>47.840800703915534</v>
      </c>
      <c r="E41" s="38">
        <f t="shared" si="16"/>
        <v>47.733366141732283</v>
      </c>
      <c r="F41" s="38">
        <f t="shared" si="16"/>
        <v>17.085112781954891</v>
      </c>
      <c r="G41" s="38">
        <f t="shared" si="16"/>
        <v>51.385542168674696</v>
      </c>
      <c r="H41" s="38">
        <f t="shared" si="16"/>
        <v>0</v>
      </c>
      <c r="I41" s="38">
        <f t="shared" si="16"/>
        <v>52.352941176470587</v>
      </c>
      <c r="J41" s="58">
        <f t="shared" si="0"/>
        <v>306.424323003388</v>
      </c>
      <c r="K41" s="58">
        <f t="shared" si="1"/>
        <v>101.88262878422179</v>
      </c>
      <c r="L41" s="3"/>
    </row>
    <row r="42" spans="1:12" ht="17.25" customHeight="1">
      <c r="A42" s="32"/>
      <c r="B42" s="37" t="s">
        <v>28</v>
      </c>
      <c r="C42" s="34" t="s">
        <v>76</v>
      </c>
      <c r="D42" s="22">
        <f t="shared" ref="D42:I42" si="17">D45+D48</f>
        <v>434.96856000000002</v>
      </c>
      <c r="E42" s="22">
        <f t="shared" si="17"/>
        <v>484.97099999999995</v>
      </c>
      <c r="F42" s="22">
        <f t="shared" si="17"/>
        <v>168.15168000000003</v>
      </c>
      <c r="G42" s="22">
        <f t="shared" si="17"/>
        <v>426.5</v>
      </c>
      <c r="H42" s="22">
        <f t="shared" si="17"/>
        <v>0</v>
      </c>
      <c r="I42" s="22">
        <f t="shared" si="17"/>
        <v>445</v>
      </c>
      <c r="J42" s="58">
        <f t="shared" si="0"/>
        <v>264.64201844429977</v>
      </c>
      <c r="K42" s="58">
        <f t="shared" si="1"/>
        <v>104.33763188745604</v>
      </c>
      <c r="L42" s="3"/>
    </row>
    <row r="43" spans="1:12" ht="17.25" customHeight="1">
      <c r="A43" s="32" t="s">
        <v>423</v>
      </c>
      <c r="B43" s="116" t="s">
        <v>457</v>
      </c>
      <c r="C43" s="32" t="s">
        <v>37</v>
      </c>
      <c r="D43" s="29">
        <v>28.22</v>
      </c>
      <c r="E43" s="29">
        <v>38.700000000000003</v>
      </c>
      <c r="F43" s="29">
        <v>35.520000000000003</v>
      </c>
      <c r="G43" s="29">
        <v>23</v>
      </c>
      <c r="H43" s="29">
        <v>25</v>
      </c>
      <c r="I43" s="29">
        <v>25</v>
      </c>
      <c r="J43" s="58">
        <f t="shared" si="0"/>
        <v>70.382882882882882</v>
      </c>
      <c r="K43" s="58">
        <f t="shared" si="1"/>
        <v>108.69565217391303</v>
      </c>
      <c r="L43" s="3"/>
    </row>
    <row r="44" spans="1:12" ht="17.25" customHeight="1">
      <c r="A44" s="32"/>
      <c r="B44" s="116" t="s">
        <v>27</v>
      </c>
      <c r="C44" s="34" t="s">
        <v>21</v>
      </c>
      <c r="D44" s="28">
        <v>56.13</v>
      </c>
      <c r="E44" s="28">
        <v>47.3</v>
      </c>
      <c r="F44" s="28">
        <v>47.34</v>
      </c>
      <c r="G44" s="28">
        <v>55</v>
      </c>
      <c r="H44" s="28"/>
      <c r="I44" s="28">
        <v>58</v>
      </c>
      <c r="J44" s="58">
        <f t="shared" ref="J44:J68" si="18">IFERROR(I44/F44%,"")</f>
        <v>122.51795521757498</v>
      </c>
      <c r="K44" s="58">
        <f t="shared" ref="K44:K68" si="19">IFERROR(I44/G44%,"")</f>
        <v>105.45454545454544</v>
      </c>
      <c r="L44" s="3"/>
    </row>
    <row r="45" spans="1:12" ht="17.25" customHeight="1">
      <c r="A45" s="32"/>
      <c r="B45" s="117" t="s">
        <v>28</v>
      </c>
      <c r="C45" s="34" t="s">
        <v>76</v>
      </c>
      <c r="D45" s="29">
        <f t="shared" ref="D45:I45" si="20">D44*D43/10</f>
        <v>158.39885999999998</v>
      </c>
      <c r="E45" s="29">
        <f t="shared" si="20"/>
        <v>183.05099999999999</v>
      </c>
      <c r="F45" s="29">
        <f t="shared" si="20"/>
        <v>168.15168000000003</v>
      </c>
      <c r="G45" s="29">
        <f t="shared" si="20"/>
        <v>126.5</v>
      </c>
      <c r="H45" s="29">
        <f t="shared" si="20"/>
        <v>0</v>
      </c>
      <c r="I45" s="29">
        <f t="shared" si="20"/>
        <v>145</v>
      </c>
      <c r="J45" s="58">
        <f t="shared" si="18"/>
        <v>86.231668931288695</v>
      </c>
      <c r="K45" s="58">
        <f t="shared" si="19"/>
        <v>114.62450592885376</v>
      </c>
      <c r="L45" s="3"/>
    </row>
    <row r="46" spans="1:12" ht="17.25" customHeight="1">
      <c r="A46" s="32" t="s">
        <v>424</v>
      </c>
      <c r="B46" s="116" t="s">
        <v>458</v>
      </c>
      <c r="C46" s="32" t="s">
        <v>37</v>
      </c>
      <c r="D46" s="29">
        <v>62.7</v>
      </c>
      <c r="E46" s="29">
        <v>62.9</v>
      </c>
      <c r="F46" s="29">
        <v>62.9</v>
      </c>
      <c r="G46" s="29">
        <v>60</v>
      </c>
      <c r="H46" s="29"/>
      <c r="I46" s="29">
        <v>60</v>
      </c>
      <c r="J46" s="58">
        <f t="shared" si="18"/>
        <v>95.389507154213035</v>
      </c>
      <c r="K46" s="58">
        <f t="shared" si="19"/>
        <v>100</v>
      </c>
      <c r="L46" s="3"/>
    </row>
    <row r="47" spans="1:12" ht="17.25" customHeight="1">
      <c r="A47" s="32"/>
      <c r="B47" s="116" t="s">
        <v>27</v>
      </c>
      <c r="C47" s="34" t="s">
        <v>21</v>
      </c>
      <c r="D47" s="28">
        <v>44.11</v>
      </c>
      <c r="E47" s="28">
        <v>48</v>
      </c>
      <c r="F47" s="28"/>
      <c r="G47" s="28">
        <v>50</v>
      </c>
      <c r="H47" s="28"/>
      <c r="I47" s="28">
        <v>50</v>
      </c>
      <c r="J47" s="58" t="str">
        <f t="shared" si="18"/>
        <v/>
      </c>
      <c r="K47" s="58">
        <f t="shared" si="19"/>
        <v>100</v>
      </c>
      <c r="L47" s="3"/>
    </row>
    <row r="48" spans="1:12" ht="17.25" customHeight="1">
      <c r="A48" s="32"/>
      <c r="B48" s="117" t="s">
        <v>28</v>
      </c>
      <c r="C48" s="34" t="s">
        <v>76</v>
      </c>
      <c r="D48" s="29">
        <f>D46*D47/10</f>
        <v>276.56970000000001</v>
      </c>
      <c r="E48" s="29">
        <f>E47*E46/10</f>
        <v>301.91999999999996</v>
      </c>
      <c r="F48" s="29">
        <f>F47*F46/10</f>
        <v>0</v>
      </c>
      <c r="G48" s="29">
        <f>G47*G46/10</f>
        <v>300</v>
      </c>
      <c r="H48" s="29">
        <f>H47*H46/10</f>
        <v>0</v>
      </c>
      <c r="I48" s="29">
        <f>I47*I46/10</f>
        <v>300</v>
      </c>
      <c r="J48" s="58" t="str">
        <f t="shared" si="18"/>
        <v/>
      </c>
      <c r="K48" s="58">
        <f t="shared" si="19"/>
        <v>100</v>
      </c>
      <c r="L48" s="3"/>
    </row>
    <row r="49" spans="1:12" ht="19.5" customHeight="1">
      <c r="A49" s="11">
        <v>2</v>
      </c>
      <c r="B49" s="30" t="s">
        <v>29</v>
      </c>
      <c r="C49" s="32" t="s">
        <v>37</v>
      </c>
      <c r="D49" s="27">
        <v>6199.5</v>
      </c>
      <c r="E49" s="27">
        <v>5720.5</v>
      </c>
      <c r="F49" s="27">
        <v>5720.5</v>
      </c>
      <c r="G49" s="27">
        <v>6000</v>
      </c>
      <c r="H49" s="27"/>
      <c r="I49" s="27">
        <v>5700</v>
      </c>
      <c r="J49" s="66">
        <f t="shared" si="18"/>
        <v>99.641639716807973</v>
      </c>
      <c r="K49" s="66">
        <f t="shared" si="19"/>
        <v>95</v>
      </c>
      <c r="L49" s="3"/>
    </row>
    <row r="50" spans="1:12" ht="19.5" customHeight="1">
      <c r="A50" s="39"/>
      <c r="B50" s="37" t="s">
        <v>27</v>
      </c>
      <c r="C50" s="34" t="s">
        <v>21</v>
      </c>
      <c r="D50" s="28">
        <f>D51/D49*10</f>
        <v>148.34260827486088</v>
      </c>
      <c r="E50" s="28">
        <v>148.51</v>
      </c>
      <c r="F50" s="28"/>
      <c r="G50" s="28">
        <v>145</v>
      </c>
      <c r="H50" s="28"/>
      <c r="I50" s="28"/>
      <c r="J50" s="66" t="str">
        <f t="shared" si="18"/>
        <v/>
      </c>
      <c r="K50" s="66">
        <f t="shared" si="19"/>
        <v>0</v>
      </c>
      <c r="L50" s="3"/>
    </row>
    <row r="51" spans="1:12" ht="19.5" customHeight="1">
      <c r="A51" s="39"/>
      <c r="B51" s="37" t="s">
        <v>28</v>
      </c>
      <c r="C51" s="34" t="s">
        <v>76</v>
      </c>
      <c r="D51" s="29">
        <v>91965</v>
      </c>
      <c r="E51" s="29">
        <f>E50*E49/10</f>
        <v>84955.145499999999</v>
      </c>
      <c r="F51" s="29">
        <f>F50*F49/10</f>
        <v>0</v>
      </c>
      <c r="G51" s="29">
        <f>G50*G49/10</f>
        <v>87000</v>
      </c>
      <c r="H51" s="29">
        <f>H50*H49/10</f>
        <v>0</v>
      </c>
      <c r="I51" s="29">
        <f>I50*I49/10</f>
        <v>0</v>
      </c>
      <c r="J51" s="66" t="str">
        <f t="shared" si="18"/>
        <v/>
      </c>
      <c r="K51" s="66">
        <f t="shared" si="19"/>
        <v>0</v>
      </c>
      <c r="L51" s="3"/>
    </row>
    <row r="52" spans="1:12" s="18" customFormat="1" ht="19.5" customHeight="1">
      <c r="A52" s="11">
        <v>3</v>
      </c>
      <c r="B52" s="30" t="s">
        <v>317</v>
      </c>
      <c r="C52" s="11" t="s">
        <v>37</v>
      </c>
      <c r="D52" s="27">
        <v>9.1999999999999993</v>
      </c>
      <c r="E52" s="27">
        <v>10.5</v>
      </c>
      <c r="F52" s="27">
        <v>10.5</v>
      </c>
      <c r="G52" s="27">
        <v>30</v>
      </c>
      <c r="H52" s="27">
        <v>29.1</v>
      </c>
      <c r="I52" s="27">
        <v>29.1</v>
      </c>
      <c r="J52" s="66">
        <f t="shared" si="18"/>
        <v>277.14285714285717</v>
      </c>
      <c r="K52" s="66">
        <f t="shared" si="19"/>
        <v>97.000000000000014</v>
      </c>
      <c r="L52" s="83"/>
    </row>
    <row r="53" spans="1:12" ht="19.5" customHeight="1">
      <c r="A53" s="32"/>
      <c r="B53" s="33" t="s">
        <v>123</v>
      </c>
      <c r="C53" s="32" t="s">
        <v>37</v>
      </c>
      <c r="D53" s="29"/>
      <c r="E53" s="29"/>
      <c r="F53" s="29"/>
      <c r="G53" s="29">
        <v>20</v>
      </c>
      <c r="H53" s="29">
        <v>19.100000000000001</v>
      </c>
      <c r="I53" s="29">
        <v>19.100000000000001</v>
      </c>
      <c r="J53" s="58" t="str">
        <f t="shared" si="18"/>
        <v/>
      </c>
      <c r="K53" s="58">
        <f t="shared" si="19"/>
        <v>95.5</v>
      </c>
      <c r="L53" s="3"/>
    </row>
    <row r="54" spans="1:12" ht="19.5" customHeight="1">
      <c r="A54" s="39"/>
      <c r="B54" s="37" t="s">
        <v>27</v>
      </c>
      <c r="C54" s="34" t="s">
        <v>21</v>
      </c>
      <c r="D54" s="28"/>
      <c r="E54" s="28">
        <v>600</v>
      </c>
      <c r="F54" s="28"/>
      <c r="G54" s="28">
        <v>733.3</v>
      </c>
      <c r="H54" s="28"/>
      <c r="I54" s="28"/>
      <c r="J54" s="58" t="str">
        <f t="shared" si="18"/>
        <v/>
      </c>
      <c r="K54" s="58">
        <f t="shared" si="19"/>
        <v>0</v>
      </c>
      <c r="L54" s="3"/>
    </row>
    <row r="55" spans="1:12" ht="19.5" customHeight="1">
      <c r="A55" s="39"/>
      <c r="B55" s="37" t="s">
        <v>28</v>
      </c>
      <c r="C55" s="34" t="s">
        <v>76</v>
      </c>
      <c r="D55" s="29">
        <f t="shared" ref="D55:I55" si="21">D54*D52/10</f>
        <v>0</v>
      </c>
      <c r="E55" s="29">
        <f t="shared" si="21"/>
        <v>630</v>
      </c>
      <c r="F55" s="29">
        <f t="shared" si="21"/>
        <v>0</v>
      </c>
      <c r="G55" s="29">
        <f t="shared" si="21"/>
        <v>2199.9</v>
      </c>
      <c r="H55" s="29">
        <f t="shared" si="21"/>
        <v>0</v>
      </c>
      <c r="I55" s="29">
        <f t="shared" si="21"/>
        <v>0</v>
      </c>
      <c r="J55" s="58" t="str">
        <f t="shared" si="18"/>
        <v/>
      </c>
      <c r="K55" s="58">
        <f t="shared" si="19"/>
        <v>0</v>
      </c>
      <c r="L55" s="3"/>
    </row>
    <row r="56" spans="1:12" ht="19.5" customHeight="1">
      <c r="A56" s="11">
        <v>4</v>
      </c>
      <c r="B56" s="30" t="s">
        <v>136</v>
      </c>
      <c r="C56" s="32" t="s">
        <v>37</v>
      </c>
      <c r="D56" s="27">
        <f t="shared" ref="D56:I56" si="22">D59+D62</f>
        <v>219.3</v>
      </c>
      <c r="E56" s="27">
        <f t="shared" si="22"/>
        <v>259</v>
      </c>
      <c r="F56" s="27">
        <f t="shared" si="22"/>
        <v>190.95</v>
      </c>
      <c r="G56" s="27">
        <f t="shared" si="22"/>
        <v>230</v>
      </c>
      <c r="H56" s="27">
        <f t="shared" si="22"/>
        <v>115.8</v>
      </c>
      <c r="I56" s="27">
        <f t="shared" si="22"/>
        <v>185.8</v>
      </c>
      <c r="J56" s="66">
        <f t="shared" si="18"/>
        <v>97.302958889761726</v>
      </c>
      <c r="K56" s="66">
        <f t="shared" si="19"/>
        <v>80.782608695652186</v>
      </c>
      <c r="L56" s="3"/>
    </row>
    <row r="57" spans="1:12" ht="19.5" customHeight="1">
      <c r="A57" s="39"/>
      <c r="B57" s="37" t="s">
        <v>27</v>
      </c>
      <c r="C57" s="34" t="s">
        <v>21</v>
      </c>
      <c r="D57" s="28">
        <f t="shared" ref="D57:I57" si="23">D58/D56*10</f>
        <v>119.96580027359781</v>
      </c>
      <c r="E57" s="28">
        <f t="shared" si="23"/>
        <v>134.57142857142858</v>
      </c>
      <c r="F57" s="28">
        <f t="shared" si="23"/>
        <v>83.210627913066276</v>
      </c>
      <c r="G57" s="28">
        <f t="shared" si="23"/>
        <v>136.63173913043477</v>
      </c>
      <c r="H57" s="28">
        <f t="shared" si="23"/>
        <v>0</v>
      </c>
      <c r="I57" s="28">
        <f t="shared" si="23"/>
        <v>94.734122712594186</v>
      </c>
      <c r="J57" s="58">
        <f t="shared" si="18"/>
        <v>113.84858531721093</v>
      </c>
      <c r="K57" s="58">
        <f t="shared" si="19"/>
        <v>69.335370621431352</v>
      </c>
      <c r="L57" s="3"/>
    </row>
    <row r="58" spans="1:12" ht="19.5" customHeight="1">
      <c r="A58" s="39"/>
      <c r="B58" s="37" t="s">
        <v>28</v>
      </c>
      <c r="C58" s="34" t="s">
        <v>76</v>
      </c>
      <c r="D58" s="29">
        <f t="shared" ref="D58:I58" si="24">D61+D64</f>
        <v>2630.85</v>
      </c>
      <c r="E58" s="29">
        <f t="shared" si="24"/>
        <v>3485.4</v>
      </c>
      <c r="F58" s="29">
        <f t="shared" si="24"/>
        <v>1588.9069400000003</v>
      </c>
      <c r="G58" s="29">
        <f t="shared" si="24"/>
        <v>3142.5299999999997</v>
      </c>
      <c r="H58" s="29">
        <f t="shared" si="24"/>
        <v>0</v>
      </c>
      <c r="I58" s="29">
        <f t="shared" si="24"/>
        <v>1760.1599999999999</v>
      </c>
      <c r="J58" s="58">
        <f t="shared" si="18"/>
        <v>110.77804216778104</v>
      </c>
      <c r="K58" s="58">
        <f t="shared" si="19"/>
        <v>56.010921136791062</v>
      </c>
      <c r="L58" s="3"/>
    </row>
    <row r="59" spans="1:12" ht="19.5" customHeight="1">
      <c r="A59" s="32"/>
      <c r="B59" s="136" t="s">
        <v>459</v>
      </c>
      <c r="C59" s="21" t="s">
        <v>37</v>
      </c>
      <c r="D59" s="22">
        <v>97.3</v>
      </c>
      <c r="E59" s="22">
        <v>137</v>
      </c>
      <c r="F59" s="22">
        <v>120.95</v>
      </c>
      <c r="G59" s="22">
        <v>123</v>
      </c>
      <c r="H59" s="22">
        <v>115.8</v>
      </c>
      <c r="I59" s="22">
        <v>115.8</v>
      </c>
      <c r="J59" s="58">
        <f t="shared" si="18"/>
        <v>95.742042166184376</v>
      </c>
      <c r="K59" s="58">
        <f t="shared" si="19"/>
        <v>94.146341463414629</v>
      </c>
      <c r="L59" s="3"/>
    </row>
    <row r="60" spans="1:12" ht="19.5" customHeight="1">
      <c r="A60" s="32"/>
      <c r="B60" s="136" t="s">
        <v>27</v>
      </c>
      <c r="C60" s="21" t="s">
        <v>21</v>
      </c>
      <c r="D60" s="38">
        <v>145</v>
      </c>
      <c r="E60" s="38">
        <v>152</v>
      </c>
      <c r="F60" s="38">
        <v>131.36890781314594</v>
      </c>
      <c r="G60" s="38">
        <v>151.1</v>
      </c>
      <c r="H60" s="38"/>
      <c r="I60" s="38">
        <v>152</v>
      </c>
      <c r="J60" s="58">
        <f t="shared" si="18"/>
        <v>115.70469948353299</v>
      </c>
      <c r="K60" s="58">
        <f t="shared" si="19"/>
        <v>100.59563203176705</v>
      </c>
      <c r="L60" s="3"/>
    </row>
    <row r="61" spans="1:12" ht="19.5" customHeight="1">
      <c r="A61" s="32"/>
      <c r="B61" s="136" t="s">
        <v>28</v>
      </c>
      <c r="C61" s="21" t="s">
        <v>76</v>
      </c>
      <c r="D61" s="22">
        <f t="shared" ref="D61:I61" si="25">D60*D59/10</f>
        <v>1410.85</v>
      </c>
      <c r="E61" s="22">
        <f t="shared" si="25"/>
        <v>2082.4</v>
      </c>
      <c r="F61" s="22">
        <f t="shared" si="25"/>
        <v>1588.9069400000003</v>
      </c>
      <c r="G61" s="22">
        <f t="shared" si="25"/>
        <v>1858.53</v>
      </c>
      <c r="H61" s="22">
        <f t="shared" si="25"/>
        <v>0</v>
      </c>
      <c r="I61" s="22">
        <f t="shared" si="25"/>
        <v>1760.1599999999999</v>
      </c>
      <c r="J61" s="58">
        <f t="shared" si="18"/>
        <v>110.77804216778104</v>
      </c>
      <c r="K61" s="58">
        <f t="shared" si="19"/>
        <v>94.707107229907493</v>
      </c>
      <c r="L61" s="3"/>
    </row>
    <row r="62" spans="1:12" ht="19.5" customHeight="1">
      <c r="A62" s="32"/>
      <c r="B62" s="136" t="s">
        <v>460</v>
      </c>
      <c r="C62" s="21" t="s">
        <v>37</v>
      </c>
      <c r="D62" s="22">
        <v>122</v>
      </c>
      <c r="E62" s="22">
        <v>122</v>
      </c>
      <c r="F62" s="22">
        <v>70</v>
      </c>
      <c r="G62" s="22">
        <v>107</v>
      </c>
      <c r="H62" s="22"/>
      <c r="I62" s="22">
        <v>70</v>
      </c>
      <c r="J62" s="58">
        <f t="shared" si="18"/>
        <v>100</v>
      </c>
      <c r="K62" s="58">
        <f t="shared" si="19"/>
        <v>65.420560747663544</v>
      </c>
      <c r="L62" s="3"/>
    </row>
    <row r="63" spans="1:12" ht="19.5" customHeight="1">
      <c r="A63" s="32"/>
      <c r="B63" s="136" t="s">
        <v>27</v>
      </c>
      <c r="C63" s="21" t="s">
        <v>21</v>
      </c>
      <c r="D63" s="38">
        <v>100</v>
      </c>
      <c r="E63" s="38">
        <v>115</v>
      </c>
      <c r="F63" s="38"/>
      <c r="G63" s="38">
        <v>120</v>
      </c>
      <c r="H63" s="38"/>
      <c r="I63" s="38"/>
      <c r="J63" s="58" t="str">
        <f t="shared" si="18"/>
        <v/>
      </c>
      <c r="K63" s="58">
        <f t="shared" si="19"/>
        <v>0</v>
      </c>
      <c r="L63" s="3"/>
    </row>
    <row r="64" spans="1:12" ht="19.5" customHeight="1">
      <c r="A64" s="32"/>
      <c r="B64" s="136" t="s">
        <v>28</v>
      </c>
      <c r="C64" s="21" t="s">
        <v>76</v>
      </c>
      <c r="D64" s="22">
        <f t="shared" ref="D64:I64" si="26">D63*D62/10</f>
        <v>1220</v>
      </c>
      <c r="E64" s="22">
        <f t="shared" si="26"/>
        <v>1403</v>
      </c>
      <c r="F64" s="22">
        <f t="shared" si="26"/>
        <v>0</v>
      </c>
      <c r="G64" s="22">
        <f t="shared" si="26"/>
        <v>1284</v>
      </c>
      <c r="H64" s="22">
        <f t="shared" si="26"/>
        <v>0</v>
      </c>
      <c r="I64" s="22">
        <f t="shared" si="26"/>
        <v>0</v>
      </c>
      <c r="J64" s="58" t="str">
        <f t="shared" si="18"/>
        <v/>
      </c>
      <c r="K64" s="58">
        <f t="shared" si="19"/>
        <v>0</v>
      </c>
      <c r="L64" s="3"/>
    </row>
    <row r="65" spans="1:13" s="18" customFormat="1" ht="31.5">
      <c r="A65" s="11">
        <v>5</v>
      </c>
      <c r="B65" s="30" t="s">
        <v>411</v>
      </c>
      <c r="C65" s="11" t="s">
        <v>37</v>
      </c>
      <c r="D65" s="36">
        <f>SUM(D66:D68)</f>
        <v>7.5</v>
      </c>
      <c r="E65" s="36">
        <f>SUM(E66:E68)</f>
        <v>31.2</v>
      </c>
      <c r="F65" s="36">
        <f>SUM(F66:F69)</f>
        <v>13</v>
      </c>
      <c r="G65" s="36">
        <f>SUM(G66:G69)</f>
        <v>32</v>
      </c>
      <c r="H65" s="36">
        <f>SUM(H66:H69)</f>
        <v>0</v>
      </c>
      <c r="I65" s="36">
        <f>SUM(I66:I69)</f>
        <v>32</v>
      </c>
      <c r="J65" s="66">
        <f t="shared" si="18"/>
        <v>246.15384615384613</v>
      </c>
      <c r="K65" s="66">
        <f t="shared" si="19"/>
        <v>100</v>
      </c>
      <c r="L65" s="83"/>
    </row>
    <row r="66" spans="1:13" s="104" customFormat="1" ht="19.5" hidden="1" customHeight="1" outlineLevel="1">
      <c r="A66" s="100"/>
      <c r="B66" s="157" t="s">
        <v>402</v>
      </c>
      <c r="C66" s="100" t="s">
        <v>37</v>
      </c>
      <c r="D66" s="159">
        <v>3.7</v>
      </c>
      <c r="E66" s="159">
        <v>4</v>
      </c>
      <c r="F66" s="159">
        <v>2</v>
      </c>
      <c r="G66" s="159">
        <v>4</v>
      </c>
      <c r="H66" s="159"/>
      <c r="I66" s="159">
        <v>4</v>
      </c>
      <c r="J66" s="103">
        <f t="shared" si="18"/>
        <v>200</v>
      </c>
      <c r="K66" s="103">
        <f t="shared" si="19"/>
        <v>100</v>
      </c>
      <c r="L66" s="129"/>
    </row>
    <row r="67" spans="1:13" s="104" customFormat="1" ht="19.5" hidden="1" customHeight="1" outlineLevel="1">
      <c r="A67" s="100"/>
      <c r="B67" s="157" t="s">
        <v>403</v>
      </c>
      <c r="C67" s="100" t="s">
        <v>37</v>
      </c>
      <c r="D67" s="159">
        <v>3.8</v>
      </c>
      <c r="E67" s="159">
        <v>4</v>
      </c>
      <c r="F67" s="159"/>
      <c r="G67" s="159">
        <v>4</v>
      </c>
      <c r="H67" s="159"/>
      <c r="I67" s="159">
        <v>4</v>
      </c>
      <c r="J67" s="103" t="str">
        <f t="shared" si="18"/>
        <v/>
      </c>
      <c r="K67" s="103">
        <f t="shared" si="19"/>
        <v>100</v>
      </c>
      <c r="L67" s="129"/>
    </row>
    <row r="68" spans="1:13" s="104" customFormat="1" ht="19.5" hidden="1" customHeight="1" outlineLevel="1">
      <c r="A68" s="100"/>
      <c r="B68" s="157" t="s">
        <v>404</v>
      </c>
      <c r="C68" s="100" t="s">
        <v>37</v>
      </c>
      <c r="D68" s="159"/>
      <c r="E68" s="159">
        <v>23.2</v>
      </c>
      <c r="F68" s="159"/>
      <c r="G68" s="159">
        <v>24</v>
      </c>
      <c r="H68" s="159"/>
      <c r="I68" s="159">
        <v>24</v>
      </c>
      <c r="J68" s="103" t="str">
        <f t="shared" si="18"/>
        <v/>
      </c>
      <c r="K68" s="103">
        <f t="shared" si="19"/>
        <v>100</v>
      </c>
      <c r="L68" s="129"/>
    </row>
    <row r="69" spans="1:13" s="104" customFormat="1" ht="19.5" hidden="1" customHeight="1" outlineLevel="1">
      <c r="A69" s="100"/>
      <c r="B69" s="157" t="s">
        <v>498</v>
      </c>
      <c r="C69" s="100" t="s">
        <v>37</v>
      </c>
      <c r="D69" s="159"/>
      <c r="E69" s="159"/>
      <c r="F69" s="159">
        <v>11</v>
      </c>
      <c r="G69" s="159"/>
      <c r="H69" s="159"/>
      <c r="I69" s="159"/>
      <c r="J69" s="103">
        <f>IFERROR(I69/F69%,"")</f>
        <v>0</v>
      </c>
      <c r="K69" s="103" t="str">
        <f>IFERROR(I69/G69%,"")</f>
        <v/>
      </c>
      <c r="L69" s="129"/>
    </row>
    <row r="70" spans="1:13" ht="17.25" customHeight="1" collapsed="1">
      <c r="A70" s="24" t="s">
        <v>39</v>
      </c>
      <c r="B70" s="30" t="s">
        <v>122</v>
      </c>
      <c r="C70" s="11" t="s">
        <v>37</v>
      </c>
      <c r="D70" s="27">
        <f t="shared" ref="D70:I70" si="27">D71+D83+D84</f>
        <v>9814</v>
      </c>
      <c r="E70" s="27">
        <f t="shared" si="27"/>
        <v>10071.6</v>
      </c>
      <c r="F70" s="27">
        <f t="shared" si="27"/>
        <v>9777.2000000000007</v>
      </c>
      <c r="G70" s="27">
        <f t="shared" si="27"/>
        <v>10122.1</v>
      </c>
      <c r="H70" s="27">
        <f t="shared" si="27"/>
        <v>9677.2000000000007</v>
      </c>
      <c r="I70" s="27">
        <f t="shared" si="27"/>
        <v>9730.2000000000007</v>
      </c>
      <c r="J70" s="66">
        <f t="shared" ref="J70:J89" si="28">IFERROR(I70/F70%,"")</f>
        <v>99.519289776214052</v>
      </c>
      <c r="K70" s="66">
        <f t="shared" ref="K70:K89" si="29">IFERROR(I70/G70%,"")</f>
        <v>96.128273777180624</v>
      </c>
      <c r="L70" s="3"/>
    </row>
    <row r="71" spans="1:13" s="18" customFormat="1" ht="17.25" customHeight="1">
      <c r="A71" s="24">
        <v>1</v>
      </c>
      <c r="B71" s="23" t="s">
        <v>448</v>
      </c>
      <c r="C71" s="11" t="s">
        <v>37</v>
      </c>
      <c r="D71" s="27">
        <f t="shared" ref="D71:I71" si="30">D72+D77</f>
        <v>9537.2999999999993</v>
      </c>
      <c r="E71" s="27">
        <f t="shared" si="30"/>
        <v>9722.1</v>
      </c>
      <c r="F71" s="27">
        <f t="shared" si="30"/>
        <v>9722.6</v>
      </c>
      <c r="G71" s="27">
        <f t="shared" si="30"/>
        <v>9772.1</v>
      </c>
      <c r="H71" s="27">
        <f t="shared" si="30"/>
        <v>9677.2000000000007</v>
      </c>
      <c r="I71" s="27">
        <f t="shared" si="30"/>
        <v>9730.2000000000007</v>
      </c>
      <c r="J71" s="66">
        <f t="shared" si="28"/>
        <v>100.07816839117109</v>
      </c>
      <c r="K71" s="66">
        <f t="shared" si="29"/>
        <v>99.571228292792753</v>
      </c>
      <c r="L71" s="83"/>
    </row>
    <row r="72" spans="1:13" s="18" customFormat="1" ht="17.25" customHeight="1">
      <c r="A72" s="11" t="s">
        <v>34</v>
      </c>
      <c r="B72" s="30" t="s">
        <v>445</v>
      </c>
      <c r="C72" s="11" t="s">
        <v>37</v>
      </c>
      <c r="D72" s="16">
        <v>1743.8</v>
      </c>
      <c r="E72" s="16">
        <f>D72+E73</f>
        <v>1919.5</v>
      </c>
      <c r="F72" s="16">
        <v>1920</v>
      </c>
      <c r="G72" s="16">
        <f>E72+G73</f>
        <v>1969.5</v>
      </c>
      <c r="H72" s="16">
        <f>E72+H73</f>
        <v>1919.5</v>
      </c>
      <c r="I72" s="16">
        <f>E72+I73</f>
        <v>1969.5</v>
      </c>
      <c r="J72" s="66">
        <f t="shared" si="28"/>
        <v>102.578125</v>
      </c>
      <c r="K72" s="66">
        <f t="shared" si="29"/>
        <v>100</v>
      </c>
      <c r="L72" s="83"/>
    </row>
    <row r="73" spans="1:13" ht="17.25" customHeight="1">
      <c r="A73" s="32"/>
      <c r="B73" s="35" t="s">
        <v>123</v>
      </c>
      <c r="C73" s="32" t="s">
        <v>37</v>
      </c>
      <c r="D73" s="38">
        <v>185.9</v>
      </c>
      <c r="E73" s="38">
        <v>175.7</v>
      </c>
      <c r="F73" s="38">
        <v>175.7</v>
      </c>
      <c r="G73" s="38">
        <v>50</v>
      </c>
      <c r="H73" s="38"/>
      <c r="I73" s="38">
        <v>50</v>
      </c>
      <c r="J73" s="58">
        <f t="shared" si="28"/>
        <v>28.457598178713717</v>
      </c>
      <c r="K73" s="58">
        <f t="shared" si="29"/>
        <v>100</v>
      </c>
      <c r="L73" s="3"/>
    </row>
    <row r="74" spans="1:13" ht="17.25" customHeight="1">
      <c r="A74" s="32"/>
      <c r="B74" s="35" t="s">
        <v>124</v>
      </c>
      <c r="C74" s="32" t="s">
        <v>37</v>
      </c>
      <c r="D74" s="22">
        <v>1246</v>
      </c>
      <c r="E74" s="22">
        <v>1384</v>
      </c>
      <c r="F74" s="22">
        <v>1353</v>
      </c>
      <c r="G74" s="22">
        <v>1559</v>
      </c>
      <c r="H74" s="22"/>
      <c r="I74" s="22">
        <v>1559</v>
      </c>
      <c r="J74" s="58">
        <f t="shared" si="28"/>
        <v>115.22542498152255</v>
      </c>
      <c r="K74" s="58">
        <f t="shared" si="29"/>
        <v>100</v>
      </c>
      <c r="L74" s="3"/>
      <c r="M74" s="81"/>
    </row>
    <row r="75" spans="1:13" ht="17.25" customHeight="1">
      <c r="A75" s="32"/>
      <c r="B75" s="35" t="s">
        <v>125</v>
      </c>
      <c r="C75" s="32" t="s">
        <v>21</v>
      </c>
      <c r="D75" s="38">
        <v>31.73</v>
      </c>
      <c r="E75" s="38">
        <v>35.65</v>
      </c>
      <c r="F75" s="38"/>
      <c r="G75" s="38">
        <v>35</v>
      </c>
      <c r="H75" s="38"/>
      <c r="I75" s="38"/>
      <c r="J75" s="58" t="str">
        <f t="shared" si="28"/>
        <v/>
      </c>
      <c r="K75" s="58">
        <f t="shared" si="29"/>
        <v>0</v>
      </c>
      <c r="L75" s="3"/>
    </row>
    <row r="76" spans="1:13" ht="17.25" customHeight="1">
      <c r="A76" s="32"/>
      <c r="B76" s="35" t="s">
        <v>320</v>
      </c>
      <c r="C76" s="32" t="s">
        <v>76</v>
      </c>
      <c r="D76" s="22">
        <f t="shared" ref="D76:I76" si="31">D74*D75/10</f>
        <v>3953.558</v>
      </c>
      <c r="E76" s="22">
        <f t="shared" si="31"/>
        <v>4933.96</v>
      </c>
      <c r="F76" s="22">
        <f t="shared" si="31"/>
        <v>0</v>
      </c>
      <c r="G76" s="22">
        <f t="shared" si="31"/>
        <v>5456.5</v>
      </c>
      <c r="H76" s="22">
        <f t="shared" si="31"/>
        <v>0</v>
      </c>
      <c r="I76" s="22">
        <f t="shared" si="31"/>
        <v>0</v>
      </c>
      <c r="J76" s="58" t="str">
        <f t="shared" si="28"/>
        <v/>
      </c>
      <c r="K76" s="58">
        <f t="shared" si="29"/>
        <v>0</v>
      </c>
      <c r="L76" s="3"/>
    </row>
    <row r="77" spans="1:13" s="18" customFormat="1" ht="17.25" customHeight="1">
      <c r="A77" s="11" t="s">
        <v>35</v>
      </c>
      <c r="B77" s="30" t="s">
        <v>446</v>
      </c>
      <c r="C77" s="11" t="s">
        <v>37</v>
      </c>
      <c r="D77" s="16">
        <v>7793.5</v>
      </c>
      <c r="E77" s="16">
        <f>D77+E78-E79</f>
        <v>7802.6</v>
      </c>
      <c r="F77" s="16">
        <f>E77</f>
        <v>7802.6</v>
      </c>
      <c r="G77" s="16">
        <f>E77+G78-G79</f>
        <v>7802.6</v>
      </c>
      <c r="H77" s="16">
        <f>E77+H78-H79</f>
        <v>7757.7000000000007</v>
      </c>
      <c r="I77" s="16">
        <f>E77+I78-I79</f>
        <v>7760.7000000000007</v>
      </c>
      <c r="J77" s="66">
        <f t="shared" si="28"/>
        <v>99.462999512982847</v>
      </c>
      <c r="K77" s="66">
        <f t="shared" si="29"/>
        <v>99.462999512982847</v>
      </c>
      <c r="L77" s="83"/>
    </row>
    <row r="78" spans="1:13" ht="17.25" customHeight="1">
      <c r="A78" s="32"/>
      <c r="B78" s="35" t="s">
        <v>123</v>
      </c>
      <c r="C78" s="32" t="s">
        <v>37</v>
      </c>
      <c r="D78" s="43">
        <v>0</v>
      </c>
      <c r="E78" s="28">
        <v>24.6</v>
      </c>
      <c r="F78" s="43">
        <v>24.6</v>
      </c>
      <c r="G78" s="43"/>
      <c r="H78" s="43"/>
      <c r="I78" s="43">
        <v>3</v>
      </c>
      <c r="J78" s="58">
        <f t="shared" si="28"/>
        <v>12.195121951219511</v>
      </c>
      <c r="K78" s="58" t="str">
        <f t="shared" si="29"/>
        <v/>
      </c>
      <c r="L78" s="3"/>
    </row>
    <row r="79" spans="1:13" ht="17.25" customHeight="1">
      <c r="A79" s="32"/>
      <c r="B79" s="35" t="s">
        <v>321</v>
      </c>
      <c r="C79" s="32" t="s">
        <v>37</v>
      </c>
      <c r="D79" s="28">
        <v>81.5</v>
      </c>
      <c r="E79" s="28">
        <v>15.5</v>
      </c>
      <c r="F79" s="43">
        <v>15.5</v>
      </c>
      <c r="G79" s="43"/>
      <c r="H79" s="43">
        <v>44.9</v>
      </c>
      <c r="I79" s="43">
        <v>44.9</v>
      </c>
      <c r="J79" s="58">
        <f t="shared" si="28"/>
        <v>289.67741935483872</v>
      </c>
      <c r="K79" s="58" t="str">
        <f t="shared" si="29"/>
        <v/>
      </c>
      <c r="L79" s="3"/>
    </row>
    <row r="80" spans="1:13" ht="17.25" customHeight="1">
      <c r="A80" s="32"/>
      <c r="B80" s="35" t="s">
        <v>124</v>
      </c>
      <c r="C80" s="32" t="s">
        <v>37</v>
      </c>
      <c r="D80" s="22">
        <v>4821</v>
      </c>
      <c r="E80" s="22">
        <v>5385</v>
      </c>
      <c r="F80" s="22">
        <v>5352</v>
      </c>
      <c r="G80" s="22">
        <v>5755</v>
      </c>
      <c r="H80" s="22">
        <f>G80-24.9</f>
        <v>5730.1</v>
      </c>
      <c r="I80" s="22">
        <f>H80</f>
        <v>5730.1</v>
      </c>
      <c r="J80" s="58">
        <f t="shared" si="28"/>
        <v>107.06464872944693</v>
      </c>
      <c r="K80" s="58">
        <f t="shared" si="29"/>
        <v>99.567332754126852</v>
      </c>
      <c r="L80" s="3"/>
    </row>
    <row r="81" spans="1:14" ht="17.25" customHeight="1">
      <c r="A81" s="32"/>
      <c r="B81" s="35" t="s">
        <v>126</v>
      </c>
      <c r="C81" s="32" t="s">
        <v>21</v>
      </c>
      <c r="D81" s="38">
        <v>12.33</v>
      </c>
      <c r="E81" s="38">
        <v>12.35</v>
      </c>
      <c r="F81" s="38"/>
      <c r="G81" s="38">
        <v>12.5</v>
      </c>
      <c r="H81" s="38"/>
      <c r="I81" s="38"/>
      <c r="J81" s="58" t="str">
        <f t="shared" si="28"/>
        <v/>
      </c>
      <c r="K81" s="58">
        <f t="shared" si="29"/>
        <v>0</v>
      </c>
      <c r="L81" s="3"/>
    </row>
    <row r="82" spans="1:14" ht="17.25" customHeight="1">
      <c r="A82" s="32"/>
      <c r="B82" s="35" t="s">
        <v>474</v>
      </c>
      <c r="C82" s="32" t="s">
        <v>76</v>
      </c>
      <c r="D82" s="22">
        <f t="shared" ref="D82:I82" si="32">D80*D81/10</f>
        <v>5944.2929999999997</v>
      </c>
      <c r="E82" s="22">
        <f t="shared" si="32"/>
        <v>6650.4750000000004</v>
      </c>
      <c r="F82" s="22">
        <f t="shared" si="32"/>
        <v>0</v>
      </c>
      <c r="G82" s="22">
        <f t="shared" si="32"/>
        <v>7193.75</v>
      </c>
      <c r="H82" s="22">
        <f t="shared" si="32"/>
        <v>0</v>
      </c>
      <c r="I82" s="22">
        <f t="shared" si="32"/>
        <v>0</v>
      </c>
      <c r="J82" s="58" t="str">
        <f t="shared" si="28"/>
        <v/>
      </c>
      <c r="K82" s="58">
        <f t="shared" si="29"/>
        <v>0</v>
      </c>
      <c r="L82" s="3"/>
    </row>
    <row r="83" spans="1:14" s="18" customFormat="1" ht="17.25" customHeight="1">
      <c r="A83" s="11">
        <v>2</v>
      </c>
      <c r="B83" s="30" t="s">
        <v>181</v>
      </c>
      <c r="C83" s="11" t="s">
        <v>37</v>
      </c>
      <c r="D83" s="16">
        <v>155.19999999999999</v>
      </c>
      <c r="E83" s="16">
        <v>218.9</v>
      </c>
      <c r="F83" s="16"/>
      <c r="G83" s="16">
        <v>220</v>
      </c>
      <c r="H83" s="16"/>
      <c r="I83" s="16"/>
      <c r="J83" s="66" t="str">
        <f t="shared" si="28"/>
        <v/>
      </c>
      <c r="K83" s="66">
        <f t="shared" si="29"/>
        <v>0</v>
      </c>
      <c r="L83" s="83"/>
    </row>
    <row r="84" spans="1:14" s="18" customFormat="1" ht="31.5">
      <c r="A84" s="11">
        <v>3</v>
      </c>
      <c r="B84" s="30" t="s">
        <v>410</v>
      </c>
      <c r="C84" s="11" t="s">
        <v>37</v>
      </c>
      <c r="D84" s="16">
        <f t="shared" ref="D84:I84" si="33">SUM(D85:D89)</f>
        <v>121.5</v>
      </c>
      <c r="E84" s="16">
        <f t="shared" si="33"/>
        <v>130.60000000000002</v>
      </c>
      <c r="F84" s="16">
        <f t="shared" si="33"/>
        <v>54.6</v>
      </c>
      <c r="G84" s="16">
        <f t="shared" si="33"/>
        <v>130</v>
      </c>
      <c r="H84" s="16">
        <f t="shared" si="33"/>
        <v>0</v>
      </c>
      <c r="I84" s="16">
        <f t="shared" si="33"/>
        <v>0</v>
      </c>
      <c r="J84" s="66">
        <f t="shared" si="28"/>
        <v>0</v>
      </c>
      <c r="K84" s="66">
        <f t="shared" si="29"/>
        <v>0</v>
      </c>
      <c r="L84" s="83"/>
      <c r="M84" s="87"/>
      <c r="N84" s="87"/>
    </row>
    <row r="85" spans="1:14" s="104" customFormat="1" ht="17.25" hidden="1" customHeight="1" outlineLevel="1">
      <c r="A85" s="100"/>
      <c r="B85" s="157" t="s">
        <v>405</v>
      </c>
      <c r="C85" s="100" t="s">
        <v>37</v>
      </c>
      <c r="D85" s="158">
        <v>18.5</v>
      </c>
      <c r="E85" s="158">
        <v>17</v>
      </c>
      <c r="F85" s="158"/>
      <c r="G85" s="158">
        <v>17</v>
      </c>
      <c r="H85" s="158"/>
      <c r="I85" s="158"/>
      <c r="J85" s="123" t="str">
        <f t="shared" si="28"/>
        <v/>
      </c>
      <c r="K85" s="123">
        <f t="shared" si="29"/>
        <v>0</v>
      </c>
      <c r="L85" s="129"/>
    </row>
    <row r="86" spans="1:14" s="104" customFormat="1" ht="17.25" hidden="1" customHeight="1" outlineLevel="1">
      <c r="A86" s="100"/>
      <c r="B86" s="157" t="s">
        <v>406</v>
      </c>
      <c r="C86" s="100" t="s">
        <v>37</v>
      </c>
      <c r="D86" s="158">
        <v>54.6</v>
      </c>
      <c r="E86" s="158">
        <v>61.9</v>
      </c>
      <c r="F86" s="158">
        <v>54.6</v>
      </c>
      <c r="G86" s="158">
        <v>62</v>
      </c>
      <c r="H86" s="158"/>
      <c r="I86" s="158"/>
      <c r="J86" s="123">
        <f t="shared" si="28"/>
        <v>0</v>
      </c>
      <c r="K86" s="123">
        <f t="shared" si="29"/>
        <v>0</v>
      </c>
      <c r="L86" s="129"/>
    </row>
    <row r="87" spans="1:14" s="104" customFormat="1" ht="17.25" hidden="1" customHeight="1" outlineLevel="1">
      <c r="A87" s="100"/>
      <c r="B87" s="157" t="s">
        <v>407</v>
      </c>
      <c r="C87" s="100" t="s">
        <v>37</v>
      </c>
      <c r="D87" s="158">
        <v>2</v>
      </c>
      <c r="E87" s="158">
        <v>2</v>
      </c>
      <c r="F87" s="158"/>
      <c r="G87" s="158">
        <v>2</v>
      </c>
      <c r="H87" s="158"/>
      <c r="I87" s="158"/>
      <c r="J87" s="123" t="str">
        <f t="shared" si="28"/>
        <v/>
      </c>
      <c r="K87" s="123">
        <f t="shared" si="29"/>
        <v>0</v>
      </c>
      <c r="L87" s="129"/>
    </row>
    <row r="88" spans="1:14" s="104" customFormat="1" ht="17.25" hidden="1" customHeight="1" outlineLevel="1">
      <c r="A88" s="100"/>
      <c r="B88" s="157" t="s">
        <v>408</v>
      </c>
      <c r="C88" s="100" t="s">
        <v>37</v>
      </c>
      <c r="D88" s="158">
        <v>46.4</v>
      </c>
      <c r="E88" s="158">
        <v>30.4</v>
      </c>
      <c r="F88" s="158"/>
      <c r="G88" s="158">
        <v>30</v>
      </c>
      <c r="H88" s="158"/>
      <c r="I88" s="158"/>
      <c r="J88" s="123" t="str">
        <f t="shared" si="28"/>
        <v/>
      </c>
      <c r="K88" s="123">
        <f t="shared" si="29"/>
        <v>0</v>
      </c>
      <c r="L88" s="129"/>
    </row>
    <row r="89" spans="1:14" s="104" customFormat="1" ht="17.25" hidden="1" customHeight="1" outlineLevel="1">
      <c r="A89" s="100"/>
      <c r="B89" s="157" t="s">
        <v>409</v>
      </c>
      <c r="C89" s="100" t="s">
        <v>37</v>
      </c>
      <c r="D89" s="158"/>
      <c r="E89" s="158">
        <v>19.3</v>
      </c>
      <c r="F89" s="158"/>
      <c r="G89" s="158">
        <v>19</v>
      </c>
      <c r="H89" s="158"/>
      <c r="I89" s="158"/>
      <c r="J89" s="123" t="str">
        <f t="shared" si="28"/>
        <v/>
      </c>
      <c r="K89" s="123">
        <f t="shared" si="29"/>
        <v>0</v>
      </c>
      <c r="L89" s="129"/>
    </row>
    <row r="90" spans="1:14" s="104" customFormat="1" ht="17.25" hidden="1" customHeight="1" outlineLevel="1">
      <c r="A90" s="100"/>
      <c r="B90" s="157" t="s">
        <v>498</v>
      </c>
      <c r="C90" s="100" t="s">
        <v>37</v>
      </c>
      <c r="D90" s="158"/>
      <c r="E90" s="158"/>
      <c r="F90" s="158"/>
      <c r="G90" s="158"/>
      <c r="H90" s="158"/>
      <c r="I90" s="158"/>
      <c r="J90" s="123"/>
      <c r="K90" s="123"/>
      <c r="L90" s="129"/>
    </row>
    <row r="91" spans="1:14" ht="18.75" customHeight="1" collapsed="1">
      <c r="A91" s="11" t="s">
        <v>47</v>
      </c>
      <c r="B91" s="30" t="s">
        <v>96</v>
      </c>
      <c r="C91" s="32"/>
      <c r="D91" s="28"/>
      <c r="E91" s="38"/>
      <c r="F91" s="38"/>
      <c r="G91" s="38"/>
      <c r="H91" s="38"/>
      <c r="I91" s="38"/>
      <c r="J91" s="66" t="str">
        <f t="shared" ref="J91:J104" si="34">IFERROR(I91/F91%,"")</f>
        <v/>
      </c>
      <c r="K91" s="66" t="str">
        <f t="shared" ref="K91:K104" si="35">IFERROR(I91/G91%,"")</f>
        <v/>
      </c>
      <c r="L91" s="3"/>
    </row>
    <row r="92" spans="1:14" s="18" customFormat="1" ht="18.75" customHeight="1">
      <c r="A92" s="11">
        <v>1</v>
      </c>
      <c r="B92" s="30" t="s">
        <v>447</v>
      </c>
      <c r="C92" s="11" t="s">
        <v>54</v>
      </c>
      <c r="D92" s="27">
        <f t="shared" ref="D92:I92" si="36">SUM(D93:D95)</f>
        <v>20219</v>
      </c>
      <c r="E92" s="27">
        <f t="shared" si="36"/>
        <v>18350</v>
      </c>
      <c r="F92" s="27">
        <f t="shared" si="36"/>
        <v>18406</v>
      </c>
      <c r="G92" s="27">
        <f t="shared" si="36"/>
        <v>20650</v>
      </c>
      <c r="H92" s="27">
        <f t="shared" si="36"/>
        <v>16247</v>
      </c>
      <c r="I92" s="27">
        <f t="shared" si="36"/>
        <v>19600</v>
      </c>
      <c r="J92" s="66">
        <f t="shared" si="34"/>
        <v>106.4870151037705</v>
      </c>
      <c r="K92" s="66">
        <f t="shared" si="35"/>
        <v>94.915254237288138</v>
      </c>
      <c r="L92" s="83"/>
    </row>
    <row r="93" spans="1:14" ht="18.75" customHeight="1">
      <c r="A93" s="32"/>
      <c r="B93" s="35" t="s">
        <v>322</v>
      </c>
      <c r="C93" s="32" t="s">
        <v>54</v>
      </c>
      <c r="D93" s="29">
        <v>2461</v>
      </c>
      <c r="E93" s="29">
        <v>2550</v>
      </c>
      <c r="F93" s="29">
        <v>2530</v>
      </c>
      <c r="G93" s="29">
        <v>2650</v>
      </c>
      <c r="H93" s="29">
        <v>2534</v>
      </c>
      <c r="I93" s="29">
        <v>2600</v>
      </c>
      <c r="J93" s="58">
        <f t="shared" si="34"/>
        <v>102.76679841897233</v>
      </c>
      <c r="K93" s="58">
        <f t="shared" si="35"/>
        <v>98.113207547169807</v>
      </c>
      <c r="L93" s="3"/>
    </row>
    <row r="94" spans="1:14" ht="18.75" customHeight="1">
      <c r="A94" s="32"/>
      <c r="B94" s="35" t="s">
        <v>323</v>
      </c>
      <c r="C94" s="32" t="s">
        <v>54</v>
      </c>
      <c r="D94" s="29">
        <v>4034</v>
      </c>
      <c r="E94" s="29">
        <v>4800</v>
      </c>
      <c r="F94" s="29">
        <v>4594</v>
      </c>
      <c r="G94" s="29">
        <v>5000</v>
      </c>
      <c r="H94" s="29">
        <v>4823</v>
      </c>
      <c r="I94" s="29">
        <v>5000</v>
      </c>
      <c r="J94" s="58">
        <f t="shared" si="34"/>
        <v>108.837614279495</v>
      </c>
      <c r="K94" s="58">
        <f t="shared" si="35"/>
        <v>100</v>
      </c>
      <c r="L94" s="3"/>
    </row>
    <row r="95" spans="1:14" ht="18.75" customHeight="1">
      <c r="A95" s="32"/>
      <c r="B95" s="35" t="s">
        <v>324</v>
      </c>
      <c r="C95" s="32" t="s">
        <v>54</v>
      </c>
      <c r="D95" s="29">
        <v>13724</v>
      </c>
      <c r="E95" s="29">
        <v>11000</v>
      </c>
      <c r="F95" s="29">
        <v>11282</v>
      </c>
      <c r="G95" s="29">
        <v>13000</v>
      </c>
      <c r="H95" s="29">
        <v>8890</v>
      </c>
      <c r="I95" s="29">
        <v>12000</v>
      </c>
      <c r="J95" s="58">
        <f t="shared" si="34"/>
        <v>106.36411983690836</v>
      </c>
      <c r="K95" s="58">
        <f t="shared" si="35"/>
        <v>92.307692307692307</v>
      </c>
      <c r="L95" s="3"/>
    </row>
    <row r="96" spans="1:14" s="18" customFormat="1" ht="18.75" customHeight="1">
      <c r="A96" s="11">
        <v>2</v>
      </c>
      <c r="B96" s="44" t="s">
        <v>31</v>
      </c>
      <c r="C96" s="11" t="s">
        <v>54</v>
      </c>
      <c r="D96" s="27">
        <v>77894</v>
      </c>
      <c r="E96" s="27">
        <v>87000</v>
      </c>
      <c r="F96" s="27">
        <v>92500</v>
      </c>
      <c r="G96" s="27">
        <v>87000</v>
      </c>
      <c r="H96" s="27">
        <v>68700</v>
      </c>
      <c r="I96" s="27">
        <v>80000</v>
      </c>
      <c r="J96" s="66">
        <f t="shared" si="34"/>
        <v>86.486486486486484</v>
      </c>
      <c r="K96" s="66">
        <f t="shared" si="35"/>
        <v>91.954022988505741</v>
      </c>
      <c r="L96" s="83"/>
    </row>
    <row r="97" spans="1:14" s="18" customFormat="1" ht="18.75" customHeight="1">
      <c r="A97" s="11" t="s">
        <v>48</v>
      </c>
      <c r="B97" s="45" t="s">
        <v>325</v>
      </c>
      <c r="C97" s="11"/>
      <c r="D97" s="27"/>
      <c r="E97" s="27"/>
      <c r="F97" s="27"/>
      <c r="G97" s="27"/>
      <c r="H97" s="27"/>
      <c r="I97" s="27"/>
      <c r="J97" s="66" t="str">
        <f t="shared" si="34"/>
        <v/>
      </c>
      <c r="K97" s="66" t="str">
        <f t="shared" si="35"/>
        <v/>
      </c>
      <c r="L97" s="83"/>
    </row>
    <row r="98" spans="1:14" ht="18.75" customHeight="1">
      <c r="A98" s="32">
        <v>1</v>
      </c>
      <c r="B98" s="46" t="s">
        <v>326</v>
      </c>
      <c r="C98" s="32" t="s">
        <v>37</v>
      </c>
      <c r="D98" s="28">
        <v>85</v>
      </c>
      <c r="E98" s="28">
        <v>85.5</v>
      </c>
      <c r="F98" s="28">
        <v>83.5</v>
      </c>
      <c r="G98" s="28">
        <v>85.5</v>
      </c>
      <c r="H98" s="28">
        <v>86.1</v>
      </c>
      <c r="I98" s="28">
        <v>86.1</v>
      </c>
      <c r="J98" s="58">
        <f t="shared" si="34"/>
        <v>103.11377245508982</v>
      </c>
      <c r="K98" s="58">
        <f t="shared" si="35"/>
        <v>100.7017543859649</v>
      </c>
      <c r="L98" s="3"/>
    </row>
    <row r="99" spans="1:14" ht="18.75" customHeight="1">
      <c r="A99" s="32">
        <v>2</v>
      </c>
      <c r="B99" s="46" t="s">
        <v>327</v>
      </c>
      <c r="C99" s="32" t="s">
        <v>76</v>
      </c>
      <c r="D99" s="29">
        <f t="shared" ref="D99:I99" si="37">D100+D101</f>
        <v>427.4</v>
      </c>
      <c r="E99" s="29">
        <f t="shared" si="37"/>
        <v>320</v>
      </c>
      <c r="F99" s="29">
        <f t="shared" si="37"/>
        <v>71.5</v>
      </c>
      <c r="G99" s="29">
        <f t="shared" si="37"/>
        <v>335</v>
      </c>
      <c r="H99" s="29">
        <f t="shared" si="37"/>
        <v>46.699999999999996</v>
      </c>
      <c r="I99" s="29">
        <f t="shared" si="37"/>
        <v>80</v>
      </c>
      <c r="J99" s="58">
        <f t="shared" si="34"/>
        <v>111.88811188811189</v>
      </c>
      <c r="K99" s="58">
        <f t="shared" si="35"/>
        <v>23.880597014925371</v>
      </c>
      <c r="L99" s="3"/>
    </row>
    <row r="100" spans="1:14" ht="18.75" customHeight="1">
      <c r="A100" s="32"/>
      <c r="B100" s="48" t="s">
        <v>328</v>
      </c>
      <c r="C100" s="32" t="s">
        <v>76</v>
      </c>
      <c r="D100" s="29">
        <v>211.9</v>
      </c>
      <c r="E100" s="29">
        <v>210</v>
      </c>
      <c r="F100" s="29">
        <v>54</v>
      </c>
      <c r="G100" s="29">
        <v>210</v>
      </c>
      <c r="H100" s="29">
        <v>33.299999999999997</v>
      </c>
      <c r="I100" s="29">
        <v>60</v>
      </c>
      <c r="J100" s="58">
        <f t="shared" si="34"/>
        <v>111.1111111111111</v>
      </c>
      <c r="K100" s="58">
        <f t="shared" si="35"/>
        <v>28.571428571428569</v>
      </c>
      <c r="L100" s="3"/>
    </row>
    <row r="101" spans="1:14" ht="18.75" customHeight="1">
      <c r="A101" s="32"/>
      <c r="B101" s="48" t="s">
        <v>329</v>
      </c>
      <c r="C101" s="32" t="s">
        <v>76</v>
      </c>
      <c r="D101" s="29">
        <v>215.5</v>
      </c>
      <c r="E101" s="29">
        <v>110</v>
      </c>
      <c r="F101" s="29">
        <v>17.5</v>
      </c>
      <c r="G101" s="29">
        <v>125</v>
      </c>
      <c r="H101" s="29">
        <v>13.4</v>
      </c>
      <c r="I101" s="29">
        <v>20</v>
      </c>
      <c r="J101" s="58">
        <f t="shared" si="34"/>
        <v>114.28571428571429</v>
      </c>
      <c r="K101" s="58">
        <f t="shared" si="35"/>
        <v>16</v>
      </c>
      <c r="L101" s="3"/>
    </row>
    <row r="102" spans="1:14">
      <c r="A102" s="49" t="s">
        <v>50</v>
      </c>
      <c r="B102" s="50" t="s">
        <v>104</v>
      </c>
      <c r="C102" s="49"/>
      <c r="D102" s="13"/>
      <c r="E102" s="13"/>
      <c r="F102" s="13"/>
      <c r="G102" s="13"/>
      <c r="H102" s="13"/>
      <c r="I102" s="13"/>
      <c r="J102" s="66" t="str">
        <f t="shared" si="34"/>
        <v/>
      </c>
      <c r="K102" s="66" t="str">
        <f t="shared" si="35"/>
        <v/>
      </c>
      <c r="L102" s="3"/>
    </row>
    <row r="103" spans="1:14" ht="19.5" customHeight="1">
      <c r="A103" s="175">
        <v>1</v>
      </c>
      <c r="B103" s="52" t="s">
        <v>501</v>
      </c>
      <c r="C103" s="1" t="s">
        <v>37</v>
      </c>
      <c r="D103" s="53">
        <v>500.3</v>
      </c>
      <c r="E103" s="53">
        <v>4</v>
      </c>
      <c r="F103" s="53"/>
      <c r="G103" s="53"/>
      <c r="H103" s="53"/>
      <c r="I103" s="53"/>
      <c r="J103" s="66" t="str">
        <f t="shared" si="34"/>
        <v/>
      </c>
      <c r="K103" s="66" t="str">
        <f t="shared" si="35"/>
        <v/>
      </c>
      <c r="L103" s="3"/>
    </row>
    <row r="104" spans="1:14" s="42" customFormat="1" ht="19.5" customHeight="1">
      <c r="A104" s="171"/>
      <c r="B104" s="172" t="s">
        <v>123</v>
      </c>
      <c r="C104" s="173" t="s">
        <v>37</v>
      </c>
      <c r="D104" s="174">
        <v>500.3</v>
      </c>
      <c r="E104" s="174">
        <v>4</v>
      </c>
      <c r="F104" s="174"/>
      <c r="G104" s="174"/>
      <c r="H104" s="174"/>
      <c r="I104" s="174"/>
      <c r="J104" s="160" t="str">
        <f t="shared" si="34"/>
        <v/>
      </c>
      <c r="K104" s="160" t="str">
        <f t="shared" si="35"/>
        <v/>
      </c>
      <c r="L104" s="84"/>
    </row>
    <row r="105" spans="1:14" ht="19.5" customHeight="1">
      <c r="A105" s="175">
        <v>2</v>
      </c>
      <c r="B105" s="52" t="s">
        <v>495</v>
      </c>
      <c r="C105" s="1" t="s">
        <v>37</v>
      </c>
      <c r="D105" s="53"/>
      <c r="E105" s="53"/>
      <c r="F105" s="53"/>
      <c r="G105" s="53"/>
      <c r="H105" s="53"/>
      <c r="I105" s="53"/>
      <c r="J105" s="66"/>
      <c r="K105" s="66"/>
      <c r="L105" s="3"/>
    </row>
    <row r="106" spans="1:14" ht="19.5" customHeight="1">
      <c r="A106" s="175">
        <v>3</v>
      </c>
      <c r="B106" s="52" t="s">
        <v>496</v>
      </c>
      <c r="C106" s="1" t="s">
        <v>497</v>
      </c>
      <c r="D106" s="53"/>
      <c r="E106" s="53"/>
      <c r="F106" s="53"/>
      <c r="G106" s="53"/>
      <c r="H106" s="53"/>
      <c r="I106" s="53"/>
      <c r="J106" s="66"/>
      <c r="K106" s="66"/>
      <c r="L106" s="3"/>
    </row>
    <row r="107" spans="1:14" ht="17.25" customHeight="1">
      <c r="A107" s="32">
        <v>4</v>
      </c>
      <c r="B107" s="35" t="s">
        <v>30</v>
      </c>
      <c r="C107" s="32" t="s">
        <v>37</v>
      </c>
      <c r="D107" s="22">
        <v>1646</v>
      </c>
      <c r="E107" s="22">
        <f>D107+E108</f>
        <v>1675</v>
      </c>
      <c r="F107" s="22">
        <v>1703</v>
      </c>
      <c r="G107" s="22">
        <f>E107+G108</f>
        <v>1710</v>
      </c>
      <c r="H107" s="22">
        <f>G107</f>
        <v>1710</v>
      </c>
      <c r="I107" s="22">
        <f>G107</f>
        <v>1710</v>
      </c>
      <c r="J107" s="58">
        <f t="shared" ref="J107:J119" si="38">IFERROR(I107/F107%,"")</f>
        <v>100.41103934233705</v>
      </c>
      <c r="K107" s="58">
        <f t="shared" ref="K107:K119" si="39">IFERROR(I107/G107%,"")</f>
        <v>99.999999999999986</v>
      </c>
      <c r="L107" s="3"/>
      <c r="M107" s="81"/>
    </row>
    <row r="108" spans="1:14" ht="17.25" customHeight="1">
      <c r="A108" s="32"/>
      <c r="B108" s="35" t="s">
        <v>123</v>
      </c>
      <c r="C108" s="32" t="s">
        <v>37</v>
      </c>
      <c r="D108" s="22">
        <v>57.2</v>
      </c>
      <c r="E108" s="22">
        <v>29</v>
      </c>
      <c r="F108" s="22">
        <v>35</v>
      </c>
      <c r="G108" s="22">
        <v>35</v>
      </c>
      <c r="H108" s="22">
        <f>G108</f>
        <v>35</v>
      </c>
      <c r="I108" s="22">
        <f>G108</f>
        <v>35</v>
      </c>
      <c r="J108" s="58">
        <f t="shared" si="38"/>
        <v>100</v>
      </c>
      <c r="K108" s="58">
        <f t="shared" si="39"/>
        <v>100</v>
      </c>
      <c r="L108" s="3"/>
    </row>
    <row r="109" spans="1:14" s="18" customFormat="1" ht="21.75" customHeight="1">
      <c r="A109" s="106" t="s">
        <v>176</v>
      </c>
      <c r="B109" s="124" t="s">
        <v>183</v>
      </c>
      <c r="C109" s="106"/>
      <c r="D109" s="125"/>
      <c r="E109" s="125"/>
      <c r="F109" s="125"/>
      <c r="G109" s="125"/>
      <c r="H109" s="125"/>
      <c r="I109" s="125"/>
      <c r="J109" s="110" t="str">
        <f t="shared" si="38"/>
        <v/>
      </c>
      <c r="K109" s="110" t="str">
        <f t="shared" si="39"/>
        <v/>
      </c>
      <c r="L109" s="110"/>
    </row>
    <row r="110" spans="1:14" s="18" customFormat="1" ht="22.5" customHeight="1">
      <c r="A110" s="11">
        <v>1</v>
      </c>
      <c r="B110" s="54" t="s">
        <v>449</v>
      </c>
      <c r="C110" s="11" t="s">
        <v>331</v>
      </c>
      <c r="D110" s="27">
        <v>676693</v>
      </c>
      <c r="E110" s="27">
        <v>708000</v>
      </c>
      <c r="F110" s="27">
        <v>318820</v>
      </c>
      <c r="G110" s="27">
        <v>722000</v>
      </c>
      <c r="H110" s="27">
        <v>190200</v>
      </c>
      <c r="I110" s="27">
        <v>350000</v>
      </c>
      <c r="J110" s="66">
        <f t="shared" si="38"/>
        <v>109.7798130606612</v>
      </c>
      <c r="K110" s="66">
        <f t="shared" si="39"/>
        <v>48.476454293628812</v>
      </c>
      <c r="L110" s="83"/>
      <c r="N110" s="179"/>
    </row>
    <row r="111" spans="1:14" s="18" customFormat="1" ht="20.25" customHeight="1">
      <c r="A111" s="11">
        <v>2</v>
      </c>
      <c r="B111" s="15" t="s">
        <v>333</v>
      </c>
      <c r="C111" s="11"/>
      <c r="D111" s="149"/>
      <c r="E111" s="149"/>
      <c r="F111" s="149"/>
      <c r="G111" s="149"/>
      <c r="H111" s="149"/>
      <c r="I111" s="149"/>
      <c r="J111" s="66" t="str">
        <f t="shared" si="38"/>
        <v/>
      </c>
      <c r="K111" s="66" t="str">
        <f t="shared" si="39"/>
        <v/>
      </c>
      <c r="L111" s="83"/>
    </row>
    <row r="112" spans="1:14" ht="20.25" customHeight="1">
      <c r="A112" s="32"/>
      <c r="B112" s="20" t="s">
        <v>334</v>
      </c>
      <c r="C112" s="32" t="s">
        <v>65</v>
      </c>
      <c r="D112" s="29">
        <v>40</v>
      </c>
      <c r="E112" s="29">
        <v>42</v>
      </c>
      <c r="F112" s="29">
        <v>9</v>
      </c>
      <c r="G112" s="29">
        <v>40</v>
      </c>
      <c r="H112" s="29">
        <v>12</v>
      </c>
      <c r="I112" s="29">
        <v>24</v>
      </c>
      <c r="J112" s="58">
        <f t="shared" si="38"/>
        <v>266.66666666666669</v>
      </c>
      <c r="K112" s="58">
        <f t="shared" si="39"/>
        <v>60</v>
      </c>
      <c r="L112" s="3"/>
    </row>
    <row r="113" spans="1:14" ht="20.25" customHeight="1">
      <c r="A113" s="32"/>
      <c r="B113" s="20" t="s">
        <v>340</v>
      </c>
      <c r="C113" s="32" t="s">
        <v>65</v>
      </c>
      <c r="D113" s="29">
        <v>35</v>
      </c>
      <c r="E113" s="29">
        <v>30</v>
      </c>
      <c r="F113" s="29">
        <v>9</v>
      </c>
      <c r="G113" s="29">
        <v>40</v>
      </c>
      <c r="H113" s="29">
        <v>9</v>
      </c>
      <c r="I113" s="29">
        <v>20</v>
      </c>
      <c r="J113" s="58">
        <f t="shared" si="38"/>
        <v>222.22222222222223</v>
      </c>
      <c r="K113" s="58">
        <f t="shared" si="39"/>
        <v>50</v>
      </c>
      <c r="L113" s="3"/>
    </row>
    <row r="114" spans="1:14" ht="20.25" customHeight="1">
      <c r="A114" s="32"/>
      <c r="B114" s="20" t="s">
        <v>335</v>
      </c>
      <c r="C114" s="32" t="s">
        <v>76</v>
      </c>
      <c r="D114" s="29">
        <v>57219</v>
      </c>
      <c r="E114" s="29">
        <v>60000</v>
      </c>
      <c r="F114" s="29">
        <v>20000</v>
      </c>
      <c r="G114" s="29">
        <v>55000</v>
      </c>
      <c r="H114" s="29">
        <v>9000</v>
      </c>
      <c r="I114" s="29">
        <v>25000</v>
      </c>
      <c r="J114" s="58">
        <f t="shared" si="38"/>
        <v>125</v>
      </c>
      <c r="K114" s="58">
        <f t="shared" si="39"/>
        <v>45.454545454545453</v>
      </c>
      <c r="L114" s="3"/>
    </row>
    <row r="115" spans="1:14" ht="20.25" customHeight="1">
      <c r="A115" s="32"/>
      <c r="B115" s="20" t="s">
        <v>336</v>
      </c>
      <c r="C115" s="32" t="s">
        <v>76</v>
      </c>
      <c r="D115" s="29">
        <v>12363</v>
      </c>
      <c r="E115" s="29">
        <v>13000</v>
      </c>
      <c r="F115" s="29">
        <v>3200</v>
      </c>
      <c r="G115" s="29">
        <v>12000</v>
      </c>
      <c r="H115" s="137">
        <v>5400</v>
      </c>
      <c r="I115" s="29">
        <v>6000</v>
      </c>
      <c r="J115" s="58">
        <f t="shared" si="38"/>
        <v>187.5</v>
      </c>
      <c r="K115" s="58">
        <f t="shared" si="39"/>
        <v>50</v>
      </c>
      <c r="L115" s="3"/>
    </row>
    <row r="116" spans="1:14" ht="20.25" customHeight="1">
      <c r="A116" s="32"/>
      <c r="B116" s="20" t="s">
        <v>337</v>
      </c>
      <c r="C116" s="32" t="s">
        <v>466</v>
      </c>
      <c r="D116" s="29">
        <v>39713</v>
      </c>
      <c r="E116" s="29">
        <v>41000</v>
      </c>
      <c r="F116" s="29"/>
      <c r="G116" s="29">
        <v>60000</v>
      </c>
      <c r="H116" s="137">
        <v>5350</v>
      </c>
      <c r="I116" s="29">
        <v>30000</v>
      </c>
      <c r="J116" s="58" t="str">
        <f t="shared" si="38"/>
        <v/>
      </c>
      <c r="K116" s="58">
        <f t="shared" si="39"/>
        <v>50</v>
      </c>
      <c r="L116" s="3"/>
    </row>
    <row r="117" spans="1:14" ht="20.25" customHeight="1">
      <c r="A117" s="32"/>
      <c r="B117" s="20" t="s">
        <v>338</v>
      </c>
      <c r="C117" s="32" t="s">
        <v>466</v>
      </c>
      <c r="D117" s="29">
        <v>34500</v>
      </c>
      <c r="E117" s="29">
        <v>35000</v>
      </c>
      <c r="F117" s="29"/>
      <c r="G117" s="29">
        <v>54000</v>
      </c>
      <c r="H117" s="29"/>
      <c r="I117" s="29"/>
      <c r="J117" s="58" t="str">
        <f t="shared" si="38"/>
        <v/>
      </c>
      <c r="K117" s="58">
        <f t="shared" si="39"/>
        <v>0</v>
      </c>
      <c r="L117" s="3"/>
    </row>
    <row r="118" spans="1:14" s="18" customFormat="1">
      <c r="A118" s="106" t="s">
        <v>182</v>
      </c>
      <c r="B118" s="126" t="s">
        <v>450</v>
      </c>
      <c r="C118" s="106"/>
      <c r="D118" s="127"/>
      <c r="E118" s="127"/>
      <c r="F118" s="127"/>
      <c r="G118" s="127"/>
      <c r="H118" s="127"/>
      <c r="I118" s="127"/>
      <c r="J118" s="110" t="str">
        <f t="shared" si="38"/>
        <v/>
      </c>
      <c r="K118" s="110" t="str">
        <f t="shared" si="39"/>
        <v/>
      </c>
      <c r="L118" s="110"/>
    </row>
    <row r="119" spans="1:14" ht="22.5" customHeight="1">
      <c r="A119" s="32">
        <v>1</v>
      </c>
      <c r="B119" s="20" t="s">
        <v>184</v>
      </c>
      <c r="C119" s="32" t="s">
        <v>331</v>
      </c>
      <c r="D119" s="29">
        <v>560310</v>
      </c>
      <c r="E119" s="29">
        <v>595000</v>
      </c>
      <c r="F119" s="29">
        <v>260000</v>
      </c>
      <c r="G119" s="29">
        <v>696000</v>
      </c>
      <c r="H119" s="29">
        <v>149000</v>
      </c>
      <c r="I119" s="29">
        <v>300000</v>
      </c>
      <c r="J119" s="58">
        <f t="shared" si="38"/>
        <v>115.38461538461539</v>
      </c>
      <c r="K119" s="58">
        <f t="shared" si="39"/>
        <v>43.103448275862071</v>
      </c>
      <c r="L119" s="3"/>
    </row>
    <row r="120" spans="1:14" s="18" customFormat="1" ht="22.5" hidden="1" customHeight="1" outlineLevel="1">
      <c r="A120" s="11">
        <v>2</v>
      </c>
      <c r="B120" s="168" t="s">
        <v>489</v>
      </c>
      <c r="C120" s="1"/>
      <c r="D120" s="27"/>
      <c r="E120" s="27"/>
      <c r="F120" s="27"/>
      <c r="G120" s="27"/>
      <c r="H120" s="27"/>
      <c r="I120" s="27"/>
      <c r="J120" s="66"/>
      <c r="K120" s="66"/>
      <c r="L120" s="83"/>
    </row>
    <row r="121" spans="1:14" ht="22.5" hidden="1" customHeight="1" outlineLevel="1">
      <c r="A121" s="32"/>
      <c r="B121" s="170" t="s">
        <v>490</v>
      </c>
      <c r="C121" s="1" t="s">
        <v>494</v>
      </c>
      <c r="D121" s="29"/>
      <c r="E121" s="29"/>
      <c r="F121" s="29"/>
      <c r="G121" s="29"/>
      <c r="H121" s="29"/>
      <c r="I121" s="29"/>
      <c r="J121" s="58" t="str">
        <f>IFERROR(I121/F121%,"")</f>
        <v/>
      </c>
      <c r="K121" s="58" t="str">
        <f>IFERROR(I121/G121%,"")</f>
        <v/>
      </c>
      <c r="L121" s="3"/>
    </row>
    <row r="122" spans="1:14" ht="22.5" hidden="1" customHeight="1" outlineLevel="1">
      <c r="A122" s="32"/>
      <c r="B122" s="170" t="s">
        <v>491</v>
      </c>
      <c r="C122" s="1" t="s">
        <v>49</v>
      </c>
      <c r="D122" s="29"/>
      <c r="E122" s="29"/>
      <c r="F122" s="29"/>
      <c r="G122" s="29"/>
      <c r="H122" s="29"/>
      <c r="I122" s="29"/>
      <c r="J122" s="58" t="str">
        <f>IFERROR(I122/F122%,"")</f>
        <v/>
      </c>
      <c r="K122" s="58" t="str">
        <f>IFERROR(I122/G122%,"")</f>
        <v/>
      </c>
      <c r="L122" s="3"/>
    </row>
    <row r="123" spans="1:14" ht="22.5" hidden="1" customHeight="1" outlineLevel="1">
      <c r="A123" s="32"/>
      <c r="B123" s="170" t="s">
        <v>492</v>
      </c>
      <c r="C123" s="1" t="s">
        <v>331</v>
      </c>
      <c r="D123" s="29"/>
      <c r="E123" s="29"/>
      <c r="F123" s="29"/>
      <c r="G123" s="29"/>
      <c r="H123" s="29"/>
      <c r="I123" s="29"/>
      <c r="J123" s="58" t="str">
        <f>IFERROR(I123/F123%,"")</f>
        <v/>
      </c>
      <c r="K123" s="58" t="str">
        <f>IFERROR(I123/G123%,"")</f>
        <v/>
      </c>
      <c r="L123" s="3"/>
    </row>
    <row r="124" spans="1:14" ht="22.5" hidden="1" customHeight="1" outlineLevel="1">
      <c r="A124" s="32"/>
      <c r="B124" s="170" t="s">
        <v>493</v>
      </c>
      <c r="C124" s="1" t="s">
        <v>33</v>
      </c>
      <c r="D124" s="29"/>
      <c r="E124" s="29"/>
      <c r="F124" s="29"/>
      <c r="G124" s="29"/>
      <c r="H124" s="29"/>
      <c r="I124" s="29"/>
      <c r="J124" s="58" t="str">
        <f>IFERROR(I124/F124%,"")</f>
        <v/>
      </c>
      <c r="K124" s="58" t="str">
        <f>IFERROR(I124/G124%,"")</f>
        <v/>
      </c>
      <c r="L124" s="3"/>
    </row>
    <row r="125" spans="1:14" ht="22.5" customHeight="1" collapsed="1">
      <c r="A125" s="100"/>
      <c r="B125" s="122" t="s">
        <v>454</v>
      </c>
      <c r="C125" s="100"/>
      <c r="D125" s="102"/>
      <c r="E125" s="102"/>
      <c r="F125" s="102"/>
      <c r="G125" s="102"/>
      <c r="H125" s="102"/>
      <c r="I125" s="102"/>
      <c r="J125" s="123" t="str">
        <f t="shared" ref="J125:J137" si="40">IFERROR(I125/F125%,"")</f>
        <v/>
      </c>
      <c r="K125" s="123" t="str">
        <f t="shared" ref="K125:K137" si="41">IFERROR(I125/G125%,"")</f>
        <v/>
      </c>
      <c r="L125" s="3"/>
    </row>
    <row r="126" spans="1:14" s="18" customFormat="1" ht="22.5" customHeight="1">
      <c r="A126" s="106" t="s">
        <v>38</v>
      </c>
      <c r="B126" s="126" t="s">
        <v>352</v>
      </c>
      <c r="C126" s="106"/>
      <c r="D126" s="125"/>
      <c r="E126" s="125"/>
      <c r="F126" s="125"/>
      <c r="G126" s="125"/>
      <c r="H126" s="125"/>
      <c r="I126" s="125"/>
      <c r="J126" s="110" t="str">
        <f t="shared" si="40"/>
        <v/>
      </c>
      <c r="K126" s="110" t="str">
        <f t="shared" si="41"/>
        <v/>
      </c>
      <c r="L126" s="130"/>
    </row>
    <row r="127" spans="1:14" s="104" customFormat="1" ht="22.5" hidden="1" customHeight="1" outlineLevel="1">
      <c r="A127" s="100">
        <v>1</v>
      </c>
      <c r="B127" s="101" t="s">
        <v>353</v>
      </c>
      <c r="C127" s="100" t="s">
        <v>62</v>
      </c>
      <c r="D127" s="155">
        <v>10520</v>
      </c>
      <c r="E127" s="155">
        <f>D128</f>
        <v>10685</v>
      </c>
      <c r="F127" s="155"/>
      <c r="G127" s="155">
        <f>E128</f>
        <v>11120</v>
      </c>
      <c r="H127" s="155"/>
      <c r="I127" s="155"/>
      <c r="J127" s="123" t="str">
        <f t="shared" si="40"/>
        <v/>
      </c>
      <c r="K127" s="123">
        <f t="shared" si="41"/>
        <v>0</v>
      </c>
      <c r="L127" s="129"/>
      <c r="N127" s="156"/>
    </row>
    <row r="128" spans="1:14" s="104" customFormat="1" ht="22.5" hidden="1" customHeight="1" outlineLevel="1">
      <c r="A128" s="100">
        <v>2</v>
      </c>
      <c r="B128" s="101" t="s">
        <v>207</v>
      </c>
      <c r="C128" s="100" t="s">
        <v>62</v>
      </c>
      <c r="D128" s="155">
        <v>10685</v>
      </c>
      <c r="E128" s="155">
        <v>11120</v>
      </c>
      <c r="F128" s="155"/>
      <c r="G128" s="155">
        <v>11380</v>
      </c>
      <c r="H128" s="155"/>
      <c r="I128" s="155"/>
      <c r="J128" s="123" t="str">
        <f t="shared" si="40"/>
        <v/>
      </c>
      <c r="K128" s="123">
        <f t="shared" si="41"/>
        <v>0</v>
      </c>
      <c r="L128" s="129"/>
      <c r="M128" s="156"/>
    </row>
    <row r="129" spans="1:12" ht="22.5" customHeight="1" collapsed="1">
      <c r="A129" s="32">
        <v>1</v>
      </c>
      <c r="B129" s="20" t="s">
        <v>131</v>
      </c>
      <c r="C129" s="32" t="s">
        <v>73</v>
      </c>
      <c r="D129" s="29">
        <v>44006</v>
      </c>
      <c r="E129" s="29">
        <f>D130</f>
        <v>45290</v>
      </c>
      <c r="F129" s="29"/>
      <c r="G129" s="29">
        <f>E130</f>
        <v>46404</v>
      </c>
      <c r="H129" s="29"/>
      <c r="I129" s="29"/>
      <c r="J129" s="58" t="str">
        <f t="shared" si="40"/>
        <v/>
      </c>
      <c r="K129" s="58">
        <f t="shared" si="41"/>
        <v>0</v>
      </c>
      <c r="L129" s="3"/>
    </row>
    <row r="130" spans="1:12" ht="22.5" customHeight="1">
      <c r="A130" s="32">
        <v>2</v>
      </c>
      <c r="B130" s="20" t="s">
        <v>132</v>
      </c>
      <c r="C130" s="32" t="s">
        <v>73</v>
      </c>
      <c r="D130" s="29">
        <v>45290</v>
      </c>
      <c r="E130" s="29">
        <v>46404</v>
      </c>
      <c r="F130" s="29"/>
      <c r="G130" s="29">
        <v>47500</v>
      </c>
      <c r="H130" s="29"/>
      <c r="I130" s="29"/>
      <c r="J130" s="58" t="str">
        <f t="shared" si="40"/>
        <v/>
      </c>
      <c r="K130" s="58">
        <f t="shared" si="41"/>
        <v>0</v>
      </c>
      <c r="L130" s="3"/>
    </row>
    <row r="131" spans="1:12" ht="22.5" customHeight="1">
      <c r="A131" s="32">
        <v>3</v>
      </c>
      <c r="B131" s="20" t="s">
        <v>339</v>
      </c>
      <c r="C131" s="32" t="s">
        <v>73</v>
      </c>
      <c r="D131" s="29">
        <f>(D129+D130)/2</f>
        <v>44648</v>
      </c>
      <c r="E131" s="29">
        <f>(E129+E130)/2</f>
        <v>45847</v>
      </c>
      <c r="F131" s="29"/>
      <c r="G131" s="29">
        <f>(G129+G130)/2</f>
        <v>46952</v>
      </c>
      <c r="H131" s="29"/>
      <c r="I131" s="29"/>
      <c r="J131" s="58" t="str">
        <f t="shared" si="40"/>
        <v/>
      </c>
      <c r="K131" s="58">
        <f t="shared" si="41"/>
        <v>0</v>
      </c>
      <c r="L131" s="3"/>
    </row>
    <row r="132" spans="1:12" ht="22.5" customHeight="1">
      <c r="A132" s="32">
        <v>4</v>
      </c>
      <c r="B132" s="48" t="s">
        <v>392</v>
      </c>
      <c r="C132" s="21" t="s">
        <v>170</v>
      </c>
      <c r="D132" s="74">
        <v>22.62</v>
      </c>
      <c r="E132" s="74">
        <v>22.92</v>
      </c>
      <c r="F132" s="74"/>
      <c r="G132" s="74">
        <v>22</v>
      </c>
      <c r="H132" s="74"/>
      <c r="I132" s="74"/>
      <c r="J132" s="66" t="str">
        <f t="shared" si="40"/>
        <v/>
      </c>
      <c r="K132" s="66">
        <f t="shared" si="41"/>
        <v>0</v>
      </c>
      <c r="L132" s="3"/>
    </row>
    <row r="133" spans="1:12" s="18" customFormat="1" ht="21" customHeight="1">
      <c r="A133" s="106" t="s">
        <v>39</v>
      </c>
      <c r="B133" s="126" t="s">
        <v>163</v>
      </c>
      <c r="C133" s="106"/>
      <c r="D133" s="131"/>
      <c r="E133" s="131"/>
      <c r="F133" s="131"/>
      <c r="G133" s="131"/>
      <c r="H133" s="131"/>
      <c r="I133" s="131"/>
      <c r="J133" s="110" t="str">
        <f t="shared" si="40"/>
        <v/>
      </c>
      <c r="K133" s="110" t="str">
        <f t="shared" si="41"/>
        <v/>
      </c>
      <c r="L133" s="130"/>
    </row>
    <row r="134" spans="1:12" ht="21" customHeight="1">
      <c r="A134" s="32">
        <v>1</v>
      </c>
      <c r="B134" s="20" t="s">
        <v>393</v>
      </c>
      <c r="C134" s="32" t="s">
        <v>33</v>
      </c>
      <c r="D134" s="58">
        <v>42.86</v>
      </c>
      <c r="E134" s="58">
        <v>43</v>
      </c>
      <c r="F134" s="58"/>
      <c r="G134" s="58">
        <v>44</v>
      </c>
      <c r="H134" s="58"/>
      <c r="I134" s="58"/>
      <c r="J134" s="58" t="str">
        <f t="shared" si="40"/>
        <v/>
      </c>
      <c r="K134" s="58">
        <f t="shared" si="41"/>
        <v>0</v>
      </c>
      <c r="L134" s="3"/>
    </row>
    <row r="135" spans="1:12" ht="27.75" customHeight="1">
      <c r="A135" s="32"/>
      <c r="B135" s="20" t="s">
        <v>394</v>
      </c>
      <c r="C135" s="32" t="s">
        <v>33</v>
      </c>
      <c r="D135" s="58">
        <v>32</v>
      </c>
      <c r="E135" s="58">
        <v>35</v>
      </c>
      <c r="F135" s="58"/>
      <c r="G135" s="58">
        <v>36</v>
      </c>
      <c r="H135" s="58"/>
      <c r="I135" s="58"/>
      <c r="J135" s="58" t="str">
        <f t="shared" si="40"/>
        <v/>
      </c>
      <c r="K135" s="58">
        <f t="shared" si="41"/>
        <v>0</v>
      </c>
      <c r="L135" s="3"/>
    </row>
    <row r="136" spans="1:12" ht="47.25">
      <c r="A136" s="32">
        <v>2</v>
      </c>
      <c r="B136" s="20" t="s">
        <v>357</v>
      </c>
      <c r="C136" s="32" t="s">
        <v>120</v>
      </c>
      <c r="D136" s="59">
        <f>174+50</f>
        <v>224</v>
      </c>
      <c r="E136" s="59">
        <v>175</v>
      </c>
      <c r="F136" s="59">
        <v>175</v>
      </c>
      <c r="G136" s="59">
        <v>250</v>
      </c>
      <c r="H136" s="59">
        <v>168</v>
      </c>
      <c r="I136" s="59">
        <v>200</v>
      </c>
      <c r="J136" s="58">
        <f t="shared" si="40"/>
        <v>114.28571428571429</v>
      </c>
      <c r="K136" s="58">
        <f t="shared" si="41"/>
        <v>80</v>
      </c>
      <c r="L136" s="3"/>
    </row>
    <row r="137" spans="1:12" ht="32.25" customHeight="1">
      <c r="A137" s="32"/>
      <c r="B137" s="20" t="s">
        <v>396</v>
      </c>
      <c r="C137" s="32" t="s">
        <v>397</v>
      </c>
      <c r="D137" s="20">
        <v>111</v>
      </c>
      <c r="E137" s="20">
        <v>115</v>
      </c>
      <c r="F137" s="20">
        <v>115</v>
      </c>
      <c r="G137" s="20">
        <v>120</v>
      </c>
      <c r="H137" s="20">
        <v>115</v>
      </c>
      <c r="I137" s="20">
        <v>115</v>
      </c>
      <c r="J137" s="58">
        <f t="shared" si="40"/>
        <v>100.00000000000001</v>
      </c>
      <c r="K137" s="58">
        <f t="shared" si="41"/>
        <v>95.833333333333343</v>
      </c>
      <c r="L137" s="3"/>
    </row>
    <row r="138" spans="1:12" s="42" customFormat="1" ht="36" customHeight="1">
      <c r="A138" s="32">
        <v>3</v>
      </c>
      <c r="B138" s="169" t="s">
        <v>486</v>
      </c>
      <c r="C138" s="32" t="s">
        <v>397</v>
      </c>
      <c r="D138" s="62"/>
      <c r="E138" s="62"/>
      <c r="F138" s="20">
        <v>149</v>
      </c>
      <c r="G138" s="20">
        <v>120</v>
      </c>
      <c r="H138" s="20">
        <v>37</v>
      </c>
      <c r="I138" s="20">
        <v>37</v>
      </c>
      <c r="J138" s="58">
        <f>IFERROR(I138/F138%,"")</f>
        <v>24.832214765100673</v>
      </c>
      <c r="K138" s="58">
        <f>IFERROR(I138/G138%,"")</f>
        <v>30.833333333333336</v>
      </c>
      <c r="L138" s="84"/>
    </row>
    <row r="139" spans="1:12" s="42" customFormat="1" ht="24.75" customHeight="1">
      <c r="A139" s="32">
        <v>4</v>
      </c>
      <c r="B139" s="169" t="s">
        <v>487</v>
      </c>
      <c r="C139" s="32" t="s">
        <v>397</v>
      </c>
      <c r="D139" s="62"/>
      <c r="E139" s="62"/>
      <c r="F139" s="20">
        <v>71</v>
      </c>
      <c r="G139" s="20">
        <v>15</v>
      </c>
      <c r="H139" s="20"/>
      <c r="I139" s="20">
        <v>20</v>
      </c>
      <c r="J139" s="58">
        <f>IFERROR(I139/F139%,"")</f>
        <v>28.169014084507044</v>
      </c>
      <c r="K139" s="58">
        <f>IFERROR(I139/G139%,"")</f>
        <v>133.33333333333334</v>
      </c>
      <c r="L139" s="84"/>
    </row>
    <row r="140" spans="1:12" s="42" customFormat="1" ht="23.25" customHeight="1">
      <c r="A140" s="167" t="s">
        <v>47</v>
      </c>
      <c r="B140" s="168" t="s">
        <v>482</v>
      </c>
      <c r="C140" s="1"/>
      <c r="D140" s="62"/>
      <c r="E140" s="62"/>
      <c r="F140" s="62"/>
      <c r="G140" s="62"/>
      <c r="H140" s="62"/>
      <c r="I140" s="62"/>
      <c r="J140" s="160"/>
      <c r="K140" s="160"/>
      <c r="L140" s="84"/>
    </row>
    <row r="141" spans="1:12" s="42" customFormat="1" ht="31.5">
      <c r="A141" s="1" t="s">
        <v>155</v>
      </c>
      <c r="B141" s="52" t="s">
        <v>483</v>
      </c>
      <c r="C141" s="1" t="s">
        <v>485</v>
      </c>
      <c r="D141" s="62"/>
      <c r="E141" s="62"/>
      <c r="F141" s="20">
        <v>9</v>
      </c>
      <c r="G141" s="20">
        <v>9</v>
      </c>
      <c r="H141" s="20">
        <v>9</v>
      </c>
      <c r="I141" s="20">
        <v>9</v>
      </c>
      <c r="J141" s="58">
        <f>IFERROR(I141/F141%,"")</f>
        <v>100</v>
      </c>
      <c r="K141" s="58">
        <f>IFERROR(I141/G141%,"")</f>
        <v>100</v>
      </c>
      <c r="L141" s="84"/>
    </row>
    <row r="142" spans="1:12" s="42" customFormat="1" ht="32.25" customHeight="1">
      <c r="A142" s="1" t="s">
        <v>155</v>
      </c>
      <c r="B142" s="52" t="s">
        <v>484</v>
      </c>
      <c r="C142" s="1" t="s">
        <v>33</v>
      </c>
      <c r="D142" s="62"/>
      <c r="E142" s="62"/>
      <c r="F142" s="20">
        <v>100</v>
      </c>
      <c r="G142" s="20">
        <v>100</v>
      </c>
      <c r="H142" s="20">
        <v>100</v>
      </c>
      <c r="I142" s="20">
        <v>100</v>
      </c>
      <c r="J142" s="58">
        <f>IFERROR(I142/F142%,"")</f>
        <v>100</v>
      </c>
      <c r="K142" s="58">
        <f>IFERROR(I142/G142%,"")</f>
        <v>100</v>
      </c>
      <c r="L142" s="84"/>
    </row>
    <row r="143" spans="1:12" ht="21" customHeight="1">
      <c r="A143" s="106" t="s">
        <v>48</v>
      </c>
      <c r="B143" s="126" t="s">
        <v>288</v>
      </c>
      <c r="C143" s="132"/>
      <c r="D143" s="133"/>
      <c r="E143" s="133"/>
      <c r="F143" s="133"/>
      <c r="G143" s="133"/>
      <c r="H143" s="133"/>
      <c r="I143" s="133"/>
      <c r="J143" s="110" t="str">
        <f t="shared" ref="J143:J191" si="42">IFERROR(I143/F143%,"")</f>
        <v/>
      </c>
      <c r="K143" s="110" t="str">
        <f t="shared" ref="K143:K191" si="43">IFERROR(I143/G143%,"")</f>
        <v/>
      </c>
      <c r="L143" s="134"/>
    </row>
    <row r="144" spans="1:12" ht="37.5" customHeight="1">
      <c r="A144" s="60">
        <v>1</v>
      </c>
      <c r="B144" s="61" t="s">
        <v>355</v>
      </c>
      <c r="C144" s="32" t="s">
        <v>33</v>
      </c>
      <c r="D144" s="67" t="s">
        <v>358</v>
      </c>
      <c r="E144" s="88">
        <f>D145-E145</f>
        <v>3.1799999999999997</v>
      </c>
      <c r="F144" s="88"/>
      <c r="G144" s="67" t="s">
        <v>388</v>
      </c>
      <c r="H144" s="88" t="s">
        <v>388</v>
      </c>
      <c r="I144" s="88" t="s">
        <v>388</v>
      </c>
      <c r="J144" s="66" t="str">
        <f t="shared" si="42"/>
        <v/>
      </c>
      <c r="K144" s="66" t="str">
        <f t="shared" si="43"/>
        <v/>
      </c>
      <c r="L144" s="3"/>
    </row>
    <row r="145" spans="1:13" ht="25.5" customHeight="1">
      <c r="A145" s="60">
        <v>2</v>
      </c>
      <c r="B145" s="61" t="s">
        <v>395</v>
      </c>
      <c r="C145" s="32" t="s">
        <v>33</v>
      </c>
      <c r="D145" s="80">
        <v>17.32</v>
      </c>
      <c r="E145" s="80">
        <v>14.14</v>
      </c>
      <c r="F145" s="80">
        <v>17.32</v>
      </c>
      <c r="G145" s="80">
        <f>E145-3</f>
        <v>11.14</v>
      </c>
      <c r="H145" s="80">
        <v>11.14</v>
      </c>
      <c r="I145" s="80">
        <v>11.14</v>
      </c>
      <c r="J145" s="58">
        <f t="shared" si="42"/>
        <v>64.318706697459589</v>
      </c>
      <c r="K145" s="58">
        <f t="shared" si="43"/>
        <v>100</v>
      </c>
      <c r="L145" s="3"/>
      <c r="M145" s="89"/>
    </row>
    <row r="146" spans="1:13" s="18" customFormat="1" ht="20.25" customHeight="1">
      <c r="A146" s="106" t="s">
        <v>50</v>
      </c>
      <c r="B146" s="126" t="s">
        <v>6</v>
      </c>
      <c r="C146" s="106"/>
      <c r="D146" s="125"/>
      <c r="E146" s="125"/>
      <c r="F146" s="125"/>
      <c r="G146" s="125"/>
      <c r="H146" s="125"/>
      <c r="I146" s="125"/>
      <c r="J146" s="110" t="str">
        <f t="shared" si="42"/>
        <v/>
      </c>
      <c r="K146" s="110" t="str">
        <f t="shared" si="43"/>
        <v/>
      </c>
      <c r="L146" s="130"/>
    </row>
    <row r="147" spans="1:13" s="18" customFormat="1" ht="31.5" customHeight="1">
      <c r="A147" s="11">
        <v>1</v>
      </c>
      <c r="B147" s="15" t="s">
        <v>488</v>
      </c>
      <c r="C147" s="11" t="s">
        <v>8</v>
      </c>
      <c r="D147" s="27">
        <f>SUM(D148:D154)</f>
        <v>13999</v>
      </c>
      <c r="E147" s="27">
        <f>SUM(E148:E154)</f>
        <v>14102</v>
      </c>
      <c r="F147" s="27">
        <f>F148+F152+F153+F154</f>
        <v>14397</v>
      </c>
      <c r="G147" s="27">
        <f>G148+G152+G153+G154</f>
        <v>14530</v>
      </c>
      <c r="H147" s="27">
        <f>H148+H152+H153+H154</f>
        <v>14538</v>
      </c>
      <c r="I147" s="27">
        <f>I148+I152+I153+I154</f>
        <v>14547</v>
      </c>
      <c r="J147" s="66">
        <f t="shared" si="42"/>
        <v>101.0418837257762</v>
      </c>
      <c r="K147" s="66">
        <f t="shared" si="43"/>
        <v>100.11699931176875</v>
      </c>
      <c r="L147" s="83"/>
    </row>
    <row r="148" spans="1:13" ht="21" customHeight="1">
      <c r="A148" s="32"/>
      <c r="B148" s="20" t="s">
        <v>188</v>
      </c>
      <c r="C148" s="32" t="s">
        <v>8</v>
      </c>
      <c r="D148" s="90">
        <v>4325</v>
      </c>
      <c r="E148" s="90">
        <v>4401</v>
      </c>
      <c r="F148" s="90">
        <f>F149+F151</f>
        <v>4458</v>
      </c>
      <c r="G148" s="90">
        <f>G149+G151</f>
        <v>4430</v>
      </c>
      <c r="H148" s="90">
        <f>H149+H151</f>
        <v>4482</v>
      </c>
      <c r="I148" s="90">
        <f>I149+I151</f>
        <v>4490</v>
      </c>
      <c r="J148" s="58">
        <f t="shared" si="42"/>
        <v>100.71781067743383</v>
      </c>
      <c r="K148" s="58">
        <f t="shared" si="43"/>
        <v>101.35440180586909</v>
      </c>
      <c r="L148" s="3"/>
      <c r="M148" s="81"/>
    </row>
    <row r="149" spans="1:13" s="42" customFormat="1" ht="21" customHeight="1" outlineLevel="1">
      <c r="A149" s="39"/>
      <c r="B149" s="62" t="s">
        <v>399</v>
      </c>
      <c r="C149" s="32" t="s">
        <v>12</v>
      </c>
      <c r="D149" s="91"/>
      <c r="E149" s="91"/>
      <c r="F149" s="91">
        <v>473</v>
      </c>
      <c r="G149" s="91">
        <v>450</v>
      </c>
      <c r="H149" s="91">
        <v>518</v>
      </c>
      <c r="I149" s="91">
        <v>526</v>
      </c>
      <c r="J149" s="58">
        <f t="shared" si="42"/>
        <v>111.20507399577166</v>
      </c>
      <c r="K149" s="58">
        <f t="shared" si="43"/>
        <v>116.88888888888889</v>
      </c>
      <c r="L149" s="84"/>
      <c r="M149" s="82"/>
    </row>
    <row r="150" spans="1:13" s="42" customFormat="1" ht="21" customHeight="1" outlineLevel="1">
      <c r="A150" s="39"/>
      <c r="B150" s="62" t="s">
        <v>425</v>
      </c>
      <c r="C150" s="32" t="s">
        <v>12</v>
      </c>
      <c r="D150" s="91"/>
      <c r="E150" s="91"/>
      <c r="F150" s="91">
        <v>357</v>
      </c>
      <c r="G150" s="91">
        <v>350</v>
      </c>
      <c r="H150" s="91">
        <v>365</v>
      </c>
      <c r="I150" s="91">
        <v>371</v>
      </c>
      <c r="J150" s="58">
        <f t="shared" si="42"/>
        <v>103.92156862745098</v>
      </c>
      <c r="K150" s="58">
        <f t="shared" si="43"/>
        <v>106</v>
      </c>
      <c r="L150" s="84"/>
      <c r="M150" s="82"/>
    </row>
    <row r="151" spans="1:13" s="42" customFormat="1" ht="21" customHeight="1" outlineLevel="1">
      <c r="A151" s="39"/>
      <c r="B151" s="62" t="s">
        <v>190</v>
      </c>
      <c r="C151" s="32" t="s">
        <v>12</v>
      </c>
      <c r="D151" s="91"/>
      <c r="E151" s="91"/>
      <c r="F151" s="91">
        <v>3985</v>
      </c>
      <c r="G151" s="91">
        <v>3980</v>
      </c>
      <c r="H151" s="91">
        <v>3964</v>
      </c>
      <c r="I151" s="91">
        <v>3964</v>
      </c>
      <c r="J151" s="58">
        <f t="shared" si="42"/>
        <v>99.47302383939774</v>
      </c>
      <c r="K151" s="58">
        <f t="shared" si="43"/>
        <v>99.597989949748751</v>
      </c>
      <c r="L151" s="84"/>
      <c r="M151" s="82"/>
    </row>
    <row r="152" spans="1:13" ht="21" customHeight="1">
      <c r="A152" s="32"/>
      <c r="B152" s="20" t="s">
        <v>272</v>
      </c>
      <c r="C152" s="32" t="s">
        <v>8</v>
      </c>
      <c r="D152" s="90">
        <v>5412</v>
      </c>
      <c r="E152" s="90">
        <v>5400</v>
      </c>
      <c r="F152" s="90">
        <v>5698</v>
      </c>
      <c r="G152" s="90">
        <v>5700</v>
      </c>
      <c r="H152" s="90">
        <v>5691</v>
      </c>
      <c r="I152" s="90">
        <v>5692</v>
      </c>
      <c r="J152" s="58">
        <f t="shared" si="42"/>
        <v>99.894699894699897</v>
      </c>
      <c r="K152" s="58">
        <f t="shared" si="43"/>
        <v>99.859649122807014</v>
      </c>
      <c r="L152" s="3"/>
      <c r="M152" s="81"/>
    </row>
    <row r="153" spans="1:13" ht="21" customHeight="1">
      <c r="A153" s="32"/>
      <c r="B153" s="20" t="s">
        <v>273</v>
      </c>
      <c r="C153" s="32" t="s">
        <v>8</v>
      </c>
      <c r="D153" s="90">
        <v>3521</v>
      </c>
      <c r="E153" s="90">
        <v>3560</v>
      </c>
      <c r="F153" s="90">
        <v>3500</v>
      </c>
      <c r="G153" s="90">
        <v>3570</v>
      </c>
      <c r="H153" s="90">
        <v>3558</v>
      </c>
      <c r="I153" s="90">
        <f>H153</f>
        <v>3558</v>
      </c>
      <c r="J153" s="58">
        <f t="shared" si="42"/>
        <v>101.65714285714286</v>
      </c>
      <c r="K153" s="58">
        <f t="shared" si="43"/>
        <v>99.663865546218474</v>
      </c>
      <c r="L153" s="3"/>
    </row>
    <row r="154" spans="1:13" ht="21" customHeight="1">
      <c r="A154" s="32"/>
      <c r="B154" s="20" t="s">
        <v>342</v>
      </c>
      <c r="C154" s="32" t="s">
        <v>8</v>
      </c>
      <c r="D154" s="90">
        <v>741</v>
      </c>
      <c r="E154" s="90">
        <v>741</v>
      </c>
      <c r="F154" s="151">
        <v>741</v>
      </c>
      <c r="G154" s="90">
        <v>830</v>
      </c>
      <c r="H154" s="151">
        <v>807</v>
      </c>
      <c r="I154" s="151">
        <v>807</v>
      </c>
      <c r="J154" s="58">
        <f t="shared" si="42"/>
        <v>108.90688259109312</v>
      </c>
      <c r="K154" s="58">
        <f t="shared" si="43"/>
        <v>97.228915662650593</v>
      </c>
      <c r="L154" s="3"/>
    </row>
    <row r="155" spans="1:13" s="18" customFormat="1" ht="21" customHeight="1">
      <c r="A155" s="11">
        <v>2</v>
      </c>
      <c r="B155" s="15" t="s">
        <v>436</v>
      </c>
      <c r="C155" s="11"/>
      <c r="D155" s="176"/>
      <c r="E155" s="176"/>
      <c r="F155" s="176"/>
      <c r="G155" s="176"/>
      <c r="H155" s="176"/>
      <c r="I155" s="176"/>
      <c r="J155" s="66"/>
      <c r="K155" s="66"/>
      <c r="L155" s="83"/>
    </row>
    <row r="156" spans="1:13" ht="21" customHeight="1">
      <c r="A156" s="32"/>
      <c r="B156" s="46" t="s">
        <v>60</v>
      </c>
      <c r="C156" s="32" t="s">
        <v>8</v>
      </c>
      <c r="D156" s="90"/>
      <c r="E156" s="90"/>
      <c r="F156" s="90">
        <v>24</v>
      </c>
      <c r="G156" s="90">
        <v>60</v>
      </c>
      <c r="H156" s="90">
        <v>41</v>
      </c>
      <c r="I156" s="90">
        <v>41</v>
      </c>
      <c r="J156" s="58">
        <f>IFERROR(I156/F156%,"")</f>
        <v>170.83333333333334</v>
      </c>
      <c r="K156" s="58">
        <f>IFERROR(I156/G156%,"")</f>
        <v>68.333333333333343</v>
      </c>
      <c r="L156" s="3"/>
    </row>
    <row r="157" spans="1:13" ht="21" customHeight="1">
      <c r="A157" s="32"/>
      <c r="B157" s="46" t="s">
        <v>59</v>
      </c>
      <c r="C157" s="32" t="s">
        <v>8</v>
      </c>
      <c r="D157" s="90"/>
      <c r="E157" s="90"/>
      <c r="F157" s="90">
        <v>0</v>
      </c>
      <c r="G157" s="90">
        <v>60</v>
      </c>
      <c r="H157" s="90">
        <v>0</v>
      </c>
      <c r="I157" s="90">
        <v>0</v>
      </c>
      <c r="J157" s="58" t="str">
        <f>IFERROR(I157/F157%,"")</f>
        <v/>
      </c>
      <c r="K157" s="58">
        <f>IFERROR(I157/G157%,"")</f>
        <v>0</v>
      </c>
      <c r="L157" s="3"/>
    </row>
    <row r="158" spans="1:13" s="165" customFormat="1" ht="22.5" hidden="1" customHeight="1" outlineLevel="1">
      <c r="A158" s="161">
        <v>3</v>
      </c>
      <c r="B158" s="162" t="s">
        <v>398</v>
      </c>
      <c r="C158" s="161"/>
      <c r="D158" s="163">
        <f t="shared" ref="D158:I158" si="44">SUM(D160:D164)</f>
        <v>37</v>
      </c>
      <c r="E158" s="163">
        <f t="shared" si="44"/>
        <v>38</v>
      </c>
      <c r="F158" s="163">
        <f t="shared" si="44"/>
        <v>38</v>
      </c>
      <c r="G158" s="163">
        <f t="shared" si="44"/>
        <v>38</v>
      </c>
      <c r="H158" s="163">
        <f t="shared" si="44"/>
        <v>38</v>
      </c>
      <c r="I158" s="163">
        <f t="shared" si="44"/>
        <v>38</v>
      </c>
      <c r="J158" s="123">
        <f t="shared" si="42"/>
        <v>100</v>
      </c>
      <c r="K158" s="123">
        <f t="shared" si="43"/>
        <v>100</v>
      </c>
      <c r="L158" s="164"/>
    </row>
    <row r="159" spans="1:13" s="104" customFormat="1" ht="22.5" hidden="1" customHeight="1" outlineLevel="1">
      <c r="A159" s="100"/>
      <c r="B159" s="105" t="s">
        <v>341</v>
      </c>
      <c r="C159" s="100"/>
      <c r="D159" s="102"/>
      <c r="E159" s="102"/>
      <c r="F159" s="102"/>
      <c r="G159" s="102"/>
      <c r="H159" s="102"/>
      <c r="I159" s="102"/>
      <c r="J159" s="103" t="str">
        <f t="shared" si="42"/>
        <v/>
      </c>
      <c r="K159" s="103" t="str">
        <f t="shared" si="43"/>
        <v/>
      </c>
      <c r="L159" s="129"/>
    </row>
    <row r="160" spans="1:13" s="104" customFormat="1" ht="22.5" hidden="1" customHeight="1" outlineLevel="1">
      <c r="A160" s="100"/>
      <c r="B160" s="101" t="s">
        <v>343</v>
      </c>
      <c r="C160" s="100" t="s">
        <v>143</v>
      </c>
      <c r="D160" s="102">
        <v>13</v>
      </c>
      <c r="E160" s="102">
        <v>13</v>
      </c>
      <c r="F160" s="102">
        <v>13</v>
      </c>
      <c r="G160" s="102">
        <f>E160</f>
        <v>13</v>
      </c>
      <c r="H160" s="102">
        <f>G160</f>
        <v>13</v>
      </c>
      <c r="I160" s="102">
        <f>H160</f>
        <v>13</v>
      </c>
      <c r="J160" s="103">
        <f t="shared" si="42"/>
        <v>100</v>
      </c>
      <c r="K160" s="103">
        <f t="shared" si="43"/>
        <v>100</v>
      </c>
      <c r="L160" s="129"/>
    </row>
    <row r="161" spans="1:12" s="104" customFormat="1" ht="22.5" hidden="1" customHeight="1" outlineLevel="1">
      <c r="A161" s="100"/>
      <c r="B161" s="101" t="s">
        <v>344</v>
      </c>
      <c r="C161" s="100" t="s">
        <v>143</v>
      </c>
      <c r="D161" s="102">
        <v>13</v>
      </c>
      <c r="E161" s="102">
        <v>14</v>
      </c>
      <c r="F161" s="102">
        <v>14</v>
      </c>
      <c r="G161" s="102">
        <f>E161</f>
        <v>14</v>
      </c>
      <c r="H161" s="102">
        <f t="shared" ref="H161:I164" si="45">G161</f>
        <v>14</v>
      </c>
      <c r="I161" s="102">
        <f t="shared" si="45"/>
        <v>14</v>
      </c>
      <c r="J161" s="103">
        <f t="shared" si="42"/>
        <v>99.999999999999986</v>
      </c>
      <c r="K161" s="103">
        <f t="shared" si="43"/>
        <v>99.999999999999986</v>
      </c>
      <c r="L161" s="129"/>
    </row>
    <row r="162" spans="1:12" s="104" customFormat="1" ht="22.5" hidden="1" customHeight="1" outlineLevel="1">
      <c r="A162" s="100"/>
      <c r="B162" s="101" t="s">
        <v>345</v>
      </c>
      <c r="C162" s="100" t="s">
        <v>143</v>
      </c>
      <c r="D162" s="102">
        <v>9</v>
      </c>
      <c r="E162" s="102">
        <v>9</v>
      </c>
      <c r="F162" s="102">
        <v>9</v>
      </c>
      <c r="G162" s="102">
        <f>E162</f>
        <v>9</v>
      </c>
      <c r="H162" s="102">
        <f t="shared" si="45"/>
        <v>9</v>
      </c>
      <c r="I162" s="102">
        <f t="shared" si="45"/>
        <v>9</v>
      </c>
      <c r="J162" s="103">
        <f t="shared" si="42"/>
        <v>100</v>
      </c>
      <c r="K162" s="103">
        <f t="shared" si="43"/>
        <v>100</v>
      </c>
      <c r="L162" s="129"/>
    </row>
    <row r="163" spans="1:12" s="104" customFormat="1" ht="22.5" hidden="1" customHeight="1" outlineLevel="1">
      <c r="A163" s="100"/>
      <c r="B163" s="101" t="s">
        <v>346</v>
      </c>
      <c r="C163" s="100" t="s">
        <v>143</v>
      </c>
      <c r="D163" s="102">
        <v>1</v>
      </c>
      <c r="E163" s="102">
        <v>1</v>
      </c>
      <c r="F163" s="102">
        <v>1</v>
      </c>
      <c r="G163" s="102">
        <f>E163</f>
        <v>1</v>
      </c>
      <c r="H163" s="102">
        <f t="shared" si="45"/>
        <v>1</v>
      </c>
      <c r="I163" s="102">
        <f t="shared" si="45"/>
        <v>1</v>
      </c>
      <c r="J163" s="103">
        <f t="shared" si="42"/>
        <v>100</v>
      </c>
      <c r="K163" s="103">
        <f t="shared" si="43"/>
        <v>100</v>
      </c>
      <c r="L163" s="129"/>
    </row>
    <row r="164" spans="1:12" s="104" customFormat="1" ht="22.5" hidden="1" customHeight="1" outlineLevel="1">
      <c r="A164" s="100"/>
      <c r="B164" s="101" t="s">
        <v>347</v>
      </c>
      <c r="C164" s="100" t="s">
        <v>143</v>
      </c>
      <c r="D164" s="102">
        <v>1</v>
      </c>
      <c r="E164" s="102">
        <v>1</v>
      </c>
      <c r="F164" s="102">
        <v>1</v>
      </c>
      <c r="G164" s="102">
        <f>E164</f>
        <v>1</v>
      </c>
      <c r="H164" s="102">
        <f t="shared" si="45"/>
        <v>1</v>
      </c>
      <c r="I164" s="102">
        <f t="shared" si="45"/>
        <v>1</v>
      </c>
      <c r="J164" s="103">
        <f t="shared" si="42"/>
        <v>100</v>
      </c>
      <c r="K164" s="103">
        <f t="shared" si="43"/>
        <v>100</v>
      </c>
      <c r="L164" s="129"/>
    </row>
    <row r="165" spans="1:12" s="165" customFormat="1" ht="22.5" hidden="1" customHeight="1" outlineLevel="1">
      <c r="A165" s="161">
        <v>4</v>
      </c>
      <c r="B165" s="162" t="s">
        <v>348</v>
      </c>
      <c r="C165" s="161" t="s">
        <v>143</v>
      </c>
      <c r="D165" s="163">
        <f t="shared" ref="D165:I165" si="46">SUM(D167:D171)</f>
        <v>20</v>
      </c>
      <c r="E165" s="163">
        <f t="shared" si="46"/>
        <v>22</v>
      </c>
      <c r="F165" s="163">
        <f t="shared" si="46"/>
        <v>21</v>
      </c>
      <c r="G165" s="163">
        <f t="shared" si="46"/>
        <v>25</v>
      </c>
      <c r="H165" s="163">
        <f t="shared" si="46"/>
        <v>21</v>
      </c>
      <c r="I165" s="163">
        <f t="shared" si="46"/>
        <v>21</v>
      </c>
      <c r="J165" s="123">
        <f t="shared" si="42"/>
        <v>100</v>
      </c>
      <c r="K165" s="123">
        <f t="shared" si="43"/>
        <v>84</v>
      </c>
      <c r="L165" s="164"/>
    </row>
    <row r="166" spans="1:12" s="104" customFormat="1" ht="22.5" hidden="1" customHeight="1" outlineLevel="1">
      <c r="A166" s="100"/>
      <c r="B166" s="105" t="s">
        <v>341</v>
      </c>
      <c r="C166" s="100"/>
      <c r="D166" s="102"/>
      <c r="E166" s="102"/>
      <c r="F166" s="102"/>
      <c r="G166" s="102"/>
      <c r="H166" s="102"/>
      <c r="I166" s="102"/>
      <c r="J166" s="103" t="str">
        <f t="shared" si="42"/>
        <v/>
      </c>
      <c r="K166" s="103" t="str">
        <f t="shared" si="43"/>
        <v/>
      </c>
      <c r="L166" s="129"/>
    </row>
    <row r="167" spans="1:12" s="104" customFormat="1" ht="22.5" hidden="1" customHeight="1" outlineLevel="1">
      <c r="A167" s="100"/>
      <c r="B167" s="101" t="s">
        <v>343</v>
      </c>
      <c r="C167" s="100" t="s">
        <v>143</v>
      </c>
      <c r="D167" s="102">
        <v>5</v>
      </c>
      <c r="E167" s="102">
        <v>7</v>
      </c>
      <c r="F167" s="102">
        <v>6</v>
      </c>
      <c r="G167" s="102">
        <v>8</v>
      </c>
      <c r="H167" s="102">
        <v>6</v>
      </c>
      <c r="I167" s="102">
        <v>6</v>
      </c>
      <c r="J167" s="103">
        <f t="shared" si="42"/>
        <v>100</v>
      </c>
      <c r="K167" s="103">
        <f t="shared" si="43"/>
        <v>75</v>
      </c>
      <c r="L167" s="129"/>
    </row>
    <row r="168" spans="1:12" s="104" customFormat="1" ht="22.5" hidden="1" customHeight="1" outlineLevel="1">
      <c r="A168" s="100"/>
      <c r="B168" s="101" t="s">
        <v>344</v>
      </c>
      <c r="C168" s="100" t="s">
        <v>143</v>
      </c>
      <c r="D168" s="102">
        <v>9</v>
      </c>
      <c r="E168" s="102">
        <v>9</v>
      </c>
      <c r="F168" s="102">
        <v>9</v>
      </c>
      <c r="G168" s="102">
        <v>10</v>
      </c>
      <c r="H168" s="102">
        <v>9</v>
      </c>
      <c r="I168" s="102">
        <v>9</v>
      </c>
      <c r="J168" s="103">
        <f t="shared" si="42"/>
        <v>100</v>
      </c>
      <c r="K168" s="103">
        <f t="shared" si="43"/>
        <v>90</v>
      </c>
      <c r="L168" s="129"/>
    </row>
    <row r="169" spans="1:12" s="104" customFormat="1" ht="22.5" hidden="1" customHeight="1" outlineLevel="1">
      <c r="A169" s="100"/>
      <c r="B169" s="101" t="s">
        <v>345</v>
      </c>
      <c r="C169" s="100" t="s">
        <v>143</v>
      </c>
      <c r="D169" s="102">
        <v>4</v>
      </c>
      <c r="E169" s="102">
        <v>4</v>
      </c>
      <c r="F169" s="102">
        <v>4</v>
      </c>
      <c r="G169" s="102">
        <v>5</v>
      </c>
      <c r="H169" s="102">
        <v>4</v>
      </c>
      <c r="I169" s="102">
        <v>4</v>
      </c>
      <c r="J169" s="103">
        <f t="shared" si="42"/>
        <v>100</v>
      </c>
      <c r="K169" s="103">
        <f t="shared" si="43"/>
        <v>80</v>
      </c>
      <c r="L169" s="129"/>
    </row>
    <row r="170" spans="1:12" s="104" customFormat="1" ht="22.5" hidden="1" customHeight="1" outlineLevel="1">
      <c r="A170" s="100"/>
      <c r="B170" s="101" t="s">
        <v>346</v>
      </c>
      <c r="C170" s="100" t="s">
        <v>143</v>
      </c>
      <c r="D170" s="102">
        <v>1</v>
      </c>
      <c r="E170" s="102">
        <v>1</v>
      </c>
      <c r="F170" s="102">
        <v>1</v>
      </c>
      <c r="G170" s="102">
        <v>1</v>
      </c>
      <c r="H170" s="102">
        <v>1</v>
      </c>
      <c r="I170" s="102">
        <v>1</v>
      </c>
      <c r="J170" s="103">
        <f t="shared" si="42"/>
        <v>100</v>
      </c>
      <c r="K170" s="103">
        <f t="shared" si="43"/>
        <v>100</v>
      </c>
      <c r="L170" s="129"/>
    </row>
    <row r="171" spans="1:12" s="104" customFormat="1" ht="22.5" hidden="1" customHeight="1" outlineLevel="1">
      <c r="A171" s="100"/>
      <c r="B171" s="101" t="s">
        <v>347</v>
      </c>
      <c r="C171" s="100" t="s">
        <v>143</v>
      </c>
      <c r="D171" s="102">
        <v>1</v>
      </c>
      <c r="E171" s="102">
        <v>1</v>
      </c>
      <c r="F171" s="102">
        <v>1</v>
      </c>
      <c r="G171" s="102">
        <v>1</v>
      </c>
      <c r="H171" s="102">
        <v>1</v>
      </c>
      <c r="I171" s="102">
        <v>1</v>
      </c>
      <c r="J171" s="103">
        <f t="shared" si="42"/>
        <v>100</v>
      </c>
      <c r="K171" s="103">
        <f t="shared" si="43"/>
        <v>100</v>
      </c>
      <c r="L171" s="129"/>
    </row>
    <row r="172" spans="1:12" s="18" customFormat="1" ht="22.5" customHeight="1" collapsed="1">
      <c r="A172" s="11">
        <v>3</v>
      </c>
      <c r="B172" s="15" t="s">
        <v>144</v>
      </c>
      <c r="C172" s="11" t="s">
        <v>33</v>
      </c>
      <c r="D172" s="166">
        <f t="shared" ref="D172:I172" si="47">D165/D158%</f>
        <v>54.054054054054056</v>
      </c>
      <c r="E172" s="166">
        <f t="shared" si="47"/>
        <v>57.89473684210526</v>
      </c>
      <c r="F172" s="166">
        <f t="shared" si="47"/>
        <v>55.263157894736842</v>
      </c>
      <c r="G172" s="166">
        <f t="shared" si="47"/>
        <v>65.78947368421052</v>
      </c>
      <c r="H172" s="166">
        <f t="shared" si="47"/>
        <v>55.263157894736842</v>
      </c>
      <c r="I172" s="166">
        <f t="shared" si="47"/>
        <v>55.263157894736842</v>
      </c>
      <c r="J172" s="66">
        <f t="shared" si="42"/>
        <v>99.999999999999986</v>
      </c>
      <c r="K172" s="66">
        <f t="shared" si="43"/>
        <v>84.000000000000014</v>
      </c>
      <c r="L172" s="83"/>
    </row>
    <row r="173" spans="1:12" ht="22.5" hidden="1" customHeight="1" outlineLevel="1">
      <c r="A173" s="32"/>
      <c r="B173" s="62" t="s">
        <v>341</v>
      </c>
      <c r="C173" s="32"/>
      <c r="D173" s="55"/>
      <c r="E173" s="55"/>
      <c r="F173" s="55"/>
      <c r="G173" s="55"/>
      <c r="H173" s="55"/>
      <c r="I173" s="55"/>
      <c r="J173" s="66" t="str">
        <f t="shared" si="42"/>
        <v/>
      </c>
      <c r="K173" s="66" t="str">
        <f t="shared" si="43"/>
        <v/>
      </c>
      <c r="L173" s="3"/>
    </row>
    <row r="174" spans="1:12" ht="22.5" hidden="1" customHeight="1" outlineLevel="1">
      <c r="A174" s="32"/>
      <c r="B174" s="20" t="s">
        <v>343</v>
      </c>
      <c r="C174" s="32" t="s">
        <v>33</v>
      </c>
      <c r="D174" s="55">
        <f t="shared" ref="D174:G178" si="48">D167/D160%</f>
        <v>38.46153846153846</v>
      </c>
      <c r="E174" s="55">
        <f t="shared" si="48"/>
        <v>53.846153846153847</v>
      </c>
      <c r="F174" s="55">
        <f>F167/F160%</f>
        <v>46.153846153846153</v>
      </c>
      <c r="G174" s="55">
        <f t="shared" si="48"/>
        <v>61.538461538461533</v>
      </c>
      <c r="H174" s="55">
        <f t="shared" ref="H174:I178" si="49">H167/H160%</f>
        <v>46.153846153846153</v>
      </c>
      <c r="I174" s="55">
        <f t="shared" si="49"/>
        <v>46.153846153846153</v>
      </c>
      <c r="J174" s="58">
        <f t="shared" si="42"/>
        <v>100</v>
      </c>
      <c r="K174" s="58">
        <f t="shared" si="43"/>
        <v>75.000000000000014</v>
      </c>
      <c r="L174" s="3"/>
    </row>
    <row r="175" spans="1:12" ht="22.5" hidden="1" customHeight="1" outlineLevel="1">
      <c r="A175" s="32"/>
      <c r="B175" s="20" t="s">
        <v>344</v>
      </c>
      <c r="C175" s="32" t="s">
        <v>33</v>
      </c>
      <c r="D175" s="55">
        <f t="shared" si="48"/>
        <v>69.230769230769226</v>
      </c>
      <c r="E175" s="55">
        <f t="shared" si="48"/>
        <v>64.285714285714278</v>
      </c>
      <c r="F175" s="55">
        <f>F168/F161%</f>
        <v>64.285714285714278</v>
      </c>
      <c r="G175" s="55">
        <f t="shared" si="48"/>
        <v>71.428571428571416</v>
      </c>
      <c r="H175" s="55">
        <f t="shared" si="49"/>
        <v>64.285714285714278</v>
      </c>
      <c r="I175" s="55">
        <f t="shared" si="49"/>
        <v>64.285714285714278</v>
      </c>
      <c r="J175" s="58">
        <f t="shared" si="42"/>
        <v>100</v>
      </c>
      <c r="K175" s="58">
        <f t="shared" si="43"/>
        <v>90</v>
      </c>
      <c r="L175" s="3"/>
    </row>
    <row r="176" spans="1:12" ht="22.5" hidden="1" customHeight="1" outlineLevel="1">
      <c r="A176" s="32"/>
      <c r="B176" s="20" t="s">
        <v>345</v>
      </c>
      <c r="C176" s="32" t="s">
        <v>33</v>
      </c>
      <c r="D176" s="55">
        <f t="shared" si="48"/>
        <v>44.444444444444443</v>
      </c>
      <c r="E176" s="55">
        <f t="shared" si="48"/>
        <v>44.444444444444443</v>
      </c>
      <c r="F176" s="55">
        <f>F169/F162%</f>
        <v>44.444444444444443</v>
      </c>
      <c r="G176" s="55">
        <f t="shared" si="48"/>
        <v>55.555555555555557</v>
      </c>
      <c r="H176" s="55">
        <f t="shared" si="49"/>
        <v>44.444444444444443</v>
      </c>
      <c r="I176" s="55">
        <f t="shared" si="49"/>
        <v>44.444444444444443</v>
      </c>
      <c r="J176" s="58">
        <f t="shared" si="42"/>
        <v>100</v>
      </c>
      <c r="K176" s="58">
        <f t="shared" si="43"/>
        <v>80</v>
      </c>
      <c r="L176" s="3"/>
    </row>
    <row r="177" spans="1:12" ht="22.5" hidden="1" customHeight="1" outlineLevel="1">
      <c r="A177" s="32"/>
      <c r="B177" s="20" t="s">
        <v>346</v>
      </c>
      <c r="C177" s="32" t="s">
        <v>33</v>
      </c>
      <c r="D177" s="55">
        <f t="shared" si="48"/>
        <v>100</v>
      </c>
      <c r="E177" s="55">
        <f t="shared" si="48"/>
        <v>100</v>
      </c>
      <c r="F177" s="55">
        <f>F170/F163%</f>
        <v>100</v>
      </c>
      <c r="G177" s="55">
        <f t="shared" si="48"/>
        <v>100</v>
      </c>
      <c r="H177" s="55">
        <f t="shared" si="49"/>
        <v>100</v>
      </c>
      <c r="I177" s="55">
        <f t="shared" si="49"/>
        <v>100</v>
      </c>
      <c r="J177" s="58">
        <f t="shared" si="42"/>
        <v>100</v>
      </c>
      <c r="K177" s="58">
        <f t="shared" si="43"/>
        <v>100</v>
      </c>
      <c r="L177" s="3"/>
    </row>
    <row r="178" spans="1:12" ht="22.5" hidden="1" customHeight="1" outlineLevel="1">
      <c r="A178" s="32"/>
      <c r="B178" s="20" t="s">
        <v>347</v>
      </c>
      <c r="C178" s="32" t="s">
        <v>33</v>
      </c>
      <c r="D178" s="55">
        <f t="shared" si="48"/>
        <v>100</v>
      </c>
      <c r="E178" s="55">
        <f t="shared" si="48"/>
        <v>100</v>
      </c>
      <c r="F178" s="55">
        <f>F171/F164%</f>
        <v>100</v>
      </c>
      <c r="G178" s="55">
        <f t="shared" si="48"/>
        <v>100</v>
      </c>
      <c r="H178" s="55">
        <f t="shared" si="49"/>
        <v>100</v>
      </c>
      <c r="I178" s="55">
        <f t="shared" si="49"/>
        <v>100</v>
      </c>
      <c r="J178" s="58">
        <f t="shared" si="42"/>
        <v>100</v>
      </c>
      <c r="K178" s="58">
        <f t="shared" si="43"/>
        <v>100</v>
      </c>
      <c r="L178" s="3"/>
    </row>
    <row r="179" spans="1:12" s="18" customFormat="1" ht="22.5" customHeight="1" collapsed="1">
      <c r="A179" s="11">
        <v>4</v>
      </c>
      <c r="B179" s="63" t="s">
        <v>390</v>
      </c>
      <c r="C179" s="11"/>
      <c r="D179" s="149"/>
      <c r="E179" s="149"/>
      <c r="F179" s="149"/>
      <c r="G179" s="149"/>
      <c r="H179" s="149"/>
      <c r="I179" s="149"/>
      <c r="J179" s="66" t="str">
        <f t="shared" si="42"/>
        <v/>
      </c>
      <c r="K179" s="66" t="str">
        <f t="shared" si="43"/>
        <v/>
      </c>
      <c r="L179" s="83"/>
    </row>
    <row r="180" spans="1:12" ht="22.5" customHeight="1">
      <c r="A180" s="73" t="s">
        <v>34</v>
      </c>
      <c r="B180" s="68" t="s">
        <v>188</v>
      </c>
      <c r="C180" s="32" t="s">
        <v>33</v>
      </c>
      <c r="D180" s="69"/>
      <c r="E180" s="69"/>
      <c r="F180" s="69"/>
      <c r="G180" s="69"/>
      <c r="H180" s="69"/>
      <c r="I180" s="69"/>
      <c r="J180" s="58" t="str">
        <f t="shared" si="42"/>
        <v/>
      </c>
      <c r="K180" s="58" t="str">
        <f t="shared" si="43"/>
        <v/>
      </c>
      <c r="L180" s="3"/>
    </row>
    <row r="181" spans="1:12" ht="22.5" customHeight="1">
      <c r="A181" s="73"/>
      <c r="B181" s="70" t="s">
        <v>189</v>
      </c>
      <c r="C181" s="32" t="s">
        <v>33</v>
      </c>
      <c r="D181" s="69">
        <v>11.7</v>
      </c>
      <c r="E181" s="69">
        <v>12.1</v>
      </c>
      <c r="F181" s="69">
        <v>11.7</v>
      </c>
      <c r="G181" s="69">
        <v>12.5</v>
      </c>
      <c r="H181" s="69">
        <v>12.1</v>
      </c>
      <c r="I181" s="69">
        <v>12.1</v>
      </c>
      <c r="J181" s="58">
        <f t="shared" si="42"/>
        <v>103.41880341880342</v>
      </c>
      <c r="K181" s="58">
        <f t="shared" si="43"/>
        <v>96.8</v>
      </c>
      <c r="L181" s="3"/>
    </row>
    <row r="182" spans="1:12" ht="22.5" customHeight="1">
      <c r="A182" s="73"/>
      <c r="B182" s="70" t="s">
        <v>190</v>
      </c>
      <c r="C182" s="32" t="s">
        <v>33</v>
      </c>
      <c r="D182" s="69">
        <v>97.9</v>
      </c>
      <c r="E182" s="69">
        <v>97.2</v>
      </c>
      <c r="F182" s="69">
        <v>97.9</v>
      </c>
      <c r="G182" s="69">
        <v>98</v>
      </c>
      <c r="H182" s="69">
        <v>97.9</v>
      </c>
      <c r="I182" s="69">
        <v>97.9</v>
      </c>
      <c r="J182" s="58">
        <f t="shared" si="42"/>
        <v>100</v>
      </c>
      <c r="K182" s="58">
        <f t="shared" si="43"/>
        <v>99.897959183673478</v>
      </c>
      <c r="L182" s="3"/>
    </row>
    <row r="183" spans="1:12" ht="22.5" customHeight="1">
      <c r="A183" s="73" t="s">
        <v>35</v>
      </c>
      <c r="B183" s="68" t="s">
        <v>272</v>
      </c>
      <c r="C183" s="32" t="s">
        <v>33</v>
      </c>
      <c r="D183" s="69">
        <v>99.9</v>
      </c>
      <c r="E183" s="69">
        <v>100</v>
      </c>
      <c r="F183" s="69">
        <v>99.9</v>
      </c>
      <c r="G183" s="69">
        <v>100</v>
      </c>
      <c r="H183" s="69">
        <v>99.9</v>
      </c>
      <c r="I183" s="69">
        <v>99.9</v>
      </c>
      <c r="J183" s="58">
        <f t="shared" si="42"/>
        <v>100</v>
      </c>
      <c r="K183" s="58">
        <f t="shared" si="43"/>
        <v>99.9</v>
      </c>
      <c r="L183" s="3"/>
    </row>
    <row r="184" spans="1:12" ht="22.5" customHeight="1">
      <c r="A184" s="73" t="s">
        <v>36</v>
      </c>
      <c r="B184" s="68" t="s">
        <v>391</v>
      </c>
      <c r="C184" s="32" t="s">
        <v>33</v>
      </c>
      <c r="D184" s="69">
        <v>96.2</v>
      </c>
      <c r="E184" s="69">
        <v>99.8</v>
      </c>
      <c r="F184" s="69">
        <v>99.8</v>
      </c>
      <c r="G184" s="69">
        <v>100</v>
      </c>
      <c r="H184" s="69">
        <v>99.8</v>
      </c>
      <c r="I184" s="69">
        <v>99.8</v>
      </c>
      <c r="J184" s="58">
        <f t="shared" si="42"/>
        <v>100</v>
      </c>
      <c r="K184" s="58">
        <f t="shared" si="43"/>
        <v>99.8</v>
      </c>
      <c r="L184" s="3"/>
    </row>
    <row r="185" spans="1:12" ht="22.5" customHeight="1">
      <c r="A185" s="106" t="s">
        <v>51</v>
      </c>
      <c r="B185" s="126" t="s">
        <v>350</v>
      </c>
      <c r="C185" s="132"/>
      <c r="D185" s="135"/>
      <c r="E185" s="135"/>
      <c r="F185" s="135"/>
      <c r="G185" s="135"/>
      <c r="H185" s="135"/>
      <c r="I185" s="135"/>
      <c r="J185" s="110" t="str">
        <f t="shared" si="42"/>
        <v/>
      </c>
      <c r="K185" s="110" t="str">
        <f t="shared" si="43"/>
        <v/>
      </c>
      <c r="L185" s="134"/>
    </row>
    <row r="186" spans="1:12" ht="22.5" customHeight="1">
      <c r="A186" s="32">
        <v>1</v>
      </c>
      <c r="B186" s="20" t="s">
        <v>351</v>
      </c>
      <c r="C186" s="32" t="s">
        <v>145</v>
      </c>
      <c r="D186" s="13">
        <v>130</v>
      </c>
      <c r="E186" s="13">
        <v>130</v>
      </c>
      <c r="F186" s="13">
        <v>130</v>
      </c>
      <c r="G186" s="13">
        <v>135</v>
      </c>
      <c r="H186" s="13">
        <v>135</v>
      </c>
      <c r="I186" s="13">
        <v>135</v>
      </c>
      <c r="J186" s="58">
        <f t="shared" si="42"/>
        <v>103.84615384615384</v>
      </c>
      <c r="K186" s="58">
        <f t="shared" si="43"/>
        <v>100</v>
      </c>
      <c r="L186" s="3"/>
    </row>
    <row r="187" spans="1:12" ht="24" customHeight="1">
      <c r="A187" s="32">
        <v>2</v>
      </c>
      <c r="B187" s="20" t="s">
        <v>451</v>
      </c>
      <c r="C187" s="32" t="s">
        <v>349</v>
      </c>
      <c r="D187" s="13">
        <v>2</v>
      </c>
      <c r="E187" s="13">
        <v>6</v>
      </c>
      <c r="F187" s="13">
        <v>2</v>
      </c>
      <c r="G187" s="13">
        <v>7</v>
      </c>
      <c r="H187" s="13">
        <v>4</v>
      </c>
      <c r="I187" s="13">
        <v>4</v>
      </c>
      <c r="J187" s="58">
        <f t="shared" si="42"/>
        <v>200</v>
      </c>
      <c r="K187" s="58">
        <f t="shared" si="43"/>
        <v>57.142857142857139</v>
      </c>
      <c r="L187" s="3"/>
    </row>
    <row r="188" spans="1:12" ht="25.5" customHeight="1">
      <c r="A188" s="32"/>
      <c r="B188" s="47" t="s">
        <v>452</v>
      </c>
      <c r="C188" s="32" t="s">
        <v>33</v>
      </c>
      <c r="D188" s="55">
        <f t="shared" ref="D188:I188" si="50">D187/9%</f>
        <v>22.222222222222221</v>
      </c>
      <c r="E188" s="55">
        <f t="shared" si="50"/>
        <v>66.666666666666671</v>
      </c>
      <c r="F188" s="55">
        <f t="shared" si="50"/>
        <v>22.222222222222221</v>
      </c>
      <c r="G188" s="55">
        <f t="shared" si="50"/>
        <v>77.777777777777786</v>
      </c>
      <c r="H188" s="55">
        <f t="shared" si="50"/>
        <v>44.444444444444443</v>
      </c>
      <c r="I188" s="55">
        <f t="shared" si="50"/>
        <v>44.444444444444443</v>
      </c>
      <c r="J188" s="58">
        <f t="shared" si="42"/>
        <v>200</v>
      </c>
      <c r="K188" s="58">
        <f t="shared" si="43"/>
        <v>57.142857142857132</v>
      </c>
      <c r="L188" s="3"/>
    </row>
    <row r="189" spans="1:12" ht="21.75" customHeight="1">
      <c r="A189" s="32">
        <v>3</v>
      </c>
      <c r="B189" s="46" t="s">
        <v>187</v>
      </c>
      <c r="C189" s="32" t="s">
        <v>33</v>
      </c>
      <c r="D189" s="55">
        <v>83.5</v>
      </c>
      <c r="E189" s="55">
        <v>87</v>
      </c>
      <c r="F189" s="55"/>
      <c r="G189" s="55">
        <v>90</v>
      </c>
      <c r="H189" s="55"/>
      <c r="I189" s="55"/>
      <c r="J189" s="66" t="str">
        <f t="shared" si="42"/>
        <v/>
      </c>
      <c r="K189" s="66">
        <f t="shared" si="43"/>
        <v>0</v>
      </c>
      <c r="L189" s="3"/>
    </row>
    <row r="190" spans="1:12" ht="31.5">
      <c r="A190" s="32">
        <v>4</v>
      </c>
      <c r="B190" s="46" t="s">
        <v>412</v>
      </c>
      <c r="C190" s="32" t="s">
        <v>33</v>
      </c>
      <c r="D190" s="74">
        <v>33.1</v>
      </c>
      <c r="E190" s="55">
        <v>31.8</v>
      </c>
      <c r="F190" s="55"/>
      <c r="G190" s="55">
        <v>31.3</v>
      </c>
      <c r="H190" s="55"/>
      <c r="I190" s="55"/>
      <c r="J190" s="66" t="str">
        <f t="shared" si="42"/>
        <v/>
      </c>
      <c r="K190" s="66">
        <f t="shared" si="43"/>
        <v>0</v>
      </c>
      <c r="L190" s="3"/>
    </row>
    <row r="191" spans="1:12" ht="31.5">
      <c r="A191" s="32">
        <v>5</v>
      </c>
      <c r="B191" s="46" t="s">
        <v>413</v>
      </c>
      <c r="C191" s="32" t="s">
        <v>33</v>
      </c>
      <c r="D191" s="74">
        <v>20.6</v>
      </c>
      <c r="E191" s="55">
        <v>20</v>
      </c>
      <c r="F191" s="55"/>
      <c r="G191" s="55">
        <v>19.5</v>
      </c>
      <c r="H191" s="55"/>
      <c r="I191" s="55"/>
      <c r="J191" s="66" t="str">
        <f t="shared" si="42"/>
        <v/>
      </c>
      <c r="K191" s="66">
        <f t="shared" si="43"/>
        <v>0</v>
      </c>
      <c r="L191" s="3"/>
    </row>
    <row r="192" spans="1:12" ht="26.25" customHeight="1">
      <c r="A192" s="32">
        <v>6</v>
      </c>
      <c r="B192" s="46" t="s">
        <v>499</v>
      </c>
      <c r="C192" s="32" t="s">
        <v>500</v>
      </c>
      <c r="D192" s="74"/>
      <c r="E192" s="55"/>
      <c r="F192" s="55">
        <v>29</v>
      </c>
      <c r="G192" s="55"/>
      <c r="H192" s="55"/>
      <c r="I192" s="55"/>
      <c r="J192" s="66"/>
      <c r="K192" s="66"/>
      <c r="L192" s="3"/>
    </row>
    <row r="193" spans="1:12" ht="31.5">
      <c r="A193" s="106" t="s">
        <v>63</v>
      </c>
      <c r="B193" s="107" t="s">
        <v>192</v>
      </c>
      <c r="C193" s="108"/>
      <c r="D193" s="135"/>
      <c r="E193" s="135"/>
      <c r="F193" s="135"/>
      <c r="G193" s="135"/>
      <c r="H193" s="135"/>
      <c r="I193" s="135"/>
      <c r="J193" s="110" t="str">
        <f t="shared" ref="J193:J203" si="51">IFERROR(I193/F193%,"")</f>
        <v/>
      </c>
      <c r="K193" s="110" t="str">
        <f t="shared" ref="K193:K203" si="52">IFERROR(I193/G193%,"")</f>
        <v/>
      </c>
      <c r="L193" s="134"/>
    </row>
    <row r="194" spans="1:12" ht="22.5" customHeight="1">
      <c r="A194" s="11">
        <v>1</v>
      </c>
      <c r="B194" s="63" t="s">
        <v>193</v>
      </c>
      <c r="C194" s="12"/>
      <c r="D194" s="13"/>
      <c r="E194" s="13"/>
      <c r="F194" s="13"/>
      <c r="G194" s="13"/>
      <c r="H194" s="13"/>
      <c r="I194" s="13"/>
      <c r="J194" s="66" t="str">
        <f t="shared" si="51"/>
        <v/>
      </c>
      <c r="K194" s="66" t="str">
        <f t="shared" si="52"/>
        <v/>
      </c>
      <c r="L194" s="3"/>
    </row>
    <row r="195" spans="1:12" ht="22.5" customHeight="1">
      <c r="A195" s="19"/>
      <c r="B195" s="48" t="s">
        <v>194</v>
      </c>
      <c r="C195" s="21" t="s">
        <v>16</v>
      </c>
      <c r="D195" s="59">
        <v>1560</v>
      </c>
      <c r="E195" s="59">
        <v>1560</v>
      </c>
      <c r="F195" s="59"/>
      <c r="G195" s="59">
        <f>E195</f>
        <v>1560</v>
      </c>
      <c r="H195" s="59">
        <v>390</v>
      </c>
      <c r="I195" s="59">
        <f>G195/2</f>
        <v>780</v>
      </c>
      <c r="J195" s="58" t="str">
        <f t="shared" si="51"/>
        <v/>
      </c>
      <c r="K195" s="58">
        <f t="shared" si="52"/>
        <v>50</v>
      </c>
      <c r="L195" s="3"/>
    </row>
    <row r="196" spans="1:12" ht="22.5" customHeight="1">
      <c r="A196" s="19"/>
      <c r="B196" s="48" t="s">
        <v>195</v>
      </c>
      <c r="C196" s="21" t="s">
        <v>16</v>
      </c>
      <c r="D196" s="59">
        <v>21800</v>
      </c>
      <c r="E196" s="59">
        <v>21800</v>
      </c>
      <c r="F196" s="59"/>
      <c r="G196" s="59">
        <f>E196</f>
        <v>21800</v>
      </c>
      <c r="H196" s="59">
        <v>5400</v>
      </c>
      <c r="I196" s="59">
        <f>G196/2</f>
        <v>10900</v>
      </c>
      <c r="J196" s="58" t="str">
        <f t="shared" si="51"/>
        <v/>
      </c>
      <c r="K196" s="58">
        <f t="shared" si="52"/>
        <v>50</v>
      </c>
      <c r="L196" s="3"/>
    </row>
    <row r="197" spans="1:12" ht="22.5" customHeight="1">
      <c r="A197" s="11">
        <v>2</v>
      </c>
      <c r="B197" s="63" t="s">
        <v>196</v>
      </c>
      <c r="C197" s="21"/>
      <c r="D197" s="59"/>
      <c r="E197" s="59"/>
      <c r="F197" s="59"/>
      <c r="G197" s="59"/>
      <c r="H197" s="59"/>
      <c r="I197" s="59"/>
      <c r="J197" s="66" t="str">
        <f t="shared" si="51"/>
        <v/>
      </c>
      <c r="K197" s="66" t="str">
        <f t="shared" si="52"/>
        <v/>
      </c>
      <c r="L197" s="3"/>
    </row>
    <row r="198" spans="1:12" ht="22.5" hidden="1" customHeight="1" outlineLevel="1">
      <c r="A198" s="32"/>
      <c r="B198" s="48" t="s">
        <v>198</v>
      </c>
      <c r="C198" s="21" t="s">
        <v>199</v>
      </c>
      <c r="D198" s="59">
        <v>9233</v>
      </c>
      <c r="E198" s="59">
        <v>10000</v>
      </c>
      <c r="F198" s="59"/>
      <c r="G198" s="59">
        <v>10250</v>
      </c>
      <c r="H198" s="59"/>
      <c r="I198" s="59"/>
      <c r="J198" s="66" t="str">
        <f t="shared" si="51"/>
        <v/>
      </c>
      <c r="K198" s="66">
        <f t="shared" si="52"/>
        <v>0</v>
      </c>
      <c r="L198" s="3"/>
    </row>
    <row r="199" spans="1:12" ht="22.5" customHeight="1" collapsed="1">
      <c r="A199" s="32" t="s">
        <v>197</v>
      </c>
      <c r="B199" s="48" t="s">
        <v>200</v>
      </c>
      <c r="C199" s="41" t="s">
        <v>33</v>
      </c>
      <c r="D199" s="59">
        <v>85.6</v>
      </c>
      <c r="E199" s="59">
        <f>E198/E128%</f>
        <v>89.928057553956833</v>
      </c>
      <c r="F199" s="59"/>
      <c r="G199" s="59">
        <f>G198/G128%</f>
        <v>90.070298769771526</v>
      </c>
      <c r="H199" s="59"/>
      <c r="I199" s="59"/>
      <c r="J199" s="58" t="str">
        <f t="shared" si="51"/>
        <v/>
      </c>
      <c r="K199" s="58">
        <f t="shared" si="52"/>
        <v>0</v>
      </c>
      <c r="L199" s="3"/>
    </row>
    <row r="200" spans="1:12" ht="22.5" hidden="1" customHeight="1" outlineLevel="1">
      <c r="A200" s="32"/>
      <c r="B200" s="48" t="s">
        <v>202</v>
      </c>
      <c r="C200" s="21" t="s">
        <v>203</v>
      </c>
      <c r="D200" s="6">
        <v>58</v>
      </c>
      <c r="E200" s="6">
        <v>61</v>
      </c>
      <c r="F200" s="6"/>
      <c r="G200" s="6">
        <v>61</v>
      </c>
      <c r="H200" s="6"/>
      <c r="I200" s="6"/>
      <c r="J200" s="58" t="str">
        <f t="shared" si="51"/>
        <v/>
      </c>
      <c r="K200" s="58">
        <f t="shared" si="52"/>
        <v>0</v>
      </c>
      <c r="L200" s="3"/>
    </row>
    <row r="201" spans="1:12" ht="22.5" customHeight="1" collapsed="1">
      <c r="A201" s="32" t="s">
        <v>201</v>
      </c>
      <c r="B201" s="48" t="s">
        <v>171</v>
      </c>
      <c r="C201" s="41" t="s">
        <v>33</v>
      </c>
      <c r="D201" s="59">
        <f>D200/67%</f>
        <v>86.567164179104466</v>
      </c>
      <c r="E201" s="59">
        <f>E200/67%</f>
        <v>91.044776119402982</v>
      </c>
      <c r="F201" s="59"/>
      <c r="G201" s="59">
        <f>G200/67%</f>
        <v>91.044776119402982</v>
      </c>
      <c r="H201" s="59"/>
      <c r="I201" s="59"/>
      <c r="J201" s="58" t="str">
        <f t="shared" si="51"/>
        <v/>
      </c>
      <c r="K201" s="58">
        <f t="shared" si="52"/>
        <v>0</v>
      </c>
      <c r="L201" s="3"/>
    </row>
    <row r="202" spans="1:12" ht="22.5" customHeight="1">
      <c r="A202" s="32" t="s">
        <v>204</v>
      </c>
      <c r="B202" s="48" t="s">
        <v>205</v>
      </c>
      <c r="C202" s="21" t="s">
        <v>206</v>
      </c>
      <c r="D202" s="59">
        <v>88</v>
      </c>
      <c r="E202" s="59">
        <v>90</v>
      </c>
      <c r="F202" s="59"/>
      <c r="G202" s="59">
        <v>90</v>
      </c>
      <c r="H202" s="59"/>
      <c r="I202" s="59"/>
      <c r="J202" s="58" t="str">
        <f t="shared" si="51"/>
        <v/>
      </c>
      <c r="K202" s="58">
        <f t="shared" si="52"/>
        <v>0</v>
      </c>
      <c r="L202" s="3"/>
    </row>
    <row r="203" spans="1:12" ht="22.5" customHeight="1">
      <c r="A203" s="32" t="s">
        <v>354</v>
      </c>
      <c r="B203" s="20" t="s">
        <v>356</v>
      </c>
      <c r="C203" s="32" t="s">
        <v>61</v>
      </c>
      <c r="D203" s="59">
        <v>4</v>
      </c>
      <c r="E203" s="59">
        <v>4</v>
      </c>
      <c r="F203" s="59">
        <v>4</v>
      </c>
      <c r="G203" s="59">
        <v>4</v>
      </c>
      <c r="H203" s="59">
        <v>4</v>
      </c>
      <c r="I203" s="59">
        <v>4</v>
      </c>
      <c r="J203" s="58">
        <f t="shared" si="51"/>
        <v>100</v>
      </c>
      <c r="K203" s="58">
        <f t="shared" si="52"/>
        <v>100</v>
      </c>
      <c r="L203" s="3"/>
    </row>
    <row r="204" spans="1:12" ht="36.75" hidden="1" customHeight="1" outlineLevel="1">
      <c r="A204" s="100"/>
      <c r="B204" s="122" t="s">
        <v>502</v>
      </c>
      <c r="C204" s="100"/>
      <c r="D204" s="102"/>
      <c r="E204" s="102"/>
      <c r="F204" s="102"/>
      <c r="G204" s="102"/>
      <c r="H204" s="102"/>
      <c r="I204" s="102"/>
      <c r="J204" s="123" t="str">
        <f>IFERROR(I204/F204%,"")</f>
        <v/>
      </c>
      <c r="K204" s="123" t="str">
        <f>IFERROR(I204/G204%,"")</f>
        <v/>
      </c>
      <c r="L204" s="3"/>
    </row>
    <row r="205" spans="1:12" ht="23.25" hidden="1" customHeight="1" outlineLevel="1">
      <c r="A205" s="32">
        <v>1</v>
      </c>
      <c r="B205" s="20" t="s">
        <v>299</v>
      </c>
      <c r="C205" s="32" t="s">
        <v>33</v>
      </c>
      <c r="D205" s="20"/>
      <c r="E205" s="20"/>
      <c r="F205" s="20"/>
      <c r="G205" s="20">
        <v>100</v>
      </c>
      <c r="H205" s="20"/>
      <c r="I205" s="20"/>
      <c r="J205" s="20"/>
      <c r="K205" s="20"/>
      <c r="L205" s="20"/>
    </row>
    <row r="206" spans="1:12" ht="15" customHeight="1" collapsed="1">
      <c r="A206" s="97"/>
      <c r="B206" s="98"/>
      <c r="C206" s="97"/>
      <c r="D206" s="98"/>
      <c r="E206" s="98"/>
      <c r="F206" s="98"/>
      <c r="G206" s="98"/>
      <c r="H206" s="98"/>
      <c r="I206" s="98"/>
      <c r="J206" s="98"/>
      <c r="K206" s="98"/>
      <c r="L206" s="98"/>
    </row>
    <row r="207" spans="1:12">
      <c r="A207" s="92"/>
      <c r="B207" s="56"/>
      <c r="C207" s="92"/>
      <c r="D207" s="56"/>
      <c r="E207" s="56"/>
      <c r="F207" s="56"/>
      <c r="G207" s="56"/>
      <c r="H207" s="56"/>
      <c r="I207" s="56"/>
      <c r="J207" s="56"/>
      <c r="K207" s="56"/>
      <c r="L207" s="56"/>
    </row>
    <row r="208" spans="1:12">
      <c r="A208" s="92"/>
      <c r="B208" s="56"/>
      <c r="C208" s="92"/>
      <c r="D208" s="56"/>
      <c r="E208" s="56"/>
      <c r="F208" s="56"/>
      <c r="G208" s="56"/>
      <c r="H208" s="56"/>
      <c r="I208" s="56"/>
      <c r="J208" s="56"/>
      <c r="K208" s="56"/>
      <c r="L208" s="56"/>
    </row>
  </sheetData>
  <mergeCells count="12">
    <mergeCell ref="L5:L6"/>
    <mergeCell ref="A3:L3"/>
    <mergeCell ref="A2:L2"/>
    <mergeCell ref="A1:L1"/>
    <mergeCell ref="G5:I5"/>
    <mergeCell ref="J5:K5"/>
    <mergeCell ref="A5:A6"/>
    <mergeCell ref="B5:B6"/>
    <mergeCell ref="C5:C6"/>
    <mergeCell ref="D5:D6"/>
    <mergeCell ref="E5:E6"/>
    <mergeCell ref="F5:F6"/>
  </mergeCells>
  <pageMargins left="0.47244094488188981" right="0.39370078740157483" top="0.59055118110236227" bottom="0.47244094488188981" header="0.31496062992125984" footer="0.31496062992125984"/>
  <pageSetup paperSize="9" scale="97" fitToHeight="0" orientation="landscape" r:id="rId1"/>
  <headerFooter>
    <oddFooter>&amp;R&amp;"Times New Roman,Regular"&amp;P/&amp;N</oddFooter>
  </headerFooter>
  <ignoredErrors>
    <ignoredError sqref="F92:K92 F94:K94 F93:H93 J93:K93 F96:K99 F95:G95 J95:K9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L200"/>
  <sheetViews>
    <sheetView zoomScale="85" zoomScaleNormal="85" zoomScaleSheetLayoutView="85" workbookViewId="0">
      <pane xSplit="2" ySplit="8" topLeftCell="C54" activePane="bottomRight" state="frozen"/>
      <selection activeCell="I119" sqref="I119"/>
      <selection pane="topRight" activeCell="I119" sqref="I119"/>
      <selection pane="bottomLeft" activeCell="I119" sqref="I119"/>
      <selection pane="bottomRight" activeCell="I119" sqref="I119"/>
    </sheetView>
  </sheetViews>
  <sheetFormatPr defaultColWidth="9.140625" defaultRowHeight="15.75" outlineLevelRow="1" outlineLevelCol="1"/>
  <cols>
    <col min="1" max="1" width="5.5703125" style="65" customWidth="1"/>
    <col min="2" max="2" width="39.140625" style="5" customWidth="1"/>
    <col min="3" max="3" width="12.140625" style="65" customWidth="1"/>
    <col min="4" max="5" width="12.140625" style="5" hidden="1" customWidth="1" outlineLevel="1"/>
    <col min="6" max="6" width="12.140625" style="5" customWidth="1" collapsed="1"/>
    <col min="7" max="10" width="12.140625" style="5" customWidth="1"/>
    <col min="11" max="11" width="11.7109375" style="5" customWidth="1"/>
    <col min="12" max="12" width="10" style="5" bestFit="1" customWidth="1"/>
    <col min="13" max="16384" width="9.140625" style="5"/>
  </cols>
  <sheetData>
    <row r="1" spans="1:12" ht="18.75" outlineLevel="1">
      <c r="A1" s="768" t="s">
        <v>166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</row>
    <row r="2" spans="1:12" ht="18.75" outlineLevel="1">
      <c r="A2" s="769" t="s">
        <v>728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</row>
    <row r="3" spans="1:12" ht="18.75" outlineLevel="1">
      <c r="A3" s="770" t="s">
        <v>724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</row>
    <row r="4" spans="1:12" ht="6.75" customHeight="1" outlineLevel="1">
      <c r="A4" s="7"/>
      <c r="B4" s="2"/>
      <c r="C4" s="8"/>
      <c r="D4" s="2"/>
      <c r="E4" s="2"/>
      <c r="F4" s="2"/>
      <c r="G4" s="2"/>
      <c r="H4" s="2"/>
      <c r="I4" s="2"/>
      <c r="J4" s="2"/>
    </row>
    <row r="5" spans="1:12" ht="16.5" customHeight="1">
      <c r="A5" s="773" t="s">
        <v>55</v>
      </c>
      <c r="B5" s="774" t="s">
        <v>69</v>
      </c>
      <c r="C5" s="774" t="s">
        <v>18</v>
      </c>
      <c r="D5" s="774" t="s">
        <v>361</v>
      </c>
      <c r="E5" s="774" t="s">
        <v>415</v>
      </c>
      <c r="F5" s="775" t="s">
        <v>726</v>
      </c>
      <c r="G5" s="777" t="s">
        <v>387</v>
      </c>
      <c r="H5" s="777" t="s">
        <v>727</v>
      </c>
      <c r="I5" s="779" t="s">
        <v>475</v>
      </c>
      <c r="J5" s="780"/>
      <c r="K5" s="775" t="s">
        <v>75</v>
      </c>
    </row>
    <row r="6" spans="1:12" ht="47.25">
      <c r="A6" s="773"/>
      <c r="B6" s="774"/>
      <c r="C6" s="773"/>
      <c r="D6" s="774"/>
      <c r="E6" s="773"/>
      <c r="F6" s="776"/>
      <c r="G6" s="778"/>
      <c r="H6" s="778"/>
      <c r="I6" s="300" t="s">
        <v>729</v>
      </c>
      <c r="J6" s="300" t="s">
        <v>730</v>
      </c>
      <c r="K6" s="776"/>
    </row>
    <row r="7" spans="1:12">
      <c r="A7" s="300">
        <v>1</v>
      </c>
      <c r="B7" s="300">
        <v>2</v>
      </c>
      <c r="C7" s="300">
        <v>3</v>
      </c>
      <c r="D7" s="300"/>
      <c r="E7" s="300">
        <v>4</v>
      </c>
      <c r="F7" s="300">
        <v>4</v>
      </c>
      <c r="G7" s="300">
        <v>5</v>
      </c>
      <c r="H7" s="300">
        <v>6</v>
      </c>
      <c r="I7" s="300" t="s">
        <v>731</v>
      </c>
      <c r="J7" s="300" t="s">
        <v>480</v>
      </c>
      <c r="K7" s="300">
        <v>9</v>
      </c>
    </row>
    <row r="8" spans="1:12" ht="20.25" customHeight="1">
      <c r="A8" s="301"/>
      <c r="B8" s="302" t="s">
        <v>167</v>
      </c>
      <c r="C8" s="301"/>
      <c r="D8" s="303"/>
      <c r="E8" s="301"/>
      <c r="F8" s="301"/>
      <c r="G8" s="301"/>
      <c r="H8" s="301"/>
      <c r="I8" s="301"/>
      <c r="J8" s="301"/>
      <c r="K8" s="128"/>
    </row>
    <row r="9" spans="1:12" ht="19.5" customHeight="1" collapsed="1">
      <c r="A9" s="11" t="s">
        <v>40</v>
      </c>
      <c r="B9" s="142" t="s">
        <v>332</v>
      </c>
      <c r="C9" s="12"/>
      <c r="D9" s="143"/>
      <c r="E9" s="143"/>
      <c r="F9" s="143"/>
      <c r="G9" s="143"/>
      <c r="H9" s="143"/>
      <c r="I9" s="143"/>
      <c r="J9" s="143"/>
      <c r="K9" s="66"/>
      <c r="L9" s="14"/>
    </row>
    <row r="10" spans="1:12" s="18" customFormat="1" ht="19.5" customHeight="1">
      <c r="A10" s="11" t="s">
        <v>38</v>
      </c>
      <c r="B10" s="15" t="s">
        <v>172</v>
      </c>
      <c r="C10" s="12" t="s">
        <v>130</v>
      </c>
      <c r="D10" s="16">
        <v>347871</v>
      </c>
      <c r="E10" s="16">
        <v>313038</v>
      </c>
      <c r="F10" s="16">
        <v>228832</v>
      </c>
      <c r="G10" s="16">
        <v>277205</v>
      </c>
      <c r="H10" s="16">
        <v>223125.87</v>
      </c>
      <c r="I10" s="66">
        <f t="shared" ref="I10:I41" si="0">IFERROR(H10/G10%,"")</f>
        <v>80.491286232210811</v>
      </c>
      <c r="J10" s="66">
        <f t="shared" ref="J10:J41" si="1">IFERROR(H10/F10%,"")</f>
        <v>97.506410816668989</v>
      </c>
      <c r="K10" s="83"/>
      <c r="L10" s="17"/>
    </row>
    <row r="11" spans="1:12" ht="19.5" customHeight="1">
      <c r="A11" s="19" t="s">
        <v>155</v>
      </c>
      <c r="B11" s="20" t="s">
        <v>173</v>
      </c>
      <c r="C11" s="21" t="s">
        <v>130</v>
      </c>
      <c r="D11" s="22">
        <v>90496</v>
      </c>
      <c r="E11" s="22">
        <v>104622</v>
      </c>
      <c r="F11" s="22">
        <v>74217</v>
      </c>
      <c r="G11" s="22">
        <v>82860</v>
      </c>
      <c r="H11" s="22">
        <v>82702</v>
      </c>
      <c r="I11" s="58">
        <f>IFERROR(H11/G11%,"")</f>
        <v>99.809316920106198</v>
      </c>
      <c r="J11" s="58">
        <f t="shared" si="1"/>
        <v>111.43269062344207</v>
      </c>
      <c r="K11" s="3"/>
      <c r="L11" s="14"/>
    </row>
    <row r="12" spans="1:12" s="42" customFormat="1" ht="19.5" customHeight="1">
      <c r="A12" s="71"/>
      <c r="B12" s="62" t="s">
        <v>455</v>
      </c>
      <c r="C12" s="41" t="s">
        <v>130</v>
      </c>
      <c r="D12" s="72">
        <v>84999</v>
      </c>
      <c r="E12" s="72">
        <v>71796</v>
      </c>
      <c r="F12" s="72">
        <v>47689</v>
      </c>
      <c r="G12" s="72">
        <v>70788</v>
      </c>
      <c r="H12" s="72">
        <v>65949</v>
      </c>
      <c r="I12" s="85">
        <f>IFERROR(H12/G12%,"")</f>
        <v>93.164095609425331</v>
      </c>
      <c r="J12" s="85">
        <f t="shared" si="1"/>
        <v>138.2897523537923</v>
      </c>
      <c r="K12" s="84"/>
      <c r="L12" s="14"/>
    </row>
    <row r="13" spans="1:12" s="18" customFormat="1" ht="18.75" customHeight="1">
      <c r="A13" s="11" t="s">
        <v>39</v>
      </c>
      <c r="B13" s="15" t="s">
        <v>174</v>
      </c>
      <c r="C13" s="12" t="s">
        <v>130</v>
      </c>
      <c r="D13" s="16">
        <v>308217</v>
      </c>
      <c r="E13" s="16">
        <v>300633</v>
      </c>
      <c r="F13" s="16">
        <v>175958</v>
      </c>
      <c r="G13" s="16">
        <v>265133</v>
      </c>
      <c r="H13" s="16">
        <v>205158.75</v>
      </c>
      <c r="I13" s="66">
        <f t="shared" si="0"/>
        <v>77.379560447020935</v>
      </c>
      <c r="J13" s="66">
        <f t="shared" si="1"/>
        <v>116.59529546823674</v>
      </c>
      <c r="K13" s="83"/>
      <c r="L13" s="17"/>
    </row>
    <row r="14" spans="1:12" ht="20.25" customHeight="1">
      <c r="A14" s="19" t="s">
        <v>155</v>
      </c>
      <c r="B14" s="20" t="s">
        <v>175</v>
      </c>
      <c r="C14" s="21" t="s">
        <v>130</v>
      </c>
      <c r="D14" s="22">
        <v>239615</v>
      </c>
      <c r="E14" s="22">
        <v>264543</v>
      </c>
      <c r="F14" s="22">
        <v>172540</v>
      </c>
      <c r="G14" s="22">
        <v>232779</v>
      </c>
      <c r="H14" s="22">
        <v>152206</v>
      </c>
      <c r="I14" s="58">
        <f t="shared" si="0"/>
        <v>65.386482457610015</v>
      </c>
      <c r="J14" s="58">
        <f t="shared" si="1"/>
        <v>88.214906688304154</v>
      </c>
      <c r="K14" s="3"/>
      <c r="L14" s="14"/>
    </row>
    <row r="15" spans="1:12" ht="20.25" customHeight="1">
      <c r="A15" s="11"/>
      <c r="B15" s="30" t="s">
        <v>177</v>
      </c>
      <c r="C15" s="24"/>
      <c r="D15" s="25"/>
      <c r="E15" s="25"/>
      <c r="F15" s="25"/>
      <c r="G15" s="25"/>
      <c r="H15" s="25"/>
      <c r="I15" s="66" t="str">
        <f t="shared" si="0"/>
        <v/>
      </c>
      <c r="J15" s="66" t="str">
        <f t="shared" si="1"/>
        <v/>
      </c>
      <c r="K15" s="66"/>
    </row>
    <row r="16" spans="1:12" ht="20.25" customHeight="1">
      <c r="A16" s="32" t="s">
        <v>56</v>
      </c>
      <c r="B16" s="35" t="s">
        <v>401</v>
      </c>
      <c r="C16" s="32" t="s">
        <v>37</v>
      </c>
      <c r="D16" s="29">
        <f>D17+D67</f>
        <v>17898.73</v>
      </c>
      <c r="E16" s="29">
        <f>E17+E67</f>
        <v>17734.400000000001</v>
      </c>
      <c r="F16" s="29">
        <f>F17+F67</f>
        <v>17615.2</v>
      </c>
      <c r="G16" s="29">
        <f>G17+G67</f>
        <v>18028.099999999999</v>
      </c>
      <c r="H16" s="29">
        <f>H17+H67</f>
        <v>17665.170000000002</v>
      </c>
      <c r="I16" s="58">
        <f t="shared" si="0"/>
        <v>97.986864949717415</v>
      </c>
      <c r="J16" s="58">
        <f t="shared" si="1"/>
        <v>100.28367546210092</v>
      </c>
      <c r="K16" s="3"/>
    </row>
    <row r="17" spans="1:12" ht="17.25" customHeight="1">
      <c r="A17" s="11" t="s">
        <v>38</v>
      </c>
      <c r="B17" s="30" t="s">
        <v>439</v>
      </c>
      <c r="C17" s="11" t="s">
        <v>37</v>
      </c>
      <c r="D17" s="27">
        <f>D18+D47+D54+D50+D63</f>
        <v>8084.73</v>
      </c>
      <c r="E17" s="27">
        <f>E18+E47+E54+E50+E63</f>
        <v>7662.8</v>
      </c>
      <c r="F17" s="27">
        <f>F18+F47+F54+F50+F63</f>
        <v>7585.9000000000005</v>
      </c>
      <c r="G17" s="27">
        <f>G18+G47+G54+G50+G63</f>
        <v>7906</v>
      </c>
      <c r="H17" s="27">
        <f>H18+H47+H54+H50+H63</f>
        <v>7215.3700000000008</v>
      </c>
      <c r="I17" s="66">
        <f t="shared" si="0"/>
        <v>91.264482671388819</v>
      </c>
      <c r="J17" s="66">
        <f t="shared" si="1"/>
        <v>95.115543310615749</v>
      </c>
      <c r="K17" s="3"/>
      <c r="L17" s="77"/>
    </row>
    <row r="18" spans="1:12" s="18" customFormat="1" ht="17.25" customHeight="1">
      <c r="A18" s="11">
        <v>1</v>
      </c>
      <c r="B18" s="30" t="s">
        <v>22</v>
      </c>
      <c r="C18" s="11" t="s">
        <v>37</v>
      </c>
      <c r="D18" s="27">
        <f>D23+D38</f>
        <v>1649.23</v>
      </c>
      <c r="E18" s="27">
        <f>E23+E38</f>
        <v>1641.6</v>
      </c>
      <c r="F18" s="27">
        <f>F23+F38</f>
        <v>1625.1</v>
      </c>
      <c r="G18" s="27">
        <f>G23+G38</f>
        <v>1614</v>
      </c>
      <c r="H18" s="27">
        <f>H23+H38</f>
        <v>1646.17</v>
      </c>
      <c r="I18" s="66">
        <f t="shared" si="0"/>
        <v>101.99318463444858</v>
      </c>
      <c r="J18" s="66">
        <f t="shared" si="1"/>
        <v>101.29653559780938</v>
      </c>
      <c r="K18" s="83"/>
    </row>
    <row r="19" spans="1:12" ht="17.25" customHeight="1">
      <c r="A19" s="32" t="s">
        <v>56</v>
      </c>
      <c r="B19" s="35" t="s">
        <v>23</v>
      </c>
      <c r="C19" s="34" t="s">
        <v>20</v>
      </c>
      <c r="D19" s="29">
        <f>SUM(D20:D21)</f>
        <v>6733.6763900000005</v>
      </c>
      <c r="E19" s="29">
        <f>SUM(E20:E21)</f>
        <v>7129.6886000000004</v>
      </c>
      <c r="F19" s="29">
        <f>SUM(F20:F21)</f>
        <v>2883.2275</v>
      </c>
      <c r="G19" s="29">
        <f>SUM(G20:G21)</f>
        <v>7071.0429999999997</v>
      </c>
      <c r="H19" s="29">
        <f>SUM(H20:H21)</f>
        <v>3118.9459380221647</v>
      </c>
      <c r="I19" s="58">
        <f t="shared" si="0"/>
        <v>44.108711232871372</v>
      </c>
      <c r="J19" s="58">
        <f t="shared" si="1"/>
        <v>108.17550602656796</v>
      </c>
      <c r="K19" s="3"/>
    </row>
    <row r="20" spans="1:12" ht="17.25" customHeight="1">
      <c r="A20" s="32"/>
      <c r="B20" s="33" t="s">
        <v>24</v>
      </c>
      <c r="C20" s="34" t="s">
        <v>76</v>
      </c>
      <c r="D20" s="29">
        <f>D25</f>
        <v>6298.7078300000003</v>
      </c>
      <c r="E20" s="29">
        <f>E25</f>
        <v>6644.7176000000009</v>
      </c>
      <c r="F20" s="29">
        <f>F25</f>
        <v>2700.1765</v>
      </c>
      <c r="G20" s="29">
        <f>G25</f>
        <v>6644.5429999999997</v>
      </c>
      <c r="H20" s="29">
        <f>H25</f>
        <v>2973.9459380221647</v>
      </c>
      <c r="I20" s="58">
        <f t="shared" si="0"/>
        <v>44.757719801379338</v>
      </c>
      <c r="J20" s="58">
        <f t="shared" si="1"/>
        <v>110.13894602897865</v>
      </c>
      <c r="K20" s="3"/>
    </row>
    <row r="21" spans="1:12" ht="17.25" customHeight="1">
      <c r="A21" s="32"/>
      <c r="B21" s="35" t="s">
        <v>137</v>
      </c>
      <c r="C21" s="34" t="s">
        <v>76</v>
      </c>
      <c r="D21" s="29">
        <f>D40</f>
        <v>434.96856000000002</v>
      </c>
      <c r="E21" s="29">
        <f>E40</f>
        <v>484.97099999999995</v>
      </c>
      <c r="F21" s="29">
        <f>F40</f>
        <v>183.05099999999999</v>
      </c>
      <c r="G21" s="29">
        <f>G40</f>
        <v>426.5</v>
      </c>
      <c r="H21" s="29">
        <f>H40</f>
        <v>145</v>
      </c>
      <c r="I21" s="58">
        <f t="shared" si="0"/>
        <v>33.997655334114889</v>
      </c>
      <c r="J21" s="58">
        <f t="shared" si="1"/>
        <v>79.212896952215516</v>
      </c>
      <c r="K21" s="3"/>
    </row>
    <row r="22" spans="1:12" ht="17.25" customHeight="1">
      <c r="A22" s="32" t="s">
        <v>56</v>
      </c>
      <c r="B22" s="35" t="s">
        <v>25</v>
      </c>
      <c r="C22" s="32" t="s">
        <v>57</v>
      </c>
      <c r="D22" s="29">
        <f>D19/D136*1000</f>
        <v>150.81697702024726</v>
      </c>
      <c r="E22" s="29">
        <f>E19/E136*1000</f>
        <v>155.57664284545305</v>
      </c>
      <c r="F22" s="29">
        <f>F19/F136*1000</f>
        <v>62.888029751128755</v>
      </c>
      <c r="G22" s="29">
        <f>G19/G136*1000</f>
        <v>150.66410270068715</v>
      </c>
      <c r="H22" s="29">
        <f>H19/H136*1000</f>
        <v>66.668361114553676</v>
      </c>
      <c r="I22" s="58">
        <f t="shared" si="0"/>
        <v>44.2496652616706</v>
      </c>
      <c r="J22" s="58">
        <f t="shared" si="1"/>
        <v>106.01120973003144</v>
      </c>
      <c r="K22" s="3"/>
    </row>
    <row r="23" spans="1:12" s="18" customFormat="1" ht="17.25" customHeight="1">
      <c r="A23" s="11" t="s">
        <v>34</v>
      </c>
      <c r="B23" s="44" t="s">
        <v>440</v>
      </c>
      <c r="C23" s="11" t="s">
        <v>37</v>
      </c>
      <c r="D23" s="16">
        <f>D26+D29</f>
        <v>1558.31</v>
      </c>
      <c r="E23" s="16">
        <f>E26+E29</f>
        <v>1540</v>
      </c>
      <c r="F23" s="16">
        <f>F26+F29</f>
        <v>1529</v>
      </c>
      <c r="G23" s="16">
        <f>G26+G29</f>
        <v>1531</v>
      </c>
      <c r="H23" s="16">
        <f>H26+H29</f>
        <v>1560.97</v>
      </c>
      <c r="I23" s="66">
        <f t="shared" si="0"/>
        <v>101.95754408883083</v>
      </c>
      <c r="J23" s="66">
        <f t="shared" si="1"/>
        <v>102.09090909090909</v>
      </c>
      <c r="K23" s="83"/>
    </row>
    <row r="24" spans="1:12" ht="17.25" customHeight="1">
      <c r="A24" s="32"/>
      <c r="B24" s="37" t="s">
        <v>27</v>
      </c>
      <c r="C24" s="34" t="s">
        <v>21</v>
      </c>
      <c r="D24" s="38">
        <f>D25/D23*10</f>
        <v>40.420120707689748</v>
      </c>
      <c r="E24" s="38">
        <f>E25/E23*10</f>
        <v>43.147516883116886</v>
      </c>
      <c r="F24" s="38">
        <f>F25/F23*10</f>
        <v>17.659754741661217</v>
      </c>
      <c r="G24" s="38">
        <f>G25/G23*10</f>
        <v>43.400019595035921</v>
      </c>
      <c r="H24" s="38">
        <f>H25/H23*10</f>
        <v>19.051909633254738</v>
      </c>
      <c r="I24" s="58">
        <f t="shared" si="0"/>
        <v>43.898389473155646</v>
      </c>
      <c r="J24" s="58">
        <f t="shared" si="1"/>
        <v>107.88320626168878</v>
      </c>
      <c r="K24" s="3"/>
    </row>
    <row r="25" spans="1:12" ht="17.25" customHeight="1">
      <c r="A25" s="32"/>
      <c r="B25" s="37" t="s">
        <v>28</v>
      </c>
      <c r="C25" s="34" t="s">
        <v>76</v>
      </c>
      <c r="D25" s="22">
        <f>D28+D31</f>
        <v>6298.7078300000003</v>
      </c>
      <c r="E25" s="22">
        <f>E28+E31</f>
        <v>6644.7176000000009</v>
      </c>
      <c r="F25" s="22">
        <f>F28+F31</f>
        <v>2700.1765</v>
      </c>
      <c r="G25" s="22">
        <f>G28+G31</f>
        <v>6644.5429999999997</v>
      </c>
      <c r="H25" s="22">
        <f>H28+H31</f>
        <v>2973.9459380221647</v>
      </c>
      <c r="I25" s="58">
        <f t="shared" si="0"/>
        <v>44.757719801379338</v>
      </c>
      <c r="J25" s="58">
        <f t="shared" si="1"/>
        <v>110.13894602897865</v>
      </c>
      <c r="K25" s="3"/>
    </row>
    <row r="26" spans="1:12" ht="17.25" customHeight="1">
      <c r="A26" s="32" t="s">
        <v>420</v>
      </c>
      <c r="B26" s="116" t="s">
        <v>441</v>
      </c>
      <c r="C26" s="32" t="s">
        <v>37</v>
      </c>
      <c r="D26" s="22">
        <v>597.30999999999995</v>
      </c>
      <c r="E26" s="137">
        <v>570.5</v>
      </c>
      <c r="F26" s="59">
        <v>570.5</v>
      </c>
      <c r="G26" s="59">
        <v>571</v>
      </c>
      <c r="H26" s="59">
        <v>573.87</v>
      </c>
      <c r="I26" s="58">
        <f t="shared" si="0"/>
        <v>100.50262697022767</v>
      </c>
      <c r="J26" s="58">
        <f t="shared" si="1"/>
        <v>100.59070990359334</v>
      </c>
      <c r="K26" s="3"/>
    </row>
    <row r="27" spans="1:12" ht="17.25" customHeight="1">
      <c r="A27" s="32"/>
      <c r="B27" s="116" t="s">
        <v>27</v>
      </c>
      <c r="C27" s="34" t="s">
        <v>21</v>
      </c>
      <c r="D27" s="25">
        <v>39.33</v>
      </c>
      <c r="E27" s="38">
        <v>47.2</v>
      </c>
      <c r="F27" s="58">
        <v>47.33</v>
      </c>
      <c r="G27" s="58">
        <v>47.33</v>
      </c>
      <c r="H27" s="58">
        <v>51.822641678815145</v>
      </c>
      <c r="I27" s="58">
        <f t="shared" si="0"/>
        <v>109.49216496686066</v>
      </c>
      <c r="J27" s="58">
        <f t="shared" si="1"/>
        <v>109.49216496686066</v>
      </c>
      <c r="K27" s="3"/>
    </row>
    <row r="28" spans="1:12" ht="17.25" customHeight="1">
      <c r="A28" s="32"/>
      <c r="B28" s="117" t="s">
        <v>28</v>
      </c>
      <c r="C28" s="34" t="s">
        <v>76</v>
      </c>
      <c r="D28" s="22">
        <f>D26*D27/10</f>
        <v>2349.2202299999999</v>
      </c>
      <c r="E28" s="22">
        <f>E26*E27/10</f>
        <v>2692.76</v>
      </c>
      <c r="F28" s="22">
        <f>F26*F27/10</f>
        <v>2700.1765</v>
      </c>
      <c r="G28" s="22">
        <f>G26*G27/10</f>
        <v>2702.5430000000001</v>
      </c>
      <c r="H28" s="22">
        <f>H26*H27/10</f>
        <v>2973.9459380221647</v>
      </c>
      <c r="I28" s="58">
        <f t="shared" si="0"/>
        <v>110.04250211827026</v>
      </c>
      <c r="J28" s="58">
        <f t="shared" si="1"/>
        <v>110.13894602897865</v>
      </c>
      <c r="K28" s="3"/>
    </row>
    <row r="29" spans="1:12" ht="17.25" customHeight="1">
      <c r="A29" s="32" t="s">
        <v>421</v>
      </c>
      <c r="B29" s="116" t="s">
        <v>442</v>
      </c>
      <c r="C29" s="32" t="s">
        <v>37</v>
      </c>
      <c r="D29" s="22">
        <f>D32+D35</f>
        <v>961</v>
      </c>
      <c r="E29" s="29">
        <f>E32+E35</f>
        <v>969.5</v>
      </c>
      <c r="F29" s="29">
        <f>F32+F35</f>
        <v>958.5</v>
      </c>
      <c r="G29" s="29">
        <f>G32+G35</f>
        <v>960</v>
      </c>
      <c r="H29" s="29">
        <f>H32+H35</f>
        <v>987.1</v>
      </c>
      <c r="I29" s="58">
        <f t="shared" si="0"/>
        <v>102.82291666666667</v>
      </c>
      <c r="J29" s="58">
        <f t="shared" si="1"/>
        <v>102.98382889932185</v>
      </c>
      <c r="K29" s="3"/>
    </row>
    <row r="30" spans="1:12" ht="17.25" customHeight="1">
      <c r="A30" s="32"/>
      <c r="B30" s="117" t="s">
        <v>27</v>
      </c>
      <c r="C30" s="34" t="s">
        <v>21</v>
      </c>
      <c r="D30" s="38">
        <f>D31/D29*10</f>
        <v>41.097685744016658</v>
      </c>
      <c r="E30" s="28">
        <f>E31/E29*10</f>
        <v>40.762842702423939</v>
      </c>
      <c r="F30" s="28">
        <f>F31/F29*10</f>
        <v>0</v>
      </c>
      <c r="G30" s="28">
        <f>G31/G29*10</f>
        <v>41.0625</v>
      </c>
      <c r="H30" s="28">
        <f>H31/H29*10</f>
        <v>0</v>
      </c>
      <c r="I30" s="58">
        <f t="shared" si="0"/>
        <v>0</v>
      </c>
      <c r="J30" s="58" t="str">
        <f t="shared" si="1"/>
        <v/>
      </c>
      <c r="K30" s="3"/>
    </row>
    <row r="31" spans="1:12" ht="17.25" customHeight="1">
      <c r="A31" s="32"/>
      <c r="B31" s="117" t="s">
        <v>28</v>
      </c>
      <c r="C31" s="34" t="s">
        <v>76</v>
      </c>
      <c r="D31" s="22">
        <f>D34+D37</f>
        <v>3949.4876000000004</v>
      </c>
      <c r="E31" s="29">
        <f>E34+E37</f>
        <v>3951.9576000000006</v>
      </c>
      <c r="F31" s="29">
        <f>F34+F37</f>
        <v>0</v>
      </c>
      <c r="G31" s="29">
        <f>G34+G37</f>
        <v>3942</v>
      </c>
      <c r="H31" s="29">
        <f>H34+H37</f>
        <v>0</v>
      </c>
      <c r="I31" s="58">
        <f t="shared" si="0"/>
        <v>0</v>
      </c>
      <c r="J31" s="58" t="str">
        <f t="shared" si="1"/>
        <v/>
      </c>
      <c r="K31" s="3"/>
    </row>
    <row r="32" spans="1:12" ht="17.25" customHeight="1">
      <c r="A32" s="32"/>
      <c r="B32" s="114" t="s">
        <v>443</v>
      </c>
      <c r="C32" s="32" t="s">
        <v>37</v>
      </c>
      <c r="D32" s="22">
        <v>906.4</v>
      </c>
      <c r="E32" s="38">
        <v>903.3</v>
      </c>
      <c r="F32" s="22">
        <v>892.3</v>
      </c>
      <c r="G32" s="22">
        <v>900</v>
      </c>
      <c r="H32" s="22">
        <v>893.2</v>
      </c>
      <c r="I32" s="58">
        <f t="shared" si="0"/>
        <v>99.244444444444454</v>
      </c>
      <c r="J32" s="58">
        <f t="shared" si="1"/>
        <v>100.10086293847361</v>
      </c>
      <c r="K32" s="3"/>
    </row>
    <row r="33" spans="1:11" ht="17.25" customHeight="1">
      <c r="A33" s="32"/>
      <c r="B33" s="115" t="s">
        <v>27</v>
      </c>
      <c r="C33" s="34" t="s">
        <v>21</v>
      </c>
      <c r="D33" s="25">
        <v>42.83</v>
      </c>
      <c r="E33" s="38">
        <v>42.84</v>
      </c>
      <c r="F33" s="38"/>
      <c r="G33" s="38">
        <v>43</v>
      </c>
      <c r="H33" s="38"/>
      <c r="I33" s="58">
        <f t="shared" si="0"/>
        <v>0</v>
      </c>
      <c r="J33" s="58" t="str">
        <f t="shared" si="1"/>
        <v/>
      </c>
      <c r="K33" s="3"/>
    </row>
    <row r="34" spans="1:11" ht="17.25" customHeight="1">
      <c r="A34" s="32"/>
      <c r="B34" s="115" t="s">
        <v>28</v>
      </c>
      <c r="C34" s="34" t="s">
        <v>76</v>
      </c>
      <c r="D34" s="22">
        <f>D33*D32/10</f>
        <v>3882.1112000000003</v>
      </c>
      <c r="E34" s="22">
        <f>E32*E33/10</f>
        <v>3869.7372000000005</v>
      </c>
      <c r="F34" s="22">
        <f>F32*F33/10</f>
        <v>0</v>
      </c>
      <c r="G34" s="22">
        <f>G32*G33/10</f>
        <v>3870</v>
      </c>
      <c r="H34" s="22">
        <f>H32*H33/10</f>
        <v>0</v>
      </c>
      <c r="I34" s="58">
        <f t="shared" si="0"/>
        <v>0</v>
      </c>
      <c r="J34" s="58" t="str">
        <f t="shared" si="1"/>
        <v/>
      </c>
      <c r="K34" s="3"/>
    </row>
    <row r="35" spans="1:11" ht="17.25" customHeight="1">
      <c r="A35" s="32"/>
      <c r="B35" s="114" t="s">
        <v>456</v>
      </c>
      <c r="C35" s="32" t="s">
        <v>37</v>
      </c>
      <c r="D35" s="22">
        <v>54.6</v>
      </c>
      <c r="E35" s="22">
        <v>66.2</v>
      </c>
      <c r="F35" s="22">
        <v>66.2</v>
      </c>
      <c r="G35" s="22">
        <v>60</v>
      </c>
      <c r="H35" s="22">
        <v>93.9</v>
      </c>
      <c r="I35" s="58">
        <f t="shared" si="0"/>
        <v>156.50000000000003</v>
      </c>
      <c r="J35" s="58">
        <f t="shared" si="1"/>
        <v>141.8429003021148</v>
      </c>
      <c r="K35" s="3"/>
    </row>
    <row r="36" spans="1:11" ht="17.25" customHeight="1">
      <c r="A36" s="32"/>
      <c r="B36" s="115" t="s">
        <v>27</v>
      </c>
      <c r="C36" s="34" t="s">
        <v>21</v>
      </c>
      <c r="D36" s="38">
        <v>12.34</v>
      </c>
      <c r="E36" s="38">
        <v>12.42</v>
      </c>
      <c r="F36" s="38"/>
      <c r="G36" s="38">
        <v>12</v>
      </c>
      <c r="H36" s="38"/>
      <c r="I36" s="58">
        <f t="shared" si="0"/>
        <v>0</v>
      </c>
      <c r="J36" s="58" t="str">
        <f t="shared" si="1"/>
        <v/>
      </c>
      <c r="K36" s="3"/>
    </row>
    <row r="37" spans="1:11" ht="17.25" customHeight="1">
      <c r="A37" s="32"/>
      <c r="B37" s="115" t="s">
        <v>28</v>
      </c>
      <c r="C37" s="34" t="s">
        <v>76</v>
      </c>
      <c r="D37" s="22">
        <f>D36*D35/10</f>
        <v>67.376400000000004</v>
      </c>
      <c r="E37" s="22">
        <f>E36*E35/10</f>
        <v>82.220400000000012</v>
      </c>
      <c r="F37" s="22">
        <f>F36*F35/10</f>
        <v>0</v>
      </c>
      <c r="G37" s="22">
        <f>G36*G35/10</f>
        <v>72</v>
      </c>
      <c r="H37" s="22">
        <f>H36*H35/10</f>
        <v>0</v>
      </c>
      <c r="I37" s="58">
        <f t="shared" si="0"/>
        <v>0</v>
      </c>
      <c r="J37" s="58" t="str">
        <f t="shared" si="1"/>
        <v/>
      </c>
      <c r="K37" s="3"/>
    </row>
    <row r="38" spans="1:11" s="18" customFormat="1" ht="17.25" customHeight="1">
      <c r="A38" s="11" t="s">
        <v>35</v>
      </c>
      <c r="B38" s="44" t="s">
        <v>444</v>
      </c>
      <c r="C38" s="11" t="s">
        <v>37</v>
      </c>
      <c r="D38" s="16">
        <f>D41+D44</f>
        <v>90.92</v>
      </c>
      <c r="E38" s="16">
        <f>E41+E44</f>
        <v>101.6</v>
      </c>
      <c r="F38" s="16">
        <f>F41+F44</f>
        <v>96.1</v>
      </c>
      <c r="G38" s="16">
        <f>G41+G44</f>
        <v>83</v>
      </c>
      <c r="H38" s="16">
        <f>H41+H44</f>
        <v>85.2</v>
      </c>
      <c r="I38" s="66">
        <f t="shared" si="0"/>
        <v>102.65060240963857</v>
      </c>
      <c r="J38" s="66">
        <f t="shared" si="1"/>
        <v>88.657648283038512</v>
      </c>
      <c r="K38" s="83"/>
    </row>
    <row r="39" spans="1:11" ht="17.25" customHeight="1">
      <c r="A39" s="32"/>
      <c r="B39" s="37" t="s">
        <v>27</v>
      </c>
      <c r="C39" s="34" t="s">
        <v>21</v>
      </c>
      <c r="D39" s="38">
        <f>D40/D38*10</f>
        <v>47.840800703915534</v>
      </c>
      <c r="E39" s="38">
        <f>E40/E38*10</f>
        <v>47.733366141732283</v>
      </c>
      <c r="F39" s="38">
        <f>F40/F38*10</f>
        <v>19.047970863683663</v>
      </c>
      <c r="G39" s="38">
        <f>G40/G38*10</f>
        <v>51.385542168674696</v>
      </c>
      <c r="H39" s="38">
        <f>H40/H38*10</f>
        <v>17.018779342723004</v>
      </c>
      <c r="I39" s="58">
        <f t="shared" si="0"/>
        <v>33.119781604830237</v>
      </c>
      <c r="J39" s="58">
        <f t="shared" si="1"/>
        <v>89.346941280609258</v>
      </c>
      <c r="K39" s="3"/>
    </row>
    <row r="40" spans="1:11" ht="17.25" customHeight="1">
      <c r="A40" s="32"/>
      <c r="B40" s="37" t="s">
        <v>28</v>
      </c>
      <c r="C40" s="34" t="s">
        <v>76</v>
      </c>
      <c r="D40" s="22">
        <f>D43+D46</f>
        <v>434.96856000000002</v>
      </c>
      <c r="E40" s="22">
        <f>E43+E46</f>
        <v>484.97099999999995</v>
      </c>
      <c r="F40" s="22">
        <f>F43+F46</f>
        <v>183.05099999999999</v>
      </c>
      <c r="G40" s="22">
        <f>G43+G46</f>
        <v>426.5</v>
      </c>
      <c r="H40" s="22">
        <f>H43+H46</f>
        <v>145</v>
      </c>
      <c r="I40" s="58">
        <f t="shared" si="0"/>
        <v>33.997655334114889</v>
      </c>
      <c r="J40" s="58">
        <f t="shared" si="1"/>
        <v>79.212896952215516</v>
      </c>
      <c r="K40" s="3"/>
    </row>
    <row r="41" spans="1:11" ht="17.25" customHeight="1">
      <c r="A41" s="32" t="s">
        <v>423</v>
      </c>
      <c r="B41" s="116" t="s">
        <v>457</v>
      </c>
      <c r="C41" s="32" t="s">
        <v>37</v>
      </c>
      <c r="D41" s="29">
        <v>28.22</v>
      </c>
      <c r="E41" s="29">
        <v>38.700000000000003</v>
      </c>
      <c r="F41" s="29">
        <v>38.700000000000003</v>
      </c>
      <c r="G41" s="29">
        <v>23</v>
      </c>
      <c r="H41" s="29">
        <v>25</v>
      </c>
      <c r="I41" s="58">
        <f t="shared" si="0"/>
        <v>108.69565217391303</v>
      </c>
      <c r="J41" s="58">
        <f t="shared" si="1"/>
        <v>64.599483204134359</v>
      </c>
      <c r="K41" s="3"/>
    </row>
    <row r="42" spans="1:11" ht="17.25" customHeight="1">
      <c r="A42" s="32"/>
      <c r="B42" s="116" t="s">
        <v>27</v>
      </c>
      <c r="C42" s="34" t="s">
        <v>21</v>
      </c>
      <c r="D42" s="28">
        <v>56.13</v>
      </c>
      <c r="E42" s="28">
        <v>47.3</v>
      </c>
      <c r="F42" s="28">
        <v>47.3</v>
      </c>
      <c r="G42" s="28">
        <v>55</v>
      </c>
      <c r="H42" s="28">
        <v>58</v>
      </c>
      <c r="I42" s="58">
        <f t="shared" ref="I42:I70" si="2">IFERROR(H42/G42%,"")</f>
        <v>105.45454545454544</v>
      </c>
      <c r="J42" s="58">
        <f t="shared" ref="J42:J70" si="3">IFERROR(H42/F42%,"")</f>
        <v>122.6215644820296</v>
      </c>
      <c r="K42" s="3"/>
    </row>
    <row r="43" spans="1:11" ht="17.25" customHeight="1">
      <c r="A43" s="32"/>
      <c r="B43" s="117" t="s">
        <v>28</v>
      </c>
      <c r="C43" s="34" t="s">
        <v>76</v>
      </c>
      <c r="D43" s="29">
        <f>D42*D41/10</f>
        <v>158.39885999999998</v>
      </c>
      <c r="E43" s="29">
        <f>E42*E41/10</f>
        <v>183.05099999999999</v>
      </c>
      <c r="F43" s="29">
        <f>F42*F41/10</f>
        <v>183.05099999999999</v>
      </c>
      <c r="G43" s="29">
        <f>G42*G41/10</f>
        <v>126.5</v>
      </c>
      <c r="H43" s="29">
        <f>H42*H41/10</f>
        <v>145</v>
      </c>
      <c r="I43" s="58">
        <f t="shared" si="2"/>
        <v>114.62450592885376</v>
      </c>
      <c r="J43" s="58">
        <f t="shared" si="3"/>
        <v>79.212896952215516</v>
      </c>
      <c r="K43" s="3"/>
    </row>
    <row r="44" spans="1:11" ht="17.25" customHeight="1">
      <c r="A44" s="32" t="s">
        <v>424</v>
      </c>
      <c r="B44" s="116" t="s">
        <v>458</v>
      </c>
      <c r="C44" s="32" t="s">
        <v>37</v>
      </c>
      <c r="D44" s="29">
        <v>62.7</v>
      </c>
      <c r="E44" s="29">
        <v>62.9</v>
      </c>
      <c r="F44" s="29">
        <v>57.4</v>
      </c>
      <c r="G44" s="29">
        <v>60</v>
      </c>
      <c r="H44" s="29">
        <v>60.2</v>
      </c>
      <c r="I44" s="58">
        <f t="shared" si="2"/>
        <v>100.33333333333334</v>
      </c>
      <c r="J44" s="58">
        <f t="shared" si="3"/>
        <v>104.87804878048782</v>
      </c>
      <c r="K44" s="3"/>
    </row>
    <row r="45" spans="1:11" ht="17.25" customHeight="1">
      <c r="A45" s="32"/>
      <c r="B45" s="116" t="s">
        <v>27</v>
      </c>
      <c r="C45" s="34" t="s">
        <v>21</v>
      </c>
      <c r="D45" s="28">
        <v>44.11</v>
      </c>
      <c r="E45" s="28">
        <v>48</v>
      </c>
      <c r="F45" s="28"/>
      <c r="G45" s="28">
        <v>50</v>
      </c>
      <c r="H45" s="28"/>
      <c r="I45" s="58">
        <f t="shared" si="2"/>
        <v>0</v>
      </c>
      <c r="J45" s="58" t="str">
        <f t="shared" si="3"/>
        <v/>
      </c>
      <c r="K45" s="3"/>
    </row>
    <row r="46" spans="1:11" ht="17.25" customHeight="1">
      <c r="A46" s="32"/>
      <c r="B46" s="117" t="s">
        <v>28</v>
      </c>
      <c r="C46" s="34" t="s">
        <v>76</v>
      </c>
      <c r="D46" s="29">
        <f>D44*D45/10</f>
        <v>276.56970000000001</v>
      </c>
      <c r="E46" s="29">
        <f>E45*E44/10</f>
        <v>301.91999999999996</v>
      </c>
      <c r="F46" s="29">
        <f>F45*F44/10</f>
        <v>0</v>
      </c>
      <c r="G46" s="29">
        <f>G45*G44/10</f>
        <v>300</v>
      </c>
      <c r="H46" s="29">
        <f>H45*H44/10</f>
        <v>0</v>
      </c>
      <c r="I46" s="58">
        <f t="shared" si="2"/>
        <v>0</v>
      </c>
      <c r="J46" s="58" t="str">
        <f t="shared" si="3"/>
        <v/>
      </c>
      <c r="K46" s="3"/>
    </row>
    <row r="47" spans="1:11" ht="19.5" customHeight="1">
      <c r="A47" s="11">
        <v>2</v>
      </c>
      <c r="B47" s="30" t="s">
        <v>29</v>
      </c>
      <c r="C47" s="32" t="s">
        <v>37</v>
      </c>
      <c r="D47" s="27">
        <v>6199.5</v>
      </c>
      <c r="E47" s="27">
        <v>5720.5</v>
      </c>
      <c r="F47" s="27">
        <v>5720.5</v>
      </c>
      <c r="G47" s="27">
        <v>6000</v>
      </c>
      <c r="H47" s="27">
        <v>5281.3</v>
      </c>
      <c r="I47" s="66">
        <f t="shared" si="2"/>
        <v>88.021666666666675</v>
      </c>
      <c r="J47" s="66">
        <f t="shared" si="3"/>
        <v>92.322349444978585</v>
      </c>
      <c r="K47" s="3"/>
    </row>
    <row r="48" spans="1:11" ht="19.5" customHeight="1">
      <c r="A48" s="39"/>
      <c r="B48" s="37" t="s">
        <v>27</v>
      </c>
      <c r="C48" s="34" t="s">
        <v>21</v>
      </c>
      <c r="D48" s="28">
        <f>D49/D47*10</f>
        <v>148.34260827486088</v>
      </c>
      <c r="E48" s="28">
        <v>148.51</v>
      </c>
      <c r="F48" s="28"/>
      <c r="G48" s="28">
        <v>145</v>
      </c>
      <c r="H48" s="28"/>
      <c r="I48" s="58">
        <f t="shared" si="2"/>
        <v>0</v>
      </c>
      <c r="J48" s="58" t="str">
        <f t="shared" si="3"/>
        <v/>
      </c>
      <c r="K48" s="3"/>
    </row>
    <row r="49" spans="1:11" ht="19.5" customHeight="1">
      <c r="A49" s="39"/>
      <c r="B49" s="37" t="s">
        <v>28</v>
      </c>
      <c r="C49" s="34" t="s">
        <v>76</v>
      </c>
      <c r="D49" s="29">
        <v>91965</v>
      </c>
      <c r="E49" s="29">
        <f>E48*E47/10</f>
        <v>84955.145499999999</v>
      </c>
      <c r="F49" s="29">
        <f>F48*F47/10</f>
        <v>0</v>
      </c>
      <c r="G49" s="29">
        <f>G48*G47/10</f>
        <v>87000</v>
      </c>
      <c r="H49" s="29">
        <f>H48*H47/10</f>
        <v>0</v>
      </c>
      <c r="I49" s="58">
        <f t="shared" si="2"/>
        <v>0</v>
      </c>
      <c r="J49" s="58" t="str">
        <f t="shared" si="3"/>
        <v/>
      </c>
      <c r="K49" s="3"/>
    </row>
    <row r="50" spans="1:11" s="18" customFormat="1" ht="19.5" customHeight="1">
      <c r="A50" s="11">
        <v>3</v>
      </c>
      <c r="B50" s="30" t="s">
        <v>317</v>
      </c>
      <c r="C50" s="11" t="s">
        <v>37</v>
      </c>
      <c r="D50" s="27">
        <v>9.1999999999999993</v>
      </c>
      <c r="E50" s="27">
        <v>10.5</v>
      </c>
      <c r="F50" s="27">
        <v>10.5</v>
      </c>
      <c r="G50" s="27">
        <v>30</v>
      </c>
      <c r="H50" s="27">
        <v>29.1</v>
      </c>
      <c r="I50" s="66">
        <f t="shared" si="2"/>
        <v>97.000000000000014</v>
      </c>
      <c r="J50" s="66">
        <f t="shared" si="3"/>
        <v>277.14285714285717</v>
      </c>
      <c r="K50" s="83"/>
    </row>
    <row r="51" spans="1:11" ht="19.5" customHeight="1">
      <c r="A51" s="32"/>
      <c r="B51" s="33" t="s">
        <v>123</v>
      </c>
      <c r="C51" s="32" t="s">
        <v>37</v>
      </c>
      <c r="D51" s="29"/>
      <c r="E51" s="29"/>
      <c r="F51" s="29"/>
      <c r="G51" s="29">
        <v>20</v>
      </c>
      <c r="H51" s="29">
        <v>19.100000000000001</v>
      </c>
      <c r="I51" s="58">
        <f t="shared" si="2"/>
        <v>95.5</v>
      </c>
      <c r="J51" s="58" t="str">
        <f t="shared" si="3"/>
        <v/>
      </c>
      <c r="K51" s="3"/>
    </row>
    <row r="52" spans="1:11" ht="19.5" customHeight="1">
      <c r="A52" s="39"/>
      <c r="B52" s="37" t="s">
        <v>27</v>
      </c>
      <c r="C52" s="34" t="s">
        <v>21</v>
      </c>
      <c r="D52" s="28"/>
      <c r="E52" s="28">
        <v>600</v>
      </c>
      <c r="F52" s="28"/>
      <c r="G52" s="28">
        <v>733.3</v>
      </c>
      <c r="H52" s="28"/>
      <c r="I52" s="58">
        <f t="shared" si="2"/>
        <v>0</v>
      </c>
      <c r="J52" s="58" t="str">
        <f t="shared" si="3"/>
        <v/>
      </c>
      <c r="K52" s="3"/>
    </row>
    <row r="53" spans="1:11" ht="19.5" customHeight="1">
      <c r="A53" s="39"/>
      <c r="B53" s="37" t="s">
        <v>28</v>
      </c>
      <c r="C53" s="34" t="s">
        <v>76</v>
      </c>
      <c r="D53" s="29">
        <f>D52*D50/10</f>
        <v>0</v>
      </c>
      <c r="E53" s="29">
        <f>E52*E50/10</f>
        <v>630</v>
      </c>
      <c r="F53" s="29">
        <f>F52*F50/10</f>
        <v>0</v>
      </c>
      <c r="G53" s="29">
        <f>G52*G50/10</f>
        <v>2199.9</v>
      </c>
      <c r="H53" s="29">
        <f>H52*H50/10</f>
        <v>0</v>
      </c>
      <c r="I53" s="58">
        <f t="shared" si="2"/>
        <v>0</v>
      </c>
      <c r="J53" s="58" t="str">
        <f t="shared" si="3"/>
        <v/>
      </c>
      <c r="K53" s="3"/>
    </row>
    <row r="54" spans="1:11" ht="19.5" customHeight="1">
      <c r="A54" s="11">
        <v>4</v>
      </c>
      <c r="B54" s="30" t="s">
        <v>136</v>
      </c>
      <c r="C54" s="32" t="s">
        <v>37</v>
      </c>
      <c r="D54" s="27">
        <f>D57+D60</f>
        <v>219.3</v>
      </c>
      <c r="E54" s="27">
        <f>E57+E60</f>
        <v>259</v>
      </c>
      <c r="F54" s="27">
        <f>F57+F60</f>
        <v>214.8</v>
      </c>
      <c r="G54" s="27">
        <f>G57+G60</f>
        <v>230</v>
      </c>
      <c r="H54" s="27">
        <f>H57+H60</f>
        <v>220.8</v>
      </c>
      <c r="I54" s="66">
        <f t="shared" si="2"/>
        <v>96.000000000000014</v>
      </c>
      <c r="J54" s="66">
        <f t="shared" si="3"/>
        <v>102.79329608938548</v>
      </c>
      <c r="K54" s="3"/>
    </row>
    <row r="55" spans="1:11" ht="19.5" customHeight="1">
      <c r="A55" s="39"/>
      <c r="B55" s="37" t="s">
        <v>27</v>
      </c>
      <c r="C55" s="34" t="s">
        <v>21</v>
      </c>
      <c r="D55" s="28">
        <f>D56/D54*10</f>
        <v>119.96580027359781</v>
      </c>
      <c r="E55" s="28">
        <f>E56/E54*10</f>
        <v>134.57142857142858</v>
      </c>
      <c r="F55" s="28">
        <f>F56/F54*10</f>
        <v>96.945996275605211</v>
      </c>
      <c r="G55" s="28">
        <f>G56/G54*10</f>
        <v>136.63173913043477</v>
      </c>
      <c r="H55" s="28">
        <f>H56/H54*10</f>
        <v>81.244565217391283</v>
      </c>
      <c r="I55" s="58">
        <f t="shared" si="2"/>
        <v>59.462439499384246</v>
      </c>
      <c r="J55" s="58">
        <f t="shared" si="3"/>
        <v>83.803940687166971</v>
      </c>
      <c r="K55" s="3"/>
    </row>
    <row r="56" spans="1:11" ht="19.5" customHeight="1">
      <c r="A56" s="39"/>
      <c r="B56" s="37" t="s">
        <v>28</v>
      </c>
      <c r="C56" s="34" t="s">
        <v>76</v>
      </c>
      <c r="D56" s="29">
        <f>D59+D62</f>
        <v>2630.85</v>
      </c>
      <c r="E56" s="29">
        <f>E59+E62</f>
        <v>3485.4</v>
      </c>
      <c r="F56" s="29">
        <f>F59+F62</f>
        <v>2082.4</v>
      </c>
      <c r="G56" s="29">
        <f>G59+G62</f>
        <v>3142.5299999999997</v>
      </c>
      <c r="H56" s="29">
        <f>H59+H62</f>
        <v>1793.8799999999999</v>
      </c>
      <c r="I56" s="58">
        <f t="shared" si="2"/>
        <v>57.083941919408886</v>
      </c>
      <c r="J56" s="58">
        <f t="shared" si="3"/>
        <v>86.14483288513253</v>
      </c>
      <c r="K56" s="3"/>
    </row>
    <row r="57" spans="1:11" ht="19.5" customHeight="1">
      <c r="A57" s="32"/>
      <c r="B57" s="136" t="s">
        <v>459</v>
      </c>
      <c r="C57" s="21" t="s">
        <v>37</v>
      </c>
      <c r="D57" s="22">
        <v>97.3</v>
      </c>
      <c r="E57" s="22">
        <v>137</v>
      </c>
      <c r="F57" s="22">
        <v>137</v>
      </c>
      <c r="G57" s="22">
        <v>123</v>
      </c>
      <c r="H57" s="22">
        <v>118.8</v>
      </c>
      <c r="I57" s="58">
        <f t="shared" si="2"/>
        <v>96.58536585365853</v>
      </c>
      <c r="J57" s="58">
        <f t="shared" si="3"/>
        <v>86.71532846715327</v>
      </c>
      <c r="K57" s="3"/>
    </row>
    <row r="58" spans="1:11" ht="19.5" customHeight="1">
      <c r="A58" s="32"/>
      <c r="B58" s="136" t="s">
        <v>27</v>
      </c>
      <c r="C58" s="21" t="s">
        <v>21</v>
      </c>
      <c r="D58" s="38">
        <v>145</v>
      </c>
      <c r="E58" s="38">
        <v>152</v>
      </c>
      <c r="F58" s="38">
        <v>152</v>
      </c>
      <c r="G58" s="38">
        <v>151.1</v>
      </c>
      <c r="H58" s="38">
        <v>151</v>
      </c>
      <c r="I58" s="58">
        <f t="shared" si="2"/>
        <v>99.933818663137004</v>
      </c>
      <c r="J58" s="58">
        <f t="shared" si="3"/>
        <v>99.34210526315789</v>
      </c>
      <c r="K58" s="3"/>
    </row>
    <row r="59" spans="1:11" ht="19.5" customHeight="1">
      <c r="A59" s="32"/>
      <c r="B59" s="136" t="s">
        <v>28</v>
      </c>
      <c r="C59" s="21" t="s">
        <v>76</v>
      </c>
      <c r="D59" s="22">
        <f>D58*D57/10</f>
        <v>1410.85</v>
      </c>
      <c r="E59" s="22">
        <f>E58*E57/10</f>
        <v>2082.4</v>
      </c>
      <c r="F59" s="22">
        <f>F58*F57/10</f>
        <v>2082.4</v>
      </c>
      <c r="G59" s="22">
        <f>G58*G57/10</f>
        <v>1858.53</v>
      </c>
      <c r="H59" s="22">
        <f>H58*H57/10</f>
        <v>1793.8799999999999</v>
      </c>
      <c r="I59" s="58">
        <f t="shared" si="2"/>
        <v>96.521444367322559</v>
      </c>
      <c r="J59" s="58">
        <f t="shared" si="3"/>
        <v>86.14483288513253</v>
      </c>
      <c r="K59" s="3"/>
    </row>
    <row r="60" spans="1:11" ht="19.5" customHeight="1">
      <c r="A60" s="32"/>
      <c r="B60" s="136" t="s">
        <v>460</v>
      </c>
      <c r="C60" s="21" t="s">
        <v>37</v>
      </c>
      <c r="D60" s="22">
        <v>122</v>
      </c>
      <c r="E60" s="22">
        <v>122</v>
      </c>
      <c r="F60" s="22">
        <f>73.8+4</f>
        <v>77.8</v>
      </c>
      <c r="G60" s="22">
        <v>107</v>
      </c>
      <c r="H60" s="22">
        <f>90+12</f>
        <v>102</v>
      </c>
      <c r="I60" s="58">
        <f t="shared" si="2"/>
        <v>95.327102803738313</v>
      </c>
      <c r="J60" s="58">
        <f t="shared" si="3"/>
        <v>131.10539845758353</v>
      </c>
      <c r="K60" s="3"/>
    </row>
    <row r="61" spans="1:11" ht="19.5" customHeight="1">
      <c r="A61" s="32"/>
      <c r="B61" s="136" t="s">
        <v>27</v>
      </c>
      <c r="C61" s="21" t="s">
        <v>21</v>
      </c>
      <c r="D61" s="38">
        <v>100</v>
      </c>
      <c r="E61" s="38">
        <v>115</v>
      </c>
      <c r="F61" s="38"/>
      <c r="G61" s="38">
        <v>120</v>
      </c>
      <c r="H61" s="38"/>
      <c r="I61" s="58">
        <f t="shared" si="2"/>
        <v>0</v>
      </c>
      <c r="J61" s="58" t="str">
        <f t="shared" si="3"/>
        <v/>
      </c>
      <c r="K61" s="3"/>
    </row>
    <row r="62" spans="1:11" ht="19.5" customHeight="1">
      <c r="A62" s="32"/>
      <c r="B62" s="136" t="s">
        <v>28</v>
      </c>
      <c r="C62" s="21" t="s">
        <v>76</v>
      </c>
      <c r="D62" s="22">
        <f>D61*D60/10</f>
        <v>1220</v>
      </c>
      <c r="E62" s="22">
        <f>E61*E60/10</f>
        <v>1403</v>
      </c>
      <c r="F62" s="180">
        <f>F61*F60/10</f>
        <v>0</v>
      </c>
      <c r="G62" s="22">
        <f>G61*G60/10</f>
        <v>1284</v>
      </c>
      <c r="H62" s="180">
        <f>H61*H60/10</f>
        <v>0</v>
      </c>
      <c r="I62" s="58">
        <f t="shared" si="2"/>
        <v>0</v>
      </c>
      <c r="J62" s="58" t="str">
        <f t="shared" si="3"/>
        <v/>
      </c>
      <c r="K62" s="3"/>
    </row>
    <row r="63" spans="1:11" s="18" customFormat="1" ht="31.5">
      <c r="A63" s="11">
        <v>5</v>
      </c>
      <c r="B63" s="30" t="s">
        <v>411</v>
      </c>
      <c r="C63" s="11" t="s">
        <v>37</v>
      </c>
      <c r="D63" s="36">
        <f>SUM(D64:D66)</f>
        <v>7.5</v>
      </c>
      <c r="E63" s="36">
        <f>SUM(E64:E66)</f>
        <v>31.2</v>
      </c>
      <c r="F63" s="36">
        <f>SUM(F64:F66)</f>
        <v>15</v>
      </c>
      <c r="G63" s="36">
        <f>SUM(G64:G66)</f>
        <v>32</v>
      </c>
      <c r="H63" s="36">
        <f>SUM(H64:H66)</f>
        <v>38</v>
      </c>
      <c r="I63" s="66">
        <f t="shared" si="2"/>
        <v>118.75</v>
      </c>
      <c r="J63" s="66">
        <f t="shared" si="3"/>
        <v>253.33333333333334</v>
      </c>
      <c r="K63" s="83"/>
    </row>
    <row r="64" spans="1:11" ht="19.5" hidden="1" customHeight="1" outlineLevel="1">
      <c r="A64" s="32"/>
      <c r="B64" s="35" t="s">
        <v>402</v>
      </c>
      <c r="C64" s="32" t="s">
        <v>37</v>
      </c>
      <c r="D64" s="28">
        <v>3.7</v>
      </c>
      <c r="E64" s="28">
        <v>4</v>
      </c>
      <c r="F64" s="28">
        <v>4</v>
      </c>
      <c r="G64" s="28">
        <v>4</v>
      </c>
      <c r="H64" s="28">
        <v>4</v>
      </c>
      <c r="I64" s="58">
        <f t="shared" si="2"/>
        <v>100</v>
      </c>
      <c r="J64" s="58">
        <f t="shared" si="3"/>
        <v>100</v>
      </c>
      <c r="K64" s="3"/>
    </row>
    <row r="65" spans="1:12" ht="19.5" hidden="1" customHeight="1" outlineLevel="1">
      <c r="A65" s="32"/>
      <c r="B65" s="35" t="s">
        <v>403</v>
      </c>
      <c r="C65" s="32" t="s">
        <v>37</v>
      </c>
      <c r="D65" s="28">
        <v>3.8</v>
      </c>
      <c r="E65" s="28">
        <v>4</v>
      </c>
      <c r="F65" s="28">
        <v>2</v>
      </c>
      <c r="G65" s="28">
        <v>4</v>
      </c>
      <c r="H65" s="28">
        <v>3.8</v>
      </c>
      <c r="I65" s="58">
        <f t="shared" si="2"/>
        <v>95</v>
      </c>
      <c r="J65" s="58">
        <f t="shared" si="3"/>
        <v>190</v>
      </c>
      <c r="K65" s="3"/>
    </row>
    <row r="66" spans="1:12" ht="19.5" hidden="1" customHeight="1" outlineLevel="1">
      <c r="A66" s="32"/>
      <c r="B66" s="35" t="s">
        <v>404</v>
      </c>
      <c r="C66" s="32" t="s">
        <v>37</v>
      </c>
      <c r="D66" s="28"/>
      <c r="E66" s="28">
        <v>23.2</v>
      </c>
      <c r="F66" s="28">
        <v>9</v>
      </c>
      <c r="G66" s="28">
        <v>24</v>
      </c>
      <c r="H66" s="28">
        <v>30.2</v>
      </c>
      <c r="I66" s="58">
        <f t="shared" si="2"/>
        <v>125.83333333333333</v>
      </c>
      <c r="J66" s="58">
        <f t="shared" si="3"/>
        <v>335.55555555555554</v>
      </c>
      <c r="K66" s="3"/>
    </row>
    <row r="67" spans="1:12" ht="17.25" customHeight="1" collapsed="1">
      <c r="A67" s="24" t="s">
        <v>39</v>
      </c>
      <c r="B67" s="30" t="s">
        <v>122</v>
      </c>
      <c r="C67" s="11" t="s">
        <v>37</v>
      </c>
      <c r="D67" s="27">
        <f>D68+D81+D94</f>
        <v>9814</v>
      </c>
      <c r="E67" s="27">
        <f>E68+E81+E94</f>
        <v>10071.6</v>
      </c>
      <c r="F67" s="27">
        <f>F68+F81+F94</f>
        <v>10029.300000000001</v>
      </c>
      <c r="G67" s="27">
        <f>G68+G81+G94</f>
        <v>10122.1</v>
      </c>
      <c r="H67" s="27">
        <f>H68+H81+H94</f>
        <v>10449.800000000001</v>
      </c>
      <c r="I67" s="66">
        <f t="shared" si="2"/>
        <v>103.23747048537359</v>
      </c>
      <c r="J67" s="66">
        <f t="shared" si="3"/>
        <v>104.19271534404196</v>
      </c>
      <c r="K67" s="3"/>
    </row>
    <row r="68" spans="1:12" s="18" customFormat="1" ht="17.25" customHeight="1">
      <c r="A68" s="24">
        <v>1</v>
      </c>
      <c r="B68" s="23" t="s">
        <v>448</v>
      </c>
      <c r="C68" s="11" t="s">
        <v>37</v>
      </c>
      <c r="D68" s="27">
        <f>D69+D75</f>
        <v>9537.2999999999993</v>
      </c>
      <c r="E68" s="27">
        <f>E69+E75</f>
        <v>9722.1</v>
      </c>
      <c r="F68" s="27">
        <f>F69+F75</f>
        <v>9722.1</v>
      </c>
      <c r="G68" s="27">
        <f>G69+G75</f>
        <v>9772.1</v>
      </c>
      <c r="H68" s="27">
        <f>H69+H75</f>
        <v>10029.6</v>
      </c>
      <c r="I68" s="66">
        <f t="shared" si="2"/>
        <v>102.63505285455531</v>
      </c>
      <c r="J68" s="66">
        <f t="shared" si="3"/>
        <v>103.16289690498967</v>
      </c>
      <c r="K68" s="83"/>
    </row>
    <row r="69" spans="1:12" s="18" customFormat="1" ht="17.25" customHeight="1">
      <c r="A69" s="11" t="s">
        <v>34</v>
      </c>
      <c r="B69" s="30" t="s">
        <v>445</v>
      </c>
      <c r="C69" s="11" t="s">
        <v>37</v>
      </c>
      <c r="D69" s="16">
        <v>1743.8</v>
      </c>
      <c r="E69" s="16">
        <f>D69+E70</f>
        <v>1919.5</v>
      </c>
      <c r="F69" s="16">
        <f>D69+F70-F71</f>
        <v>1919.5</v>
      </c>
      <c r="G69" s="16">
        <f>E69+G70-G71</f>
        <v>1969.5</v>
      </c>
      <c r="H69" s="16">
        <f>E69+H70-H71</f>
        <v>2299.5</v>
      </c>
      <c r="I69" s="66">
        <f t="shared" si="2"/>
        <v>116.75552170601675</v>
      </c>
      <c r="J69" s="66">
        <f t="shared" si="3"/>
        <v>119.79682208908569</v>
      </c>
      <c r="K69" s="83"/>
    </row>
    <row r="70" spans="1:12" ht="17.25" customHeight="1">
      <c r="A70" s="32"/>
      <c r="B70" s="35" t="s">
        <v>123</v>
      </c>
      <c r="C70" s="32" t="s">
        <v>37</v>
      </c>
      <c r="D70" s="38">
        <v>185.9</v>
      </c>
      <c r="E70" s="38">
        <v>175.7</v>
      </c>
      <c r="F70" s="38">
        <v>175.7</v>
      </c>
      <c r="G70" s="38">
        <v>50</v>
      </c>
      <c r="H70" s="38">
        <v>381</v>
      </c>
      <c r="I70" s="58">
        <f t="shared" si="2"/>
        <v>762</v>
      </c>
      <c r="J70" s="58">
        <f t="shared" si="3"/>
        <v>216.84689812179855</v>
      </c>
      <c r="K70" s="3"/>
    </row>
    <row r="71" spans="1:12" ht="17.25" customHeight="1">
      <c r="A71" s="32"/>
      <c r="B71" s="35" t="s">
        <v>321</v>
      </c>
      <c r="C71" s="32" t="s">
        <v>37</v>
      </c>
      <c r="D71" s="38"/>
      <c r="E71" s="38"/>
      <c r="F71" s="38"/>
      <c r="G71" s="38"/>
      <c r="H71" s="38">
        <v>1</v>
      </c>
      <c r="I71" s="58"/>
      <c r="J71" s="58"/>
      <c r="K71" s="3"/>
    </row>
    <row r="72" spans="1:12" ht="17.25" customHeight="1">
      <c r="A72" s="32"/>
      <c r="B72" s="35" t="s">
        <v>124</v>
      </c>
      <c r="C72" s="32" t="s">
        <v>37</v>
      </c>
      <c r="D72" s="22">
        <v>1246</v>
      </c>
      <c r="E72" s="22">
        <v>1384</v>
      </c>
      <c r="F72" s="22">
        <v>1352.4</v>
      </c>
      <c r="G72" s="22">
        <v>1559</v>
      </c>
      <c r="H72" s="22">
        <v>1558</v>
      </c>
      <c r="I72" s="58">
        <f t="shared" ref="I72:I115" si="4">IFERROR(H72/G72%,"")</f>
        <v>99.935856318152659</v>
      </c>
      <c r="J72" s="58">
        <f t="shared" ref="J72:J115" si="5">IFERROR(H72/F72%,"")</f>
        <v>115.20260278024253</v>
      </c>
      <c r="K72" s="3"/>
      <c r="L72" s="81"/>
    </row>
    <row r="73" spans="1:12" ht="17.25" customHeight="1">
      <c r="A73" s="32"/>
      <c r="B73" s="35" t="s">
        <v>125</v>
      </c>
      <c r="C73" s="32" t="s">
        <v>21</v>
      </c>
      <c r="D73" s="38">
        <v>31.73</v>
      </c>
      <c r="E73" s="38">
        <v>35.65</v>
      </c>
      <c r="F73" s="38"/>
      <c r="G73" s="38">
        <v>35</v>
      </c>
      <c r="H73" s="38"/>
      <c r="I73" s="58">
        <f t="shared" si="4"/>
        <v>0</v>
      </c>
      <c r="J73" s="58" t="str">
        <f t="shared" si="5"/>
        <v/>
      </c>
      <c r="K73" s="3"/>
    </row>
    <row r="74" spans="1:12" ht="17.25" customHeight="1">
      <c r="A74" s="32"/>
      <c r="B74" s="35" t="s">
        <v>320</v>
      </c>
      <c r="C74" s="32" t="s">
        <v>76</v>
      </c>
      <c r="D74" s="22">
        <f>D72*D73/10</f>
        <v>3953.558</v>
      </c>
      <c r="E74" s="22">
        <f>E72*E73/10</f>
        <v>4933.96</v>
      </c>
      <c r="F74" s="180">
        <f>F72*F73/10</f>
        <v>0</v>
      </c>
      <c r="G74" s="22">
        <f>G72*G73/10</f>
        <v>5456.5</v>
      </c>
      <c r="H74" s="180">
        <f>H72*H73/10</f>
        <v>0</v>
      </c>
      <c r="I74" s="58">
        <f t="shared" si="4"/>
        <v>0</v>
      </c>
      <c r="J74" s="58" t="str">
        <f t="shared" si="5"/>
        <v/>
      </c>
      <c r="K74" s="3"/>
    </row>
    <row r="75" spans="1:12" s="18" customFormat="1" ht="17.25" customHeight="1">
      <c r="A75" s="11" t="s">
        <v>35</v>
      </c>
      <c r="B75" s="30" t="s">
        <v>446</v>
      </c>
      <c r="C75" s="11" t="s">
        <v>37</v>
      </c>
      <c r="D75" s="16">
        <v>7793.5</v>
      </c>
      <c r="E75" s="16">
        <f>D75+E76-E77</f>
        <v>7802.6</v>
      </c>
      <c r="F75" s="16">
        <f>D75+F76-F77</f>
        <v>7802.6</v>
      </c>
      <c r="G75" s="16">
        <f>E75+G76-G77</f>
        <v>7802.6</v>
      </c>
      <c r="H75" s="16">
        <f>E75+H76-H77</f>
        <v>7730.1</v>
      </c>
      <c r="I75" s="66">
        <f t="shared" si="4"/>
        <v>99.070822546330703</v>
      </c>
      <c r="J75" s="66">
        <f t="shared" si="5"/>
        <v>99.070822546330703</v>
      </c>
      <c r="K75" s="83"/>
    </row>
    <row r="76" spans="1:12" ht="17.25" customHeight="1">
      <c r="A76" s="32"/>
      <c r="B76" s="35" t="s">
        <v>123</v>
      </c>
      <c r="C76" s="32" t="s">
        <v>37</v>
      </c>
      <c r="D76" s="43">
        <v>0</v>
      </c>
      <c r="E76" s="28">
        <v>24.6</v>
      </c>
      <c r="F76" s="43">
        <v>24.6</v>
      </c>
      <c r="G76" s="43"/>
      <c r="H76" s="43">
        <v>38.299999999999997</v>
      </c>
      <c r="I76" s="58" t="str">
        <f t="shared" si="4"/>
        <v/>
      </c>
      <c r="J76" s="58">
        <f t="shared" si="5"/>
        <v>155.69105691056907</v>
      </c>
      <c r="K76" s="3"/>
    </row>
    <row r="77" spans="1:12" ht="17.25" customHeight="1">
      <c r="A77" s="32"/>
      <c r="B77" s="35" t="s">
        <v>321</v>
      </c>
      <c r="C77" s="32" t="s">
        <v>37</v>
      </c>
      <c r="D77" s="28">
        <v>81.5</v>
      </c>
      <c r="E77" s="28">
        <v>15.5</v>
      </c>
      <c r="F77" s="43">
        <v>15.5</v>
      </c>
      <c r="G77" s="43"/>
      <c r="H77" s="43">
        <v>110.8</v>
      </c>
      <c r="I77" s="58" t="str">
        <f t="shared" si="4"/>
        <v/>
      </c>
      <c r="J77" s="58">
        <f t="shared" si="5"/>
        <v>714.83870967741939</v>
      </c>
      <c r="K77" s="3"/>
    </row>
    <row r="78" spans="1:12" ht="17.25" customHeight="1">
      <c r="A78" s="32"/>
      <c r="B78" s="35" t="s">
        <v>124</v>
      </c>
      <c r="C78" s="32" t="s">
        <v>37</v>
      </c>
      <c r="D78" s="22">
        <v>4821</v>
      </c>
      <c r="E78" s="22">
        <v>5385</v>
      </c>
      <c r="F78" s="22">
        <v>5385</v>
      </c>
      <c r="G78" s="22">
        <v>5755</v>
      </c>
      <c r="H78" s="22">
        <v>5723.7</v>
      </c>
      <c r="I78" s="58">
        <f t="shared" si="4"/>
        <v>99.456125108601213</v>
      </c>
      <c r="J78" s="58">
        <f t="shared" si="5"/>
        <v>106.28969359331475</v>
      </c>
      <c r="K78" s="3"/>
    </row>
    <row r="79" spans="1:12" ht="17.25" customHeight="1">
      <c r="A79" s="32"/>
      <c r="B79" s="35" t="s">
        <v>126</v>
      </c>
      <c r="C79" s="32" t="s">
        <v>21</v>
      </c>
      <c r="D79" s="38">
        <v>12.33</v>
      </c>
      <c r="E79" s="38">
        <v>12.35</v>
      </c>
      <c r="F79" s="38">
        <v>12.35</v>
      </c>
      <c r="G79" s="38">
        <v>12.5</v>
      </c>
      <c r="H79" s="38">
        <v>12.5</v>
      </c>
      <c r="I79" s="58">
        <f t="shared" si="4"/>
        <v>100</v>
      </c>
      <c r="J79" s="58">
        <f t="shared" si="5"/>
        <v>101.21457489878543</v>
      </c>
      <c r="K79" s="3"/>
    </row>
    <row r="80" spans="1:12" ht="17.25" customHeight="1">
      <c r="A80" s="32"/>
      <c r="B80" s="35" t="s">
        <v>474</v>
      </c>
      <c r="C80" s="32" t="s">
        <v>76</v>
      </c>
      <c r="D80" s="22">
        <f>D78*D79/10</f>
        <v>5944.2929999999997</v>
      </c>
      <c r="E80" s="22">
        <f>E78*E79/10</f>
        <v>6650.4750000000004</v>
      </c>
      <c r="F80" s="22">
        <f>F78*F79/10</f>
        <v>6650.4750000000004</v>
      </c>
      <c r="G80" s="22">
        <f>G78*G79/10</f>
        <v>7193.75</v>
      </c>
      <c r="H80" s="22">
        <f>H78*H79/10</f>
        <v>7154.625</v>
      </c>
      <c r="I80" s="58">
        <f t="shared" si="4"/>
        <v>99.456125108601213</v>
      </c>
      <c r="J80" s="58">
        <f t="shared" si="5"/>
        <v>107.5806615316951</v>
      </c>
      <c r="K80" s="3"/>
    </row>
    <row r="81" spans="1:12" s="18" customFormat="1" ht="17.25" customHeight="1">
      <c r="A81" s="11">
        <v>2</v>
      </c>
      <c r="B81" s="30" t="s">
        <v>181</v>
      </c>
      <c r="C81" s="11" t="s">
        <v>37</v>
      </c>
      <c r="D81" s="16">
        <v>155.19999999999999</v>
      </c>
      <c r="E81" s="16">
        <v>218.9</v>
      </c>
      <c r="F81" s="16">
        <f>F82+F87+F91+F92+F93</f>
        <v>183.5</v>
      </c>
      <c r="G81" s="16">
        <v>220</v>
      </c>
      <c r="H81" s="16">
        <f>H82+H87+H91+H92+H93</f>
        <v>294.5</v>
      </c>
      <c r="I81" s="66">
        <f t="shared" si="4"/>
        <v>133.86363636363635</v>
      </c>
      <c r="J81" s="66">
        <f t="shared" si="5"/>
        <v>160.49046321525887</v>
      </c>
      <c r="K81" s="83"/>
    </row>
    <row r="82" spans="1:12" s="306" customFormat="1" ht="17.25" hidden="1" customHeight="1" outlineLevel="1">
      <c r="A82" s="96" t="s">
        <v>34</v>
      </c>
      <c r="B82" s="311" t="s">
        <v>739</v>
      </c>
      <c r="C82" s="312" t="s">
        <v>37</v>
      </c>
      <c r="D82" s="313"/>
      <c r="E82" s="304"/>
      <c r="F82" s="313">
        <f>F83+F84+F85+F86</f>
        <v>162.5</v>
      </c>
      <c r="G82" s="307"/>
      <c r="H82" s="314">
        <f>H83+H84+H85+H86</f>
        <v>162.30000000000001</v>
      </c>
      <c r="I82" s="308" t="str">
        <f t="shared" ref="I82:I93" si="6">IFERROR(H82/G82%,"")</f>
        <v/>
      </c>
      <c r="J82" s="160">
        <f t="shared" ref="J82:J93" si="7">IFERROR(H82/F82%,"")</f>
        <v>99.876923076923077</v>
      </c>
      <c r="K82" s="305"/>
    </row>
    <row r="83" spans="1:12" s="18" customFormat="1" ht="17.25" hidden="1" customHeight="1" outlineLevel="1">
      <c r="A83" s="11"/>
      <c r="B83" s="315" t="s">
        <v>732</v>
      </c>
      <c r="C83" s="316" t="s">
        <v>37</v>
      </c>
      <c r="D83" s="317"/>
      <c r="E83" s="16"/>
      <c r="F83" s="317">
        <v>10</v>
      </c>
      <c r="G83" s="309"/>
      <c r="H83" s="318">
        <v>10.3</v>
      </c>
      <c r="I83" s="310" t="str">
        <f t="shared" si="6"/>
        <v/>
      </c>
      <c r="J83" s="58">
        <f t="shared" si="7"/>
        <v>103</v>
      </c>
      <c r="K83" s="83"/>
    </row>
    <row r="84" spans="1:12" s="18" customFormat="1" ht="17.25" hidden="1" customHeight="1" outlineLevel="1">
      <c r="A84" s="11"/>
      <c r="B84" s="315" t="s">
        <v>733</v>
      </c>
      <c r="C84" s="316" t="s">
        <v>37</v>
      </c>
      <c r="D84" s="317"/>
      <c r="E84" s="16"/>
      <c r="F84" s="317">
        <v>115</v>
      </c>
      <c r="G84" s="309"/>
      <c r="H84" s="318">
        <v>114.5</v>
      </c>
      <c r="I84" s="310" t="str">
        <f t="shared" si="6"/>
        <v/>
      </c>
      <c r="J84" s="58">
        <f t="shared" si="7"/>
        <v>99.565217391304358</v>
      </c>
      <c r="K84" s="83"/>
    </row>
    <row r="85" spans="1:12" s="18" customFormat="1" ht="17.25" hidden="1" customHeight="1" outlineLevel="1">
      <c r="A85" s="11"/>
      <c r="B85" s="315" t="s">
        <v>734</v>
      </c>
      <c r="C85" s="316" t="s">
        <v>37</v>
      </c>
      <c r="D85" s="317"/>
      <c r="E85" s="16"/>
      <c r="F85" s="317">
        <v>30.5</v>
      </c>
      <c r="G85" s="309"/>
      <c r="H85" s="318">
        <v>30.5</v>
      </c>
      <c r="I85" s="310" t="str">
        <f t="shared" si="6"/>
        <v/>
      </c>
      <c r="J85" s="58">
        <f t="shared" si="7"/>
        <v>100</v>
      </c>
      <c r="K85" s="83"/>
    </row>
    <row r="86" spans="1:12" s="18" customFormat="1" ht="17.25" hidden="1" customHeight="1" outlineLevel="1">
      <c r="A86" s="11"/>
      <c r="B86" s="315" t="s">
        <v>735</v>
      </c>
      <c r="C86" s="316" t="s">
        <v>37</v>
      </c>
      <c r="D86" s="317"/>
      <c r="E86" s="16"/>
      <c r="F86" s="317">
        <v>7</v>
      </c>
      <c r="G86" s="309"/>
      <c r="H86" s="318">
        <v>7</v>
      </c>
      <c r="I86" s="310" t="str">
        <f t="shared" si="6"/>
        <v/>
      </c>
      <c r="J86" s="58">
        <f t="shared" si="7"/>
        <v>99.999999999999986</v>
      </c>
      <c r="K86" s="83"/>
    </row>
    <row r="87" spans="1:12" s="306" customFormat="1" ht="17.25" hidden="1" customHeight="1" outlineLevel="1">
      <c r="A87" s="96" t="s">
        <v>35</v>
      </c>
      <c r="B87" s="311" t="s">
        <v>740</v>
      </c>
      <c r="C87" s="312" t="s">
        <v>37</v>
      </c>
      <c r="D87" s="313"/>
      <c r="E87" s="304"/>
      <c r="F87" s="313">
        <f>SUM(F88:F90)</f>
        <v>6</v>
      </c>
      <c r="G87" s="307"/>
      <c r="H87" s="314">
        <f>SUM(H88:H90)</f>
        <v>116.5</v>
      </c>
      <c r="I87" s="308" t="str">
        <f t="shared" si="6"/>
        <v/>
      </c>
      <c r="J87" s="160">
        <f t="shared" si="7"/>
        <v>1941.6666666666667</v>
      </c>
      <c r="K87" s="305"/>
    </row>
    <row r="88" spans="1:12" s="18" customFormat="1" ht="17.25" hidden="1" customHeight="1" outlineLevel="1">
      <c r="A88" s="11"/>
      <c r="B88" s="315" t="s">
        <v>736</v>
      </c>
      <c r="C88" s="316" t="s">
        <v>37</v>
      </c>
      <c r="D88" s="317"/>
      <c r="E88" s="16"/>
      <c r="F88" s="317">
        <v>1</v>
      </c>
      <c r="G88" s="309"/>
      <c r="H88" s="318">
        <v>0.8</v>
      </c>
      <c r="I88" s="310" t="str">
        <f t="shared" si="6"/>
        <v/>
      </c>
      <c r="J88" s="58">
        <f t="shared" si="7"/>
        <v>80</v>
      </c>
      <c r="K88" s="83"/>
    </row>
    <row r="89" spans="1:12" s="18" customFormat="1" ht="17.25" hidden="1" customHeight="1" outlineLevel="1">
      <c r="A89" s="11"/>
      <c r="B89" s="315" t="s">
        <v>737</v>
      </c>
      <c r="C89" s="316" t="s">
        <v>37</v>
      </c>
      <c r="D89" s="317"/>
      <c r="E89" s="16"/>
      <c r="F89" s="317">
        <v>5</v>
      </c>
      <c r="G89" s="309"/>
      <c r="H89" s="318">
        <v>4.2</v>
      </c>
      <c r="I89" s="310" t="str">
        <f t="shared" si="6"/>
        <v/>
      </c>
      <c r="J89" s="58">
        <f t="shared" si="7"/>
        <v>84</v>
      </c>
      <c r="K89" s="83"/>
    </row>
    <row r="90" spans="1:12" s="18" customFormat="1" ht="17.25" hidden="1" customHeight="1" outlineLevel="1">
      <c r="A90" s="11"/>
      <c r="B90" s="315" t="s">
        <v>738</v>
      </c>
      <c r="C90" s="316" t="s">
        <v>37</v>
      </c>
      <c r="D90" s="317"/>
      <c r="E90" s="16"/>
      <c r="F90" s="317">
        <v>0</v>
      </c>
      <c r="G90" s="309"/>
      <c r="H90" s="318">
        <v>111.5</v>
      </c>
      <c r="I90" s="310" t="str">
        <f t="shared" si="6"/>
        <v/>
      </c>
      <c r="J90" s="58" t="str">
        <f t="shared" si="7"/>
        <v/>
      </c>
      <c r="K90" s="83"/>
    </row>
    <row r="91" spans="1:12" s="306" customFormat="1" ht="17.25" hidden="1" customHeight="1" outlineLevel="1">
      <c r="A91" s="96" t="s">
        <v>36</v>
      </c>
      <c r="B91" s="311" t="s">
        <v>742</v>
      </c>
      <c r="C91" s="312" t="s">
        <v>37</v>
      </c>
      <c r="D91" s="313"/>
      <c r="E91" s="304"/>
      <c r="F91" s="313">
        <v>0</v>
      </c>
      <c r="G91" s="307"/>
      <c r="H91" s="314">
        <v>0</v>
      </c>
      <c r="I91" s="308" t="str">
        <f t="shared" si="6"/>
        <v/>
      </c>
      <c r="J91" s="160" t="str">
        <f t="shared" si="7"/>
        <v/>
      </c>
      <c r="K91" s="305"/>
    </row>
    <row r="92" spans="1:12" s="306" customFormat="1" ht="17.25" hidden="1" customHeight="1" outlineLevel="1">
      <c r="A92" s="96" t="s">
        <v>53</v>
      </c>
      <c r="B92" s="311" t="s">
        <v>743</v>
      </c>
      <c r="C92" s="312" t="s">
        <v>37</v>
      </c>
      <c r="D92" s="313"/>
      <c r="E92" s="304"/>
      <c r="F92" s="313">
        <v>8.5</v>
      </c>
      <c r="G92" s="307"/>
      <c r="H92" s="314">
        <v>8.6999999999999993</v>
      </c>
      <c r="I92" s="308" t="str">
        <f t="shared" si="6"/>
        <v/>
      </c>
      <c r="J92" s="160">
        <f t="shared" si="7"/>
        <v>102.35294117647057</v>
      </c>
      <c r="K92" s="305"/>
    </row>
    <row r="93" spans="1:12" s="306" customFormat="1" ht="17.25" hidden="1" customHeight="1" outlineLevel="1">
      <c r="A93" s="96" t="s">
        <v>741</v>
      </c>
      <c r="B93" s="311" t="s">
        <v>744</v>
      </c>
      <c r="C93" s="312" t="s">
        <v>37</v>
      </c>
      <c r="D93" s="313"/>
      <c r="E93" s="304"/>
      <c r="F93" s="313">
        <v>6.5</v>
      </c>
      <c r="G93" s="307"/>
      <c r="H93" s="314">
        <v>7</v>
      </c>
      <c r="I93" s="308" t="str">
        <f t="shared" si="6"/>
        <v/>
      </c>
      <c r="J93" s="160">
        <f t="shared" si="7"/>
        <v>107.69230769230769</v>
      </c>
      <c r="K93" s="305"/>
    </row>
    <row r="94" spans="1:12" s="18" customFormat="1" ht="31.5" collapsed="1">
      <c r="A94" s="11">
        <v>3</v>
      </c>
      <c r="B94" s="30" t="s">
        <v>410</v>
      </c>
      <c r="C94" s="11" t="s">
        <v>37</v>
      </c>
      <c r="D94" s="16">
        <f>SUM(D95:D99)</f>
        <v>121.5</v>
      </c>
      <c r="E94" s="16">
        <f>SUM(E95:E99)</f>
        <v>130.60000000000002</v>
      </c>
      <c r="F94" s="16">
        <f>SUM(F95:F99)</f>
        <v>123.7</v>
      </c>
      <c r="G94" s="16">
        <f>SUM(G95:G99)</f>
        <v>130</v>
      </c>
      <c r="H94" s="16">
        <f>SUM(H95:H99)</f>
        <v>125.7</v>
      </c>
      <c r="I94" s="66">
        <f t="shared" si="4"/>
        <v>96.692307692307693</v>
      </c>
      <c r="J94" s="66">
        <f t="shared" si="5"/>
        <v>101.61681487469684</v>
      </c>
      <c r="K94" s="83"/>
      <c r="L94" s="87"/>
    </row>
    <row r="95" spans="1:12" ht="17.25" hidden="1" customHeight="1" outlineLevel="1">
      <c r="A95" s="32"/>
      <c r="B95" s="35" t="s">
        <v>405</v>
      </c>
      <c r="C95" s="32" t="s">
        <v>37</v>
      </c>
      <c r="D95" s="38">
        <v>18.5</v>
      </c>
      <c r="E95" s="38">
        <v>17</v>
      </c>
      <c r="F95" s="38">
        <v>10</v>
      </c>
      <c r="G95" s="38">
        <v>17</v>
      </c>
      <c r="H95" s="38">
        <v>14</v>
      </c>
      <c r="I95" s="58">
        <f t="shared" si="4"/>
        <v>82.35294117647058</v>
      </c>
      <c r="J95" s="58">
        <f t="shared" si="5"/>
        <v>140</v>
      </c>
      <c r="K95" s="3"/>
    </row>
    <row r="96" spans="1:12" ht="17.25" hidden="1" customHeight="1" outlineLevel="1">
      <c r="A96" s="32"/>
      <c r="B96" s="35" t="s">
        <v>406</v>
      </c>
      <c r="C96" s="32" t="s">
        <v>37</v>
      </c>
      <c r="D96" s="38">
        <v>54.6</v>
      </c>
      <c r="E96" s="38">
        <v>61.9</v>
      </c>
      <c r="F96" s="38">
        <v>62</v>
      </c>
      <c r="G96" s="38">
        <v>62</v>
      </c>
      <c r="H96" s="38">
        <f>G96</f>
        <v>62</v>
      </c>
      <c r="I96" s="58">
        <f t="shared" si="4"/>
        <v>100</v>
      </c>
      <c r="J96" s="58">
        <f t="shared" si="5"/>
        <v>100</v>
      </c>
      <c r="K96" s="3"/>
    </row>
    <row r="97" spans="1:11" ht="17.25" hidden="1" customHeight="1" outlineLevel="1">
      <c r="A97" s="32"/>
      <c r="B97" s="35" t="s">
        <v>407</v>
      </c>
      <c r="C97" s="32" t="s">
        <v>37</v>
      </c>
      <c r="D97" s="38">
        <v>2</v>
      </c>
      <c r="E97" s="38">
        <v>2</v>
      </c>
      <c r="F97" s="38">
        <v>2</v>
      </c>
      <c r="G97" s="38">
        <v>2</v>
      </c>
      <c r="H97" s="38">
        <f>G97</f>
        <v>2</v>
      </c>
      <c r="I97" s="58">
        <f t="shared" si="4"/>
        <v>100</v>
      </c>
      <c r="J97" s="58">
        <f t="shared" si="5"/>
        <v>100</v>
      </c>
      <c r="K97" s="3"/>
    </row>
    <row r="98" spans="1:11" ht="17.25" hidden="1" customHeight="1" outlineLevel="1">
      <c r="A98" s="32"/>
      <c r="B98" s="35" t="s">
        <v>408</v>
      </c>
      <c r="C98" s="32" t="s">
        <v>37</v>
      </c>
      <c r="D98" s="38">
        <v>46.4</v>
      </c>
      <c r="E98" s="38">
        <v>30.4</v>
      </c>
      <c r="F98" s="38">
        <v>30.4</v>
      </c>
      <c r="G98" s="38">
        <v>30</v>
      </c>
      <c r="H98" s="38">
        <v>28.4</v>
      </c>
      <c r="I98" s="58">
        <f t="shared" si="4"/>
        <v>94.666666666666671</v>
      </c>
      <c r="J98" s="58">
        <f t="shared" si="5"/>
        <v>93.421052631578945</v>
      </c>
      <c r="K98" s="3"/>
    </row>
    <row r="99" spans="1:11" ht="17.25" hidden="1" customHeight="1" outlineLevel="1">
      <c r="A99" s="32"/>
      <c r="B99" s="35" t="s">
        <v>409</v>
      </c>
      <c r="C99" s="32" t="s">
        <v>37</v>
      </c>
      <c r="D99" s="38"/>
      <c r="E99" s="38">
        <v>19.3</v>
      </c>
      <c r="F99" s="38">
        <v>19.3</v>
      </c>
      <c r="G99" s="38">
        <v>19</v>
      </c>
      <c r="H99" s="38">
        <v>19.3</v>
      </c>
      <c r="I99" s="58">
        <f t="shared" si="4"/>
        <v>101.57894736842105</v>
      </c>
      <c r="J99" s="58">
        <f t="shared" si="5"/>
        <v>100</v>
      </c>
      <c r="K99" s="3"/>
    </row>
    <row r="100" spans="1:11" ht="18.75" customHeight="1" collapsed="1">
      <c r="A100" s="11" t="s">
        <v>47</v>
      </c>
      <c r="B100" s="30" t="s">
        <v>96</v>
      </c>
      <c r="C100" s="32"/>
      <c r="D100" s="28"/>
      <c r="E100" s="38"/>
      <c r="F100" s="38"/>
      <c r="G100" s="38"/>
      <c r="H100" s="38"/>
      <c r="I100" s="66" t="str">
        <f t="shared" si="4"/>
        <v/>
      </c>
      <c r="J100" s="66" t="str">
        <f t="shared" si="5"/>
        <v/>
      </c>
      <c r="K100" s="3"/>
    </row>
    <row r="101" spans="1:11" ht="18.75" customHeight="1">
      <c r="A101" s="11">
        <v>1</v>
      </c>
      <c r="B101" s="30" t="s">
        <v>447</v>
      </c>
      <c r="C101" s="11" t="s">
        <v>54</v>
      </c>
      <c r="D101" s="27">
        <f>SUM(D102:D104)</f>
        <v>20219</v>
      </c>
      <c r="E101" s="27">
        <f>SUM(E102:E104)</f>
        <v>18350</v>
      </c>
      <c r="F101" s="27">
        <f>SUM(F102:F104)</f>
        <v>19785</v>
      </c>
      <c r="G101" s="27">
        <f>SUM(G102:G104)</f>
        <v>20650</v>
      </c>
      <c r="H101" s="27">
        <f>SUM(H102:H104)</f>
        <v>20195</v>
      </c>
      <c r="I101" s="66">
        <f t="shared" si="4"/>
        <v>97.79661016949153</v>
      </c>
      <c r="J101" s="66">
        <f t="shared" si="5"/>
        <v>102.07227697750821</v>
      </c>
      <c r="K101" s="83"/>
    </row>
    <row r="102" spans="1:11" ht="18.75" customHeight="1">
      <c r="A102" s="32"/>
      <c r="B102" s="35" t="s">
        <v>322</v>
      </c>
      <c r="C102" s="32" t="s">
        <v>54</v>
      </c>
      <c r="D102" s="29">
        <v>2461</v>
      </c>
      <c r="E102" s="29">
        <v>2550</v>
      </c>
      <c r="F102" s="29">
        <v>2544</v>
      </c>
      <c r="G102" s="29">
        <v>2650</v>
      </c>
      <c r="H102" s="29">
        <v>2536</v>
      </c>
      <c r="I102" s="58">
        <f>IFERROR(H102/G102%,"")</f>
        <v>95.698113207547166</v>
      </c>
      <c r="J102" s="58">
        <f t="shared" si="5"/>
        <v>99.685534591194966</v>
      </c>
      <c r="K102" s="3"/>
    </row>
    <row r="103" spans="1:11" ht="18.75" customHeight="1">
      <c r="A103" s="32"/>
      <c r="B103" s="35" t="s">
        <v>323</v>
      </c>
      <c r="C103" s="32" t="s">
        <v>54</v>
      </c>
      <c r="D103" s="29">
        <v>4034</v>
      </c>
      <c r="E103" s="29">
        <v>4800</v>
      </c>
      <c r="F103" s="29">
        <v>4287</v>
      </c>
      <c r="G103" s="29">
        <v>5000</v>
      </c>
      <c r="H103" s="29">
        <v>5086</v>
      </c>
      <c r="I103" s="58">
        <f t="shared" si="4"/>
        <v>101.72</v>
      </c>
      <c r="J103" s="58">
        <f t="shared" si="5"/>
        <v>118.63774201073012</v>
      </c>
      <c r="K103" s="3"/>
    </row>
    <row r="104" spans="1:11" ht="18.75" customHeight="1">
      <c r="A104" s="32"/>
      <c r="B104" s="35" t="s">
        <v>324</v>
      </c>
      <c r="C104" s="32" t="s">
        <v>54</v>
      </c>
      <c r="D104" s="29">
        <v>13724</v>
      </c>
      <c r="E104" s="29">
        <v>11000</v>
      </c>
      <c r="F104" s="29">
        <v>12954</v>
      </c>
      <c r="G104" s="29">
        <v>13000</v>
      </c>
      <c r="H104" s="29">
        <v>12573</v>
      </c>
      <c r="I104" s="58">
        <f t="shared" si="4"/>
        <v>96.715384615384622</v>
      </c>
      <c r="J104" s="58">
        <f t="shared" si="5"/>
        <v>97.058823529411768</v>
      </c>
      <c r="K104" s="3"/>
    </row>
    <row r="105" spans="1:11" ht="18.75" customHeight="1">
      <c r="A105" s="11">
        <v>2</v>
      </c>
      <c r="B105" s="44" t="s">
        <v>31</v>
      </c>
      <c r="C105" s="11" t="s">
        <v>54</v>
      </c>
      <c r="D105" s="27">
        <v>77894</v>
      </c>
      <c r="E105" s="27">
        <v>87000</v>
      </c>
      <c r="F105" s="27">
        <v>79500</v>
      </c>
      <c r="G105" s="27">
        <v>87000</v>
      </c>
      <c r="H105" s="27">
        <v>84800</v>
      </c>
      <c r="I105" s="66">
        <f t="shared" si="4"/>
        <v>97.47126436781609</v>
      </c>
      <c r="J105" s="66">
        <f>IFERROR(H105/F105%,"")</f>
        <v>106.66666666666667</v>
      </c>
      <c r="K105" s="83"/>
    </row>
    <row r="106" spans="1:11" s="18" customFormat="1" ht="18.75" customHeight="1">
      <c r="A106" s="11" t="s">
        <v>48</v>
      </c>
      <c r="B106" s="45" t="s">
        <v>325</v>
      </c>
      <c r="C106" s="11"/>
      <c r="D106" s="27"/>
      <c r="E106" s="27"/>
      <c r="F106" s="27"/>
      <c r="G106" s="27"/>
      <c r="H106" s="27"/>
      <c r="I106" s="66" t="str">
        <f t="shared" si="4"/>
        <v/>
      </c>
      <c r="J106" s="66" t="str">
        <f t="shared" si="5"/>
        <v/>
      </c>
      <c r="K106" s="83"/>
    </row>
    <row r="107" spans="1:11" ht="18.75" customHeight="1">
      <c r="A107" s="32">
        <v>1</v>
      </c>
      <c r="B107" s="46" t="s">
        <v>326</v>
      </c>
      <c r="C107" s="32" t="s">
        <v>37</v>
      </c>
      <c r="D107" s="28">
        <v>85</v>
      </c>
      <c r="E107" s="28">
        <v>85.5</v>
      </c>
      <c r="F107" s="28">
        <v>85.5</v>
      </c>
      <c r="G107" s="28">
        <v>85.5</v>
      </c>
      <c r="H107" s="28">
        <v>89.100000000000009</v>
      </c>
      <c r="I107" s="58">
        <f t="shared" si="4"/>
        <v>104.21052631578948</v>
      </c>
      <c r="J107" s="58">
        <f t="shared" si="5"/>
        <v>104.21052631578948</v>
      </c>
      <c r="K107" s="3"/>
    </row>
    <row r="108" spans="1:11" ht="18.75" customHeight="1">
      <c r="A108" s="32">
        <v>2</v>
      </c>
      <c r="B108" s="46" t="s">
        <v>327</v>
      </c>
      <c r="C108" s="32" t="s">
        <v>76</v>
      </c>
      <c r="D108" s="29">
        <f>D109+D110</f>
        <v>427.4</v>
      </c>
      <c r="E108" s="29">
        <f>E109+E110</f>
        <v>320</v>
      </c>
      <c r="F108" s="29">
        <f>F109+F110</f>
        <v>159</v>
      </c>
      <c r="G108" s="29">
        <f>G109+G110</f>
        <v>335</v>
      </c>
      <c r="H108" s="29">
        <f>H109+H110</f>
        <v>184</v>
      </c>
      <c r="I108" s="58">
        <f t="shared" si="4"/>
        <v>54.925373134328353</v>
      </c>
      <c r="J108" s="58">
        <f t="shared" si="5"/>
        <v>115.72327044025157</v>
      </c>
      <c r="K108" s="3"/>
    </row>
    <row r="109" spans="1:11" ht="18.75" customHeight="1">
      <c r="A109" s="32"/>
      <c r="B109" s="48" t="s">
        <v>328</v>
      </c>
      <c r="C109" s="32" t="s">
        <v>76</v>
      </c>
      <c r="D109" s="29">
        <v>211.9</v>
      </c>
      <c r="E109" s="29">
        <v>210</v>
      </c>
      <c r="F109" s="29">
        <v>110</v>
      </c>
      <c r="G109" s="29">
        <v>210</v>
      </c>
      <c r="H109" s="29">
        <v>120</v>
      </c>
      <c r="I109" s="58">
        <f t="shared" si="4"/>
        <v>57.142857142857139</v>
      </c>
      <c r="J109" s="58">
        <f t="shared" si="5"/>
        <v>109.09090909090908</v>
      </c>
      <c r="K109" s="3"/>
    </row>
    <row r="110" spans="1:11" ht="18.75" customHeight="1">
      <c r="A110" s="32"/>
      <c r="B110" s="48" t="s">
        <v>329</v>
      </c>
      <c r="C110" s="32" t="s">
        <v>76</v>
      </c>
      <c r="D110" s="29">
        <v>215.5</v>
      </c>
      <c r="E110" s="29">
        <v>110</v>
      </c>
      <c r="F110" s="29">
        <v>49</v>
      </c>
      <c r="G110" s="29">
        <v>125</v>
      </c>
      <c r="H110" s="29">
        <v>64</v>
      </c>
      <c r="I110" s="58">
        <f t="shared" si="4"/>
        <v>51.2</v>
      </c>
      <c r="J110" s="58">
        <f t="shared" si="5"/>
        <v>130.61224489795919</v>
      </c>
      <c r="K110" s="3"/>
    </row>
    <row r="111" spans="1:11">
      <c r="A111" s="145" t="s">
        <v>50</v>
      </c>
      <c r="B111" s="146" t="s">
        <v>104</v>
      </c>
      <c r="C111" s="145"/>
      <c r="D111" s="13"/>
      <c r="E111" s="13"/>
      <c r="F111" s="13"/>
      <c r="G111" s="13"/>
      <c r="H111" s="13"/>
      <c r="I111" s="66" t="str">
        <f t="shared" si="4"/>
        <v/>
      </c>
      <c r="J111" s="66" t="str">
        <f t="shared" si="5"/>
        <v/>
      </c>
      <c r="K111" s="3"/>
    </row>
    <row r="112" spans="1:11" ht="19.5" customHeight="1">
      <c r="A112" s="147"/>
      <c r="B112" s="148" t="s">
        <v>330</v>
      </c>
      <c r="C112" s="32" t="s">
        <v>37</v>
      </c>
      <c r="D112" s="53">
        <v>500.3</v>
      </c>
      <c r="E112" s="53">
        <v>4</v>
      </c>
      <c r="F112" s="53"/>
      <c r="G112" s="53"/>
      <c r="H112" s="53">
        <v>54</v>
      </c>
      <c r="I112" s="58" t="str">
        <f t="shared" si="4"/>
        <v/>
      </c>
      <c r="J112" s="58" t="str">
        <f t="shared" si="5"/>
        <v/>
      </c>
      <c r="K112" s="3"/>
    </row>
    <row r="113" spans="1:12" ht="19.5" customHeight="1">
      <c r="A113" s="147"/>
      <c r="B113" s="46" t="s">
        <v>712</v>
      </c>
      <c r="C113" s="32" t="s">
        <v>37</v>
      </c>
      <c r="D113" s="53">
        <v>50870.31</v>
      </c>
      <c r="E113" s="53">
        <v>50870.31</v>
      </c>
      <c r="F113" s="53">
        <v>50870.31</v>
      </c>
      <c r="G113" s="53">
        <v>50870.31</v>
      </c>
      <c r="H113" s="53">
        <v>50870.31</v>
      </c>
      <c r="I113" s="58">
        <f t="shared" si="4"/>
        <v>100</v>
      </c>
      <c r="J113" s="58">
        <f t="shared" si="5"/>
        <v>100</v>
      </c>
      <c r="K113" s="3"/>
    </row>
    <row r="114" spans="1:12" ht="19.5" customHeight="1">
      <c r="A114" s="147"/>
      <c r="B114" s="46" t="s">
        <v>713</v>
      </c>
      <c r="C114" s="32" t="s">
        <v>37</v>
      </c>
      <c r="D114" s="53"/>
      <c r="E114" s="53">
        <v>15886.3</v>
      </c>
      <c r="F114" s="53">
        <v>15886</v>
      </c>
      <c r="G114" s="53">
        <v>15886</v>
      </c>
      <c r="H114" s="53">
        <v>15886</v>
      </c>
      <c r="I114" s="58">
        <f t="shared" si="4"/>
        <v>99.999999999999986</v>
      </c>
      <c r="J114" s="58">
        <f t="shared" si="5"/>
        <v>99.999999999999986</v>
      </c>
      <c r="K114" s="3"/>
    </row>
    <row r="115" spans="1:12" ht="19.5" customHeight="1">
      <c r="A115" s="147"/>
      <c r="B115" s="148" t="s">
        <v>711</v>
      </c>
      <c r="C115" s="32" t="s">
        <v>33</v>
      </c>
      <c r="D115" s="269">
        <v>31.37</v>
      </c>
      <c r="E115" s="288">
        <f>E114/50640%</f>
        <v>31.37105055292259</v>
      </c>
      <c r="F115" s="288">
        <f>F114/50640%</f>
        <v>31.370458135860982</v>
      </c>
      <c r="G115" s="288">
        <f>G114/50640%</f>
        <v>31.370458135860982</v>
      </c>
      <c r="H115" s="288">
        <f>H114/50640%</f>
        <v>31.370458135860982</v>
      </c>
      <c r="I115" s="58">
        <f t="shared" si="4"/>
        <v>99.999999999999986</v>
      </c>
      <c r="J115" s="58">
        <f t="shared" si="5"/>
        <v>99.999999999999986</v>
      </c>
      <c r="K115" s="3"/>
    </row>
    <row r="116" spans="1:12" s="18" customFormat="1" ht="17.25" customHeight="1">
      <c r="A116" s="11">
        <v>1</v>
      </c>
      <c r="B116" s="30" t="s">
        <v>30</v>
      </c>
      <c r="C116" s="11" t="s">
        <v>37</v>
      </c>
      <c r="D116" s="16">
        <v>1646</v>
      </c>
      <c r="E116" s="16">
        <f>D116+E117</f>
        <v>1675</v>
      </c>
      <c r="F116" s="16">
        <f>D116+F117</f>
        <v>1672.6</v>
      </c>
      <c r="G116" s="16">
        <f>E116+G117</f>
        <v>1710</v>
      </c>
      <c r="H116" s="16">
        <f>E116+H117-H118</f>
        <v>1725</v>
      </c>
      <c r="I116" s="66">
        <f t="shared" ref="I116:I148" si="8">IFERROR(H116/G116%,"")</f>
        <v>100.87719298245614</v>
      </c>
      <c r="J116" s="66">
        <f t="shared" ref="J116:J148" si="9">IFERROR(H116/F116%,"")</f>
        <v>103.13284706445056</v>
      </c>
      <c r="K116" s="83"/>
      <c r="L116" s="87"/>
    </row>
    <row r="117" spans="1:12" ht="17.25" customHeight="1">
      <c r="A117" s="32"/>
      <c r="B117" s="35" t="s">
        <v>123</v>
      </c>
      <c r="C117" s="32" t="s">
        <v>37</v>
      </c>
      <c r="D117" s="22">
        <v>57.2</v>
      </c>
      <c r="E117" s="22">
        <v>29</v>
      </c>
      <c r="F117" s="22">
        <v>26.6</v>
      </c>
      <c r="G117" s="22">
        <v>35</v>
      </c>
      <c r="H117" s="22">
        <v>54</v>
      </c>
      <c r="I117" s="58">
        <f t="shared" si="8"/>
        <v>154.28571428571431</v>
      </c>
      <c r="J117" s="58">
        <f t="shared" si="9"/>
        <v>203.00751879699246</v>
      </c>
      <c r="K117" s="3"/>
    </row>
    <row r="118" spans="1:12" ht="17.25" customHeight="1">
      <c r="A118" s="32"/>
      <c r="B118" s="35" t="s">
        <v>321</v>
      </c>
      <c r="C118" s="32" t="s">
        <v>37</v>
      </c>
      <c r="D118" s="38"/>
      <c r="E118" s="38"/>
      <c r="F118" s="38"/>
      <c r="G118" s="38"/>
      <c r="H118" s="38">
        <v>4</v>
      </c>
      <c r="I118" s="58"/>
      <c r="J118" s="58"/>
      <c r="K118" s="3"/>
    </row>
    <row r="119" spans="1:12" s="18" customFormat="1">
      <c r="A119" s="11" t="s">
        <v>176</v>
      </c>
      <c r="B119" s="54" t="s">
        <v>183</v>
      </c>
      <c r="C119" s="11"/>
      <c r="D119" s="149"/>
      <c r="E119" s="149"/>
      <c r="F119" s="149"/>
      <c r="G119" s="149"/>
      <c r="H119" s="149"/>
      <c r="I119" s="66" t="str">
        <f t="shared" si="8"/>
        <v/>
      </c>
      <c r="J119" s="66" t="str">
        <f t="shared" si="9"/>
        <v/>
      </c>
      <c r="K119" s="66"/>
    </row>
    <row r="120" spans="1:12" ht="22.5" customHeight="1">
      <c r="A120" s="11">
        <v>1</v>
      </c>
      <c r="B120" s="54" t="s">
        <v>449</v>
      </c>
      <c r="C120" s="11" t="s">
        <v>331</v>
      </c>
      <c r="D120" s="27">
        <v>676693</v>
      </c>
      <c r="E120" s="27">
        <v>708000</v>
      </c>
      <c r="F120" s="27">
        <v>428672</v>
      </c>
      <c r="G120" s="27">
        <v>722000</v>
      </c>
      <c r="H120" s="27">
        <v>458300</v>
      </c>
      <c r="I120" s="66">
        <f t="shared" si="8"/>
        <v>63.476454293628812</v>
      </c>
      <c r="J120" s="66">
        <f t="shared" si="9"/>
        <v>106.91157808300984</v>
      </c>
      <c r="K120" s="83"/>
    </row>
    <row r="121" spans="1:12" ht="20.25" customHeight="1">
      <c r="A121" s="32">
        <v>2</v>
      </c>
      <c r="B121" s="20" t="s">
        <v>333</v>
      </c>
      <c r="C121" s="32"/>
      <c r="D121" s="13"/>
      <c r="E121" s="13"/>
      <c r="F121" s="13"/>
      <c r="G121" s="13"/>
      <c r="H121" s="149"/>
      <c r="I121" s="58" t="str">
        <f t="shared" si="8"/>
        <v/>
      </c>
      <c r="J121" s="58" t="str">
        <f t="shared" si="9"/>
        <v/>
      </c>
      <c r="K121" s="3"/>
    </row>
    <row r="122" spans="1:12" ht="20.25" customHeight="1">
      <c r="A122" s="32"/>
      <c r="B122" s="20" t="s">
        <v>334</v>
      </c>
      <c r="C122" s="32" t="s">
        <v>65</v>
      </c>
      <c r="D122" s="29">
        <v>40</v>
      </c>
      <c r="E122" s="29">
        <v>42</v>
      </c>
      <c r="F122" s="29">
        <v>24</v>
      </c>
      <c r="G122" s="29">
        <v>40</v>
      </c>
      <c r="H122" s="29">
        <v>25</v>
      </c>
      <c r="I122" s="58">
        <f t="shared" si="8"/>
        <v>62.5</v>
      </c>
      <c r="J122" s="58">
        <f t="shared" si="9"/>
        <v>104.16666666666667</v>
      </c>
      <c r="K122" s="3"/>
    </row>
    <row r="123" spans="1:12" ht="20.25" customHeight="1">
      <c r="A123" s="32"/>
      <c r="B123" s="20" t="s">
        <v>340</v>
      </c>
      <c r="C123" s="32" t="s">
        <v>65</v>
      </c>
      <c r="D123" s="29">
        <v>35</v>
      </c>
      <c r="E123" s="29">
        <v>30</v>
      </c>
      <c r="F123" s="29">
        <v>26</v>
      </c>
      <c r="G123" s="29">
        <v>40</v>
      </c>
      <c r="H123" s="29">
        <v>27</v>
      </c>
      <c r="I123" s="58">
        <f t="shared" si="8"/>
        <v>67.5</v>
      </c>
      <c r="J123" s="58">
        <f t="shared" si="9"/>
        <v>103.84615384615384</v>
      </c>
      <c r="K123" s="3"/>
    </row>
    <row r="124" spans="1:12" ht="20.25" customHeight="1">
      <c r="A124" s="32"/>
      <c r="B124" s="20" t="s">
        <v>335</v>
      </c>
      <c r="C124" s="32" t="s">
        <v>76</v>
      </c>
      <c r="D124" s="29">
        <v>57219</v>
      </c>
      <c r="E124" s="29">
        <v>60000</v>
      </c>
      <c r="F124" s="29">
        <v>25150</v>
      </c>
      <c r="G124" s="29">
        <v>55000</v>
      </c>
      <c r="H124" s="29">
        <v>26000</v>
      </c>
      <c r="I124" s="58">
        <f t="shared" si="8"/>
        <v>47.272727272727273</v>
      </c>
      <c r="J124" s="58">
        <f t="shared" si="9"/>
        <v>103.37972166998011</v>
      </c>
      <c r="K124" s="3"/>
    </row>
    <row r="125" spans="1:12" ht="20.25" customHeight="1">
      <c r="A125" s="32"/>
      <c r="B125" s="20" t="s">
        <v>336</v>
      </c>
      <c r="C125" s="32" t="s">
        <v>76</v>
      </c>
      <c r="D125" s="29">
        <v>12363</v>
      </c>
      <c r="E125" s="29">
        <v>13000</v>
      </c>
      <c r="F125" s="29">
        <v>4800</v>
      </c>
      <c r="G125" s="29">
        <v>12000</v>
      </c>
      <c r="H125" s="29">
        <v>4950</v>
      </c>
      <c r="I125" s="58">
        <f t="shared" si="8"/>
        <v>41.25</v>
      </c>
      <c r="J125" s="58">
        <f t="shared" si="9"/>
        <v>103.125</v>
      </c>
      <c r="K125" s="3"/>
    </row>
    <row r="126" spans="1:12" ht="20.25" customHeight="1">
      <c r="A126" s="32"/>
      <c r="B126" s="20" t="s">
        <v>337</v>
      </c>
      <c r="C126" s="32" t="s">
        <v>466</v>
      </c>
      <c r="D126" s="29">
        <v>39713</v>
      </c>
      <c r="E126" s="29">
        <v>41000</v>
      </c>
      <c r="F126" s="29">
        <v>25900</v>
      </c>
      <c r="G126" s="29">
        <v>60000</v>
      </c>
      <c r="H126" s="29"/>
      <c r="I126" s="58">
        <f t="shared" si="8"/>
        <v>0</v>
      </c>
      <c r="J126" s="58">
        <f t="shared" si="9"/>
        <v>0</v>
      </c>
      <c r="K126" s="3"/>
    </row>
    <row r="127" spans="1:12" ht="20.25" customHeight="1">
      <c r="A127" s="32"/>
      <c r="B127" s="20" t="s">
        <v>338</v>
      </c>
      <c r="C127" s="32" t="s">
        <v>466</v>
      </c>
      <c r="D127" s="29">
        <v>34500</v>
      </c>
      <c r="E127" s="29">
        <v>35000</v>
      </c>
      <c r="F127" s="29">
        <v>23450</v>
      </c>
      <c r="G127" s="29">
        <v>54000</v>
      </c>
      <c r="H127" s="29"/>
      <c r="I127" s="58">
        <f t="shared" si="8"/>
        <v>0</v>
      </c>
      <c r="J127" s="58">
        <f t="shared" si="9"/>
        <v>0</v>
      </c>
      <c r="K127" s="3"/>
    </row>
    <row r="128" spans="1:12" s="18" customFormat="1" ht="17.25" customHeight="1">
      <c r="A128" s="11" t="s">
        <v>182</v>
      </c>
      <c r="B128" s="15" t="s">
        <v>450</v>
      </c>
      <c r="C128" s="11"/>
      <c r="D128" s="29"/>
      <c r="E128" s="29"/>
      <c r="F128" s="29"/>
      <c r="G128" s="29"/>
      <c r="H128" s="29"/>
      <c r="I128" s="66" t="str">
        <f t="shared" si="8"/>
        <v/>
      </c>
      <c r="J128" s="66" t="str">
        <f t="shared" si="9"/>
        <v/>
      </c>
      <c r="K128" s="66"/>
    </row>
    <row r="129" spans="1:12" ht="22.5" customHeight="1">
      <c r="A129" s="32">
        <v>1</v>
      </c>
      <c r="B129" s="20" t="s">
        <v>184</v>
      </c>
      <c r="C129" s="32" t="s">
        <v>331</v>
      </c>
      <c r="D129" s="29">
        <v>560310</v>
      </c>
      <c r="E129" s="29">
        <v>595000</v>
      </c>
      <c r="F129" s="29">
        <v>371363</v>
      </c>
      <c r="G129" s="29">
        <v>696000</v>
      </c>
      <c r="H129" s="29">
        <v>400000</v>
      </c>
      <c r="I129" s="58">
        <f t="shared" si="8"/>
        <v>57.47126436781609</v>
      </c>
      <c r="J129" s="58">
        <f t="shared" si="9"/>
        <v>107.71132288353982</v>
      </c>
      <c r="K129" s="3"/>
    </row>
    <row r="130" spans="1:12" ht="19.5" customHeight="1">
      <c r="A130" s="100"/>
      <c r="B130" s="122" t="s">
        <v>454</v>
      </c>
      <c r="C130" s="100"/>
      <c r="D130" s="102"/>
      <c r="E130" s="102"/>
      <c r="F130" s="13"/>
      <c r="G130" s="102"/>
      <c r="H130" s="102"/>
      <c r="I130" s="123" t="str">
        <f t="shared" si="8"/>
        <v/>
      </c>
      <c r="J130" s="123" t="str">
        <f t="shared" si="9"/>
        <v/>
      </c>
      <c r="K130" s="3"/>
    </row>
    <row r="131" spans="1:12" s="18" customFormat="1" ht="22.5" customHeight="1">
      <c r="A131" s="11" t="s">
        <v>38</v>
      </c>
      <c r="B131" s="15" t="s">
        <v>352</v>
      </c>
      <c r="C131" s="11"/>
      <c r="D131" s="149"/>
      <c r="E131" s="149"/>
      <c r="F131" s="149"/>
      <c r="G131" s="149"/>
      <c r="H131" s="149"/>
      <c r="I131" s="66" t="str">
        <f t="shared" si="8"/>
        <v/>
      </c>
      <c r="J131" s="66" t="str">
        <f t="shared" si="9"/>
        <v/>
      </c>
      <c r="K131" s="83"/>
    </row>
    <row r="132" spans="1:12" ht="22.5" hidden="1" customHeight="1" outlineLevel="1">
      <c r="A132" s="32">
        <v>1</v>
      </c>
      <c r="B132" s="20" t="s">
        <v>353</v>
      </c>
      <c r="C132" s="32" t="s">
        <v>62</v>
      </c>
      <c r="D132" s="29">
        <v>10520</v>
      </c>
      <c r="E132" s="29">
        <f>D133</f>
        <v>10685</v>
      </c>
      <c r="F132" s="29">
        <f>D133</f>
        <v>10685</v>
      </c>
      <c r="G132" s="29">
        <f>E133</f>
        <v>11308</v>
      </c>
      <c r="H132" s="29">
        <f>E133</f>
        <v>11308</v>
      </c>
      <c r="I132" s="58">
        <f t="shared" si="8"/>
        <v>100</v>
      </c>
      <c r="J132" s="58">
        <f t="shared" si="9"/>
        <v>105.83060364997661</v>
      </c>
      <c r="K132" s="3"/>
    </row>
    <row r="133" spans="1:12" ht="22.5" hidden="1" customHeight="1" outlineLevel="1">
      <c r="A133" s="32">
        <v>2</v>
      </c>
      <c r="B133" s="20" t="s">
        <v>207</v>
      </c>
      <c r="C133" s="32" t="s">
        <v>62</v>
      </c>
      <c r="D133" s="29">
        <v>10685</v>
      </c>
      <c r="E133" s="29">
        <v>11308</v>
      </c>
      <c r="F133" s="29">
        <v>11120</v>
      </c>
      <c r="G133" s="29">
        <f>G132+630</f>
        <v>11938</v>
      </c>
      <c r="H133" s="29">
        <v>11350</v>
      </c>
      <c r="I133" s="58">
        <f t="shared" si="8"/>
        <v>95.074551851231362</v>
      </c>
      <c r="J133" s="58">
        <f t="shared" si="9"/>
        <v>102.068345323741</v>
      </c>
      <c r="K133" s="3"/>
      <c r="L133" s="77"/>
    </row>
    <row r="134" spans="1:12" ht="22.5" customHeight="1" collapsed="1">
      <c r="A134" s="32">
        <v>1</v>
      </c>
      <c r="B134" s="20" t="s">
        <v>131</v>
      </c>
      <c r="C134" s="32" t="s">
        <v>73</v>
      </c>
      <c r="D134" s="29">
        <v>44006</v>
      </c>
      <c r="E134" s="29">
        <f>D135</f>
        <v>45290</v>
      </c>
      <c r="F134" s="29">
        <f>D135</f>
        <v>45290</v>
      </c>
      <c r="G134" s="29">
        <f>E135</f>
        <v>46365</v>
      </c>
      <c r="H134" s="29">
        <f>E135</f>
        <v>46365</v>
      </c>
      <c r="I134" s="58">
        <f t="shared" si="8"/>
        <v>100</v>
      </c>
      <c r="J134" s="58">
        <f t="shared" si="9"/>
        <v>102.37359240450431</v>
      </c>
      <c r="K134" s="3"/>
      <c r="L134" s="77"/>
    </row>
    <row r="135" spans="1:12" ht="22.5" customHeight="1">
      <c r="A135" s="32">
        <v>2</v>
      </c>
      <c r="B135" s="20" t="s">
        <v>132</v>
      </c>
      <c r="C135" s="32" t="s">
        <v>73</v>
      </c>
      <c r="D135" s="29">
        <v>45290</v>
      </c>
      <c r="E135" s="29">
        <v>46365</v>
      </c>
      <c r="F135" s="29">
        <v>46404</v>
      </c>
      <c r="G135" s="29">
        <v>47500</v>
      </c>
      <c r="H135" s="29">
        <f>H134+836</f>
        <v>47201</v>
      </c>
      <c r="I135" s="58">
        <f t="shared" si="8"/>
        <v>99.370526315789476</v>
      </c>
      <c r="J135" s="58">
        <f t="shared" si="9"/>
        <v>101.71752435134901</v>
      </c>
      <c r="K135" s="3"/>
      <c r="L135" s="77"/>
    </row>
    <row r="136" spans="1:12" ht="22.5" customHeight="1">
      <c r="A136" s="32">
        <v>3</v>
      </c>
      <c r="B136" s="20" t="s">
        <v>339</v>
      </c>
      <c r="C136" s="32" t="s">
        <v>73</v>
      </c>
      <c r="D136" s="29">
        <f>(D134+D135)/2</f>
        <v>44648</v>
      </c>
      <c r="E136" s="29">
        <f>(E134+E135)/2</f>
        <v>45827.5</v>
      </c>
      <c r="F136" s="29">
        <f>(F134+F135)/2</f>
        <v>45847</v>
      </c>
      <c r="G136" s="29">
        <f>(G134+G135)/2</f>
        <v>46932.5</v>
      </c>
      <c r="H136" s="29">
        <f>(H134+H135)/2</f>
        <v>46783</v>
      </c>
      <c r="I136" s="58">
        <f t="shared" si="8"/>
        <v>99.681457412240988</v>
      </c>
      <c r="J136" s="58">
        <f t="shared" si="9"/>
        <v>102.04157305821536</v>
      </c>
      <c r="K136" s="3"/>
      <c r="L136" s="77"/>
    </row>
    <row r="137" spans="1:12" ht="22.5" customHeight="1">
      <c r="A137" s="32">
        <v>4</v>
      </c>
      <c r="B137" s="48" t="s">
        <v>392</v>
      </c>
      <c r="C137" s="21" t="s">
        <v>170</v>
      </c>
      <c r="D137" s="74">
        <v>22.62</v>
      </c>
      <c r="E137" s="74">
        <v>22.92</v>
      </c>
      <c r="F137" s="74">
        <v>22.92</v>
      </c>
      <c r="G137" s="74">
        <v>22</v>
      </c>
      <c r="H137" s="74">
        <v>22</v>
      </c>
      <c r="I137" s="58">
        <f t="shared" si="8"/>
        <v>100</v>
      </c>
      <c r="J137" s="58">
        <f t="shared" si="9"/>
        <v>95.986038394415345</v>
      </c>
      <c r="K137" s="3"/>
    </row>
    <row r="138" spans="1:12" s="18" customFormat="1" ht="21" customHeight="1">
      <c r="A138" s="11" t="s">
        <v>39</v>
      </c>
      <c r="B138" s="15" t="s">
        <v>163</v>
      </c>
      <c r="C138" s="11"/>
      <c r="D138" s="57"/>
      <c r="E138" s="57"/>
      <c r="F138" s="57"/>
      <c r="G138" s="57"/>
      <c r="H138" s="57"/>
      <c r="I138" s="66" t="str">
        <f t="shared" si="8"/>
        <v/>
      </c>
      <c r="J138" s="66" t="str">
        <f t="shared" si="9"/>
        <v/>
      </c>
      <c r="K138" s="83"/>
    </row>
    <row r="139" spans="1:12" ht="21" customHeight="1">
      <c r="A139" s="32">
        <v>1</v>
      </c>
      <c r="B139" s="20" t="s">
        <v>393</v>
      </c>
      <c r="C139" s="32" t="s">
        <v>33</v>
      </c>
      <c r="D139" s="58">
        <v>42.86</v>
      </c>
      <c r="E139" s="58">
        <v>43</v>
      </c>
      <c r="F139" s="58"/>
      <c r="G139" s="58">
        <v>44</v>
      </c>
      <c r="H139" s="58"/>
      <c r="I139" s="58">
        <f t="shared" si="8"/>
        <v>0</v>
      </c>
      <c r="J139" s="58" t="str">
        <f t="shared" si="9"/>
        <v/>
      </c>
      <c r="K139" s="3"/>
    </row>
    <row r="140" spans="1:12" ht="21" customHeight="1">
      <c r="A140" s="32"/>
      <c r="B140" s="20" t="s">
        <v>394</v>
      </c>
      <c r="C140" s="32" t="s">
        <v>33</v>
      </c>
      <c r="D140" s="58">
        <v>32</v>
      </c>
      <c r="E140" s="58">
        <v>35</v>
      </c>
      <c r="F140" s="58"/>
      <c r="G140" s="58">
        <v>36</v>
      </c>
      <c r="H140" s="58"/>
      <c r="I140" s="58">
        <f t="shared" si="8"/>
        <v>0</v>
      </c>
      <c r="J140" s="58" t="str">
        <f t="shared" si="9"/>
        <v/>
      </c>
      <c r="K140" s="3"/>
    </row>
    <row r="141" spans="1:12" ht="47.25">
      <c r="A141" s="32">
        <v>2</v>
      </c>
      <c r="B141" s="20" t="s">
        <v>357</v>
      </c>
      <c r="C141" s="32" t="s">
        <v>120</v>
      </c>
      <c r="D141" s="59">
        <f>174+50</f>
        <v>224</v>
      </c>
      <c r="E141" s="59">
        <v>175</v>
      </c>
      <c r="F141" s="59">
        <v>175</v>
      </c>
      <c r="G141" s="59">
        <v>250</v>
      </c>
      <c r="H141" s="59">
        <v>305</v>
      </c>
      <c r="I141" s="58">
        <f t="shared" si="8"/>
        <v>122</v>
      </c>
      <c r="J141" s="58">
        <f t="shared" si="9"/>
        <v>174.28571428571428</v>
      </c>
      <c r="K141" s="3"/>
    </row>
    <row r="142" spans="1:12" ht="30.75" customHeight="1">
      <c r="A142" s="32"/>
      <c r="B142" s="20" t="s">
        <v>396</v>
      </c>
      <c r="C142" s="32" t="s">
        <v>397</v>
      </c>
      <c r="D142" s="20">
        <v>111</v>
      </c>
      <c r="E142" s="20">
        <v>115</v>
      </c>
      <c r="F142" s="20"/>
      <c r="G142" s="20">
        <v>120</v>
      </c>
      <c r="H142" s="20"/>
      <c r="I142" s="58">
        <f t="shared" si="8"/>
        <v>0</v>
      </c>
      <c r="J142" s="58" t="str">
        <f t="shared" si="9"/>
        <v/>
      </c>
      <c r="K142" s="3"/>
    </row>
    <row r="143" spans="1:12" ht="21" customHeight="1">
      <c r="A143" s="11" t="s">
        <v>47</v>
      </c>
      <c r="B143" s="15" t="s">
        <v>288</v>
      </c>
      <c r="C143" s="32"/>
      <c r="D143" s="59"/>
      <c r="E143" s="59"/>
      <c r="F143" s="59"/>
      <c r="G143" s="59"/>
      <c r="H143" s="59"/>
      <c r="I143" s="66" t="str">
        <f t="shared" si="8"/>
        <v/>
      </c>
      <c r="J143" s="66" t="str">
        <f t="shared" si="9"/>
        <v/>
      </c>
      <c r="K143" s="3"/>
    </row>
    <row r="144" spans="1:12" ht="29.25" customHeight="1">
      <c r="A144" s="60">
        <v>1</v>
      </c>
      <c r="B144" s="61" t="s">
        <v>355</v>
      </c>
      <c r="C144" s="32" t="s">
        <v>33</v>
      </c>
      <c r="D144" s="67" t="s">
        <v>358</v>
      </c>
      <c r="E144" s="88">
        <f>D145-E145</f>
        <v>3.1799999999999997</v>
      </c>
      <c r="F144" s="67"/>
      <c r="G144" s="67">
        <v>3</v>
      </c>
      <c r="H144" s="67"/>
      <c r="I144" s="58">
        <f t="shared" si="8"/>
        <v>0</v>
      </c>
      <c r="J144" s="58" t="str">
        <f t="shared" si="9"/>
        <v/>
      </c>
      <c r="K144" s="3"/>
    </row>
    <row r="145" spans="1:12" ht="21" customHeight="1">
      <c r="A145" s="60">
        <v>2</v>
      </c>
      <c r="B145" s="61" t="s">
        <v>395</v>
      </c>
      <c r="C145" s="32" t="s">
        <v>33</v>
      </c>
      <c r="D145" s="80">
        <v>17.32</v>
      </c>
      <c r="E145" s="80">
        <v>14.14</v>
      </c>
      <c r="F145" s="80"/>
      <c r="G145" s="80">
        <f>E145-3</f>
        <v>11.14</v>
      </c>
      <c r="H145" s="80"/>
      <c r="I145" s="58">
        <f t="shared" si="8"/>
        <v>0</v>
      </c>
      <c r="J145" s="58" t="str">
        <f t="shared" si="9"/>
        <v/>
      </c>
      <c r="K145" s="3"/>
      <c r="L145" s="89"/>
    </row>
    <row r="146" spans="1:12" s="18" customFormat="1" ht="20.25" customHeight="1">
      <c r="A146" s="11" t="s">
        <v>48</v>
      </c>
      <c r="B146" s="15" t="s">
        <v>6</v>
      </c>
      <c r="C146" s="11"/>
      <c r="D146" s="149"/>
      <c r="E146" s="149"/>
      <c r="F146" s="149"/>
      <c r="G146" s="149"/>
      <c r="H146" s="149"/>
      <c r="I146" s="66" t="str">
        <f t="shared" si="8"/>
        <v/>
      </c>
      <c r="J146" s="66" t="str">
        <f t="shared" si="9"/>
        <v/>
      </c>
      <c r="K146" s="83"/>
    </row>
    <row r="147" spans="1:12" ht="23.25" customHeight="1">
      <c r="A147" s="32">
        <v>1</v>
      </c>
      <c r="B147" s="20" t="s">
        <v>389</v>
      </c>
      <c r="C147" s="32" t="s">
        <v>8</v>
      </c>
      <c r="D147" s="29">
        <f>SUM(D148:D154)</f>
        <v>13999</v>
      </c>
      <c r="E147" s="29">
        <f>SUM(E148:E154)</f>
        <v>14102</v>
      </c>
      <c r="F147" s="29">
        <f>F148+F152+F153+F154</f>
        <v>14205</v>
      </c>
      <c r="G147" s="29">
        <f>G148+G152+G153+G154</f>
        <v>14530</v>
      </c>
      <c r="H147" s="29">
        <f>H148+H152+H153+H154</f>
        <v>14689</v>
      </c>
      <c r="I147" s="58">
        <f t="shared" si="8"/>
        <v>101.0942876806607</v>
      </c>
      <c r="J147" s="58">
        <f t="shared" si="9"/>
        <v>103.40725096796902</v>
      </c>
      <c r="K147" s="3"/>
    </row>
    <row r="148" spans="1:12" ht="21" customHeight="1">
      <c r="A148" s="32" t="s">
        <v>557</v>
      </c>
      <c r="B148" s="20" t="s">
        <v>188</v>
      </c>
      <c r="C148" s="32" t="s">
        <v>8</v>
      </c>
      <c r="D148" s="151">
        <v>4325</v>
      </c>
      <c r="E148" s="151">
        <v>4401</v>
      </c>
      <c r="F148" s="151">
        <f>F149+F151</f>
        <v>4325</v>
      </c>
      <c r="G148" s="151">
        <f>G149+G151</f>
        <v>4430</v>
      </c>
      <c r="H148" s="151">
        <f>H149+H151</f>
        <v>4293</v>
      </c>
      <c r="I148" s="58">
        <f t="shared" si="8"/>
        <v>96.907449209932281</v>
      </c>
      <c r="J148" s="58">
        <f t="shared" si="9"/>
        <v>99.260115606936409</v>
      </c>
      <c r="K148" s="3"/>
      <c r="L148" s="81"/>
    </row>
    <row r="149" spans="1:12" s="42" customFormat="1" ht="21" hidden="1" customHeight="1" outlineLevel="1">
      <c r="A149" s="39"/>
      <c r="B149" s="20" t="s">
        <v>707</v>
      </c>
      <c r="C149" s="32" t="s">
        <v>12</v>
      </c>
      <c r="D149" s="152"/>
      <c r="E149" s="151"/>
      <c r="F149" s="151">
        <v>365</v>
      </c>
      <c r="G149" s="151">
        <v>450</v>
      </c>
      <c r="H149" s="151">
        <v>363</v>
      </c>
      <c r="I149" s="58">
        <f t="shared" ref="I149:I180" si="10">IFERROR(H149/G149%,"")</f>
        <v>80.666666666666671</v>
      </c>
      <c r="J149" s="58">
        <f t="shared" ref="J149:J180" si="11">IFERROR(H149/F149%,"")</f>
        <v>99.452054794520549</v>
      </c>
      <c r="K149" s="84"/>
      <c r="L149" s="82"/>
    </row>
    <row r="150" spans="1:12" s="42" customFormat="1" ht="21" hidden="1" customHeight="1" outlineLevel="1">
      <c r="A150" s="39"/>
      <c r="B150" s="20" t="s">
        <v>708</v>
      </c>
      <c r="C150" s="32" t="s">
        <v>12</v>
      </c>
      <c r="D150" s="152"/>
      <c r="E150" s="151"/>
      <c r="F150" s="151"/>
      <c r="G150" s="151">
        <v>350</v>
      </c>
      <c r="H150" s="151"/>
      <c r="I150" s="58">
        <f t="shared" si="10"/>
        <v>0</v>
      </c>
      <c r="J150" s="58" t="str">
        <f t="shared" si="11"/>
        <v/>
      </c>
      <c r="K150" s="84"/>
      <c r="L150" s="82"/>
    </row>
    <row r="151" spans="1:12" s="42" customFormat="1" ht="21" hidden="1" customHeight="1" outlineLevel="1">
      <c r="A151" s="39" t="s">
        <v>557</v>
      </c>
      <c r="B151" s="20" t="s">
        <v>190</v>
      </c>
      <c r="C151" s="32" t="s">
        <v>12</v>
      </c>
      <c r="D151" s="152"/>
      <c r="E151" s="151"/>
      <c r="F151" s="151">
        <v>3960</v>
      </c>
      <c r="G151" s="151">
        <v>3980</v>
      </c>
      <c r="H151" s="151">
        <v>3930</v>
      </c>
      <c r="I151" s="58">
        <f t="shared" si="10"/>
        <v>98.743718592964825</v>
      </c>
      <c r="J151" s="58">
        <f t="shared" si="11"/>
        <v>99.242424242424235</v>
      </c>
      <c r="K151" s="84"/>
      <c r="L151" s="82"/>
    </row>
    <row r="152" spans="1:12" ht="21" customHeight="1" collapsed="1">
      <c r="A152" s="32" t="s">
        <v>557</v>
      </c>
      <c r="B152" s="20" t="s">
        <v>272</v>
      </c>
      <c r="C152" s="32" t="s">
        <v>8</v>
      </c>
      <c r="D152" s="151">
        <v>5412</v>
      </c>
      <c r="E152" s="151">
        <v>5400</v>
      </c>
      <c r="F152" s="151">
        <v>5682</v>
      </c>
      <c r="G152" s="151">
        <v>5700</v>
      </c>
      <c r="H152" s="151">
        <v>6027</v>
      </c>
      <c r="I152" s="58">
        <f t="shared" si="10"/>
        <v>105.73684210526316</v>
      </c>
      <c r="J152" s="58">
        <f t="shared" si="11"/>
        <v>106.07180570221753</v>
      </c>
      <c r="K152" s="3"/>
      <c r="L152" s="81"/>
    </row>
    <row r="153" spans="1:12" ht="21" customHeight="1">
      <c r="A153" s="32" t="s">
        <v>557</v>
      </c>
      <c r="B153" s="20" t="s">
        <v>273</v>
      </c>
      <c r="C153" s="32" t="s">
        <v>8</v>
      </c>
      <c r="D153" s="151">
        <v>3521</v>
      </c>
      <c r="E153" s="151">
        <v>3560</v>
      </c>
      <c r="F153" s="151">
        <v>3457</v>
      </c>
      <c r="G153" s="151">
        <v>3570</v>
      </c>
      <c r="H153" s="151">
        <v>3562</v>
      </c>
      <c r="I153" s="58">
        <f t="shared" si="10"/>
        <v>99.775910364145645</v>
      </c>
      <c r="J153" s="58">
        <f t="shared" si="11"/>
        <v>103.03731559155337</v>
      </c>
      <c r="K153" s="3"/>
    </row>
    <row r="154" spans="1:12" ht="21" customHeight="1">
      <c r="A154" s="32" t="s">
        <v>557</v>
      </c>
      <c r="B154" s="20" t="s">
        <v>342</v>
      </c>
      <c r="C154" s="32" t="s">
        <v>8</v>
      </c>
      <c r="D154" s="151">
        <v>741</v>
      </c>
      <c r="E154" s="151">
        <v>741</v>
      </c>
      <c r="F154" s="151">
        <v>741</v>
      </c>
      <c r="G154" s="151">
        <v>830</v>
      </c>
      <c r="H154" s="151">
        <v>807</v>
      </c>
      <c r="I154" s="58">
        <f t="shared" si="10"/>
        <v>97.228915662650593</v>
      </c>
      <c r="J154" s="58">
        <f t="shared" si="11"/>
        <v>108.90688259109312</v>
      </c>
      <c r="K154" s="3"/>
      <c r="L154" s="81"/>
    </row>
    <row r="155" spans="1:12" s="104" customFormat="1" ht="22.5" hidden="1" customHeight="1" outlineLevel="1">
      <c r="A155" s="100"/>
      <c r="B155" s="101" t="s">
        <v>398</v>
      </c>
      <c r="C155" s="100"/>
      <c r="D155" s="102">
        <f>SUM(D157:D161)</f>
        <v>37</v>
      </c>
      <c r="E155" s="102">
        <f>SUM(E157:E161)</f>
        <v>38</v>
      </c>
      <c r="F155" s="13">
        <f>SUM(F157:F161)</f>
        <v>37</v>
      </c>
      <c r="G155" s="102">
        <f>SUM(G157:G161)</f>
        <v>38</v>
      </c>
      <c r="H155" s="102">
        <f>SUM(H157:H161)</f>
        <v>38</v>
      </c>
      <c r="I155" s="103">
        <f t="shared" si="10"/>
        <v>100</v>
      </c>
      <c r="J155" s="103">
        <f t="shared" si="11"/>
        <v>102.70270270270271</v>
      </c>
      <c r="K155" s="129"/>
    </row>
    <row r="156" spans="1:12" s="104" customFormat="1" ht="22.5" hidden="1" customHeight="1" outlineLevel="1">
      <c r="A156" s="100"/>
      <c r="B156" s="105" t="s">
        <v>341</v>
      </c>
      <c r="C156" s="100"/>
      <c r="D156" s="102"/>
      <c r="E156" s="102"/>
      <c r="F156" s="13"/>
      <c r="G156" s="102"/>
      <c r="H156" s="102"/>
      <c r="I156" s="103" t="str">
        <f t="shared" si="10"/>
        <v/>
      </c>
      <c r="J156" s="103" t="str">
        <f t="shared" si="11"/>
        <v/>
      </c>
      <c r="K156" s="129"/>
    </row>
    <row r="157" spans="1:12" s="104" customFormat="1" ht="22.5" hidden="1" customHeight="1" outlineLevel="1">
      <c r="A157" s="100"/>
      <c r="B157" s="101" t="s">
        <v>343</v>
      </c>
      <c r="C157" s="100" t="s">
        <v>143</v>
      </c>
      <c r="D157" s="102">
        <v>13</v>
      </c>
      <c r="E157" s="102">
        <v>13</v>
      </c>
      <c r="F157" s="13">
        <f t="shared" ref="F157:G161" si="12">D157</f>
        <v>13</v>
      </c>
      <c r="G157" s="102">
        <f t="shared" si="12"/>
        <v>13</v>
      </c>
      <c r="H157" s="102">
        <f>G157</f>
        <v>13</v>
      </c>
      <c r="I157" s="103">
        <f t="shared" si="10"/>
        <v>100</v>
      </c>
      <c r="J157" s="103">
        <f t="shared" si="11"/>
        <v>100</v>
      </c>
      <c r="K157" s="129"/>
    </row>
    <row r="158" spans="1:12" s="104" customFormat="1" ht="22.5" hidden="1" customHeight="1" outlineLevel="1">
      <c r="A158" s="100"/>
      <c r="B158" s="101" t="s">
        <v>344</v>
      </c>
      <c r="C158" s="100" t="s">
        <v>143</v>
      </c>
      <c r="D158" s="102">
        <v>13</v>
      </c>
      <c r="E158" s="102">
        <v>14</v>
      </c>
      <c r="F158" s="13">
        <f t="shared" si="12"/>
        <v>13</v>
      </c>
      <c r="G158" s="102">
        <f t="shared" si="12"/>
        <v>14</v>
      </c>
      <c r="H158" s="102">
        <f>G158</f>
        <v>14</v>
      </c>
      <c r="I158" s="103">
        <f t="shared" si="10"/>
        <v>99.999999999999986</v>
      </c>
      <c r="J158" s="103">
        <f t="shared" si="11"/>
        <v>107.69230769230769</v>
      </c>
      <c r="K158" s="129"/>
    </row>
    <row r="159" spans="1:12" s="104" customFormat="1" ht="22.5" hidden="1" customHeight="1" outlineLevel="1">
      <c r="A159" s="100"/>
      <c r="B159" s="101" t="s">
        <v>345</v>
      </c>
      <c r="C159" s="100" t="s">
        <v>143</v>
      </c>
      <c r="D159" s="102">
        <v>9</v>
      </c>
      <c r="E159" s="102">
        <v>9</v>
      </c>
      <c r="F159" s="13">
        <f t="shared" si="12"/>
        <v>9</v>
      </c>
      <c r="G159" s="102">
        <f t="shared" si="12"/>
        <v>9</v>
      </c>
      <c r="H159" s="102">
        <f>G159</f>
        <v>9</v>
      </c>
      <c r="I159" s="103">
        <f t="shared" si="10"/>
        <v>100</v>
      </c>
      <c r="J159" s="103">
        <f t="shared" si="11"/>
        <v>100</v>
      </c>
      <c r="K159" s="129"/>
    </row>
    <row r="160" spans="1:12" s="104" customFormat="1" ht="22.5" hidden="1" customHeight="1" outlineLevel="1">
      <c r="A160" s="100"/>
      <c r="B160" s="101" t="s">
        <v>346</v>
      </c>
      <c r="C160" s="100" t="s">
        <v>143</v>
      </c>
      <c r="D160" s="102">
        <v>1</v>
      </c>
      <c r="E160" s="102">
        <v>1</v>
      </c>
      <c r="F160" s="13">
        <f t="shared" si="12"/>
        <v>1</v>
      </c>
      <c r="G160" s="102">
        <f t="shared" si="12"/>
        <v>1</v>
      </c>
      <c r="H160" s="102">
        <f>G160</f>
        <v>1</v>
      </c>
      <c r="I160" s="103">
        <f t="shared" si="10"/>
        <v>100</v>
      </c>
      <c r="J160" s="103">
        <f t="shared" si="11"/>
        <v>100</v>
      </c>
      <c r="K160" s="129"/>
    </row>
    <row r="161" spans="1:11" s="104" customFormat="1" ht="22.5" hidden="1" customHeight="1" outlineLevel="1">
      <c r="A161" s="100"/>
      <c r="B161" s="101" t="s">
        <v>347</v>
      </c>
      <c r="C161" s="100" t="s">
        <v>143</v>
      </c>
      <c r="D161" s="102">
        <v>1</v>
      </c>
      <c r="E161" s="102">
        <v>1</v>
      </c>
      <c r="F161" s="13">
        <f t="shared" si="12"/>
        <v>1</v>
      </c>
      <c r="G161" s="102">
        <f t="shared" si="12"/>
        <v>1</v>
      </c>
      <c r="H161" s="102">
        <f>G161</f>
        <v>1</v>
      </c>
      <c r="I161" s="103">
        <f t="shared" si="10"/>
        <v>100</v>
      </c>
      <c r="J161" s="103">
        <f t="shared" si="11"/>
        <v>100</v>
      </c>
      <c r="K161" s="129"/>
    </row>
    <row r="162" spans="1:11" s="104" customFormat="1" ht="22.5" hidden="1" customHeight="1" outlineLevel="1">
      <c r="A162" s="100"/>
      <c r="B162" s="101" t="s">
        <v>348</v>
      </c>
      <c r="C162" s="100" t="s">
        <v>143</v>
      </c>
      <c r="D162" s="102">
        <f>SUM(D164:D168)</f>
        <v>20</v>
      </c>
      <c r="E162" s="102">
        <f>SUM(E164:E168)</f>
        <v>21</v>
      </c>
      <c r="F162" s="13">
        <f>SUM(F164:F168)</f>
        <v>20</v>
      </c>
      <c r="G162" s="102">
        <f>SUM(G164:G168)</f>
        <v>25</v>
      </c>
      <c r="H162" s="102">
        <f>SUM(H164:H168)</f>
        <v>21</v>
      </c>
      <c r="I162" s="103">
        <f t="shared" si="10"/>
        <v>84</v>
      </c>
      <c r="J162" s="103">
        <f t="shared" si="11"/>
        <v>105</v>
      </c>
      <c r="K162" s="129"/>
    </row>
    <row r="163" spans="1:11" s="104" customFormat="1" ht="22.5" hidden="1" customHeight="1" outlineLevel="1">
      <c r="A163" s="100"/>
      <c r="B163" s="105" t="s">
        <v>341</v>
      </c>
      <c r="C163" s="100"/>
      <c r="D163" s="102"/>
      <c r="E163" s="102"/>
      <c r="F163" s="13"/>
      <c r="G163" s="102"/>
      <c r="H163" s="102"/>
      <c r="I163" s="103" t="str">
        <f t="shared" si="10"/>
        <v/>
      </c>
      <c r="J163" s="103" t="str">
        <f t="shared" si="11"/>
        <v/>
      </c>
      <c r="K163" s="129"/>
    </row>
    <row r="164" spans="1:11" s="104" customFormat="1" ht="22.5" hidden="1" customHeight="1" outlineLevel="1">
      <c r="A164" s="100"/>
      <c r="B164" s="101" t="s">
        <v>343</v>
      </c>
      <c r="C164" s="100" t="s">
        <v>143</v>
      </c>
      <c r="D164" s="102">
        <v>5</v>
      </c>
      <c r="E164" s="102">
        <v>6</v>
      </c>
      <c r="F164" s="13">
        <v>6</v>
      </c>
      <c r="G164" s="102">
        <v>8</v>
      </c>
      <c r="H164" s="102">
        <v>6</v>
      </c>
      <c r="I164" s="103">
        <f t="shared" si="10"/>
        <v>75</v>
      </c>
      <c r="J164" s="103">
        <f t="shared" si="11"/>
        <v>100</v>
      </c>
      <c r="K164" s="129"/>
    </row>
    <row r="165" spans="1:11" s="104" customFormat="1" ht="22.5" hidden="1" customHeight="1" outlineLevel="1">
      <c r="A165" s="100"/>
      <c r="B165" s="101" t="s">
        <v>344</v>
      </c>
      <c r="C165" s="100" t="s">
        <v>143</v>
      </c>
      <c r="D165" s="102">
        <v>9</v>
      </c>
      <c r="E165" s="102">
        <v>9</v>
      </c>
      <c r="F165" s="13">
        <v>9</v>
      </c>
      <c r="G165" s="102">
        <v>10</v>
      </c>
      <c r="H165" s="102">
        <v>9</v>
      </c>
      <c r="I165" s="103">
        <f t="shared" si="10"/>
        <v>90</v>
      </c>
      <c r="J165" s="103">
        <f t="shared" si="11"/>
        <v>100</v>
      </c>
      <c r="K165" s="129"/>
    </row>
    <row r="166" spans="1:11" s="104" customFormat="1" ht="22.5" hidden="1" customHeight="1" outlineLevel="1">
      <c r="A166" s="100"/>
      <c r="B166" s="101" t="s">
        <v>345</v>
      </c>
      <c r="C166" s="100" t="s">
        <v>143</v>
      </c>
      <c r="D166" s="102">
        <v>4</v>
      </c>
      <c r="E166" s="102">
        <v>4</v>
      </c>
      <c r="F166" s="13">
        <v>3</v>
      </c>
      <c r="G166" s="102">
        <v>5</v>
      </c>
      <c r="H166" s="102">
        <v>4</v>
      </c>
      <c r="I166" s="103">
        <f t="shared" si="10"/>
        <v>80</v>
      </c>
      <c r="J166" s="103">
        <f t="shared" si="11"/>
        <v>133.33333333333334</v>
      </c>
      <c r="K166" s="129"/>
    </row>
    <row r="167" spans="1:11" s="104" customFormat="1" ht="22.5" hidden="1" customHeight="1" outlineLevel="1">
      <c r="A167" s="100"/>
      <c r="B167" s="101" t="s">
        <v>346</v>
      </c>
      <c r="C167" s="100" t="s">
        <v>143</v>
      </c>
      <c r="D167" s="102">
        <v>1</v>
      </c>
      <c r="E167" s="102">
        <v>1</v>
      </c>
      <c r="F167" s="13">
        <v>1</v>
      </c>
      <c r="G167" s="102">
        <v>1</v>
      </c>
      <c r="H167" s="102">
        <v>1</v>
      </c>
      <c r="I167" s="103">
        <f t="shared" si="10"/>
        <v>100</v>
      </c>
      <c r="J167" s="103">
        <f t="shared" si="11"/>
        <v>100</v>
      </c>
      <c r="K167" s="129"/>
    </row>
    <row r="168" spans="1:11" s="104" customFormat="1" ht="22.5" hidden="1" customHeight="1" outlineLevel="1">
      <c r="A168" s="100"/>
      <c r="B168" s="101" t="s">
        <v>347</v>
      </c>
      <c r="C168" s="100" t="s">
        <v>143</v>
      </c>
      <c r="D168" s="102">
        <v>1</v>
      </c>
      <c r="E168" s="102">
        <v>1</v>
      </c>
      <c r="F168" s="13">
        <v>1</v>
      </c>
      <c r="G168" s="102">
        <v>1</v>
      </c>
      <c r="H168" s="102">
        <v>1</v>
      </c>
      <c r="I168" s="103">
        <f t="shared" si="10"/>
        <v>100</v>
      </c>
      <c r="J168" s="103">
        <f t="shared" si="11"/>
        <v>100</v>
      </c>
      <c r="K168" s="129"/>
    </row>
    <row r="169" spans="1:11" ht="22.5" customHeight="1" collapsed="1">
      <c r="A169" s="32">
        <v>2</v>
      </c>
      <c r="B169" s="20" t="s">
        <v>144</v>
      </c>
      <c r="C169" s="32" t="s">
        <v>33</v>
      </c>
      <c r="D169" s="74">
        <f>D162/D155%</f>
        <v>54.054054054054056</v>
      </c>
      <c r="E169" s="74">
        <f>E162/E155%</f>
        <v>55.263157894736842</v>
      </c>
      <c r="F169" s="74">
        <f>F162/F155%</f>
        <v>54.054054054054056</v>
      </c>
      <c r="G169" s="74">
        <f>G162/G155%</f>
        <v>65.78947368421052</v>
      </c>
      <c r="H169" s="74">
        <f>H162/H155%</f>
        <v>55.263157894736842</v>
      </c>
      <c r="I169" s="58">
        <f t="shared" si="10"/>
        <v>84.000000000000014</v>
      </c>
      <c r="J169" s="58">
        <f t="shared" si="11"/>
        <v>102.23684210526315</v>
      </c>
      <c r="K169" s="3"/>
    </row>
    <row r="170" spans="1:11" ht="22.5" hidden="1" customHeight="1" outlineLevel="1">
      <c r="A170" s="32"/>
      <c r="B170" s="62" t="s">
        <v>341</v>
      </c>
      <c r="C170" s="32"/>
      <c r="D170" s="55"/>
      <c r="E170" s="55"/>
      <c r="F170" s="55"/>
      <c r="G170" s="55"/>
      <c r="H170" s="55"/>
      <c r="I170" s="58" t="str">
        <f t="shared" si="10"/>
        <v/>
      </c>
      <c r="J170" s="58" t="str">
        <f t="shared" si="11"/>
        <v/>
      </c>
      <c r="K170" s="3"/>
    </row>
    <row r="171" spans="1:11" ht="22.5" hidden="1" customHeight="1" outlineLevel="1">
      <c r="A171" s="32"/>
      <c r="B171" s="20" t="s">
        <v>343</v>
      </c>
      <c r="C171" s="32" t="s">
        <v>33</v>
      </c>
      <c r="D171" s="55">
        <f t="shared" ref="D171:H175" si="13">D164/D157%</f>
        <v>38.46153846153846</v>
      </c>
      <c r="E171" s="55">
        <f t="shared" si="13"/>
        <v>46.153846153846153</v>
      </c>
      <c r="F171" s="55">
        <f>F164/F157%</f>
        <v>46.153846153846153</v>
      </c>
      <c r="G171" s="55">
        <f t="shared" si="13"/>
        <v>61.538461538461533</v>
      </c>
      <c r="H171" s="55">
        <f t="shared" si="13"/>
        <v>46.153846153846153</v>
      </c>
      <c r="I171" s="58">
        <f t="shared" si="10"/>
        <v>75.000000000000014</v>
      </c>
      <c r="J171" s="58">
        <f t="shared" si="11"/>
        <v>100</v>
      </c>
      <c r="K171" s="3"/>
    </row>
    <row r="172" spans="1:11" ht="22.5" hidden="1" customHeight="1" outlineLevel="1">
      <c r="A172" s="32"/>
      <c r="B172" s="20" t="s">
        <v>344</v>
      </c>
      <c r="C172" s="32" t="s">
        <v>33</v>
      </c>
      <c r="D172" s="55">
        <f t="shared" si="13"/>
        <v>69.230769230769226</v>
      </c>
      <c r="E172" s="55">
        <f t="shared" si="13"/>
        <v>64.285714285714278</v>
      </c>
      <c r="F172" s="55">
        <f>F165/F158%</f>
        <v>69.230769230769226</v>
      </c>
      <c r="G172" s="55">
        <f t="shared" si="13"/>
        <v>71.428571428571416</v>
      </c>
      <c r="H172" s="55">
        <f t="shared" si="13"/>
        <v>64.285714285714278</v>
      </c>
      <c r="I172" s="58">
        <f t="shared" si="10"/>
        <v>90</v>
      </c>
      <c r="J172" s="58">
        <f t="shared" si="11"/>
        <v>92.857142857142847</v>
      </c>
      <c r="K172" s="3"/>
    </row>
    <row r="173" spans="1:11" ht="22.5" hidden="1" customHeight="1" outlineLevel="1">
      <c r="A173" s="32"/>
      <c r="B173" s="20" t="s">
        <v>345</v>
      </c>
      <c r="C173" s="32" t="s">
        <v>33</v>
      </c>
      <c r="D173" s="55">
        <f t="shared" si="13"/>
        <v>44.444444444444443</v>
      </c>
      <c r="E173" s="55">
        <f t="shared" si="13"/>
        <v>44.444444444444443</v>
      </c>
      <c r="F173" s="55">
        <f>F166/F159%</f>
        <v>33.333333333333336</v>
      </c>
      <c r="G173" s="55">
        <f t="shared" si="13"/>
        <v>55.555555555555557</v>
      </c>
      <c r="H173" s="55">
        <f t="shared" si="13"/>
        <v>44.444444444444443</v>
      </c>
      <c r="I173" s="58">
        <f t="shared" si="10"/>
        <v>80</v>
      </c>
      <c r="J173" s="58">
        <f t="shared" si="11"/>
        <v>133.33333333333331</v>
      </c>
      <c r="K173" s="3"/>
    </row>
    <row r="174" spans="1:11" ht="22.5" hidden="1" customHeight="1" outlineLevel="1">
      <c r="A174" s="32"/>
      <c r="B174" s="20" t="s">
        <v>346</v>
      </c>
      <c r="C174" s="32" t="s">
        <v>33</v>
      </c>
      <c r="D174" s="55">
        <f t="shared" si="13"/>
        <v>100</v>
      </c>
      <c r="E174" s="55">
        <f t="shared" si="13"/>
        <v>100</v>
      </c>
      <c r="F174" s="55">
        <f>F167/F160%</f>
        <v>100</v>
      </c>
      <c r="G174" s="55">
        <f t="shared" si="13"/>
        <v>100</v>
      </c>
      <c r="H174" s="55">
        <f t="shared" si="13"/>
        <v>100</v>
      </c>
      <c r="I174" s="58">
        <f t="shared" si="10"/>
        <v>100</v>
      </c>
      <c r="J174" s="58">
        <f t="shared" si="11"/>
        <v>100</v>
      </c>
      <c r="K174" s="3"/>
    </row>
    <row r="175" spans="1:11" ht="22.5" hidden="1" customHeight="1" outlineLevel="1">
      <c r="A175" s="32"/>
      <c r="B175" s="20" t="s">
        <v>347</v>
      </c>
      <c r="C175" s="32" t="s">
        <v>33</v>
      </c>
      <c r="D175" s="55">
        <f t="shared" si="13"/>
        <v>100</v>
      </c>
      <c r="E175" s="55">
        <f t="shared" si="13"/>
        <v>100</v>
      </c>
      <c r="F175" s="55">
        <f>F168/F161%</f>
        <v>100</v>
      </c>
      <c r="G175" s="55">
        <f t="shared" si="13"/>
        <v>100</v>
      </c>
      <c r="H175" s="55">
        <f t="shared" si="13"/>
        <v>100</v>
      </c>
      <c r="I175" s="58">
        <f t="shared" si="10"/>
        <v>100</v>
      </c>
      <c r="J175" s="58">
        <f t="shared" si="11"/>
        <v>100</v>
      </c>
      <c r="K175" s="3"/>
    </row>
    <row r="176" spans="1:11" ht="22.5" customHeight="1" collapsed="1">
      <c r="A176" s="32">
        <v>3</v>
      </c>
      <c r="B176" s="48" t="s">
        <v>390</v>
      </c>
      <c r="C176" s="32"/>
      <c r="D176" s="13"/>
      <c r="E176" s="13"/>
      <c r="F176" s="13"/>
      <c r="G176" s="13"/>
      <c r="H176" s="13"/>
      <c r="I176" s="58" t="str">
        <f t="shared" si="10"/>
        <v/>
      </c>
      <c r="J176" s="58" t="str">
        <f t="shared" si="11"/>
        <v/>
      </c>
      <c r="K176" s="3"/>
    </row>
    <row r="177" spans="1:12" ht="22.5" customHeight="1">
      <c r="A177" s="73" t="s">
        <v>34</v>
      </c>
      <c r="B177" s="68" t="s">
        <v>188</v>
      </c>
      <c r="C177" s="32" t="s">
        <v>33</v>
      </c>
      <c r="D177" s="153"/>
      <c r="E177" s="153"/>
      <c r="F177" s="153"/>
      <c r="G177" s="153"/>
      <c r="H177" s="153"/>
      <c r="I177" s="58" t="str">
        <f t="shared" si="10"/>
        <v/>
      </c>
      <c r="J177" s="58" t="str">
        <f t="shared" si="11"/>
        <v/>
      </c>
      <c r="K177" s="3"/>
    </row>
    <row r="178" spans="1:12" ht="22.5" customHeight="1">
      <c r="A178" s="73"/>
      <c r="B178" s="70" t="s">
        <v>189</v>
      </c>
      <c r="C178" s="32" t="s">
        <v>33</v>
      </c>
      <c r="D178" s="153">
        <v>11.7</v>
      </c>
      <c r="E178" s="153">
        <v>12.1</v>
      </c>
      <c r="F178" s="153"/>
      <c r="G178" s="153">
        <v>12.5</v>
      </c>
      <c r="H178" s="153">
        <v>13.6</v>
      </c>
      <c r="I178" s="58">
        <f t="shared" si="10"/>
        <v>108.8</v>
      </c>
      <c r="J178" s="58" t="str">
        <f t="shared" si="11"/>
        <v/>
      </c>
      <c r="K178" s="3"/>
    </row>
    <row r="179" spans="1:12" ht="22.5" customHeight="1">
      <c r="A179" s="73"/>
      <c r="B179" s="70" t="s">
        <v>190</v>
      </c>
      <c r="C179" s="32" t="s">
        <v>33</v>
      </c>
      <c r="D179" s="153">
        <v>97.9</v>
      </c>
      <c r="E179" s="153">
        <v>97.2</v>
      </c>
      <c r="F179" s="153"/>
      <c r="G179" s="153">
        <v>98</v>
      </c>
      <c r="H179" s="153">
        <v>97.7</v>
      </c>
      <c r="I179" s="58">
        <f t="shared" si="10"/>
        <v>99.693877551020407</v>
      </c>
      <c r="J179" s="58" t="str">
        <f t="shared" si="11"/>
        <v/>
      </c>
      <c r="K179" s="3"/>
    </row>
    <row r="180" spans="1:12" ht="22.5" customHeight="1">
      <c r="A180" s="73" t="s">
        <v>35</v>
      </c>
      <c r="B180" s="68" t="s">
        <v>272</v>
      </c>
      <c r="C180" s="32" t="s">
        <v>33</v>
      </c>
      <c r="D180" s="153">
        <v>99.9</v>
      </c>
      <c r="E180" s="153">
        <v>100</v>
      </c>
      <c r="F180" s="153"/>
      <c r="G180" s="153">
        <v>100</v>
      </c>
      <c r="H180" s="153">
        <v>100</v>
      </c>
      <c r="I180" s="58">
        <f t="shared" si="10"/>
        <v>100</v>
      </c>
      <c r="J180" s="58" t="str">
        <f t="shared" si="11"/>
        <v/>
      </c>
      <c r="K180" s="3"/>
    </row>
    <row r="181" spans="1:12" ht="22.5" customHeight="1">
      <c r="A181" s="73" t="s">
        <v>36</v>
      </c>
      <c r="B181" s="68" t="s">
        <v>391</v>
      </c>
      <c r="C181" s="32" t="s">
        <v>33</v>
      </c>
      <c r="D181" s="153">
        <v>96.2</v>
      </c>
      <c r="E181" s="153">
        <v>99.8</v>
      </c>
      <c r="F181" s="153"/>
      <c r="G181" s="153">
        <v>100</v>
      </c>
      <c r="H181" s="153">
        <v>98.6</v>
      </c>
      <c r="I181" s="58">
        <f t="shared" ref="I181:I199" si="14">IFERROR(H181/G181%,"")</f>
        <v>98.6</v>
      </c>
      <c r="J181" s="58" t="str">
        <f t="shared" ref="J181:J199" si="15">IFERROR(H181/F181%,"")</f>
        <v/>
      </c>
      <c r="K181" s="3"/>
    </row>
    <row r="182" spans="1:12" ht="22.5" customHeight="1">
      <c r="A182" s="11" t="s">
        <v>50</v>
      </c>
      <c r="B182" s="15" t="s">
        <v>350</v>
      </c>
      <c r="C182" s="32"/>
      <c r="D182" s="13"/>
      <c r="E182" s="13"/>
      <c r="F182" s="13"/>
      <c r="G182" s="13"/>
      <c r="H182" s="13"/>
      <c r="I182" s="66" t="str">
        <f t="shared" si="14"/>
        <v/>
      </c>
      <c r="J182" s="66" t="str">
        <f t="shared" si="15"/>
        <v/>
      </c>
      <c r="K182" s="3"/>
    </row>
    <row r="183" spans="1:12" ht="22.5" customHeight="1">
      <c r="A183" s="32">
        <v>1</v>
      </c>
      <c r="B183" s="20" t="s">
        <v>351</v>
      </c>
      <c r="C183" s="32" t="s">
        <v>145</v>
      </c>
      <c r="D183" s="13">
        <v>130</v>
      </c>
      <c r="E183" s="13">
        <v>130</v>
      </c>
      <c r="F183" s="13">
        <v>130</v>
      </c>
      <c r="G183" s="13">
        <v>135</v>
      </c>
      <c r="H183" s="13">
        <v>130</v>
      </c>
      <c r="I183" s="58">
        <f t="shared" si="14"/>
        <v>96.296296296296291</v>
      </c>
      <c r="J183" s="58">
        <f t="shared" si="15"/>
        <v>100</v>
      </c>
      <c r="K183" s="3"/>
    </row>
    <row r="184" spans="1:12" ht="24" customHeight="1">
      <c r="A184" s="32">
        <v>2</v>
      </c>
      <c r="B184" s="20" t="s">
        <v>451</v>
      </c>
      <c r="C184" s="32" t="s">
        <v>349</v>
      </c>
      <c r="D184" s="13">
        <v>2</v>
      </c>
      <c r="E184" s="13">
        <v>4</v>
      </c>
      <c r="F184" s="13">
        <v>4</v>
      </c>
      <c r="G184" s="13">
        <v>7</v>
      </c>
      <c r="H184" s="13">
        <v>4</v>
      </c>
      <c r="I184" s="58">
        <f t="shared" si="14"/>
        <v>57.142857142857139</v>
      </c>
      <c r="J184" s="58">
        <f t="shared" si="15"/>
        <v>100</v>
      </c>
      <c r="K184" s="3"/>
    </row>
    <row r="185" spans="1:12" ht="21" customHeight="1">
      <c r="A185" s="32"/>
      <c r="B185" s="47" t="s">
        <v>452</v>
      </c>
      <c r="C185" s="32" t="s">
        <v>33</v>
      </c>
      <c r="D185" s="55">
        <f>D184/9%</f>
        <v>22.222222222222221</v>
      </c>
      <c r="E185" s="55">
        <f>E184/9%</f>
        <v>44.444444444444443</v>
      </c>
      <c r="F185" s="55">
        <f>F184/9%</f>
        <v>44.444444444444443</v>
      </c>
      <c r="G185" s="55">
        <f>G184/9%</f>
        <v>77.777777777777786</v>
      </c>
      <c r="H185" s="55">
        <f>H184/9%</f>
        <v>44.444444444444443</v>
      </c>
      <c r="I185" s="58">
        <f t="shared" si="14"/>
        <v>57.142857142857132</v>
      </c>
      <c r="J185" s="58">
        <f t="shared" si="15"/>
        <v>100</v>
      </c>
      <c r="K185" s="3"/>
    </row>
    <row r="186" spans="1:12" ht="21.75" customHeight="1">
      <c r="A186" s="32">
        <v>3</v>
      </c>
      <c r="B186" s="46" t="s">
        <v>187</v>
      </c>
      <c r="C186" s="32" t="s">
        <v>33</v>
      </c>
      <c r="D186" s="55">
        <v>83.5</v>
      </c>
      <c r="E186" s="55">
        <v>85</v>
      </c>
      <c r="F186" s="55"/>
      <c r="G186" s="55">
        <v>90</v>
      </c>
      <c r="H186" s="55"/>
      <c r="I186" s="58">
        <f t="shared" si="14"/>
        <v>0</v>
      </c>
      <c r="J186" s="58" t="str">
        <f t="shared" si="15"/>
        <v/>
      </c>
      <c r="K186" s="3"/>
    </row>
    <row r="187" spans="1:12" ht="31.5">
      <c r="A187" s="32">
        <v>4</v>
      </c>
      <c r="B187" s="46" t="s">
        <v>412</v>
      </c>
      <c r="C187" s="32" t="s">
        <v>33</v>
      </c>
      <c r="D187" s="74">
        <v>33.1</v>
      </c>
      <c r="E187" s="55">
        <v>31.8</v>
      </c>
      <c r="F187" s="55"/>
      <c r="G187" s="55">
        <v>31.3</v>
      </c>
      <c r="H187" s="55"/>
      <c r="I187" s="58">
        <f t="shared" si="14"/>
        <v>0</v>
      </c>
      <c r="J187" s="58" t="str">
        <f t="shared" si="15"/>
        <v/>
      </c>
      <c r="K187" s="3"/>
    </row>
    <row r="188" spans="1:12" ht="31.5">
      <c r="A188" s="32">
        <v>5</v>
      </c>
      <c r="B188" s="46" t="s">
        <v>413</v>
      </c>
      <c r="C188" s="32" t="s">
        <v>33</v>
      </c>
      <c r="D188" s="74">
        <v>20.6</v>
      </c>
      <c r="E188" s="55">
        <v>20</v>
      </c>
      <c r="F188" s="55">
        <v>20</v>
      </c>
      <c r="G188" s="55">
        <v>19.5</v>
      </c>
      <c r="H188" s="55"/>
      <c r="I188" s="58">
        <f t="shared" si="14"/>
        <v>0</v>
      </c>
      <c r="J188" s="58">
        <f t="shared" si="15"/>
        <v>0</v>
      </c>
      <c r="K188" s="3"/>
    </row>
    <row r="189" spans="1:12" ht="31.5">
      <c r="A189" s="11" t="s">
        <v>51</v>
      </c>
      <c r="B189" s="142" t="s">
        <v>192</v>
      </c>
      <c r="C189" s="12"/>
      <c r="D189" s="13"/>
      <c r="E189" s="13"/>
      <c r="F189" s="13"/>
      <c r="G189" s="13"/>
      <c r="H189" s="13"/>
      <c r="I189" s="66" t="str">
        <f t="shared" si="14"/>
        <v/>
      </c>
      <c r="J189" s="66" t="str">
        <f t="shared" si="15"/>
        <v/>
      </c>
      <c r="K189" s="3"/>
    </row>
    <row r="190" spans="1:12" ht="22.5" customHeight="1">
      <c r="A190" s="11">
        <v>1</v>
      </c>
      <c r="B190" s="63" t="s">
        <v>193</v>
      </c>
      <c r="C190" s="12"/>
      <c r="D190" s="13"/>
      <c r="E190" s="13"/>
      <c r="F190" s="13"/>
      <c r="G190" s="13"/>
      <c r="H190" s="13"/>
      <c r="I190" s="66" t="str">
        <f t="shared" si="14"/>
        <v/>
      </c>
      <c r="J190" s="66" t="str">
        <f t="shared" si="15"/>
        <v/>
      </c>
      <c r="K190" s="3"/>
    </row>
    <row r="191" spans="1:12" ht="22.5" customHeight="1">
      <c r="A191" s="19"/>
      <c r="B191" s="48" t="s">
        <v>194</v>
      </c>
      <c r="C191" s="21" t="s">
        <v>16</v>
      </c>
      <c r="D191" s="59">
        <v>1560</v>
      </c>
      <c r="E191" s="59">
        <v>1560</v>
      </c>
      <c r="F191" s="59">
        <v>1248</v>
      </c>
      <c r="G191" s="59">
        <f>E191</f>
        <v>1560</v>
      </c>
      <c r="H191" s="59">
        <f>G191/12*8</f>
        <v>1040</v>
      </c>
      <c r="I191" s="58">
        <f t="shared" si="14"/>
        <v>66.666666666666671</v>
      </c>
      <c r="J191" s="58">
        <f t="shared" si="15"/>
        <v>83.333333333333329</v>
      </c>
      <c r="K191" s="3"/>
    </row>
    <row r="192" spans="1:12" ht="22.5" customHeight="1">
      <c r="A192" s="19"/>
      <c r="B192" s="48" t="s">
        <v>195</v>
      </c>
      <c r="C192" s="21" t="s">
        <v>16</v>
      </c>
      <c r="D192" s="59">
        <v>21800</v>
      </c>
      <c r="E192" s="59">
        <v>21800</v>
      </c>
      <c r="F192" s="59">
        <v>16320</v>
      </c>
      <c r="G192" s="59">
        <f>E192</f>
        <v>21800</v>
      </c>
      <c r="H192" s="59">
        <f>G192/12*8</f>
        <v>14533.333333333334</v>
      </c>
      <c r="I192" s="58">
        <f t="shared" si="14"/>
        <v>66.666666666666671</v>
      </c>
      <c r="J192" s="58">
        <f t="shared" si="15"/>
        <v>89.05228758169936</v>
      </c>
      <c r="K192" s="3"/>
      <c r="L192" s="77"/>
    </row>
    <row r="193" spans="1:11" ht="22.5" customHeight="1">
      <c r="A193" s="11">
        <v>2</v>
      </c>
      <c r="B193" s="63" t="s">
        <v>196</v>
      </c>
      <c r="C193" s="21"/>
      <c r="D193" s="59"/>
      <c r="E193" s="59"/>
      <c r="F193" s="59"/>
      <c r="G193" s="59"/>
      <c r="H193" s="59"/>
      <c r="I193" s="66" t="str">
        <f t="shared" si="14"/>
        <v/>
      </c>
      <c r="J193" s="66" t="str">
        <f t="shared" si="15"/>
        <v/>
      </c>
      <c r="K193" s="3"/>
    </row>
    <row r="194" spans="1:11" ht="22.5" hidden="1" customHeight="1" outlineLevel="1">
      <c r="A194" s="19" t="s">
        <v>155</v>
      </c>
      <c r="B194" s="48" t="s">
        <v>198</v>
      </c>
      <c r="C194" s="21" t="s">
        <v>199</v>
      </c>
      <c r="D194" s="59">
        <v>9233</v>
      </c>
      <c r="E194" s="59">
        <f>E133*E195%</f>
        <v>9781.42</v>
      </c>
      <c r="F194" s="59"/>
      <c r="G194" s="59">
        <f>G133*G195%</f>
        <v>10744.2</v>
      </c>
      <c r="H194" s="59">
        <f>H133*H195%</f>
        <v>0</v>
      </c>
      <c r="I194" s="58">
        <f t="shared" si="14"/>
        <v>0</v>
      </c>
      <c r="J194" s="58" t="str">
        <f t="shared" si="15"/>
        <v/>
      </c>
      <c r="K194" s="3"/>
    </row>
    <row r="195" spans="1:11" ht="22.5" customHeight="1" collapsed="1">
      <c r="A195" s="32"/>
      <c r="B195" s="48" t="s">
        <v>200</v>
      </c>
      <c r="C195" s="41" t="s">
        <v>33</v>
      </c>
      <c r="D195" s="59">
        <v>85.6</v>
      </c>
      <c r="E195" s="58">
        <v>86.5</v>
      </c>
      <c r="F195" s="58"/>
      <c r="G195" s="58">
        <v>90</v>
      </c>
      <c r="H195" s="58"/>
      <c r="I195" s="58">
        <f t="shared" si="14"/>
        <v>0</v>
      </c>
      <c r="J195" s="58" t="str">
        <f t="shared" si="15"/>
        <v/>
      </c>
      <c r="K195" s="3"/>
    </row>
    <row r="196" spans="1:11" ht="22.5" hidden="1" customHeight="1" outlineLevel="1">
      <c r="A196" s="19" t="s">
        <v>155</v>
      </c>
      <c r="B196" s="48" t="s">
        <v>202</v>
      </c>
      <c r="C196" s="21" t="s">
        <v>203</v>
      </c>
      <c r="D196" s="59">
        <v>58</v>
      </c>
      <c r="E196" s="58">
        <f>67*E197%</f>
        <v>57.954999999999998</v>
      </c>
      <c r="F196" s="58"/>
      <c r="G196" s="58">
        <f>67*G197%</f>
        <v>60.97</v>
      </c>
      <c r="H196" s="58">
        <f>67*H197%</f>
        <v>0</v>
      </c>
      <c r="I196" s="58">
        <f t="shared" si="14"/>
        <v>0</v>
      </c>
      <c r="J196" s="58" t="str">
        <f t="shared" si="15"/>
        <v/>
      </c>
      <c r="K196" s="3"/>
    </row>
    <row r="197" spans="1:11" ht="22.5" customHeight="1" collapsed="1">
      <c r="A197" s="32"/>
      <c r="B197" s="48" t="s">
        <v>171</v>
      </c>
      <c r="C197" s="41" t="s">
        <v>33</v>
      </c>
      <c r="D197" s="59">
        <f>D196/67%</f>
        <v>86.567164179104466</v>
      </c>
      <c r="E197" s="58">
        <v>86.5</v>
      </c>
      <c r="F197" s="58"/>
      <c r="G197" s="58">
        <v>91</v>
      </c>
      <c r="H197" s="58"/>
      <c r="I197" s="58">
        <f t="shared" si="14"/>
        <v>0</v>
      </c>
      <c r="J197" s="58" t="str">
        <f t="shared" si="15"/>
        <v/>
      </c>
      <c r="K197" s="3"/>
    </row>
    <row r="198" spans="1:11" ht="22.5" customHeight="1">
      <c r="A198" s="19" t="s">
        <v>155</v>
      </c>
      <c r="B198" s="48" t="s">
        <v>205</v>
      </c>
      <c r="C198" s="21" t="s">
        <v>206</v>
      </c>
      <c r="D198" s="59">
        <v>88</v>
      </c>
      <c r="E198" s="59">
        <v>90</v>
      </c>
      <c r="F198" s="59"/>
      <c r="G198" s="59">
        <v>90</v>
      </c>
      <c r="H198" s="59"/>
      <c r="I198" s="58">
        <f t="shared" si="14"/>
        <v>0</v>
      </c>
      <c r="J198" s="58" t="str">
        <f t="shared" si="15"/>
        <v/>
      </c>
      <c r="K198" s="3"/>
    </row>
    <row r="199" spans="1:11" ht="22.5" customHeight="1">
      <c r="A199" s="19" t="s">
        <v>155</v>
      </c>
      <c r="B199" s="20" t="s">
        <v>356</v>
      </c>
      <c r="C199" s="32" t="s">
        <v>61</v>
      </c>
      <c r="D199" s="59">
        <v>4</v>
      </c>
      <c r="E199" s="59">
        <v>4</v>
      </c>
      <c r="F199" s="59">
        <v>4</v>
      </c>
      <c r="G199" s="59">
        <v>4</v>
      </c>
      <c r="H199" s="59">
        <v>4</v>
      </c>
      <c r="I199" s="58">
        <f t="shared" si="14"/>
        <v>100</v>
      </c>
      <c r="J199" s="58">
        <f t="shared" si="15"/>
        <v>100</v>
      </c>
      <c r="K199" s="3"/>
    </row>
    <row r="200" spans="1:11">
      <c r="A200" s="4"/>
      <c r="B200" s="64"/>
      <c r="C200" s="4"/>
      <c r="D200" s="64"/>
      <c r="E200" s="64"/>
      <c r="F200" s="64"/>
      <c r="G200" s="64"/>
      <c r="H200" s="64"/>
      <c r="I200" s="64"/>
      <c r="J200" s="64"/>
      <c r="K200" s="64"/>
    </row>
  </sheetData>
  <mergeCells count="13">
    <mergeCell ref="A1:K1"/>
    <mergeCell ref="A2:K2"/>
    <mergeCell ref="A3:K3"/>
    <mergeCell ref="A5:A6"/>
    <mergeCell ref="B5:B6"/>
    <mergeCell ref="C5:C6"/>
    <mergeCell ref="D5:D6"/>
    <mergeCell ref="E5:E6"/>
    <mergeCell ref="K5:K6"/>
    <mergeCell ref="F5:F6"/>
    <mergeCell ref="G5:G6"/>
    <mergeCell ref="H5:H6"/>
    <mergeCell ref="I5:J5"/>
  </mergeCells>
  <pageMargins left="0.47244094488188981" right="0.39370078740157483" top="0.59055118110236227" bottom="0.47244094488188981" header="0.31496062992125984" footer="0.31496062992125984"/>
  <pageSetup paperSize="9" scale="74" fitToHeight="0" orientation="portrait" r:id="rId1"/>
  <headerFooter>
    <oddFooter>&amp;R&amp;"Times New Roman,Regular"&amp;P/&amp;N</oddFooter>
  </headerFooter>
  <ignoredErrors>
    <ignoredError sqref="F19:H30 F39:I42" formula="1"/>
    <ignoredError sqref="F101:H107" formulaRang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U194"/>
  <sheetViews>
    <sheetView tabSelected="1" zoomScale="70" zoomScaleNormal="70" zoomScaleSheetLayoutView="100" workbookViewId="0">
      <pane ySplit="7" topLeftCell="A40" activePane="bottomLeft" state="frozen"/>
      <selection pane="bottomLeft" activeCell="T37" sqref="T37"/>
    </sheetView>
  </sheetViews>
  <sheetFormatPr defaultColWidth="9.140625" defaultRowHeight="15.75" outlineLevelRow="1" outlineLevelCol="1"/>
  <cols>
    <col min="1" max="1" width="5.5703125" style="65" customWidth="1"/>
    <col min="2" max="2" width="39.140625" style="5" customWidth="1"/>
    <col min="3" max="3" width="12.140625" style="65" customWidth="1"/>
    <col min="4" max="6" width="12.140625" style="5" hidden="1" customWidth="1" outlineLevel="1"/>
    <col min="7" max="7" width="17.42578125" style="5" customWidth="1" collapsed="1"/>
    <col min="8" max="9" width="12.140625" style="5" hidden="1" customWidth="1" outlineLevel="1"/>
    <col min="10" max="10" width="12.140625" style="762" customWidth="1" collapsed="1"/>
    <col min="11" max="11" width="2" style="5" hidden="1" customWidth="1" outlineLevel="1"/>
    <col min="12" max="12" width="12.140625" style="5" customWidth="1" collapsed="1"/>
    <col min="13" max="14" width="12.140625" style="5" hidden="1" customWidth="1" outlineLevel="1"/>
    <col min="15" max="15" width="7" style="5" hidden="1" customWidth="1" outlineLevel="1"/>
    <col min="16" max="16" width="14.28515625" style="5" customWidth="1" collapsed="1"/>
    <col min="17" max="17" width="11.140625" style="5" customWidth="1"/>
    <col min="18" max="18" width="9.42578125" style="5" customWidth="1"/>
    <col min="19" max="19" width="10.5703125" style="5" bestFit="1" customWidth="1"/>
    <col min="20" max="20" width="13.7109375" style="5" customWidth="1"/>
    <col min="21" max="16384" width="9.140625" style="5"/>
  </cols>
  <sheetData>
    <row r="1" spans="1:20" ht="18.75" outlineLevel="1">
      <c r="A1" s="768" t="s">
        <v>166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</row>
    <row r="2" spans="1:20" ht="18.75" outlineLevel="1">
      <c r="A2" s="769" t="s">
        <v>1072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</row>
    <row r="3" spans="1:20" ht="18.75" outlineLevel="1">
      <c r="A3" s="770" t="s">
        <v>1075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</row>
    <row r="4" spans="1:20" outlineLevel="1">
      <c r="A4" s="7"/>
      <c r="B4" s="2"/>
      <c r="C4" s="8"/>
      <c r="D4" s="2"/>
      <c r="E4" s="2"/>
      <c r="F4" s="2"/>
      <c r="G4" s="2"/>
      <c r="H4" s="2"/>
      <c r="I4" s="2"/>
      <c r="J4" s="735"/>
      <c r="K4" s="2"/>
      <c r="L4" s="2"/>
      <c r="M4" s="2"/>
      <c r="N4" s="2"/>
      <c r="O4" s="2"/>
      <c r="P4" s="2"/>
      <c r="Q4" s="2"/>
    </row>
    <row r="5" spans="1:20" ht="16.5" customHeight="1">
      <c r="A5" s="771" t="s">
        <v>55</v>
      </c>
      <c r="B5" s="772" t="s">
        <v>69</v>
      </c>
      <c r="C5" s="772" t="s">
        <v>18</v>
      </c>
      <c r="D5" s="772" t="s">
        <v>361</v>
      </c>
      <c r="E5" s="772" t="s">
        <v>415</v>
      </c>
      <c r="F5" s="719" t="s">
        <v>514</v>
      </c>
      <c r="G5" s="764" t="s">
        <v>1074</v>
      </c>
      <c r="H5" s="719" t="s">
        <v>514</v>
      </c>
      <c r="I5" s="719" t="s">
        <v>514</v>
      </c>
      <c r="J5" s="772" t="s">
        <v>1061</v>
      </c>
      <c r="K5" s="772"/>
      <c r="L5" s="772"/>
      <c r="M5" s="797" t="s">
        <v>475</v>
      </c>
      <c r="N5" s="812"/>
      <c r="O5" s="812"/>
      <c r="P5" s="812"/>
      <c r="Q5" s="814"/>
      <c r="R5" s="766" t="s">
        <v>75</v>
      </c>
    </row>
    <row r="6" spans="1:20" ht="57.75" customHeight="1">
      <c r="A6" s="771"/>
      <c r="B6" s="772"/>
      <c r="C6" s="771"/>
      <c r="D6" s="772"/>
      <c r="E6" s="771"/>
      <c r="F6" s="728" t="s">
        <v>470</v>
      </c>
      <c r="G6" s="765"/>
      <c r="H6" s="728" t="s">
        <v>832</v>
      </c>
      <c r="I6" s="728" t="s">
        <v>1038</v>
      </c>
      <c r="J6" s="736" t="s">
        <v>470</v>
      </c>
      <c r="K6" s="728" t="s">
        <v>1059</v>
      </c>
      <c r="L6" s="729" t="s">
        <v>1060</v>
      </c>
      <c r="M6" s="728" t="s">
        <v>836</v>
      </c>
      <c r="N6" s="728" t="s">
        <v>839</v>
      </c>
      <c r="O6" s="727" t="s">
        <v>837</v>
      </c>
      <c r="P6" s="727" t="s">
        <v>471</v>
      </c>
      <c r="Q6" s="728" t="s">
        <v>470</v>
      </c>
      <c r="R6" s="767"/>
    </row>
    <row r="7" spans="1:20" ht="31.5">
      <c r="A7" s="730" t="s">
        <v>40</v>
      </c>
      <c r="B7" s="730" t="s">
        <v>43</v>
      </c>
      <c r="C7" s="730" t="s">
        <v>176</v>
      </c>
      <c r="D7" s="730"/>
      <c r="E7" s="730">
        <v>4</v>
      </c>
      <c r="F7" s="730">
        <v>5</v>
      </c>
      <c r="G7" s="730">
        <v>1</v>
      </c>
      <c r="H7" s="730"/>
      <c r="I7" s="730">
        <v>6</v>
      </c>
      <c r="J7" s="737">
        <v>2</v>
      </c>
      <c r="K7" s="730"/>
      <c r="L7" s="730">
        <v>3</v>
      </c>
      <c r="M7" s="731" t="s">
        <v>833</v>
      </c>
      <c r="N7" s="731" t="s">
        <v>834</v>
      </c>
      <c r="O7" s="730" t="s">
        <v>835</v>
      </c>
      <c r="P7" s="730">
        <v>4</v>
      </c>
      <c r="Q7" s="730">
        <v>5</v>
      </c>
      <c r="R7" s="730">
        <v>6</v>
      </c>
    </row>
    <row r="8" spans="1:20" ht="20.25" customHeight="1">
      <c r="A8" s="301"/>
      <c r="B8" s="302" t="s">
        <v>167</v>
      </c>
      <c r="C8" s="301"/>
      <c r="D8" s="303"/>
      <c r="E8" s="301"/>
      <c r="F8" s="301"/>
      <c r="G8" s="301"/>
      <c r="H8" s="301"/>
      <c r="I8" s="301"/>
      <c r="J8" s="738"/>
      <c r="K8" s="301"/>
      <c r="L8" s="301"/>
      <c r="M8" s="301"/>
      <c r="N8" s="321"/>
      <c r="O8" s="321"/>
      <c r="P8" s="321"/>
      <c r="Q8" s="321"/>
      <c r="R8" s="128"/>
    </row>
    <row r="9" spans="1:20" ht="19.5" customHeight="1" collapsed="1">
      <c r="A9" s="11" t="s">
        <v>40</v>
      </c>
      <c r="B9" s="142" t="s">
        <v>332</v>
      </c>
      <c r="C9" s="12"/>
      <c r="D9" s="143"/>
      <c r="E9" s="143"/>
      <c r="F9" s="143"/>
      <c r="G9" s="143"/>
      <c r="H9" s="143"/>
      <c r="I9" s="143"/>
      <c r="J9" s="739"/>
      <c r="K9" s="143"/>
      <c r="L9" s="143"/>
      <c r="M9" s="143"/>
      <c r="N9" s="66"/>
      <c r="O9" s="66"/>
      <c r="P9" s="66"/>
      <c r="Q9" s="66"/>
      <c r="R9" s="66"/>
      <c r="S9" s="14"/>
    </row>
    <row r="10" spans="1:20" s="18" customFormat="1" ht="19.5" customHeight="1">
      <c r="A10" s="11" t="s">
        <v>38</v>
      </c>
      <c r="B10" s="15" t="s">
        <v>172</v>
      </c>
      <c r="C10" s="12" t="s">
        <v>130</v>
      </c>
      <c r="D10" s="16">
        <v>347871</v>
      </c>
      <c r="E10" s="16">
        <v>313038</v>
      </c>
      <c r="F10" s="16">
        <v>277205</v>
      </c>
      <c r="G10" s="16">
        <v>171394</v>
      </c>
      <c r="H10" s="16">
        <v>239423</v>
      </c>
      <c r="I10" s="16">
        <v>360655</v>
      </c>
      <c r="J10" s="733">
        <v>316850</v>
      </c>
      <c r="K10" s="16">
        <v>175768</v>
      </c>
      <c r="L10" s="16">
        <v>174881</v>
      </c>
      <c r="M10" s="66">
        <f t="shared" ref="M10:M43" si="0">IFERROR(I10/E10%,"")</f>
        <v>115.2112523080265</v>
      </c>
      <c r="N10" s="66">
        <f t="shared" ref="N10:N43" si="1">IFERROR(I10/F10%,"")</f>
        <v>130.10407460182896</v>
      </c>
      <c r="O10" s="66">
        <f t="shared" ref="O10:O17" si="2">IFERROR(J10/I10%,"")</f>
        <v>87.854043337815909</v>
      </c>
      <c r="P10" s="66">
        <f t="shared" ref="P10:P41" si="3">IFERROR(L10/G10%,"")</f>
        <v>102.03449362288062</v>
      </c>
      <c r="Q10" s="66">
        <f t="shared" ref="Q10:Q41" si="4">IFERROR(L10/J10%,"")</f>
        <v>55.193624743569515</v>
      </c>
      <c r="R10" s="83"/>
      <c r="S10" s="17"/>
      <c r="T10" s="358"/>
    </row>
    <row r="11" spans="1:20" ht="19.5" customHeight="1">
      <c r="A11" s="19" t="s">
        <v>155</v>
      </c>
      <c r="B11" s="20" t="s">
        <v>173</v>
      </c>
      <c r="C11" s="21" t="s">
        <v>130</v>
      </c>
      <c r="D11" s="22">
        <v>90496</v>
      </c>
      <c r="E11" s="22">
        <v>104622</v>
      </c>
      <c r="F11" s="22">
        <v>82860</v>
      </c>
      <c r="G11" s="22">
        <v>63540</v>
      </c>
      <c r="H11" s="22">
        <v>98907</v>
      </c>
      <c r="I11" s="22">
        <v>111075</v>
      </c>
      <c r="J11" s="740">
        <v>110000</v>
      </c>
      <c r="K11" s="22">
        <v>56922</v>
      </c>
      <c r="L11" s="22">
        <v>51021</v>
      </c>
      <c r="M11" s="58">
        <f t="shared" si="0"/>
        <v>106.16791879337042</v>
      </c>
      <c r="N11" s="58">
        <f t="shared" si="1"/>
        <v>134.05141202027517</v>
      </c>
      <c r="O11" s="58">
        <f t="shared" si="2"/>
        <v>99.03218546027459</v>
      </c>
      <c r="P11" s="58">
        <f t="shared" si="3"/>
        <v>80.297450424929181</v>
      </c>
      <c r="Q11" s="58">
        <f t="shared" si="4"/>
        <v>46.382727272727273</v>
      </c>
      <c r="R11" s="3"/>
      <c r="S11" s="14"/>
      <c r="T11" s="359"/>
    </row>
    <row r="12" spans="1:20" s="42" customFormat="1" ht="19.5" hidden="1" customHeight="1">
      <c r="A12" s="71"/>
      <c r="B12" s="62" t="s">
        <v>455</v>
      </c>
      <c r="C12" s="41" t="s">
        <v>130</v>
      </c>
      <c r="D12" s="72">
        <v>84999</v>
      </c>
      <c r="E12" s="72">
        <v>71796</v>
      </c>
      <c r="F12" s="72">
        <v>70788</v>
      </c>
      <c r="G12" s="72">
        <v>46832</v>
      </c>
      <c r="H12" s="72">
        <v>79682.86</v>
      </c>
      <c r="I12" s="72">
        <v>89040.21</v>
      </c>
      <c r="J12" s="741">
        <v>82174</v>
      </c>
      <c r="K12" s="72">
        <v>42836</v>
      </c>
      <c r="L12" s="72">
        <v>41640</v>
      </c>
      <c r="M12" s="85">
        <f t="shared" si="0"/>
        <v>124.01834364031423</v>
      </c>
      <c r="N12" s="85">
        <f t="shared" si="1"/>
        <v>125.78432785217835</v>
      </c>
      <c r="O12" s="85">
        <f t="shared" si="2"/>
        <v>92.288641277912532</v>
      </c>
      <c r="P12" s="85">
        <f t="shared" si="3"/>
        <v>88.913563375469764</v>
      </c>
      <c r="Q12" s="85">
        <f t="shared" si="4"/>
        <v>50.672962250833599</v>
      </c>
      <c r="R12" s="84"/>
      <c r="S12" s="14"/>
      <c r="T12" s="359"/>
    </row>
    <row r="13" spans="1:20" s="18" customFormat="1" ht="18.75" customHeight="1">
      <c r="A13" s="11" t="s">
        <v>39</v>
      </c>
      <c r="B13" s="15" t="s">
        <v>174</v>
      </c>
      <c r="C13" s="12" t="s">
        <v>130</v>
      </c>
      <c r="D13" s="16">
        <v>308217</v>
      </c>
      <c r="E13" s="16">
        <v>300633</v>
      </c>
      <c r="F13" s="16">
        <v>265133</v>
      </c>
      <c r="G13" s="733">
        <v>169129.8</v>
      </c>
      <c r="H13" s="16">
        <v>205352</v>
      </c>
      <c r="I13" s="16">
        <v>300789</v>
      </c>
      <c r="J13" s="733">
        <v>289202</v>
      </c>
      <c r="K13" s="16">
        <v>135663</v>
      </c>
      <c r="L13" s="733">
        <v>136649</v>
      </c>
      <c r="M13" s="66">
        <f t="shared" si="0"/>
        <v>100.05189051102175</v>
      </c>
      <c r="N13" s="66">
        <f t="shared" si="1"/>
        <v>113.4483447929907</v>
      </c>
      <c r="O13" s="66">
        <f t="shared" si="2"/>
        <v>96.147797958037032</v>
      </c>
      <c r="P13" s="66">
        <f t="shared" si="3"/>
        <v>80.795341802568217</v>
      </c>
      <c r="Q13" s="66">
        <f t="shared" si="4"/>
        <v>47.250364796923947</v>
      </c>
      <c r="R13" s="83"/>
      <c r="S13" s="17"/>
      <c r="T13" s="358"/>
    </row>
    <row r="14" spans="1:20" ht="20.25" customHeight="1">
      <c r="A14" s="19" t="s">
        <v>155</v>
      </c>
      <c r="B14" s="20" t="s">
        <v>175</v>
      </c>
      <c r="C14" s="21" t="s">
        <v>130</v>
      </c>
      <c r="D14" s="22">
        <v>239615</v>
      </c>
      <c r="E14" s="22">
        <v>264543</v>
      </c>
      <c r="F14" s="22">
        <v>232779</v>
      </c>
      <c r="G14" s="22">
        <v>137852</v>
      </c>
      <c r="H14" s="22">
        <v>177506</v>
      </c>
      <c r="I14" s="22">
        <v>252381</v>
      </c>
      <c r="J14" s="740">
        <v>260609</v>
      </c>
      <c r="K14" s="22">
        <v>119515</v>
      </c>
      <c r="L14" s="22">
        <v>133084</v>
      </c>
      <c r="M14" s="58">
        <f t="shared" si="0"/>
        <v>95.402637756432796</v>
      </c>
      <c r="N14" s="58">
        <f t="shared" si="1"/>
        <v>108.42086270668746</v>
      </c>
      <c r="O14" s="58">
        <f t="shared" si="2"/>
        <v>103.26015032827353</v>
      </c>
      <c r="P14" s="58">
        <f t="shared" si="3"/>
        <v>96.5412181179816</v>
      </c>
      <c r="Q14" s="58">
        <f t="shared" si="4"/>
        <v>51.066540295998983</v>
      </c>
      <c r="R14" s="3"/>
      <c r="S14" s="14"/>
      <c r="T14" s="359"/>
    </row>
    <row r="15" spans="1:20" ht="20.25" customHeight="1">
      <c r="A15" s="11"/>
      <c r="B15" s="30" t="s">
        <v>177</v>
      </c>
      <c r="C15" s="24"/>
      <c r="D15" s="25"/>
      <c r="E15" s="25"/>
      <c r="F15" s="25"/>
      <c r="G15" s="25"/>
      <c r="H15" s="25"/>
      <c r="I15" s="25"/>
      <c r="J15" s="742"/>
      <c r="K15" s="25"/>
      <c r="L15" s="25"/>
      <c r="M15" s="66" t="str">
        <f t="shared" si="0"/>
        <v/>
      </c>
      <c r="N15" s="66" t="str">
        <f t="shared" si="1"/>
        <v/>
      </c>
      <c r="O15" s="66" t="str">
        <f t="shared" si="2"/>
        <v/>
      </c>
      <c r="P15" s="66" t="str">
        <f t="shared" si="3"/>
        <v/>
      </c>
      <c r="Q15" s="66" t="str">
        <f t="shared" si="4"/>
        <v/>
      </c>
      <c r="R15" s="66"/>
    </row>
    <row r="16" spans="1:20" ht="20.25" customHeight="1">
      <c r="A16" s="32" t="s">
        <v>56</v>
      </c>
      <c r="B16" s="35" t="s">
        <v>401</v>
      </c>
      <c r="C16" s="32" t="s">
        <v>37</v>
      </c>
      <c r="D16" s="29">
        <f t="shared" ref="D16:L16" si="5">D17+D71</f>
        <v>17891.23</v>
      </c>
      <c r="E16" s="29">
        <f t="shared" si="5"/>
        <v>17703.2</v>
      </c>
      <c r="F16" s="29">
        <f t="shared" si="5"/>
        <v>17996.099999999999</v>
      </c>
      <c r="G16" s="29">
        <f t="shared" si="5"/>
        <v>16294.54</v>
      </c>
      <c r="H16" s="29">
        <f t="shared" si="5"/>
        <v>17631.870000000003</v>
      </c>
      <c r="I16" s="29">
        <f t="shared" si="5"/>
        <v>17677.07</v>
      </c>
      <c r="J16" s="743">
        <f t="shared" si="5"/>
        <v>18131.8</v>
      </c>
      <c r="K16" s="29">
        <f t="shared" si="5"/>
        <v>16008.900000000001</v>
      </c>
      <c r="L16" s="29">
        <f t="shared" si="5"/>
        <v>15705.55</v>
      </c>
      <c r="M16" s="58">
        <f t="shared" si="0"/>
        <v>99.852399566180111</v>
      </c>
      <c r="N16" s="58">
        <f t="shared" si="1"/>
        <v>98.227227010296687</v>
      </c>
      <c r="O16" s="58">
        <f t="shared" si="2"/>
        <v>102.57242857555012</v>
      </c>
      <c r="P16" s="58">
        <f t="shared" si="3"/>
        <v>96.38535362151984</v>
      </c>
      <c r="Q16" s="58">
        <f t="shared" si="4"/>
        <v>86.618813355541093</v>
      </c>
      <c r="R16" s="3"/>
    </row>
    <row r="17" spans="1:21" ht="17.25" customHeight="1">
      <c r="A17" s="11" t="s">
        <v>38</v>
      </c>
      <c r="B17" s="30" t="s">
        <v>439</v>
      </c>
      <c r="C17" s="11" t="s">
        <v>37</v>
      </c>
      <c r="D17" s="27">
        <f t="shared" ref="D17:K17" si="6">D20+D49+D56+D52</f>
        <v>8077.23</v>
      </c>
      <c r="E17" s="27">
        <f t="shared" si="6"/>
        <v>7631.6</v>
      </c>
      <c r="F17" s="27">
        <f t="shared" si="6"/>
        <v>7874</v>
      </c>
      <c r="G17" s="27">
        <f t="shared" si="6"/>
        <v>5861.54</v>
      </c>
      <c r="H17" s="27">
        <f t="shared" si="6"/>
        <v>7213.17</v>
      </c>
      <c r="I17" s="27">
        <f t="shared" si="6"/>
        <v>7213.17</v>
      </c>
      <c r="J17" s="744">
        <f t="shared" si="6"/>
        <v>6933.8</v>
      </c>
      <c r="K17" s="27">
        <f t="shared" si="6"/>
        <v>5979.3</v>
      </c>
      <c r="L17" s="27">
        <f>L20+L49+L56+L52</f>
        <v>5021.25</v>
      </c>
      <c r="M17" s="66">
        <f t="shared" si="0"/>
        <v>94.517139263064095</v>
      </c>
      <c r="N17" s="66">
        <f t="shared" si="1"/>
        <v>91.607442214884443</v>
      </c>
      <c r="O17" s="66">
        <f t="shared" si="2"/>
        <v>96.126945573166864</v>
      </c>
      <c r="P17" s="66">
        <f t="shared" si="3"/>
        <v>85.664347594659418</v>
      </c>
      <c r="Q17" s="66">
        <f t="shared" si="4"/>
        <v>72.417000778793721</v>
      </c>
      <c r="R17" s="3"/>
      <c r="S17" s="77"/>
    </row>
    <row r="18" spans="1:21" ht="17.25" customHeight="1">
      <c r="A18" s="161" t="s">
        <v>56</v>
      </c>
      <c r="B18" s="157" t="s">
        <v>504</v>
      </c>
      <c r="C18" s="161"/>
      <c r="D18" s="155">
        <f>D28+D43+D52+D59</f>
        <v>732.03</v>
      </c>
      <c r="E18" s="155">
        <f t="shared" ref="E18:L18" si="7">E28+E43+E52+E59</f>
        <v>756.7</v>
      </c>
      <c r="F18" s="155">
        <f t="shared" si="7"/>
        <v>747</v>
      </c>
      <c r="G18" s="155">
        <f>G28+G43+G52+G59</f>
        <v>736.54000000000008</v>
      </c>
      <c r="H18" s="155">
        <f t="shared" si="7"/>
        <v>751.17000000000007</v>
      </c>
      <c r="I18" s="155">
        <f t="shared" si="7"/>
        <v>751.17000000000007</v>
      </c>
      <c r="J18" s="743">
        <f t="shared" si="7"/>
        <v>769.8</v>
      </c>
      <c r="K18" s="155">
        <f t="shared" si="7"/>
        <v>602.30000000000007</v>
      </c>
      <c r="L18" s="155">
        <f t="shared" si="7"/>
        <v>734.25</v>
      </c>
      <c r="M18" s="123"/>
      <c r="N18" s="123"/>
      <c r="O18" s="123"/>
      <c r="P18" s="103">
        <f t="shared" si="3"/>
        <v>99.689086811306908</v>
      </c>
      <c r="Q18" s="103">
        <f t="shared" si="4"/>
        <v>95.381917381137967</v>
      </c>
      <c r="R18" s="129"/>
      <c r="S18" s="77"/>
      <c r="U18" s="77"/>
    </row>
    <row r="19" spans="1:21" ht="17.25" customHeight="1">
      <c r="A19" s="161" t="s">
        <v>56</v>
      </c>
      <c r="B19" s="157" t="s">
        <v>503</v>
      </c>
      <c r="C19" s="161"/>
      <c r="D19" s="155">
        <f>D31+D46+D49+D62</f>
        <v>7345.2</v>
      </c>
      <c r="E19" s="155">
        <f t="shared" ref="E19:L19" si="8">E31+E46+E49+E62</f>
        <v>6874.9</v>
      </c>
      <c r="F19" s="155">
        <f t="shared" si="8"/>
        <v>7127</v>
      </c>
      <c r="G19" s="155">
        <f>G31+G46+G49+G62</f>
        <v>5125</v>
      </c>
      <c r="H19" s="155">
        <f t="shared" si="8"/>
        <v>6462</v>
      </c>
      <c r="I19" s="155">
        <f t="shared" si="8"/>
        <v>6462</v>
      </c>
      <c r="J19" s="743">
        <f t="shared" si="8"/>
        <v>6165</v>
      </c>
      <c r="K19" s="155">
        <f t="shared" si="8"/>
        <v>5377</v>
      </c>
      <c r="L19" s="155">
        <f t="shared" si="8"/>
        <v>4246</v>
      </c>
      <c r="M19" s="123"/>
      <c r="N19" s="123"/>
      <c r="O19" s="123"/>
      <c r="P19" s="103">
        <f t="shared" si="3"/>
        <v>82.848780487804873</v>
      </c>
      <c r="Q19" s="103">
        <f t="shared" si="4"/>
        <v>68.872668288726686</v>
      </c>
      <c r="R19" s="129"/>
    </row>
    <row r="20" spans="1:21" s="18" customFormat="1" ht="17.25" customHeight="1">
      <c r="A20" s="11">
        <v>1</v>
      </c>
      <c r="B20" s="30" t="s">
        <v>22</v>
      </c>
      <c r="C20" s="11" t="s">
        <v>37</v>
      </c>
      <c r="D20" s="27">
        <f t="shared" ref="D20:L20" si="9">D25+D40</f>
        <v>1649.23</v>
      </c>
      <c r="E20" s="27">
        <f t="shared" si="9"/>
        <v>1641.6</v>
      </c>
      <c r="F20" s="27">
        <f t="shared" si="9"/>
        <v>1614</v>
      </c>
      <c r="G20" s="27">
        <f t="shared" si="9"/>
        <v>653.5</v>
      </c>
      <c r="H20" s="27">
        <f t="shared" si="9"/>
        <v>1646.3700000000001</v>
      </c>
      <c r="I20" s="27">
        <f t="shared" si="9"/>
        <v>1646.3700000000001</v>
      </c>
      <c r="J20" s="744">
        <f t="shared" si="9"/>
        <v>1641</v>
      </c>
      <c r="K20" s="27">
        <f t="shared" si="9"/>
        <v>893.2</v>
      </c>
      <c r="L20" s="27">
        <f t="shared" si="9"/>
        <v>646.25</v>
      </c>
      <c r="M20" s="66">
        <f t="shared" si="0"/>
        <v>100.2905701754386</v>
      </c>
      <c r="N20" s="66">
        <f t="shared" si="1"/>
        <v>102.00557620817844</v>
      </c>
      <c r="O20" s="66">
        <f t="shared" ref="O20:O51" si="10">IFERROR(J20/I20%,"")</f>
        <v>99.673827875872362</v>
      </c>
      <c r="P20" s="66">
        <f t="shared" si="3"/>
        <v>98.890589135424634</v>
      </c>
      <c r="Q20" s="66">
        <f t="shared" si="4"/>
        <v>39.381474710542349</v>
      </c>
      <c r="R20" s="83"/>
    </row>
    <row r="21" spans="1:21" ht="17.25" customHeight="1">
      <c r="A21" s="32" t="s">
        <v>56</v>
      </c>
      <c r="B21" s="35" t="s">
        <v>23</v>
      </c>
      <c r="C21" s="34" t="s">
        <v>20</v>
      </c>
      <c r="D21" s="29">
        <f t="shared" ref="D21:J21" si="11">SUM(D22:D23)</f>
        <v>6733.6763900000005</v>
      </c>
      <c r="E21" s="29">
        <f t="shared" si="11"/>
        <v>7129.6886000000004</v>
      </c>
      <c r="F21" s="29">
        <f t="shared" si="11"/>
        <v>7071.0429999999997</v>
      </c>
      <c r="G21" s="29">
        <f>SUM(G22:G23)</f>
        <v>2949.5830000000001</v>
      </c>
      <c r="H21" s="29">
        <f>SUM(H22:H23)</f>
        <v>3120.1059380221645</v>
      </c>
      <c r="I21" s="29">
        <f>SUM(I22:I23)</f>
        <v>7374.5459380221637</v>
      </c>
      <c r="J21" s="743">
        <f t="shared" si="11"/>
        <v>7617</v>
      </c>
      <c r="K21" s="29">
        <f>SUM(K22:K23)</f>
        <v>2714.6752000000001</v>
      </c>
      <c r="L21" s="29">
        <f>SUM(L22:L23)</f>
        <v>2974.875</v>
      </c>
      <c r="M21" s="58">
        <f t="shared" si="0"/>
        <v>103.43433425720954</v>
      </c>
      <c r="N21" s="58">
        <f t="shared" si="1"/>
        <v>104.29219477271123</v>
      </c>
      <c r="O21" s="58">
        <f t="shared" si="10"/>
        <v>103.28771512192739</v>
      </c>
      <c r="P21" s="58">
        <f t="shared" si="3"/>
        <v>100.85747714168409</v>
      </c>
      <c r="Q21" s="58">
        <f t="shared" si="4"/>
        <v>39.055730602599446</v>
      </c>
      <c r="R21" s="3"/>
    </row>
    <row r="22" spans="1:21" ht="17.25" customHeight="1">
      <c r="A22" s="32"/>
      <c r="B22" s="33" t="s">
        <v>24</v>
      </c>
      <c r="C22" s="34" t="s">
        <v>76</v>
      </c>
      <c r="D22" s="29">
        <f t="shared" ref="D22:J22" si="12">D27</f>
        <v>6298.7078300000003</v>
      </c>
      <c r="E22" s="29">
        <f t="shared" si="12"/>
        <v>6644.7176000000009</v>
      </c>
      <c r="F22" s="29">
        <f t="shared" si="12"/>
        <v>6644.5429999999997</v>
      </c>
      <c r="G22" s="29">
        <f t="shared" si="12"/>
        <v>2803</v>
      </c>
      <c r="H22" s="29">
        <f>H27</f>
        <v>2973.9459380221647</v>
      </c>
      <c r="I22" s="29">
        <f>I27</f>
        <v>6927.3859380221638</v>
      </c>
      <c r="J22" s="743">
        <f t="shared" si="12"/>
        <v>6873</v>
      </c>
      <c r="K22" s="29">
        <f>K27</f>
        <v>2714.6752000000001</v>
      </c>
      <c r="L22" s="29">
        <f>L27</f>
        <v>2803</v>
      </c>
      <c r="M22" s="58">
        <f t="shared" si="0"/>
        <v>104.25403087141224</v>
      </c>
      <c r="N22" s="58">
        <f t="shared" si="1"/>
        <v>104.25677037566261</v>
      </c>
      <c r="O22" s="58">
        <f t="shared" si="10"/>
        <v>99.214913987631945</v>
      </c>
      <c r="P22" s="58">
        <f t="shared" si="3"/>
        <v>100</v>
      </c>
      <c r="Q22" s="58">
        <f t="shared" si="4"/>
        <v>40.782773170376835</v>
      </c>
      <c r="R22" s="3"/>
    </row>
    <row r="23" spans="1:21" ht="17.25" customHeight="1">
      <c r="A23" s="32"/>
      <c r="B23" s="35" t="s">
        <v>137</v>
      </c>
      <c r="C23" s="34" t="s">
        <v>76</v>
      </c>
      <c r="D23" s="29">
        <f t="shared" ref="D23:J23" si="13">D42</f>
        <v>434.96856000000002</v>
      </c>
      <c r="E23" s="29">
        <f t="shared" si="13"/>
        <v>484.97099999999995</v>
      </c>
      <c r="F23" s="29">
        <f t="shared" si="13"/>
        <v>426.5</v>
      </c>
      <c r="G23" s="29">
        <f t="shared" si="13"/>
        <v>146.583</v>
      </c>
      <c r="H23" s="29">
        <f>H42</f>
        <v>146.16</v>
      </c>
      <c r="I23" s="29">
        <f>I42</f>
        <v>447.15999999999997</v>
      </c>
      <c r="J23" s="743">
        <f t="shared" si="13"/>
        <v>744</v>
      </c>
      <c r="K23" s="29">
        <f>K42</f>
        <v>0</v>
      </c>
      <c r="L23" s="29">
        <f>L42</f>
        <v>171.875</v>
      </c>
      <c r="M23" s="58">
        <f t="shared" si="0"/>
        <v>92.203451340389435</v>
      </c>
      <c r="N23" s="58">
        <f t="shared" si="1"/>
        <v>104.84407971864009</v>
      </c>
      <c r="O23" s="58">
        <f t="shared" si="10"/>
        <v>166.38339744163164</v>
      </c>
      <c r="P23" s="58">
        <f t="shared" si="3"/>
        <v>117.25438829877953</v>
      </c>
      <c r="Q23" s="58">
        <f t="shared" si="4"/>
        <v>23.101478494623656</v>
      </c>
      <c r="R23" s="3"/>
    </row>
    <row r="24" spans="1:21" ht="17.25" customHeight="1">
      <c r="A24" s="32" t="s">
        <v>56</v>
      </c>
      <c r="B24" s="35" t="s">
        <v>25</v>
      </c>
      <c r="C24" s="32" t="s">
        <v>57</v>
      </c>
      <c r="D24" s="29">
        <f>D21/D130*1000</f>
        <v>150.81697702024726</v>
      </c>
      <c r="E24" s="29">
        <f>E21/E130*1000</f>
        <v>155.57664284545305</v>
      </c>
      <c r="F24" s="29">
        <f>F21/F130*1000</f>
        <v>150.66410270068715</v>
      </c>
      <c r="G24" s="29" t="str">
        <f>IFERROR(G21/G130*1000,"")</f>
        <v/>
      </c>
      <c r="H24" s="29">
        <f>H21/H130*1000</f>
        <v>66.749514649569775</v>
      </c>
      <c r="I24" s="29">
        <f>I21/I130*1000</f>
        <v>157.01213460275429</v>
      </c>
      <c r="J24" s="743">
        <f>J21/J130*1000</f>
        <v>152.34</v>
      </c>
      <c r="K24" s="29" t="str">
        <f>IFERROR(K21/K130*1000,"")</f>
        <v/>
      </c>
      <c r="L24" s="29" t="str">
        <f>IFERROR(L21/L130*1000,"")</f>
        <v/>
      </c>
      <c r="M24" s="58">
        <f t="shared" si="0"/>
        <v>100.92269104863462</v>
      </c>
      <c r="N24" s="58">
        <f t="shared" si="1"/>
        <v>104.21336721108563</v>
      </c>
      <c r="O24" s="58">
        <f t="shared" si="10"/>
        <v>97.024348076933705</v>
      </c>
      <c r="P24" s="58" t="str">
        <f t="shared" si="3"/>
        <v/>
      </c>
      <c r="Q24" s="58" t="str">
        <f t="shared" si="4"/>
        <v/>
      </c>
      <c r="R24" s="3"/>
    </row>
    <row r="25" spans="1:21" s="18" customFormat="1" ht="17.25" customHeight="1">
      <c r="A25" s="11" t="s">
        <v>34</v>
      </c>
      <c r="B25" s="44" t="s">
        <v>440</v>
      </c>
      <c r="C25" s="11" t="s">
        <v>37</v>
      </c>
      <c r="D25" s="16">
        <f>D28+D31</f>
        <v>1558.31</v>
      </c>
      <c r="E25" s="16">
        <f>E28+E31</f>
        <v>1540</v>
      </c>
      <c r="F25" s="16">
        <f>F28+F31</f>
        <v>1531</v>
      </c>
      <c r="G25" s="16">
        <v>599.29999999999995</v>
      </c>
      <c r="H25" s="16">
        <f>H28+H31</f>
        <v>1560.97</v>
      </c>
      <c r="I25" s="16">
        <f>I28+I31</f>
        <v>1560.97</v>
      </c>
      <c r="J25" s="733">
        <v>1501</v>
      </c>
      <c r="K25" s="16">
        <f>K28+K31</f>
        <v>893.2</v>
      </c>
      <c r="L25" s="16">
        <v>598</v>
      </c>
      <c r="M25" s="66">
        <f t="shared" si="0"/>
        <v>101.36168831168831</v>
      </c>
      <c r="N25" s="66">
        <f t="shared" si="1"/>
        <v>101.95754408883083</v>
      </c>
      <c r="O25" s="66">
        <f t="shared" si="10"/>
        <v>96.158158068380558</v>
      </c>
      <c r="P25" s="66">
        <f t="shared" si="3"/>
        <v>99.783080260303691</v>
      </c>
      <c r="Q25" s="66">
        <f t="shared" si="4"/>
        <v>39.840106595602933</v>
      </c>
      <c r="R25" s="83"/>
    </row>
    <row r="26" spans="1:21" ht="17.25" customHeight="1">
      <c r="A26" s="32"/>
      <c r="B26" s="37" t="s">
        <v>27</v>
      </c>
      <c r="C26" s="34" t="s">
        <v>21</v>
      </c>
      <c r="D26" s="38">
        <f>D27/D25*10</f>
        <v>40.420120707689748</v>
      </c>
      <c r="E26" s="38">
        <f>E27/E25*10</f>
        <v>43.147516883116886</v>
      </c>
      <c r="F26" s="38">
        <f>F27/F25*10</f>
        <v>43.400019595035921</v>
      </c>
      <c r="G26" s="38">
        <v>50.25</v>
      </c>
      <c r="H26" s="38">
        <f>H27/H25*10</f>
        <v>19.051909633254738</v>
      </c>
      <c r="I26" s="38">
        <f>I27/I25*10</f>
        <v>44.378725651499799</v>
      </c>
      <c r="J26" s="745">
        <v>45.8</v>
      </c>
      <c r="K26" s="38">
        <f>K27/K25*10</f>
        <v>30.392691446484548</v>
      </c>
      <c r="L26" s="38">
        <v>46.9</v>
      </c>
      <c r="M26" s="58">
        <f t="shared" si="0"/>
        <v>102.85348696129643</v>
      </c>
      <c r="N26" s="58">
        <f t="shared" si="1"/>
        <v>102.25508206124364</v>
      </c>
      <c r="O26" s="58">
        <f t="shared" si="10"/>
        <v>103.20260288603434</v>
      </c>
      <c r="P26" s="58">
        <f t="shared" si="3"/>
        <v>93.333333333333343</v>
      </c>
      <c r="Q26" s="58">
        <f t="shared" si="4"/>
        <v>102.40174672489084</v>
      </c>
      <c r="R26" s="3"/>
    </row>
    <row r="27" spans="1:21" ht="17.25" customHeight="1">
      <c r="A27" s="32"/>
      <c r="B27" s="37" t="s">
        <v>28</v>
      </c>
      <c r="C27" s="34" t="s">
        <v>76</v>
      </c>
      <c r="D27" s="22">
        <f>D30+D33</f>
        <v>6298.7078300000003</v>
      </c>
      <c r="E27" s="22">
        <f>E30+E33</f>
        <v>6644.7176000000009</v>
      </c>
      <c r="F27" s="22">
        <f>F30+F33</f>
        <v>6644.5429999999997</v>
      </c>
      <c r="G27" s="22">
        <v>2803</v>
      </c>
      <c r="H27" s="22">
        <f>H30+H33</f>
        <v>2973.9459380221647</v>
      </c>
      <c r="I27" s="22">
        <f>I30+I33</f>
        <v>6927.3859380221638</v>
      </c>
      <c r="J27" s="740">
        <v>6873</v>
      </c>
      <c r="K27" s="22">
        <f>K30+K33</f>
        <v>2714.6752000000001</v>
      </c>
      <c r="L27" s="22">
        <v>2803</v>
      </c>
      <c r="M27" s="58">
        <f t="shared" si="0"/>
        <v>104.25403087141224</v>
      </c>
      <c r="N27" s="58">
        <f t="shared" si="1"/>
        <v>104.25677037566261</v>
      </c>
      <c r="O27" s="58">
        <f t="shared" si="10"/>
        <v>99.214913987631945</v>
      </c>
      <c r="P27" s="58">
        <f t="shared" si="3"/>
        <v>100</v>
      </c>
      <c r="Q27" s="58">
        <f t="shared" si="4"/>
        <v>40.782773170376835</v>
      </c>
      <c r="R27" s="3"/>
    </row>
    <row r="28" spans="1:21" s="104" customFormat="1" ht="17.25" customHeight="1">
      <c r="A28" s="100" t="s">
        <v>420</v>
      </c>
      <c r="B28" s="720" t="s">
        <v>441</v>
      </c>
      <c r="C28" s="100" t="s">
        <v>37</v>
      </c>
      <c r="D28" s="638">
        <v>597.30999999999995</v>
      </c>
      <c r="E28" s="721">
        <v>570.5</v>
      </c>
      <c r="F28" s="722">
        <v>571</v>
      </c>
      <c r="G28" s="722">
        <v>557.79999999999995</v>
      </c>
      <c r="H28" s="722">
        <v>573.87</v>
      </c>
      <c r="I28" s="722">
        <v>573.87</v>
      </c>
      <c r="J28" s="746">
        <v>557</v>
      </c>
      <c r="K28" s="103">
        <f>'T5. 2019'!K26</f>
        <v>573.20000000000005</v>
      </c>
      <c r="L28" s="722">
        <v>557</v>
      </c>
      <c r="M28" s="103">
        <f t="shared" si="0"/>
        <v>100.59070990359334</v>
      </c>
      <c r="N28" s="103">
        <f t="shared" si="1"/>
        <v>100.50262697022767</v>
      </c>
      <c r="O28" s="103">
        <f t="shared" si="10"/>
        <v>97.060309826267272</v>
      </c>
      <c r="P28" s="103">
        <f t="shared" si="3"/>
        <v>99.856579419146655</v>
      </c>
      <c r="Q28" s="103">
        <f t="shared" si="4"/>
        <v>100</v>
      </c>
      <c r="R28" s="129"/>
    </row>
    <row r="29" spans="1:21" ht="17.25" customHeight="1">
      <c r="A29" s="32"/>
      <c r="B29" s="116" t="s">
        <v>27</v>
      </c>
      <c r="C29" s="34" t="s">
        <v>21</v>
      </c>
      <c r="D29" s="25">
        <v>39.33</v>
      </c>
      <c r="E29" s="38">
        <v>47.2</v>
      </c>
      <c r="F29" s="58">
        <v>47.33</v>
      </c>
      <c r="G29" s="58">
        <v>50.25</v>
      </c>
      <c r="H29" s="58">
        <v>51.822641678815145</v>
      </c>
      <c r="I29" s="58">
        <v>51.822641678815145</v>
      </c>
      <c r="J29" s="747">
        <v>50.1</v>
      </c>
      <c r="K29" s="58">
        <f>'T5. 2019'!K27</f>
        <v>47.36</v>
      </c>
      <c r="L29" s="58">
        <v>50.29</v>
      </c>
      <c r="M29" s="58">
        <f t="shared" si="0"/>
        <v>109.79373237037106</v>
      </c>
      <c r="N29" s="58">
        <f t="shared" si="1"/>
        <v>109.49216496686066</v>
      </c>
      <c r="O29" s="58">
        <f t="shared" si="10"/>
        <v>96.675889875526465</v>
      </c>
      <c r="P29" s="58">
        <f t="shared" si="3"/>
        <v>100.07960199004977</v>
      </c>
      <c r="Q29" s="58">
        <f t="shared" si="4"/>
        <v>100.37924151696606</v>
      </c>
      <c r="R29" s="3"/>
    </row>
    <row r="30" spans="1:21" ht="17.25" customHeight="1">
      <c r="A30" s="32"/>
      <c r="B30" s="117" t="s">
        <v>28</v>
      </c>
      <c r="C30" s="34" t="s">
        <v>76</v>
      </c>
      <c r="D30" s="22">
        <f t="shared" ref="D30:L30" si="14">D28*D29/10</f>
        <v>2349.2202299999999</v>
      </c>
      <c r="E30" s="22">
        <f t="shared" si="14"/>
        <v>2692.76</v>
      </c>
      <c r="F30" s="22">
        <f t="shared" si="14"/>
        <v>2702.5430000000001</v>
      </c>
      <c r="G30" s="22">
        <f>G28*G29/10</f>
        <v>2802.9449999999997</v>
      </c>
      <c r="H30" s="22">
        <f t="shared" si="14"/>
        <v>2973.9459380221647</v>
      </c>
      <c r="I30" s="22">
        <f t="shared" si="14"/>
        <v>2973.9459380221647</v>
      </c>
      <c r="J30" s="740">
        <v>2790</v>
      </c>
      <c r="K30" s="22">
        <f>K28*K29/10</f>
        <v>2714.6752000000001</v>
      </c>
      <c r="L30" s="22">
        <f t="shared" si="14"/>
        <v>2801.1529999999998</v>
      </c>
      <c r="M30" s="58">
        <f t="shared" si="0"/>
        <v>110.44229482100761</v>
      </c>
      <c r="N30" s="58">
        <f t="shared" si="1"/>
        <v>110.04250211827026</v>
      </c>
      <c r="O30" s="58">
        <f t="shared" si="10"/>
        <v>93.814751785821002</v>
      </c>
      <c r="P30" s="58">
        <f t="shared" si="3"/>
        <v>99.936067243559904</v>
      </c>
      <c r="Q30" s="58">
        <f t="shared" si="4"/>
        <v>100.39974910394265</v>
      </c>
      <c r="R30" s="3"/>
    </row>
    <row r="31" spans="1:21" ht="17.25" customHeight="1">
      <c r="A31" s="32" t="s">
        <v>421</v>
      </c>
      <c r="B31" s="609" t="s">
        <v>442</v>
      </c>
      <c r="C31" s="32" t="s">
        <v>37</v>
      </c>
      <c r="D31" s="22">
        <f t="shared" ref="D31:K31" si="15">D34+D37</f>
        <v>961</v>
      </c>
      <c r="E31" s="29">
        <f t="shared" si="15"/>
        <v>969.5</v>
      </c>
      <c r="F31" s="29">
        <f t="shared" si="15"/>
        <v>960</v>
      </c>
      <c r="G31" s="29">
        <f t="shared" si="15"/>
        <v>41.5</v>
      </c>
      <c r="H31" s="29">
        <f t="shared" si="15"/>
        <v>987.1</v>
      </c>
      <c r="I31" s="29">
        <f t="shared" si="15"/>
        <v>987.1</v>
      </c>
      <c r="J31" s="743">
        <f t="shared" si="15"/>
        <v>945</v>
      </c>
      <c r="K31" s="29">
        <f t="shared" si="15"/>
        <v>320</v>
      </c>
      <c r="L31" s="29">
        <v>0</v>
      </c>
      <c r="M31" s="58">
        <f t="shared" si="0"/>
        <v>101.81536874677668</v>
      </c>
      <c r="N31" s="58">
        <f t="shared" si="1"/>
        <v>102.82291666666667</v>
      </c>
      <c r="O31" s="58">
        <f t="shared" si="10"/>
        <v>95.734981258231173</v>
      </c>
      <c r="P31" s="58">
        <f t="shared" si="3"/>
        <v>0</v>
      </c>
      <c r="Q31" s="58">
        <f t="shared" si="4"/>
        <v>0</v>
      </c>
      <c r="R31" s="3"/>
    </row>
    <row r="32" spans="1:21" ht="17.25" customHeight="1">
      <c r="A32" s="32"/>
      <c r="B32" s="117" t="s">
        <v>27</v>
      </c>
      <c r="C32" s="34" t="s">
        <v>21</v>
      </c>
      <c r="D32" s="38">
        <f t="shared" ref="D32:I32" si="16">D33/D31*10</f>
        <v>41.097685744016658</v>
      </c>
      <c r="E32" s="28">
        <f t="shared" si="16"/>
        <v>40.762842702423939</v>
      </c>
      <c r="F32" s="28">
        <f t="shared" si="16"/>
        <v>41.0625</v>
      </c>
      <c r="G32" s="28">
        <f t="shared" si="16"/>
        <v>0</v>
      </c>
      <c r="H32" s="28">
        <f t="shared" si="16"/>
        <v>0</v>
      </c>
      <c r="I32" s="28">
        <f t="shared" si="16"/>
        <v>40.051058656671053</v>
      </c>
      <c r="J32" s="748">
        <v>43.2</v>
      </c>
      <c r="K32" s="28">
        <f>K33/K31*10</f>
        <v>0</v>
      </c>
      <c r="L32" s="28"/>
      <c r="M32" s="58">
        <f t="shared" si="0"/>
        <v>98.25384100184317</v>
      </c>
      <c r="N32" s="58">
        <f t="shared" si="1"/>
        <v>97.536824734663142</v>
      </c>
      <c r="O32" s="58">
        <f t="shared" si="10"/>
        <v>107.86231737423613</v>
      </c>
      <c r="P32" s="58" t="str">
        <f t="shared" si="3"/>
        <v/>
      </c>
      <c r="Q32" s="58">
        <f t="shared" si="4"/>
        <v>0</v>
      </c>
      <c r="R32" s="3"/>
    </row>
    <row r="33" spans="1:18" ht="17.25" customHeight="1">
      <c r="A33" s="32"/>
      <c r="B33" s="117" t="s">
        <v>28</v>
      </c>
      <c r="C33" s="34" t="s">
        <v>76</v>
      </c>
      <c r="D33" s="22">
        <f t="shared" ref="D33:I33" si="17">D36+D39</f>
        <v>3949.4876000000004</v>
      </c>
      <c r="E33" s="29">
        <f t="shared" si="17"/>
        <v>3951.9576000000006</v>
      </c>
      <c r="F33" s="29">
        <f t="shared" si="17"/>
        <v>3942</v>
      </c>
      <c r="G33" s="29">
        <f t="shared" si="17"/>
        <v>0</v>
      </c>
      <c r="H33" s="29">
        <f t="shared" si="17"/>
        <v>0</v>
      </c>
      <c r="I33" s="29">
        <f t="shared" si="17"/>
        <v>3953.4399999999996</v>
      </c>
      <c r="J33" s="743">
        <v>4082</v>
      </c>
      <c r="K33" s="29">
        <f>K36+K39</f>
        <v>0</v>
      </c>
      <c r="L33" s="29">
        <f>L36+L39</f>
        <v>0</v>
      </c>
      <c r="M33" s="58">
        <f t="shared" si="0"/>
        <v>100.03751052389831</v>
      </c>
      <c r="N33" s="58">
        <f t="shared" si="1"/>
        <v>100.2902080162354</v>
      </c>
      <c r="O33" s="58">
        <f t="shared" si="10"/>
        <v>103.25185155206606</v>
      </c>
      <c r="P33" s="58" t="str">
        <f t="shared" si="3"/>
        <v/>
      </c>
      <c r="Q33" s="58">
        <f t="shared" si="4"/>
        <v>0</v>
      </c>
      <c r="R33" s="3"/>
    </row>
    <row r="34" spans="1:18" s="104" customFormat="1" ht="17.25" customHeight="1">
      <c r="A34" s="100"/>
      <c r="B34" s="610" t="s">
        <v>443</v>
      </c>
      <c r="C34" s="100" t="s">
        <v>37</v>
      </c>
      <c r="D34" s="638">
        <v>906.4</v>
      </c>
      <c r="E34" s="158">
        <v>903.3</v>
      </c>
      <c r="F34" s="638">
        <v>900</v>
      </c>
      <c r="G34" s="638">
        <v>16.5</v>
      </c>
      <c r="H34" s="638">
        <v>893.2</v>
      </c>
      <c r="I34" s="638">
        <v>893.2</v>
      </c>
      <c r="J34" s="740">
        <v>885</v>
      </c>
      <c r="K34" s="638">
        <f>'T5. 2019'!K32</f>
        <v>300</v>
      </c>
      <c r="L34" s="638">
        <v>753</v>
      </c>
      <c r="M34" s="103">
        <f t="shared" si="0"/>
        <v>98.881877560057575</v>
      </c>
      <c r="N34" s="103">
        <f t="shared" si="1"/>
        <v>99.244444444444454</v>
      </c>
      <c r="O34" s="103">
        <f t="shared" si="10"/>
        <v>99.081952530228392</v>
      </c>
      <c r="P34" s="103">
        <f t="shared" si="3"/>
        <v>4563.6363636363631</v>
      </c>
      <c r="Q34" s="103">
        <f t="shared" si="4"/>
        <v>85.084745762711862</v>
      </c>
      <c r="R34" s="129"/>
    </row>
    <row r="35" spans="1:18" ht="17.25" customHeight="1">
      <c r="A35" s="32"/>
      <c r="B35" s="115" t="s">
        <v>27</v>
      </c>
      <c r="C35" s="34" t="s">
        <v>21</v>
      </c>
      <c r="D35" s="25">
        <v>42.83</v>
      </c>
      <c r="E35" s="38">
        <v>42.84</v>
      </c>
      <c r="F35" s="38">
        <v>43</v>
      </c>
      <c r="G35" s="38"/>
      <c r="H35" s="38"/>
      <c r="I35" s="38">
        <v>43</v>
      </c>
      <c r="J35" s="745">
        <v>45.3</v>
      </c>
      <c r="K35" s="38"/>
      <c r="L35" s="38"/>
      <c r="M35" s="58">
        <f t="shared" si="0"/>
        <v>100.37348272642389</v>
      </c>
      <c r="N35" s="58">
        <f t="shared" si="1"/>
        <v>100</v>
      </c>
      <c r="O35" s="58">
        <f t="shared" si="10"/>
        <v>105.34883720930232</v>
      </c>
      <c r="P35" s="58" t="str">
        <f t="shared" si="3"/>
        <v/>
      </c>
      <c r="Q35" s="58">
        <f t="shared" si="4"/>
        <v>0</v>
      </c>
      <c r="R35" s="3"/>
    </row>
    <row r="36" spans="1:18" ht="17.25" customHeight="1">
      <c r="A36" s="32"/>
      <c r="B36" s="115" t="s">
        <v>28</v>
      </c>
      <c r="C36" s="34" t="s">
        <v>76</v>
      </c>
      <c r="D36" s="22">
        <f>D35*D34/10</f>
        <v>3882.1112000000003</v>
      </c>
      <c r="E36" s="22">
        <f t="shared" ref="E36:L36" si="18">E34*E35/10</f>
        <v>3869.7372000000005</v>
      </c>
      <c r="F36" s="22">
        <f t="shared" si="18"/>
        <v>3870</v>
      </c>
      <c r="G36" s="180">
        <f>G34*G35/10</f>
        <v>0</v>
      </c>
      <c r="H36" s="22">
        <f t="shared" si="18"/>
        <v>0</v>
      </c>
      <c r="I36" s="22">
        <f t="shared" si="18"/>
        <v>3840.7599999999998</v>
      </c>
      <c r="J36" s="740">
        <v>4010</v>
      </c>
      <c r="K36" s="22">
        <f>K34*K35/10</f>
        <v>0</v>
      </c>
      <c r="L36" s="180">
        <f t="shared" si="18"/>
        <v>0</v>
      </c>
      <c r="M36" s="58">
        <f t="shared" si="0"/>
        <v>99.251184292308011</v>
      </c>
      <c r="N36" s="58">
        <f t="shared" si="1"/>
        <v>99.244444444444426</v>
      </c>
      <c r="O36" s="58">
        <f t="shared" si="10"/>
        <v>104.40641956279488</v>
      </c>
      <c r="P36" s="58" t="str">
        <f t="shared" si="3"/>
        <v/>
      </c>
      <c r="Q36" s="58">
        <f t="shared" si="4"/>
        <v>0</v>
      </c>
      <c r="R36" s="3"/>
    </row>
    <row r="37" spans="1:18" s="104" customFormat="1" ht="17.25" customHeight="1">
      <c r="A37" s="100"/>
      <c r="B37" s="610" t="s">
        <v>456</v>
      </c>
      <c r="C37" s="100" t="s">
        <v>37</v>
      </c>
      <c r="D37" s="638">
        <v>54.6</v>
      </c>
      <c r="E37" s="638">
        <v>66.2</v>
      </c>
      <c r="F37" s="638">
        <v>60</v>
      </c>
      <c r="G37" s="638">
        <v>25</v>
      </c>
      <c r="H37" s="638">
        <v>93.9</v>
      </c>
      <c r="I37" s="638">
        <v>93.9</v>
      </c>
      <c r="J37" s="740">
        <v>60</v>
      </c>
      <c r="K37" s="638">
        <f>'T5. 2019'!K35</f>
        <v>20</v>
      </c>
      <c r="L37" s="638">
        <v>62.1</v>
      </c>
      <c r="M37" s="103">
        <f t="shared" si="0"/>
        <v>141.8429003021148</v>
      </c>
      <c r="N37" s="103">
        <f t="shared" si="1"/>
        <v>156.50000000000003</v>
      </c>
      <c r="O37" s="103">
        <f t="shared" si="10"/>
        <v>63.897763578274756</v>
      </c>
      <c r="P37" s="103">
        <f t="shared" si="3"/>
        <v>248.4</v>
      </c>
      <c r="Q37" s="103">
        <f t="shared" si="4"/>
        <v>103.5</v>
      </c>
      <c r="R37" s="129"/>
    </row>
    <row r="38" spans="1:18" ht="17.25" customHeight="1">
      <c r="A38" s="32"/>
      <c r="B38" s="115" t="s">
        <v>27</v>
      </c>
      <c r="C38" s="34" t="s">
        <v>21</v>
      </c>
      <c r="D38" s="38">
        <v>12.34</v>
      </c>
      <c r="E38" s="38">
        <v>12.42</v>
      </c>
      <c r="F38" s="38">
        <v>12</v>
      </c>
      <c r="G38" s="38"/>
      <c r="H38" s="38"/>
      <c r="I38" s="38">
        <v>12</v>
      </c>
      <c r="J38" s="745">
        <v>12</v>
      </c>
      <c r="K38" s="38"/>
      <c r="L38" s="38"/>
      <c r="M38" s="58">
        <f t="shared" si="0"/>
        <v>96.618357487922708</v>
      </c>
      <c r="N38" s="58">
        <f t="shared" si="1"/>
        <v>100</v>
      </c>
      <c r="O38" s="58">
        <f t="shared" si="10"/>
        <v>100</v>
      </c>
      <c r="P38" s="58" t="str">
        <f t="shared" si="3"/>
        <v/>
      </c>
      <c r="Q38" s="58">
        <f t="shared" si="4"/>
        <v>0</v>
      </c>
      <c r="R38" s="3"/>
    </row>
    <row r="39" spans="1:18" ht="17.25" customHeight="1">
      <c r="A39" s="32"/>
      <c r="B39" s="115" t="s">
        <v>28</v>
      </c>
      <c r="C39" s="34" t="s">
        <v>76</v>
      </c>
      <c r="D39" s="22">
        <f t="shared" ref="D39:L39" si="19">D38*D37/10</f>
        <v>67.376400000000004</v>
      </c>
      <c r="E39" s="22">
        <f t="shared" si="19"/>
        <v>82.220400000000012</v>
      </c>
      <c r="F39" s="22">
        <f t="shared" si="19"/>
        <v>72</v>
      </c>
      <c r="G39" s="180">
        <f>G38*G37/10</f>
        <v>0</v>
      </c>
      <c r="H39" s="22">
        <f t="shared" si="19"/>
        <v>0</v>
      </c>
      <c r="I39" s="22">
        <f t="shared" si="19"/>
        <v>112.68000000000002</v>
      </c>
      <c r="J39" s="740">
        <f t="shared" si="19"/>
        <v>72</v>
      </c>
      <c r="K39" s="22">
        <f>K38*K37/10</f>
        <v>0</v>
      </c>
      <c r="L39" s="180">
        <f t="shared" si="19"/>
        <v>0</v>
      </c>
      <c r="M39" s="58">
        <f t="shared" si="0"/>
        <v>137.04628048513507</v>
      </c>
      <c r="N39" s="58">
        <f t="shared" si="1"/>
        <v>156.50000000000003</v>
      </c>
      <c r="O39" s="58">
        <f t="shared" si="10"/>
        <v>63.897763578274748</v>
      </c>
      <c r="P39" s="58" t="str">
        <f t="shared" si="3"/>
        <v/>
      </c>
      <c r="Q39" s="58">
        <f t="shared" si="4"/>
        <v>0</v>
      </c>
      <c r="R39" s="3"/>
    </row>
    <row r="40" spans="1:18" s="18" customFormat="1" ht="17.25" customHeight="1">
      <c r="A40" s="161" t="s">
        <v>35</v>
      </c>
      <c r="B40" s="723" t="s">
        <v>444</v>
      </c>
      <c r="C40" s="161" t="s">
        <v>37</v>
      </c>
      <c r="D40" s="635">
        <f t="shared" ref="D40:L40" si="20">D43+D46</f>
        <v>90.92</v>
      </c>
      <c r="E40" s="635">
        <f t="shared" si="20"/>
        <v>101.6</v>
      </c>
      <c r="F40" s="635">
        <f t="shared" si="20"/>
        <v>83</v>
      </c>
      <c r="G40" s="635">
        <f t="shared" si="20"/>
        <v>54.2</v>
      </c>
      <c r="H40" s="635">
        <f t="shared" si="20"/>
        <v>85.4</v>
      </c>
      <c r="I40" s="635">
        <f t="shared" si="20"/>
        <v>85.4</v>
      </c>
      <c r="J40" s="733">
        <f t="shared" si="20"/>
        <v>140</v>
      </c>
      <c r="K40" s="635">
        <f t="shared" si="20"/>
        <v>0</v>
      </c>
      <c r="L40" s="635">
        <f t="shared" si="20"/>
        <v>48.25</v>
      </c>
      <c r="M40" s="123">
        <f t="shared" si="0"/>
        <v>84.055118110236222</v>
      </c>
      <c r="N40" s="123">
        <f t="shared" si="1"/>
        <v>102.89156626506025</v>
      </c>
      <c r="O40" s="123">
        <f t="shared" si="10"/>
        <v>163.93442622950818</v>
      </c>
      <c r="P40" s="123">
        <f t="shared" si="3"/>
        <v>89.022140221402211</v>
      </c>
      <c r="Q40" s="123">
        <f t="shared" si="4"/>
        <v>34.464285714285715</v>
      </c>
      <c r="R40" s="164"/>
    </row>
    <row r="41" spans="1:18" ht="17.25" customHeight="1">
      <c r="A41" s="32"/>
      <c r="B41" s="37" t="s">
        <v>27</v>
      </c>
      <c r="C41" s="34" t="s">
        <v>21</v>
      </c>
      <c r="D41" s="38">
        <f t="shared" ref="D41:J41" si="21">D42/D40*10</f>
        <v>47.840800703915534</v>
      </c>
      <c r="E41" s="38">
        <f t="shared" si="21"/>
        <v>47.733366141732283</v>
      </c>
      <c r="F41" s="38">
        <f t="shared" si="21"/>
        <v>51.385542168674696</v>
      </c>
      <c r="G41" s="38">
        <f t="shared" si="21"/>
        <v>27.04483394833948</v>
      </c>
      <c r="H41" s="38">
        <f>H42/H40*10</f>
        <v>17.114754098360653</v>
      </c>
      <c r="I41" s="38">
        <f>I42/I40*10</f>
        <v>52.360655737704903</v>
      </c>
      <c r="J41" s="745">
        <f t="shared" si="21"/>
        <v>53.142857142857139</v>
      </c>
      <c r="K41" s="38" t="e">
        <f>K42/K40*10</f>
        <v>#DIV/0!</v>
      </c>
      <c r="L41" s="38">
        <f>L42/L40*10</f>
        <v>35.62176165803109</v>
      </c>
      <c r="M41" s="58">
        <f t="shared" si="0"/>
        <v>109.69403578669278</v>
      </c>
      <c r="N41" s="58">
        <f t="shared" si="1"/>
        <v>101.8976418811139</v>
      </c>
      <c r="O41" s="58">
        <f t="shared" si="10"/>
        <v>101.49387243939533</v>
      </c>
      <c r="P41" s="58">
        <f t="shared" si="3"/>
        <v>131.71373773666014</v>
      </c>
      <c r="Q41" s="58">
        <f t="shared" si="4"/>
        <v>67.030196668338078</v>
      </c>
      <c r="R41" s="3"/>
    </row>
    <row r="42" spans="1:18" ht="17.25" customHeight="1">
      <c r="A42" s="32"/>
      <c r="B42" s="37" t="s">
        <v>28</v>
      </c>
      <c r="C42" s="34" t="s">
        <v>76</v>
      </c>
      <c r="D42" s="22">
        <f t="shared" ref="D42:L42" si="22">D45+D48</f>
        <v>434.96856000000002</v>
      </c>
      <c r="E42" s="22">
        <f t="shared" si="22"/>
        <v>484.97099999999995</v>
      </c>
      <c r="F42" s="22">
        <f t="shared" si="22"/>
        <v>426.5</v>
      </c>
      <c r="G42" s="22">
        <f t="shared" si="22"/>
        <v>146.583</v>
      </c>
      <c r="H42" s="22">
        <f t="shared" si="22"/>
        <v>146.16</v>
      </c>
      <c r="I42" s="22">
        <f t="shared" si="22"/>
        <v>447.15999999999997</v>
      </c>
      <c r="J42" s="740">
        <f t="shared" si="22"/>
        <v>744</v>
      </c>
      <c r="K42" s="22">
        <f t="shared" si="22"/>
        <v>0</v>
      </c>
      <c r="L42" s="22">
        <f t="shared" si="22"/>
        <v>171.875</v>
      </c>
      <c r="M42" s="58">
        <f t="shared" si="0"/>
        <v>92.203451340389435</v>
      </c>
      <c r="N42" s="58">
        <f t="shared" si="1"/>
        <v>104.84407971864009</v>
      </c>
      <c r="O42" s="58">
        <f t="shared" si="10"/>
        <v>166.38339744163164</v>
      </c>
      <c r="P42" s="58">
        <f t="shared" ref="P42:P74" si="23">IFERROR(L42/G42%,"")</f>
        <v>117.25438829877953</v>
      </c>
      <c r="Q42" s="58">
        <f t="shared" ref="Q42:Q74" si="24">IFERROR(L42/J42%,"")</f>
        <v>23.101478494623656</v>
      </c>
      <c r="R42" s="3"/>
    </row>
    <row r="43" spans="1:18" ht="17.25" customHeight="1">
      <c r="A43" s="32" t="s">
        <v>423</v>
      </c>
      <c r="B43" s="611" t="s">
        <v>457</v>
      </c>
      <c r="C43" s="32" t="s">
        <v>37</v>
      </c>
      <c r="D43" s="29">
        <v>28.22</v>
      </c>
      <c r="E43" s="29">
        <v>38.700000000000003</v>
      </c>
      <c r="F43" s="29">
        <v>23</v>
      </c>
      <c r="G43" s="28">
        <v>26.7</v>
      </c>
      <c r="H43" s="29">
        <v>25.2</v>
      </c>
      <c r="I43" s="29">
        <v>25.2</v>
      </c>
      <c r="J43" s="743">
        <v>60</v>
      </c>
      <c r="K43" s="29"/>
      <c r="L43" s="28">
        <v>31.25</v>
      </c>
      <c r="M43" s="58">
        <f t="shared" si="0"/>
        <v>65.116279069767444</v>
      </c>
      <c r="N43" s="58">
        <f t="shared" si="1"/>
        <v>109.56521739130434</v>
      </c>
      <c r="O43" s="58">
        <f t="shared" si="10"/>
        <v>238.0952380952381</v>
      </c>
      <c r="P43" s="58">
        <f t="shared" si="23"/>
        <v>117.04119850187266</v>
      </c>
      <c r="Q43" s="58">
        <f t="shared" si="24"/>
        <v>52.083333333333336</v>
      </c>
      <c r="R43" s="3"/>
    </row>
    <row r="44" spans="1:18" ht="17.25" customHeight="1">
      <c r="A44" s="32"/>
      <c r="B44" s="116" t="s">
        <v>27</v>
      </c>
      <c r="C44" s="34" t="s">
        <v>21</v>
      </c>
      <c r="D44" s="28">
        <v>56.13</v>
      </c>
      <c r="E44" s="28">
        <v>47.3</v>
      </c>
      <c r="F44" s="28">
        <v>55</v>
      </c>
      <c r="G44" s="28">
        <v>54.9</v>
      </c>
      <c r="H44" s="28">
        <v>58</v>
      </c>
      <c r="I44" s="28">
        <v>58</v>
      </c>
      <c r="J44" s="748">
        <v>52.9</v>
      </c>
      <c r="K44" s="28"/>
      <c r="L44" s="28">
        <v>55</v>
      </c>
      <c r="M44" s="58">
        <f t="shared" ref="M44:M74" si="25">IFERROR(I44/E44%,"")</f>
        <v>122.6215644820296</v>
      </c>
      <c r="N44" s="58">
        <f t="shared" ref="N44:N74" si="26">IFERROR(I44/F44%,"")</f>
        <v>105.45454545454544</v>
      </c>
      <c r="O44" s="58">
        <f t="shared" si="10"/>
        <v>91.206896551724142</v>
      </c>
      <c r="P44" s="58">
        <f t="shared" si="23"/>
        <v>100.18214936247725</v>
      </c>
      <c r="Q44" s="58">
        <f t="shared" si="24"/>
        <v>103.96975425330812</v>
      </c>
      <c r="R44" s="3"/>
    </row>
    <row r="45" spans="1:18" ht="17.25" customHeight="1">
      <c r="A45" s="32"/>
      <c r="B45" s="117" t="s">
        <v>28</v>
      </c>
      <c r="C45" s="34" t="s">
        <v>76</v>
      </c>
      <c r="D45" s="29">
        <f t="shared" ref="D45:L45" si="27">D44*D43/10</f>
        <v>158.39885999999998</v>
      </c>
      <c r="E45" s="29">
        <f t="shared" si="27"/>
        <v>183.05099999999999</v>
      </c>
      <c r="F45" s="29">
        <f t="shared" si="27"/>
        <v>126.5</v>
      </c>
      <c r="G45" s="29">
        <f>G44*G43/10</f>
        <v>146.583</v>
      </c>
      <c r="H45" s="29">
        <f t="shared" si="27"/>
        <v>146.16</v>
      </c>
      <c r="I45" s="29">
        <f t="shared" si="27"/>
        <v>146.16</v>
      </c>
      <c r="J45" s="743">
        <v>318</v>
      </c>
      <c r="K45" s="29">
        <f>K44*K43/10</f>
        <v>0</v>
      </c>
      <c r="L45" s="29">
        <f t="shared" si="27"/>
        <v>171.875</v>
      </c>
      <c r="M45" s="58">
        <f t="shared" si="25"/>
        <v>79.846600127833227</v>
      </c>
      <c r="N45" s="58">
        <f t="shared" si="26"/>
        <v>115.54150197628459</v>
      </c>
      <c r="O45" s="58">
        <f t="shared" si="10"/>
        <v>217.56978653530376</v>
      </c>
      <c r="P45" s="58">
        <f t="shared" si="23"/>
        <v>117.25438829877953</v>
      </c>
      <c r="Q45" s="58">
        <f t="shared" si="24"/>
        <v>54.04874213836478</v>
      </c>
      <c r="R45" s="3"/>
    </row>
    <row r="46" spans="1:18" ht="17.25" customHeight="1">
      <c r="A46" s="32" t="s">
        <v>424</v>
      </c>
      <c r="B46" s="611" t="s">
        <v>458</v>
      </c>
      <c r="C46" s="32" t="s">
        <v>37</v>
      </c>
      <c r="D46" s="29">
        <v>62.7</v>
      </c>
      <c r="E46" s="29">
        <v>62.9</v>
      </c>
      <c r="F46" s="29">
        <v>60</v>
      </c>
      <c r="G46" s="29">
        <v>27.5</v>
      </c>
      <c r="H46" s="29">
        <v>60.2</v>
      </c>
      <c r="I46" s="29">
        <v>60.2</v>
      </c>
      <c r="J46" s="743">
        <v>80</v>
      </c>
      <c r="K46" s="29"/>
      <c r="L46" s="29">
        <v>17</v>
      </c>
      <c r="M46" s="58">
        <f t="shared" si="25"/>
        <v>95.707472178060414</v>
      </c>
      <c r="N46" s="58">
        <f t="shared" si="26"/>
        <v>100.33333333333334</v>
      </c>
      <c r="O46" s="58">
        <f t="shared" si="10"/>
        <v>132.89036544850498</v>
      </c>
      <c r="P46" s="58">
        <f t="shared" si="23"/>
        <v>61.818181818181813</v>
      </c>
      <c r="Q46" s="58">
        <f t="shared" si="24"/>
        <v>21.25</v>
      </c>
      <c r="R46" s="3"/>
    </row>
    <row r="47" spans="1:18" ht="17.25" customHeight="1">
      <c r="A47" s="32"/>
      <c r="B47" s="116" t="s">
        <v>27</v>
      </c>
      <c r="C47" s="34" t="s">
        <v>21</v>
      </c>
      <c r="D47" s="28">
        <v>44.11</v>
      </c>
      <c r="E47" s="28">
        <v>48</v>
      </c>
      <c r="F47" s="28">
        <v>50</v>
      </c>
      <c r="G47" s="28"/>
      <c r="H47" s="28"/>
      <c r="I47" s="28">
        <v>50</v>
      </c>
      <c r="J47" s="748">
        <v>53.3</v>
      </c>
      <c r="K47" s="28"/>
      <c r="L47" s="28"/>
      <c r="M47" s="58">
        <f t="shared" si="25"/>
        <v>104.16666666666667</v>
      </c>
      <c r="N47" s="58">
        <f t="shared" si="26"/>
        <v>100</v>
      </c>
      <c r="O47" s="58">
        <f t="shared" si="10"/>
        <v>106.6</v>
      </c>
      <c r="P47" s="58" t="str">
        <f t="shared" si="23"/>
        <v/>
      </c>
      <c r="Q47" s="58">
        <f t="shared" si="24"/>
        <v>0</v>
      </c>
      <c r="R47" s="3"/>
    </row>
    <row r="48" spans="1:18" ht="17.25" customHeight="1">
      <c r="A48" s="32"/>
      <c r="B48" s="117" t="s">
        <v>28</v>
      </c>
      <c r="C48" s="34" t="s">
        <v>76</v>
      </c>
      <c r="D48" s="29">
        <f>D46*D47/10</f>
        <v>276.56970000000001</v>
      </c>
      <c r="E48" s="29">
        <f t="shared" ref="E48:L48" si="28">E47*E46/10</f>
        <v>301.91999999999996</v>
      </c>
      <c r="F48" s="29">
        <f t="shared" si="28"/>
        <v>300</v>
      </c>
      <c r="G48" s="29">
        <f>G47*G46/10</f>
        <v>0</v>
      </c>
      <c r="H48" s="29">
        <f t="shared" si="28"/>
        <v>0</v>
      </c>
      <c r="I48" s="29">
        <f t="shared" si="28"/>
        <v>301</v>
      </c>
      <c r="J48" s="743">
        <v>426</v>
      </c>
      <c r="K48" s="29">
        <f>K47*K46/10</f>
        <v>0</v>
      </c>
      <c r="L48" s="29">
        <f t="shared" si="28"/>
        <v>0</v>
      </c>
      <c r="M48" s="58">
        <f t="shared" si="25"/>
        <v>99.695283518812943</v>
      </c>
      <c r="N48" s="58">
        <f t="shared" si="26"/>
        <v>100.33333333333333</v>
      </c>
      <c r="O48" s="58">
        <f t="shared" si="10"/>
        <v>141.52823920265783</v>
      </c>
      <c r="P48" s="58" t="str">
        <f t="shared" si="23"/>
        <v/>
      </c>
      <c r="Q48" s="58">
        <f t="shared" si="24"/>
        <v>0</v>
      </c>
      <c r="R48" s="3"/>
    </row>
    <row r="49" spans="1:18" s="104" customFormat="1" ht="19.5" customHeight="1">
      <c r="A49" s="161">
        <v>2</v>
      </c>
      <c r="B49" s="724" t="s">
        <v>29</v>
      </c>
      <c r="C49" s="100" t="s">
        <v>37</v>
      </c>
      <c r="D49" s="725">
        <v>6199.5</v>
      </c>
      <c r="E49" s="725">
        <v>5720.5</v>
      </c>
      <c r="F49" s="725">
        <v>6000</v>
      </c>
      <c r="G49" s="734">
        <v>4996</v>
      </c>
      <c r="H49" s="725">
        <v>5281.3</v>
      </c>
      <c r="I49" s="725">
        <v>5281.3</v>
      </c>
      <c r="J49" s="744">
        <v>5000</v>
      </c>
      <c r="K49" s="725">
        <v>5057</v>
      </c>
      <c r="L49" s="734">
        <v>4169</v>
      </c>
      <c r="M49" s="123">
        <f t="shared" si="25"/>
        <v>92.322349444978585</v>
      </c>
      <c r="N49" s="123">
        <f t="shared" si="26"/>
        <v>88.021666666666675</v>
      </c>
      <c r="O49" s="123">
        <f t="shared" si="10"/>
        <v>94.673659894344198</v>
      </c>
      <c r="P49" s="123">
        <f t="shared" si="23"/>
        <v>83.446757405924743</v>
      </c>
      <c r="Q49" s="123">
        <f t="shared" si="24"/>
        <v>83.38</v>
      </c>
      <c r="R49" s="129"/>
    </row>
    <row r="50" spans="1:18" ht="19.5" customHeight="1">
      <c r="A50" s="39"/>
      <c r="B50" s="37" t="s">
        <v>27</v>
      </c>
      <c r="C50" s="34" t="s">
        <v>21</v>
      </c>
      <c r="D50" s="28">
        <f>D51/D49*10</f>
        <v>148.34260827486088</v>
      </c>
      <c r="E50" s="28">
        <v>148.51</v>
      </c>
      <c r="F50" s="28">
        <v>145</v>
      </c>
      <c r="G50" s="28"/>
      <c r="H50" s="28"/>
      <c r="I50" s="28">
        <v>148</v>
      </c>
      <c r="J50" s="748">
        <v>152</v>
      </c>
      <c r="K50" s="28"/>
      <c r="L50" s="28"/>
      <c r="M50" s="58">
        <f t="shared" si="25"/>
        <v>99.656588781900211</v>
      </c>
      <c r="N50" s="58">
        <f t="shared" si="26"/>
        <v>102.06896551724138</v>
      </c>
      <c r="O50" s="58">
        <f t="shared" si="10"/>
        <v>102.70270270270271</v>
      </c>
      <c r="P50" s="58" t="str">
        <f t="shared" si="23"/>
        <v/>
      </c>
      <c r="Q50" s="58">
        <f t="shared" si="24"/>
        <v>0</v>
      </c>
      <c r="R50" s="3"/>
    </row>
    <row r="51" spans="1:18" ht="19.5" customHeight="1">
      <c r="A51" s="39"/>
      <c r="B51" s="37" t="s">
        <v>28</v>
      </c>
      <c r="C51" s="34" t="s">
        <v>76</v>
      </c>
      <c r="D51" s="29">
        <v>91965</v>
      </c>
      <c r="E51" s="29">
        <f t="shared" ref="E51:L51" si="29">E50*E49/10</f>
        <v>84955.145499999999</v>
      </c>
      <c r="F51" s="29">
        <f t="shared" si="29"/>
        <v>87000</v>
      </c>
      <c r="G51" s="29">
        <f t="shared" si="29"/>
        <v>0</v>
      </c>
      <c r="H51" s="29">
        <f t="shared" si="29"/>
        <v>0</v>
      </c>
      <c r="I51" s="29">
        <f t="shared" si="29"/>
        <v>78163.240000000005</v>
      </c>
      <c r="J51" s="743">
        <f t="shared" si="29"/>
        <v>76000</v>
      </c>
      <c r="K51" s="29">
        <f t="shared" si="29"/>
        <v>0</v>
      </c>
      <c r="L51" s="29">
        <f t="shared" si="29"/>
        <v>0</v>
      </c>
      <c r="M51" s="58">
        <f t="shared" si="25"/>
        <v>92.005304140171248</v>
      </c>
      <c r="N51" s="58">
        <f t="shared" si="26"/>
        <v>89.842804597701161</v>
      </c>
      <c r="O51" s="58">
        <f t="shared" si="10"/>
        <v>97.232407459056191</v>
      </c>
      <c r="P51" s="58" t="str">
        <f t="shared" si="23"/>
        <v/>
      </c>
      <c r="Q51" s="58">
        <f t="shared" si="24"/>
        <v>0</v>
      </c>
      <c r="R51" s="3"/>
    </row>
    <row r="52" spans="1:18" s="165" customFormat="1" ht="19.5" customHeight="1">
      <c r="A52" s="161">
        <v>3</v>
      </c>
      <c r="B52" s="724" t="s">
        <v>317</v>
      </c>
      <c r="C52" s="161" t="s">
        <v>37</v>
      </c>
      <c r="D52" s="725">
        <v>9.1999999999999993</v>
      </c>
      <c r="E52" s="725">
        <v>10.5</v>
      </c>
      <c r="F52" s="725">
        <v>30</v>
      </c>
      <c r="G52" s="725">
        <v>28.94</v>
      </c>
      <c r="H52" s="725">
        <v>29.1</v>
      </c>
      <c r="I52" s="725">
        <v>29.1</v>
      </c>
      <c r="J52" s="744">
        <v>40.299999999999997</v>
      </c>
      <c r="K52" s="725">
        <v>29.1</v>
      </c>
      <c r="L52" s="725">
        <v>31</v>
      </c>
      <c r="M52" s="123">
        <f t="shared" si="25"/>
        <v>277.14285714285717</v>
      </c>
      <c r="N52" s="123">
        <f t="shared" si="26"/>
        <v>97.000000000000014</v>
      </c>
      <c r="O52" s="123">
        <f t="shared" ref="O52:O74" si="30">IFERROR(J52/I52%,"")</f>
        <v>138.48797250859104</v>
      </c>
      <c r="P52" s="123">
        <f t="shared" si="23"/>
        <v>107.11817553559088</v>
      </c>
      <c r="Q52" s="123">
        <f t="shared" si="24"/>
        <v>76.923076923076934</v>
      </c>
      <c r="R52" s="164"/>
    </row>
    <row r="53" spans="1:18" ht="19.5" customHeight="1">
      <c r="A53" s="32"/>
      <c r="B53" s="33" t="s">
        <v>123</v>
      </c>
      <c r="C53" s="32" t="s">
        <v>37</v>
      </c>
      <c r="D53" s="29"/>
      <c r="E53" s="29"/>
      <c r="F53" s="29">
        <v>20</v>
      </c>
      <c r="G53" s="732">
        <v>2.44</v>
      </c>
      <c r="H53" s="29">
        <v>19.100000000000001</v>
      </c>
      <c r="I53" s="29">
        <v>19.100000000000001</v>
      </c>
      <c r="J53" s="743">
        <v>16</v>
      </c>
      <c r="K53" s="29"/>
      <c r="L53" s="732">
        <v>2</v>
      </c>
      <c r="M53" s="58" t="str">
        <f t="shared" si="25"/>
        <v/>
      </c>
      <c r="N53" s="58">
        <f t="shared" si="26"/>
        <v>95.5</v>
      </c>
      <c r="O53" s="58">
        <f t="shared" si="30"/>
        <v>83.769633507853399</v>
      </c>
      <c r="P53" s="58">
        <f t="shared" si="23"/>
        <v>81.967213114754102</v>
      </c>
      <c r="Q53" s="58">
        <f t="shared" si="24"/>
        <v>12.5</v>
      </c>
      <c r="R53" s="3"/>
    </row>
    <row r="54" spans="1:18" ht="19.5" customHeight="1">
      <c r="A54" s="39"/>
      <c r="B54" s="37" t="s">
        <v>27</v>
      </c>
      <c r="C54" s="34" t="s">
        <v>21</v>
      </c>
      <c r="D54" s="28"/>
      <c r="E54" s="28">
        <v>600</v>
      </c>
      <c r="F54" s="28">
        <v>733.3</v>
      </c>
      <c r="G54" s="28"/>
      <c r="H54" s="28"/>
      <c r="I54" s="28">
        <v>733.3</v>
      </c>
      <c r="J54" s="748">
        <v>597.79999999999995</v>
      </c>
      <c r="K54" s="28"/>
      <c r="L54" s="28"/>
      <c r="M54" s="58">
        <f t="shared" si="25"/>
        <v>122.21666666666665</v>
      </c>
      <c r="N54" s="58">
        <f t="shared" si="26"/>
        <v>100</v>
      </c>
      <c r="O54" s="58">
        <f t="shared" si="30"/>
        <v>81.521887358516295</v>
      </c>
      <c r="P54" s="58" t="str">
        <f t="shared" si="23"/>
        <v/>
      </c>
      <c r="Q54" s="58">
        <f t="shared" si="24"/>
        <v>0</v>
      </c>
      <c r="R54" s="3"/>
    </row>
    <row r="55" spans="1:18" ht="19.5" customHeight="1">
      <c r="A55" s="39"/>
      <c r="B55" s="37" t="s">
        <v>28</v>
      </c>
      <c r="C55" s="34" t="s">
        <v>76</v>
      </c>
      <c r="D55" s="29">
        <f t="shared" ref="D55:L55" si="31">D54*D52/10</f>
        <v>0</v>
      </c>
      <c r="E55" s="29">
        <f t="shared" si="31"/>
        <v>630</v>
      </c>
      <c r="F55" s="29">
        <f t="shared" si="31"/>
        <v>2199.9</v>
      </c>
      <c r="G55" s="29">
        <f t="shared" si="31"/>
        <v>0</v>
      </c>
      <c r="H55" s="29">
        <f t="shared" si="31"/>
        <v>0</v>
      </c>
      <c r="I55" s="29">
        <f t="shared" si="31"/>
        <v>2133.9029999999998</v>
      </c>
      <c r="J55" s="743">
        <f t="shared" si="31"/>
        <v>2409.1339999999996</v>
      </c>
      <c r="K55" s="29">
        <f t="shared" si="31"/>
        <v>0</v>
      </c>
      <c r="L55" s="29">
        <f t="shared" si="31"/>
        <v>0</v>
      </c>
      <c r="M55" s="58">
        <f t="shared" si="25"/>
        <v>338.71476190476187</v>
      </c>
      <c r="N55" s="58">
        <f t="shared" si="26"/>
        <v>96.999999999999986</v>
      </c>
      <c r="O55" s="58">
        <f t="shared" si="30"/>
        <v>112.89800895354662</v>
      </c>
      <c r="P55" s="58" t="str">
        <f t="shared" si="23"/>
        <v/>
      </c>
      <c r="Q55" s="58">
        <f t="shared" si="24"/>
        <v>0</v>
      </c>
      <c r="R55" s="3"/>
    </row>
    <row r="56" spans="1:18" s="104" customFormat="1" ht="19.5" customHeight="1">
      <c r="A56" s="161">
        <v>4</v>
      </c>
      <c r="B56" s="724" t="s">
        <v>136</v>
      </c>
      <c r="C56" s="100" t="s">
        <v>37</v>
      </c>
      <c r="D56" s="725">
        <f t="shared" ref="D56:L56" si="32">D59+D62</f>
        <v>219.3</v>
      </c>
      <c r="E56" s="725">
        <f t="shared" si="32"/>
        <v>259</v>
      </c>
      <c r="F56" s="725">
        <f t="shared" si="32"/>
        <v>230</v>
      </c>
      <c r="G56" s="725">
        <f t="shared" si="32"/>
        <v>183.1</v>
      </c>
      <c r="H56" s="725">
        <f t="shared" si="32"/>
        <v>256.39999999999998</v>
      </c>
      <c r="I56" s="725">
        <f t="shared" si="32"/>
        <v>256.39999999999998</v>
      </c>
      <c r="J56" s="744">
        <f t="shared" si="32"/>
        <v>252.5</v>
      </c>
      <c r="K56" s="725">
        <f t="shared" si="32"/>
        <v>0</v>
      </c>
      <c r="L56" s="725">
        <f t="shared" si="32"/>
        <v>175</v>
      </c>
      <c r="M56" s="123">
        <f t="shared" si="25"/>
        <v>98.996138996138995</v>
      </c>
      <c r="N56" s="123">
        <f t="shared" si="26"/>
        <v>111.47826086956522</v>
      </c>
      <c r="O56" s="123">
        <f t="shared" si="30"/>
        <v>98.478939157566316</v>
      </c>
      <c r="P56" s="123">
        <f t="shared" si="23"/>
        <v>95.576187875477885</v>
      </c>
      <c r="Q56" s="123">
        <f t="shared" si="24"/>
        <v>69.306930693069305</v>
      </c>
      <c r="R56" s="129"/>
    </row>
    <row r="57" spans="1:18" ht="19.5" customHeight="1">
      <c r="A57" s="39"/>
      <c r="B57" s="37" t="s">
        <v>27</v>
      </c>
      <c r="C57" s="34" t="s">
        <v>21</v>
      </c>
      <c r="D57" s="28">
        <f t="shared" ref="D57:J57" si="33">D58/D56*10</f>
        <v>119.96580027359781</v>
      </c>
      <c r="E57" s="28">
        <f t="shared" si="33"/>
        <v>134.57142857142858</v>
      </c>
      <c r="F57" s="28">
        <f t="shared" si="33"/>
        <v>136.63173913043477</v>
      </c>
      <c r="G57" s="28">
        <f t="shared" si="33"/>
        <v>104.31458219552157</v>
      </c>
      <c r="H57" s="28">
        <f>H58/H56*10</f>
        <v>72.43759750390015</v>
      </c>
      <c r="I57" s="28">
        <f>I58/I56*10</f>
        <v>135.35101404056161</v>
      </c>
      <c r="J57" s="748">
        <f t="shared" si="33"/>
        <v>135.66930693069307</v>
      </c>
      <c r="K57" s="28" t="e">
        <f>K58/K56*10</f>
        <v>#DIV/0!</v>
      </c>
      <c r="L57" s="28">
        <f>L58/L56*10</f>
        <v>82.471428571428561</v>
      </c>
      <c r="M57" s="58">
        <f t="shared" si="25"/>
        <v>100.57930979659567</v>
      </c>
      <c r="N57" s="58">
        <f t="shared" si="26"/>
        <v>99.06264452313637</v>
      </c>
      <c r="O57" s="58">
        <f t="shared" si="30"/>
        <v>100.23516106797403</v>
      </c>
      <c r="P57" s="58">
        <f t="shared" si="23"/>
        <v>79.060306656694081</v>
      </c>
      <c r="Q57" s="58">
        <f t="shared" si="24"/>
        <v>60.788567758777781</v>
      </c>
      <c r="R57" s="3"/>
    </row>
    <row r="58" spans="1:18" ht="19.5" customHeight="1">
      <c r="A58" s="39"/>
      <c r="B58" s="37" t="s">
        <v>28</v>
      </c>
      <c r="C58" s="34" t="s">
        <v>76</v>
      </c>
      <c r="D58" s="29">
        <f t="shared" ref="D58:L58" si="34">D61+D64</f>
        <v>2630.85</v>
      </c>
      <c r="E58" s="29">
        <f t="shared" si="34"/>
        <v>3485.4</v>
      </c>
      <c r="F58" s="29">
        <f t="shared" si="34"/>
        <v>3142.5299999999997</v>
      </c>
      <c r="G58" s="29">
        <f t="shared" si="34"/>
        <v>1910</v>
      </c>
      <c r="H58" s="29">
        <f t="shared" si="34"/>
        <v>1857.3</v>
      </c>
      <c r="I58" s="29">
        <f t="shared" si="34"/>
        <v>3470.3999999999996</v>
      </c>
      <c r="J58" s="743">
        <f t="shared" si="34"/>
        <v>3425.65</v>
      </c>
      <c r="K58" s="29">
        <f t="shared" si="34"/>
        <v>0</v>
      </c>
      <c r="L58" s="29">
        <f t="shared" si="34"/>
        <v>1443.25</v>
      </c>
      <c r="M58" s="58">
        <f t="shared" si="25"/>
        <v>99.569633327595099</v>
      </c>
      <c r="N58" s="58">
        <f t="shared" si="26"/>
        <v>110.43331328579202</v>
      </c>
      <c r="O58" s="58">
        <f t="shared" si="30"/>
        <v>98.710523282618738</v>
      </c>
      <c r="P58" s="58">
        <f t="shared" si="23"/>
        <v>75.562827225130889</v>
      </c>
      <c r="Q58" s="58">
        <f t="shared" si="24"/>
        <v>42.130690525885598</v>
      </c>
      <c r="R58" s="3"/>
    </row>
    <row r="59" spans="1:18" ht="19.5" customHeight="1">
      <c r="A59" s="32"/>
      <c r="B59" s="612" t="s">
        <v>1062</v>
      </c>
      <c r="C59" s="21" t="s">
        <v>37</v>
      </c>
      <c r="D59" s="22">
        <v>97.3</v>
      </c>
      <c r="E59" s="22">
        <v>137</v>
      </c>
      <c r="F59" s="22">
        <v>123</v>
      </c>
      <c r="G59" s="22">
        <v>123.1</v>
      </c>
      <c r="H59" s="22">
        <v>123</v>
      </c>
      <c r="I59" s="22">
        <v>123</v>
      </c>
      <c r="J59" s="740">
        <v>112.5</v>
      </c>
      <c r="K59" s="22"/>
      <c r="L59" s="22">
        <v>115</v>
      </c>
      <c r="M59" s="58">
        <f t="shared" si="25"/>
        <v>89.781021897810206</v>
      </c>
      <c r="N59" s="58">
        <f t="shared" si="26"/>
        <v>100</v>
      </c>
      <c r="O59" s="58">
        <f t="shared" si="30"/>
        <v>91.463414634146346</v>
      </c>
      <c r="P59" s="58">
        <f t="shared" si="23"/>
        <v>93.41998375304631</v>
      </c>
      <c r="Q59" s="58">
        <f t="shared" si="24"/>
        <v>102.22222222222223</v>
      </c>
      <c r="R59" s="3"/>
    </row>
    <row r="60" spans="1:18" ht="19.5" customHeight="1">
      <c r="A60" s="32"/>
      <c r="B60" s="136" t="s">
        <v>27</v>
      </c>
      <c r="C60" s="21" t="s">
        <v>21</v>
      </c>
      <c r="D60" s="38">
        <v>145</v>
      </c>
      <c r="E60" s="38">
        <v>152</v>
      </c>
      <c r="F60" s="38">
        <v>151.1</v>
      </c>
      <c r="G60" s="38">
        <v>155.19999999999999</v>
      </c>
      <c r="H60" s="38">
        <v>151</v>
      </c>
      <c r="I60" s="38">
        <v>152</v>
      </c>
      <c r="J60" s="745">
        <v>153.80000000000001</v>
      </c>
      <c r="K60" s="38"/>
      <c r="L60" s="38">
        <v>125.5</v>
      </c>
      <c r="M60" s="58">
        <f t="shared" si="25"/>
        <v>100</v>
      </c>
      <c r="N60" s="58">
        <f t="shared" si="26"/>
        <v>100.59563203176705</v>
      </c>
      <c r="O60" s="58">
        <f t="shared" si="30"/>
        <v>101.18421052631579</v>
      </c>
      <c r="P60" s="58">
        <f t="shared" si="23"/>
        <v>80.86340206185568</v>
      </c>
      <c r="Q60" s="58">
        <f t="shared" si="24"/>
        <v>81.599479843953191</v>
      </c>
      <c r="R60" s="3"/>
    </row>
    <row r="61" spans="1:18" ht="19.5" customHeight="1">
      <c r="A61" s="32"/>
      <c r="B61" s="136" t="s">
        <v>28</v>
      </c>
      <c r="C61" s="21" t="s">
        <v>76</v>
      </c>
      <c r="D61" s="22">
        <f t="shared" ref="D61:L61" si="35">D60*D59/10</f>
        <v>1410.85</v>
      </c>
      <c r="E61" s="22">
        <f t="shared" si="35"/>
        <v>2082.4</v>
      </c>
      <c r="F61" s="22">
        <f t="shared" si="35"/>
        <v>1858.53</v>
      </c>
      <c r="G61" s="22">
        <v>1910</v>
      </c>
      <c r="H61" s="22">
        <f t="shared" si="35"/>
        <v>1857.3</v>
      </c>
      <c r="I61" s="22">
        <f t="shared" si="35"/>
        <v>1869.6</v>
      </c>
      <c r="J61" s="740">
        <f t="shared" si="35"/>
        <v>1730.25</v>
      </c>
      <c r="K61" s="740">
        <f t="shared" si="35"/>
        <v>0</v>
      </c>
      <c r="L61" s="740">
        <f t="shared" si="35"/>
        <v>1443.25</v>
      </c>
      <c r="M61" s="58">
        <f t="shared" si="25"/>
        <v>89.781021897810206</v>
      </c>
      <c r="N61" s="58">
        <f t="shared" si="26"/>
        <v>100.59563203176704</v>
      </c>
      <c r="O61" s="58">
        <f t="shared" si="30"/>
        <v>92.546534017971766</v>
      </c>
      <c r="P61" s="58">
        <f t="shared" si="23"/>
        <v>75.562827225130889</v>
      </c>
      <c r="Q61" s="58">
        <f t="shared" si="24"/>
        <v>83.412801618263259</v>
      </c>
      <c r="R61" s="3"/>
    </row>
    <row r="62" spans="1:18" ht="19.5" customHeight="1">
      <c r="A62" s="32"/>
      <c r="B62" s="612" t="s">
        <v>1063</v>
      </c>
      <c r="C62" s="21" t="s">
        <v>37</v>
      </c>
      <c r="D62" s="22">
        <v>122</v>
      </c>
      <c r="E62" s="22">
        <v>122</v>
      </c>
      <c r="F62" s="22">
        <v>107</v>
      </c>
      <c r="G62" s="22">
        <v>60</v>
      </c>
      <c r="H62" s="22">
        <v>133.4</v>
      </c>
      <c r="I62" s="22">
        <v>133.4</v>
      </c>
      <c r="J62" s="740">
        <v>140</v>
      </c>
      <c r="K62" s="22"/>
      <c r="L62" s="22">
        <v>60</v>
      </c>
      <c r="M62" s="58">
        <f t="shared" si="25"/>
        <v>109.34426229508198</v>
      </c>
      <c r="N62" s="58">
        <f t="shared" si="26"/>
        <v>124.67289719626169</v>
      </c>
      <c r="O62" s="58">
        <f t="shared" si="30"/>
        <v>104.94752623688156</v>
      </c>
      <c r="P62" s="58">
        <f t="shared" si="23"/>
        <v>100</v>
      </c>
      <c r="Q62" s="58">
        <f t="shared" si="24"/>
        <v>42.857142857142861</v>
      </c>
      <c r="R62" s="3"/>
    </row>
    <row r="63" spans="1:18" ht="19.5" customHeight="1">
      <c r="A63" s="32"/>
      <c r="B63" s="136" t="s">
        <v>27</v>
      </c>
      <c r="C63" s="21" t="s">
        <v>21</v>
      </c>
      <c r="D63" s="38">
        <v>100</v>
      </c>
      <c r="E63" s="38">
        <v>115</v>
      </c>
      <c r="F63" s="38">
        <v>120</v>
      </c>
      <c r="G63" s="38"/>
      <c r="H63" s="38"/>
      <c r="I63" s="38">
        <v>120</v>
      </c>
      <c r="J63" s="745">
        <v>121.1</v>
      </c>
      <c r="K63" s="38"/>
      <c r="L63" s="38"/>
      <c r="M63" s="58">
        <f t="shared" si="25"/>
        <v>104.34782608695653</v>
      </c>
      <c r="N63" s="58">
        <f t="shared" si="26"/>
        <v>100</v>
      </c>
      <c r="O63" s="58">
        <f t="shared" si="30"/>
        <v>100.91666666666667</v>
      </c>
      <c r="P63" s="58" t="str">
        <f t="shared" si="23"/>
        <v/>
      </c>
      <c r="Q63" s="58">
        <f t="shared" si="24"/>
        <v>0</v>
      </c>
      <c r="R63" s="3"/>
    </row>
    <row r="64" spans="1:18" ht="19.5" customHeight="1">
      <c r="A64" s="32"/>
      <c r="B64" s="136" t="s">
        <v>28</v>
      </c>
      <c r="C64" s="21" t="s">
        <v>76</v>
      </c>
      <c r="D64" s="22">
        <f t="shared" ref="D64:L64" si="36">D63*D62/10</f>
        <v>1220</v>
      </c>
      <c r="E64" s="22">
        <f t="shared" si="36"/>
        <v>1403</v>
      </c>
      <c r="F64" s="22">
        <f t="shared" si="36"/>
        <v>1284</v>
      </c>
      <c r="G64" s="59">
        <f>G63*G62/10</f>
        <v>0</v>
      </c>
      <c r="H64" s="59">
        <f t="shared" si="36"/>
        <v>0</v>
      </c>
      <c r="I64" s="59">
        <f t="shared" si="36"/>
        <v>1600.8</v>
      </c>
      <c r="J64" s="746">
        <f t="shared" si="36"/>
        <v>1695.4</v>
      </c>
      <c r="K64" s="59">
        <f>K63*K62/10</f>
        <v>0</v>
      </c>
      <c r="L64" s="59">
        <f t="shared" si="36"/>
        <v>0</v>
      </c>
      <c r="M64" s="58">
        <f t="shared" si="25"/>
        <v>114.09836065573771</v>
      </c>
      <c r="N64" s="58">
        <f t="shared" si="26"/>
        <v>124.67289719626169</v>
      </c>
      <c r="O64" s="58">
        <f t="shared" si="30"/>
        <v>105.90954522738632</v>
      </c>
      <c r="P64" s="58" t="str">
        <f t="shared" si="23"/>
        <v/>
      </c>
      <c r="Q64" s="58">
        <f t="shared" si="24"/>
        <v>0</v>
      </c>
      <c r="R64" s="3"/>
    </row>
    <row r="65" spans="1:21" ht="19.5" customHeight="1">
      <c r="A65" s="32"/>
      <c r="B65" s="612" t="s">
        <v>1064</v>
      </c>
      <c r="C65" s="21" t="s">
        <v>37</v>
      </c>
      <c r="D65" s="22">
        <v>97.3</v>
      </c>
      <c r="E65" s="22">
        <v>137</v>
      </c>
      <c r="F65" s="22">
        <v>123</v>
      </c>
      <c r="G65" s="22"/>
      <c r="H65" s="22">
        <v>123</v>
      </c>
      <c r="I65" s="22">
        <v>123</v>
      </c>
      <c r="J65" s="740">
        <v>27</v>
      </c>
      <c r="K65" s="22"/>
      <c r="L65" s="22">
        <v>2.8</v>
      </c>
      <c r="M65" s="58">
        <f>IFERROR(I65/E65%,"")</f>
        <v>89.781021897810206</v>
      </c>
      <c r="N65" s="58">
        <f>IFERROR(I65/F65%,"")</f>
        <v>100</v>
      </c>
      <c r="O65" s="58">
        <f>IFERROR(J65/I65%,"")</f>
        <v>21.951219512195124</v>
      </c>
      <c r="P65" s="58" t="str">
        <f>IFERROR(L65/G65%,"")</f>
        <v/>
      </c>
      <c r="Q65" s="58">
        <f>IFERROR(L65/J65%,"")</f>
        <v>10.370370370370368</v>
      </c>
      <c r="R65" s="3"/>
    </row>
    <row r="66" spans="1:21" ht="19.5" customHeight="1">
      <c r="A66" s="32"/>
      <c r="B66" s="136" t="s">
        <v>27</v>
      </c>
      <c r="C66" s="21" t="s">
        <v>21</v>
      </c>
      <c r="D66" s="38">
        <v>145</v>
      </c>
      <c r="E66" s="38">
        <v>152</v>
      </c>
      <c r="F66" s="38">
        <v>151.1</v>
      </c>
      <c r="G66" s="38"/>
      <c r="H66" s="38">
        <v>151</v>
      </c>
      <c r="I66" s="38">
        <v>152</v>
      </c>
      <c r="J66" s="745">
        <v>13.7</v>
      </c>
      <c r="K66" s="38"/>
      <c r="L66" s="38">
        <v>10.199999999999999</v>
      </c>
      <c r="M66" s="58">
        <f>IFERROR(I66/E66%,"")</f>
        <v>100</v>
      </c>
      <c r="N66" s="58">
        <f>IFERROR(I66/F66%,"")</f>
        <v>100.59563203176705</v>
      </c>
      <c r="O66" s="58">
        <f>IFERROR(J66/I66%,"")</f>
        <v>9.0131578947368407</v>
      </c>
      <c r="P66" s="58" t="str">
        <f>IFERROR(L66/G66%,"")</f>
        <v/>
      </c>
      <c r="Q66" s="58">
        <f>IFERROR(L66/J66%,"")</f>
        <v>74.452554744525557</v>
      </c>
      <c r="R66" s="3"/>
    </row>
    <row r="67" spans="1:21" ht="19.5" customHeight="1">
      <c r="A67" s="32"/>
      <c r="B67" s="136" t="s">
        <v>28</v>
      </c>
      <c r="C67" s="21" t="s">
        <v>76</v>
      </c>
      <c r="D67" s="22">
        <f>D66*D65/10</f>
        <v>1410.85</v>
      </c>
      <c r="E67" s="22">
        <f>E66*E65/10</f>
        <v>2082.4</v>
      </c>
      <c r="F67" s="22">
        <f>F66*F65/10</f>
        <v>1858.53</v>
      </c>
      <c r="G67" s="22"/>
      <c r="H67" s="22">
        <f>H66*H65/10</f>
        <v>1857.3</v>
      </c>
      <c r="I67" s="22">
        <f>I66*I65/10</f>
        <v>1869.6</v>
      </c>
      <c r="J67" s="740">
        <f>J66*J65/10</f>
        <v>36.989999999999995</v>
      </c>
      <c r="K67" s="740">
        <f>K66*K65/10</f>
        <v>0</v>
      </c>
      <c r="L67" s="740">
        <f>L66*L65/10</f>
        <v>2.8559999999999994</v>
      </c>
      <c r="M67" s="58">
        <f>IFERROR(I67/E67%,"")</f>
        <v>89.781021897810206</v>
      </c>
      <c r="N67" s="58">
        <f>IFERROR(I67/F67%,"")</f>
        <v>100.59563203176704</v>
      </c>
      <c r="O67" s="58">
        <f>IFERROR(J67/I67%,"")</f>
        <v>1.9784980744544287</v>
      </c>
      <c r="P67" s="58" t="str">
        <f>IFERROR(L67/G67%,"")</f>
        <v/>
      </c>
      <c r="Q67" s="58">
        <f>IFERROR(L67/J67%,"")</f>
        <v>7.7210056772100559</v>
      </c>
      <c r="R67" s="3"/>
    </row>
    <row r="68" spans="1:21" ht="19.5" hidden="1" customHeight="1" outlineLevel="1">
      <c r="A68" s="32"/>
      <c r="B68" s="35" t="s">
        <v>402</v>
      </c>
      <c r="C68" s="32" t="s">
        <v>37</v>
      </c>
      <c r="D68" s="28">
        <v>3.7</v>
      </c>
      <c r="E68" s="28">
        <v>4</v>
      </c>
      <c r="F68" s="28">
        <v>4</v>
      </c>
      <c r="G68" s="28">
        <v>2</v>
      </c>
      <c r="H68" s="28">
        <f>F68</f>
        <v>4</v>
      </c>
      <c r="I68" s="28">
        <f>H68</f>
        <v>4</v>
      </c>
      <c r="J68" s="748">
        <f>I68</f>
        <v>4</v>
      </c>
      <c r="K68" s="28"/>
      <c r="L68" s="28">
        <v>2</v>
      </c>
      <c r="M68" s="58">
        <f t="shared" si="25"/>
        <v>100</v>
      </c>
      <c r="N68" s="58">
        <f t="shared" si="26"/>
        <v>100</v>
      </c>
      <c r="O68" s="58">
        <f t="shared" si="30"/>
        <v>100</v>
      </c>
      <c r="P68" s="58">
        <f t="shared" si="23"/>
        <v>100</v>
      </c>
      <c r="Q68" s="58">
        <f t="shared" si="24"/>
        <v>50</v>
      </c>
      <c r="R68" s="3"/>
    </row>
    <row r="69" spans="1:21" ht="19.5" hidden="1" customHeight="1" outlineLevel="1">
      <c r="A69" s="32"/>
      <c r="B69" s="35" t="s">
        <v>403</v>
      </c>
      <c r="C69" s="32" t="s">
        <v>37</v>
      </c>
      <c r="D69" s="28">
        <v>3.8</v>
      </c>
      <c r="E69" s="28">
        <v>4</v>
      </c>
      <c r="F69" s="28">
        <v>4</v>
      </c>
      <c r="G69" s="28"/>
      <c r="H69" s="28">
        <f>F69</f>
        <v>4</v>
      </c>
      <c r="I69" s="28">
        <v>3.7</v>
      </c>
      <c r="J69" s="748">
        <f>I69</f>
        <v>3.7</v>
      </c>
      <c r="K69" s="28"/>
      <c r="L69" s="28"/>
      <c r="M69" s="58">
        <f t="shared" si="25"/>
        <v>92.5</v>
      </c>
      <c r="N69" s="58">
        <f t="shared" si="26"/>
        <v>92.5</v>
      </c>
      <c r="O69" s="58">
        <f t="shared" si="30"/>
        <v>99.999999999999986</v>
      </c>
      <c r="P69" s="58" t="str">
        <f t="shared" si="23"/>
        <v/>
      </c>
      <c r="Q69" s="58">
        <f t="shared" si="24"/>
        <v>0</v>
      </c>
      <c r="R69" s="3"/>
    </row>
    <row r="70" spans="1:21" ht="19.5" hidden="1" customHeight="1" outlineLevel="1">
      <c r="A70" s="32"/>
      <c r="B70" s="35" t="s">
        <v>404</v>
      </c>
      <c r="C70" s="32" t="s">
        <v>37</v>
      </c>
      <c r="D70" s="28"/>
      <c r="E70" s="28">
        <v>23.2</v>
      </c>
      <c r="F70" s="28">
        <v>24</v>
      </c>
      <c r="G70" s="28">
        <v>15</v>
      </c>
      <c r="H70" s="28">
        <f>F70</f>
        <v>24</v>
      </c>
      <c r="I70" s="28">
        <v>29.7</v>
      </c>
      <c r="J70" s="748">
        <f>I70</f>
        <v>29.7</v>
      </c>
      <c r="K70" s="28"/>
      <c r="L70" s="28">
        <v>15</v>
      </c>
      <c r="M70" s="58">
        <f t="shared" si="25"/>
        <v>128.01724137931035</v>
      </c>
      <c r="N70" s="58">
        <f t="shared" si="26"/>
        <v>123.75</v>
      </c>
      <c r="O70" s="58">
        <f t="shared" si="30"/>
        <v>100</v>
      </c>
      <c r="P70" s="58">
        <f t="shared" si="23"/>
        <v>100</v>
      </c>
      <c r="Q70" s="58">
        <f t="shared" si="24"/>
        <v>50.505050505050505</v>
      </c>
      <c r="R70" s="3"/>
    </row>
    <row r="71" spans="1:21" ht="17.25" customHeight="1" collapsed="1">
      <c r="A71" s="24" t="s">
        <v>39</v>
      </c>
      <c r="B71" s="30" t="s">
        <v>122</v>
      </c>
      <c r="C71" s="11" t="s">
        <v>37</v>
      </c>
      <c r="D71" s="27">
        <f t="shared" ref="D71:I71" si="37">D72+D85+D90</f>
        <v>9814</v>
      </c>
      <c r="E71" s="27">
        <f t="shared" si="37"/>
        <v>10071.6</v>
      </c>
      <c r="F71" s="27">
        <f t="shared" si="37"/>
        <v>10122.1</v>
      </c>
      <c r="G71" s="27">
        <f t="shared" si="37"/>
        <v>10433</v>
      </c>
      <c r="H71" s="27">
        <f t="shared" si="37"/>
        <v>10418.700000000001</v>
      </c>
      <c r="I71" s="27">
        <f t="shared" si="37"/>
        <v>10463.900000000001</v>
      </c>
      <c r="J71" s="744">
        <f>J72+J85+J87+J90</f>
        <v>11198</v>
      </c>
      <c r="K71" s="744">
        <f>K72+K85+K87+K90</f>
        <v>10029.6</v>
      </c>
      <c r="L71" s="744">
        <f>L72+L85+L87+L90</f>
        <v>10684.3</v>
      </c>
      <c r="M71" s="66">
        <f t="shared" si="25"/>
        <v>103.89511100520275</v>
      </c>
      <c r="N71" s="66">
        <f t="shared" si="26"/>
        <v>103.37676964266309</v>
      </c>
      <c r="O71" s="66">
        <f t="shared" si="30"/>
        <v>107.01554869599288</v>
      </c>
      <c r="P71" s="66">
        <f t="shared" si="23"/>
        <v>102.40870315345538</v>
      </c>
      <c r="Q71" s="66">
        <f t="shared" si="24"/>
        <v>95.412573673870327</v>
      </c>
      <c r="R71" s="3"/>
    </row>
    <row r="72" spans="1:21" s="18" customFormat="1" ht="17.25" customHeight="1">
      <c r="A72" s="24">
        <v>1</v>
      </c>
      <c r="B72" s="23" t="s">
        <v>448</v>
      </c>
      <c r="C72" s="11" t="s">
        <v>37</v>
      </c>
      <c r="D72" s="27">
        <f t="shared" ref="D72:L72" si="38">D73+D79</f>
        <v>9537.2999999999993</v>
      </c>
      <c r="E72" s="27">
        <f t="shared" si="38"/>
        <v>9722.1</v>
      </c>
      <c r="F72" s="27">
        <f t="shared" si="38"/>
        <v>9772.1</v>
      </c>
      <c r="G72" s="27">
        <f t="shared" si="38"/>
        <v>10130</v>
      </c>
      <c r="H72" s="27">
        <f t="shared" si="38"/>
        <v>10029.6</v>
      </c>
      <c r="I72" s="27">
        <f t="shared" si="38"/>
        <v>10029.6</v>
      </c>
      <c r="J72" s="744">
        <f t="shared" si="38"/>
        <v>10237</v>
      </c>
      <c r="K72" s="27">
        <f t="shared" si="38"/>
        <v>10029.6</v>
      </c>
      <c r="L72" s="27">
        <f t="shared" si="38"/>
        <v>10283</v>
      </c>
      <c r="M72" s="66">
        <f t="shared" si="25"/>
        <v>103.16289690498967</v>
      </c>
      <c r="N72" s="66">
        <f t="shared" si="26"/>
        <v>102.63505285455531</v>
      </c>
      <c r="O72" s="66">
        <f t="shared" si="30"/>
        <v>102.06787907792932</v>
      </c>
      <c r="P72" s="66">
        <f t="shared" si="23"/>
        <v>101.51036525172755</v>
      </c>
      <c r="Q72" s="66">
        <f t="shared" si="24"/>
        <v>100.44935039562371</v>
      </c>
      <c r="R72" s="83"/>
    </row>
    <row r="73" spans="1:21" s="18" customFormat="1" ht="17.25" customHeight="1">
      <c r="A73" s="11" t="s">
        <v>34</v>
      </c>
      <c r="B73" s="30" t="s">
        <v>445</v>
      </c>
      <c r="C73" s="11" t="s">
        <v>37</v>
      </c>
      <c r="D73" s="16">
        <v>1743.8</v>
      </c>
      <c r="E73" s="16">
        <f>D73+E74</f>
        <v>1919.5</v>
      </c>
      <c r="F73" s="16">
        <f>E73+F74-F75</f>
        <v>1969.5</v>
      </c>
      <c r="G73" s="16">
        <v>2594</v>
      </c>
      <c r="H73" s="16">
        <f>E73+H74-H75</f>
        <v>2299.5</v>
      </c>
      <c r="I73" s="16">
        <f>E73+I74-I75</f>
        <v>2299.5</v>
      </c>
      <c r="J73" s="733">
        <v>2651</v>
      </c>
      <c r="K73" s="16">
        <f>I73+K74</f>
        <v>2299.5</v>
      </c>
      <c r="L73" s="16">
        <v>2668</v>
      </c>
      <c r="M73" s="66">
        <f t="shared" si="25"/>
        <v>119.79682208908569</v>
      </c>
      <c r="N73" s="66">
        <f t="shared" si="26"/>
        <v>116.75552170601675</v>
      </c>
      <c r="O73" s="66">
        <f t="shared" si="30"/>
        <v>115.28593172428788</v>
      </c>
      <c r="P73" s="66">
        <f t="shared" si="23"/>
        <v>102.85273708558211</v>
      </c>
      <c r="Q73" s="66">
        <f t="shared" si="24"/>
        <v>100.64126744624669</v>
      </c>
      <c r="R73" s="83"/>
      <c r="U73" s="726"/>
    </row>
    <row r="74" spans="1:21" ht="17.25" customHeight="1">
      <c r="A74" s="32"/>
      <c r="B74" s="35" t="s">
        <v>123</v>
      </c>
      <c r="C74" s="32" t="s">
        <v>37</v>
      </c>
      <c r="D74" s="38">
        <v>185.9</v>
      </c>
      <c r="E74" s="38">
        <v>175.7</v>
      </c>
      <c r="F74" s="38">
        <v>50</v>
      </c>
      <c r="G74" s="38">
        <v>78.900000000000006</v>
      </c>
      <c r="H74" s="38">
        <v>381</v>
      </c>
      <c r="I74" s="38">
        <v>381</v>
      </c>
      <c r="J74" s="745">
        <v>0</v>
      </c>
      <c r="K74" s="38"/>
      <c r="L74" s="38">
        <v>16.8</v>
      </c>
      <c r="M74" s="58">
        <f t="shared" si="25"/>
        <v>216.84689812179855</v>
      </c>
      <c r="N74" s="58">
        <f t="shared" si="26"/>
        <v>762</v>
      </c>
      <c r="O74" s="58">
        <f t="shared" si="30"/>
        <v>0</v>
      </c>
      <c r="P74" s="58">
        <f t="shared" si="23"/>
        <v>21.29277566539924</v>
      </c>
      <c r="Q74" s="66" t="str">
        <f t="shared" si="24"/>
        <v/>
      </c>
      <c r="R74" s="3"/>
    </row>
    <row r="75" spans="1:21" ht="17.25" customHeight="1">
      <c r="A75" s="32"/>
      <c r="B75" s="35" t="s">
        <v>321</v>
      </c>
      <c r="C75" s="32" t="s">
        <v>37</v>
      </c>
      <c r="D75" s="38"/>
      <c r="E75" s="38"/>
      <c r="F75" s="38"/>
      <c r="G75" s="38"/>
      <c r="H75" s="38">
        <v>1</v>
      </c>
      <c r="I75" s="38">
        <v>1</v>
      </c>
      <c r="J75" s="745">
        <v>0</v>
      </c>
      <c r="K75" s="38"/>
      <c r="L75" s="38"/>
      <c r="M75" s="58"/>
      <c r="N75" s="58"/>
      <c r="O75" s="58"/>
      <c r="P75" s="58"/>
      <c r="Q75" s="58"/>
      <c r="R75" s="3"/>
    </row>
    <row r="76" spans="1:21" ht="17.25" customHeight="1">
      <c r="A76" s="32"/>
      <c r="B76" s="35" t="s">
        <v>124</v>
      </c>
      <c r="C76" s="32" t="s">
        <v>37</v>
      </c>
      <c r="D76" s="22">
        <v>1246</v>
      </c>
      <c r="E76" s="22">
        <v>1384</v>
      </c>
      <c r="F76" s="22">
        <v>1559</v>
      </c>
      <c r="G76" s="22"/>
      <c r="H76" s="22">
        <v>1558</v>
      </c>
      <c r="I76" s="22">
        <v>1558</v>
      </c>
      <c r="J76" s="740">
        <v>2027</v>
      </c>
      <c r="K76" s="22"/>
      <c r="L76" s="22"/>
      <c r="M76" s="58">
        <f t="shared" ref="M76:M114" si="39">IFERROR(I76/E76%,"")</f>
        <v>112.57225433526011</v>
      </c>
      <c r="N76" s="58">
        <f t="shared" ref="N76:N114" si="40">IFERROR(I76/F76%,"")</f>
        <v>99.935856318152659</v>
      </c>
      <c r="O76" s="58">
        <f t="shared" ref="O76:O114" si="41">IFERROR(J76/I76%,"")</f>
        <v>130.10269576379974</v>
      </c>
      <c r="P76" s="58" t="str">
        <f t="shared" ref="P76:P114" si="42">IFERROR(L76/G76%,"")</f>
        <v/>
      </c>
      <c r="Q76" s="58">
        <f t="shared" ref="Q76:Q114" si="43">IFERROR(L76/J76%,"")</f>
        <v>0</v>
      </c>
      <c r="R76" s="3"/>
      <c r="S76" s="81"/>
    </row>
    <row r="77" spans="1:21" ht="17.25" customHeight="1">
      <c r="A77" s="32"/>
      <c r="B77" s="35" t="s">
        <v>125</v>
      </c>
      <c r="C77" s="32" t="s">
        <v>21</v>
      </c>
      <c r="D77" s="38">
        <v>31.73</v>
      </c>
      <c r="E77" s="38">
        <v>35.65</v>
      </c>
      <c r="F77" s="38">
        <v>35</v>
      </c>
      <c r="G77" s="38"/>
      <c r="H77" s="38"/>
      <c r="I77" s="38">
        <v>35</v>
      </c>
      <c r="J77" s="745">
        <v>35</v>
      </c>
      <c r="K77" s="38"/>
      <c r="L77" s="38"/>
      <c r="M77" s="58">
        <f t="shared" si="39"/>
        <v>98.176718092566631</v>
      </c>
      <c r="N77" s="58">
        <f t="shared" si="40"/>
        <v>100</v>
      </c>
      <c r="O77" s="58">
        <f t="shared" si="41"/>
        <v>100</v>
      </c>
      <c r="P77" s="58" t="str">
        <f t="shared" si="42"/>
        <v/>
      </c>
      <c r="Q77" s="58">
        <f t="shared" si="43"/>
        <v>0</v>
      </c>
      <c r="R77" s="3"/>
    </row>
    <row r="78" spans="1:21" ht="17.25" customHeight="1">
      <c r="A78" s="32"/>
      <c r="B78" s="35" t="s">
        <v>320</v>
      </c>
      <c r="C78" s="32" t="s">
        <v>76</v>
      </c>
      <c r="D78" s="22">
        <f t="shared" ref="D78:L78" si="44">D76*D77/10</f>
        <v>3953.558</v>
      </c>
      <c r="E78" s="22">
        <f t="shared" si="44"/>
        <v>4933.96</v>
      </c>
      <c r="F78" s="22">
        <f t="shared" si="44"/>
        <v>5456.5</v>
      </c>
      <c r="G78" s="59">
        <f t="shared" si="44"/>
        <v>0</v>
      </c>
      <c r="H78" s="22">
        <f t="shared" si="44"/>
        <v>0</v>
      </c>
      <c r="I78" s="22">
        <f t="shared" si="44"/>
        <v>5453</v>
      </c>
      <c r="J78" s="740">
        <f t="shared" si="44"/>
        <v>7094.5</v>
      </c>
      <c r="K78" s="22">
        <f t="shared" si="44"/>
        <v>0</v>
      </c>
      <c r="L78" s="59">
        <f t="shared" si="44"/>
        <v>0</v>
      </c>
      <c r="M78" s="58">
        <f t="shared" si="39"/>
        <v>110.51974478917543</v>
      </c>
      <c r="N78" s="58">
        <f t="shared" si="40"/>
        <v>99.935856318152659</v>
      </c>
      <c r="O78" s="58">
        <f t="shared" si="41"/>
        <v>130.10269576379974</v>
      </c>
      <c r="P78" s="58" t="str">
        <f t="shared" si="42"/>
        <v/>
      </c>
      <c r="Q78" s="58">
        <f t="shared" si="43"/>
        <v>0</v>
      </c>
      <c r="R78" s="3"/>
    </row>
    <row r="79" spans="1:21" s="18" customFormat="1" ht="17.25" customHeight="1">
      <c r="A79" s="11" t="s">
        <v>35</v>
      </c>
      <c r="B79" s="30" t="s">
        <v>446</v>
      </c>
      <c r="C79" s="11" t="s">
        <v>37</v>
      </c>
      <c r="D79" s="16">
        <v>7793.5</v>
      </c>
      <c r="E79" s="16">
        <f>D79+E80-E81</f>
        <v>7802.6</v>
      </c>
      <c r="F79" s="16">
        <f>E79+F80-F81</f>
        <v>7802.6</v>
      </c>
      <c r="G79" s="733">
        <v>7536</v>
      </c>
      <c r="H79" s="16">
        <f>E79+H80-H81</f>
        <v>7730.1</v>
      </c>
      <c r="I79" s="16">
        <f>E79+I80-I81</f>
        <v>7730.1</v>
      </c>
      <c r="J79" s="733">
        <v>7586</v>
      </c>
      <c r="K79" s="16">
        <f>I79+K80-K81</f>
        <v>7730.1</v>
      </c>
      <c r="L79" s="733">
        <v>7615</v>
      </c>
      <c r="M79" s="66">
        <f t="shared" si="39"/>
        <v>99.070822546330703</v>
      </c>
      <c r="N79" s="66">
        <f t="shared" si="40"/>
        <v>99.070822546330703</v>
      </c>
      <c r="O79" s="66">
        <f t="shared" si="41"/>
        <v>98.13585852705657</v>
      </c>
      <c r="P79" s="66">
        <f t="shared" si="42"/>
        <v>101.04830148619958</v>
      </c>
      <c r="Q79" s="66">
        <f t="shared" si="43"/>
        <v>100.3822831531769</v>
      </c>
      <c r="R79" s="83"/>
    </row>
    <row r="80" spans="1:21" ht="17.25" customHeight="1">
      <c r="A80" s="32"/>
      <c r="B80" s="35" t="s">
        <v>123</v>
      </c>
      <c r="C80" s="32" t="s">
        <v>37</v>
      </c>
      <c r="D80" s="43">
        <v>0</v>
      </c>
      <c r="E80" s="28">
        <v>24.6</v>
      </c>
      <c r="F80" s="43"/>
      <c r="G80" s="43">
        <v>2</v>
      </c>
      <c r="H80" s="43">
        <v>38.299999999999997</v>
      </c>
      <c r="I80" s="43">
        <v>38.299999999999997</v>
      </c>
      <c r="J80" s="749">
        <v>0</v>
      </c>
      <c r="K80" s="43"/>
      <c r="L80" s="43">
        <v>32.299999999999997</v>
      </c>
      <c r="M80" s="58">
        <f t="shared" si="39"/>
        <v>155.69105691056907</v>
      </c>
      <c r="N80" s="58" t="str">
        <f t="shared" si="40"/>
        <v/>
      </c>
      <c r="O80" s="58">
        <f t="shared" si="41"/>
        <v>0</v>
      </c>
      <c r="P80" s="58">
        <f t="shared" si="42"/>
        <v>1614.9999999999998</v>
      </c>
      <c r="Q80" s="58" t="str">
        <f t="shared" si="43"/>
        <v/>
      </c>
      <c r="R80" s="3"/>
    </row>
    <row r="81" spans="1:19" ht="17.25" customHeight="1">
      <c r="A81" s="32"/>
      <c r="B81" s="35" t="s">
        <v>321</v>
      </c>
      <c r="C81" s="32" t="s">
        <v>37</v>
      </c>
      <c r="D81" s="28">
        <v>81.5</v>
      </c>
      <c r="E81" s="28">
        <v>15.5</v>
      </c>
      <c r="F81" s="43"/>
      <c r="G81" s="43">
        <v>115</v>
      </c>
      <c r="H81" s="43">
        <v>110.8</v>
      </c>
      <c r="I81" s="43">
        <v>110.8</v>
      </c>
      <c r="J81" s="749">
        <v>0</v>
      </c>
      <c r="K81" s="43"/>
      <c r="L81" s="43">
        <v>0</v>
      </c>
      <c r="M81" s="58">
        <f t="shared" si="39"/>
        <v>714.83870967741939</v>
      </c>
      <c r="N81" s="58" t="str">
        <f t="shared" si="40"/>
        <v/>
      </c>
      <c r="O81" s="58">
        <f t="shared" si="41"/>
        <v>0</v>
      </c>
      <c r="P81" s="58">
        <f t="shared" si="42"/>
        <v>0</v>
      </c>
      <c r="Q81" s="58" t="str">
        <f t="shared" si="43"/>
        <v/>
      </c>
      <c r="R81" s="3"/>
    </row>
    <row r="82" spans="1:19" ht="17.25" customHeight="1">
      <c r="A82" s="32"/>
      <c r="B82" s="35" t="s">
        <v>124</v>
      </c>
      <c r="C82" s="32" t="s">
        <v>37</v>
      </c>
      <c r="D82" s="22">
        <v>4821</v>
      </c>
      <c r="E82" s="22">
        <v>5385</v>
      </c>
      <c r="F82" s="22">
        <v>5755</v>
      </c>
      <c r="G82" s="22">
        <v>6186</v>
      </c>
      <c r="H82" s="22">
        <v>5723.7</v>
      </c>
      <c r="I82" s="22">
        <v>5723.7</v>
      </c>
      <c r="J82" s="740">
        <v>6550</v>
      </c>
      <c r="K82" s="22"/>
      <c r="L82" s="22">
        <v>6272</v>
      </c>
      <c r="M82" s="58">
        <f t="shared" si="39"/>
        <v>106.28969359331475</v>
      </c>
      <c r="N82" s="58">
        <f t="shared" si="40"/>
        <v>99.456125108601213</v>
      </c>
      <c r="O82" s="58">
        <f t="shared" si="41"/>
        <v>114.43646592239287</v>
      </c>
      <c r="P82" s="58">
        <f t="shared" si="42"/>
        <v>101.39023601681215</v>
      </c>
      <c r="Q82" s="58">
        <f t="shared" si="43"/>
        <v>95.755725190839698</v>
      </c>
      <c r="R82" s="3"/>
    </row>
    <row r="83" spans="1:19" ht="17.25" customHeight="1">
      <c r="A83" s="32"/>
      <c r="B83" s="35" t="s">
        <v>126</v>
      </c>
      <c r="C83" s="32" t="s">
        <v>21</v>
      </c>
      <c r="D83" s="38">
        <v>12.33</v>
      </c>
      <c r="E83" s="38">
        <v>12.35</v>
      </c>
      <c r="F83" s="38">
        <v>12.5</v>
      </c>
      <c r="G83" s="38">
        <v>12.7</v>
      </c>
      <c r="H83" s="38">
        <v>12.5</v>
      </c>
      <c r="I83" s="38">
        <v>12.5</v>
      </c>
      <c r="J83" s="745">
        <v>12.5</v>
      </c>
      <c r="K83" s="38"/>
      <c r="L83" s="38">
        <v>12.9</v>
      </c>
      <c r="M83" s="58">
        <f t="shared" si="39"/>
        <v>101.21457489878543</v>
      </c>
      <c r="N83" s="58">
        <f t="shared" si="40"/>
        <v>100</v>
      </c>
      <c r="O83" s="58">
        <f t="shared" si="41"/>
        <v>100</v>
      </c>
      <c r="P83" s="58">
        <f t="shared" si="42"/>
        <v>101.5748031496063</v>
      </c>
      <c r="Q83" s="58">
        <f t="shared" si="43"/>
        <v>103.2</v>
      </c>
      <c r="R83" s="3"/>
    </row>
    <row r="84" spans="1:19" ht="17.25" customHeight="1">
      <c r="A84" s="32"/>
      <c r="B84" s="35" t="s">
        <v>474</v>
      </c>
      <c r="C84" s="32" t="s">
        <v>76</v>
      </c>
      <c r="D84" s="22">
        <f>D82*D83/10</f>
        <v>5944.2929999999997</v>
      </c>
      <c r="E84" s="22">
        <f>E82*E83/10</f>
        <v>6650.4750000000004</v>
      </c>
      <c r="F84" s="22">
        <f>F82*F83/10</f>
        <v>7193.75</v>
      </c>
      <c r="G84" s="22">
        <v>7854</v>
      </c>
      <c r="H84" s="22">
        <f>H82*H83/10</f>
        <v>7154.625</v>
      </c>
      <c r="I84" s="22">
        <f>I82*I83/10</f>
        <v>7154.625</v>
      </c>
      <c r="J84" s="740">
        <f>J82*J83/10</f>
        <v>8187.5</v>
      </c>
      <c r="K84" s="22">
        <f>K82*K83/10</f>
        <v>0</v>
      </c>
      <c r="L84" s="22">
        <v>7854</v>
      </c>
      <c r="M84" s="58">
        <f t="shared" si="39"/>
        <v>107.5806615316951</v>
      </c>
      <c r="N84" s="58">
        <f t="shared" si="40"/>
        <v>99.456125108601213</v>
      </c>
      <c r="O84" s="58">
        <f t="shared" si="41"/>
        <v>114.43646592239286</v>
      </c>
      <c r="P84" s="58">
        <f t="shared" si="42"/>
        <v>99.999999999999986</v>
      </c>
      <c r="Q84" s="58">
        <f t="shared" si="43"/>
        <v>95.926717557251905</v>
      </c>
      <c r="R84" s="3"/>
    </row>
    <row r="85" spans="1:19" s="18" customFormat="1" ht="17.25" customHeight="1">
      <c r="A85" s="11">
        <v>2</v>
      </c>
      <c r="B85" s="30" t="s">
        <v>181</v>
      </c>
      <c r="C85" s="11" t="s">
        <v>37</v>
      </c>
      <c r="D85" s="16">
        <v>155.19999999999999</v>
      </c>
      <c r="E85" s="16">
        <v>218.9</v>
      </c>
      <c r="F85" s="16">
        <v>220</v>
      </c>
      <c r="G85" s="16">
        <v>303</v>
      </c>
      <c r="H85" s="16">
        <v>266</v>
      </c>
      <c r="I85" s="16">
        <v>302.70000000000005</v>
      </c>
      <c r="J85" s="733">
        <v>500</v>
      </c>
      <c r="K85" s="16"/>
      <c r="L85" s="16">
        <v>333</v>
      </c>
      <c r="M85" s="66">
        <f t="shared" si="39"/>
        <v>138.28232069438101</v>
      </c>
      <c r="N85" s="66">
        <f t="shared" si="40"/>
        <v>137.59090909090909</v>
      </c>
      <c r="O85" s="66">
        <f t="shared" si="41"/>
        <v>165.18004625041291</v>
      </c>
      <c r="P85" s="66">
        <f t="shared" si="42"/>
        <v>109.9009900990099</v>
      </c>
      <c r="Q85" s="66">
        <f t="shared" si="43"/>
        <v>66.599999999999994</v>
      </c>
      <c r="R85" s="83"/>
    </row>
    <row r="86" spans="1:19" s="18" customFormat="1" ht="17.25" customHeight="1">
      <c r="A86" s="11"/>
      <c r="B86" s="35" t="s">
        <v>123</v>
      </c>
      <c r="C86" s="32" t="s">
        <v>37</v>
      </c>
      <c r="D86" s="16"/>
      <c r="E86" s="16"/>
      <c r="F86" s="16"/>
      <c r="G86" s="16"/>
      <c r="H86" s="16"/>
      <c r="I86" s="16"/>
      <c r="J86" s="740">
        <v>170</v>
      </c>
      <c r="K86" s="22"/>
      <c r="L86" s="22">
        <v>107</v>
      </c>
      <c r="M86" s="58"/>
      <c r="N86" s="58"/>
      <c r="O86" s="58"/>
      <c r="P86" s="58"/>
      <c r="Q86" s="58">
        <f t="shared" si="43"/>
        <v>62.941176470588239</v>
      </c>
      <c r="R86" s="3"/>
      <c r="S86" s="5"/>
    </row>
    <row r="87" spans="1:19" s="18" customFormat="1">
      <c r="A87" s="11">
        <v>3</v>
      </c>
      <c r="B87" s="30" t="s">
        <v>1065</v>
      </c>
      <c r="C87" s="11" t="s">
        <v>37</v>
      </c>
      <c r="D87" s="16">
        <f>SUM(D90:D94)</f>
        <v>243</v>
      </c>
      <c r="E87" s="16">
        <f>SUM(E90:E94)</f>
        <v>241.90000000000003</v>
      </c>
      <c r="F87" s="16">
        <f>SUM(F90:F94)</f>
        <v>241</v>
      </c>
      <c r="G87" s="16">
        <v>16</v>
      </c>
      <c r="H87" s="16">
        <f>SUM(H90:H94)</f>
        <v>230.40000000000003</v>
      </c>
      <c r="I87" s="16">
        <f>SUM(I90:I94)</f>
        <v>247.40000000000003</v>
      </c>
      <c r="J87" s="16">
        <f>J88+J89</f>
        <v>211</v>
      </c>
      <c r="K87" s="16">
        <f>SUM(K90:K94)</f>
        <v>0</v>
      </c>
      <c r="L87" s="16">
        <v>68.3</v>
      </c>
      <c r="M87" s="66">
        <f>IFERROR(I87/E87%,"")</f>
        <v>102.27366680446465</v>
      </c>
      <c r="N87" s="66">
        <f>IFERROR(I87/F87%,"")</f>
        <v>102.65560165975104</v>
      </c>
      <c r="O87" s="66">
        <f>IFERROR(J87/I87%,"")</f>
        <v>85.28698464025868</v>
      </c>
      <c r="P87" s="66">
        <f>IFERROR(L87/G87%,"")</f>
        <v>426.875</v>
      </c>
      <c r="Q87" s="66">
        <f>IFERROR(L87/J87%,"")</f>
        <v>32.369668246445499</v>
      </c>
      <c r="R87" s="83"/>
      <c r="S87" s="5"/>
    </row>
    <row r="88" spans="1:19" s="18" customFormat="1">
      <c r="A88" s="32"/>
      <c r="B88" s="35" t="s">
        <v>1066</v>
      </c>
      <c r="C88" s="32" t="s">
        <v>37</v>
      </c>
      <c r="D88" s="22"/>
      <c r="E88" s="22"/>
      <c r="F88" s="22"/>
      <c r="G88" s="22"/>
      <c r="H88" s="22"/>
      <c r="I88" s="22"/>
      <c r="J88" s="22">
        <v>71</v>
      </c>
      <c r="K88" s="22"/>
      <c r="L88" s="22"/>
      <c r="M88" s="58"/>
      <c r="N88" s="58"/>
      <c r="O88" s="58"/>
      <c r="P88" s="58"/>
      <c r="Q88" s="66">
        <f t="shared" ref="Q88:Q89" si="45">IFERROR(L88/J88%,"")</f>
        <v>0</v>
      </c>
      <c r="R88" s="3"/>
      <c r="S88" s="5"/>
    </row>
    <row r="89" spans="1:19" s="18" customFormat="1">
      <c r="A89" s="32"/>
      <c r="B89" s="35" t="s">
        <v>1067</v>
      </c>
      <c r="C89" s="32" t="s">
        <v>37</v>
      </c>
      <c r="D89" s="22"/>
      <c r="E89" s="22"/>
      <c r="F89" s="22"/>
      <c r="G89" s="22"/>
      <c r="H89" s="22"/>
      <c r="I89" s="22"/>
      <c r="J89" s="22">
        <v>140</v>
      </c>
      <c r="K89" s="22"/>
      <c r="L89" s="22">
        <v>57</v>
      </c>
      <c r="M89" s="58"/>
      <c r="N89" s="58"/>
      <c r="O89" s="58"/>
      <c r="P89" s="58"/>
      <c r="Q89" s="58">
        <f t="shared" si="45"/>
        <v>40.714285714285715</v>
      </c>
      <c r="R89" s="3"/>
      <c r="S89" s="5"/>
    </row>
    <row r="90" spans="1:19" s="18" customFormat="1">
      <c r="A90" s="11">
        <v>4</v>
      </c>
      <c r="B90" s="30" t="s">
        <v>1068</v>
      </c>
      <c r="C90" s="11" t="s">
        <v>37</v>
      </c>
      <c r="D90" s="16">
        <f t="shared" ref="D90:I90" si="46">SUM(D91:D95)</f>
        <v>121.5</v>
      </c>
      <c r="E90" s="16">
        <f t="shared" si="46"/>
        <v>130.60000000000002</v>
      </c>
      <c r="F90" s="16">
        <f t="shared" si="46"/>
        <v>130</v>
      </c>
      <c r="G90" s="16"/>
      <c r="H90" s="16">
        <f t="shared" si="46"/>
        <v>123.10000000000001</v>
      </c>
      <c r="I90" s="16">
        <f t="shared" si="46"/>
        <v>131.60000000000002</v>
      </c>
      <c r="J90" s="733">
        <f>J96+J97</f>
        <v>250</v>
      </c>
      <c r="K90" s="16">
        <f>SUM(K91:K95)</f>
        <v>0</v>
      </c>
      <c r="L90" s="16"/>
      <c r="M90" s="66">
        <f t="shared" si="39"/>
        <v>100.7656967840735</v>
      </c>
      <c r="N90" s="66">
        <f t="shared" si="40"/>
        <v>101.23076923076924</v>
      </c>
      <c r="O90" s="66">
        <f t="shared" si="41"/>
        <v>189.96960486322183</v>
      </c>
      <c r="P90" s="66" t="str">
        <f t="shared" si="42"/>
        <v/>
      </c>
      <c r="Q90" s="66">
        <f t="shared" si="43"/>
        <v>0</v>
      </c>
      <c r="R90" s="83"/>
      <c r="S90" s="87"/>
    </row>
    <row r="91" spans="1:19" ht="17.25" hidden="1" customHeight="1" outlineLevel="1">
      <c r="A91" s="32"/>
      <c r="B91" s="35" t="s">
        <v>405</v>
      </c>
      <c r="C91" s="32" t="s">
        <v>37</v>
      </c>
      <c r="D91" s="38">
        <v>18.5</v>
      </c>
      <c r="E91" s="38">
        <v>17</v>
      </c>
      <c r="F91" s="38">
        <v>17</v>
      </c>
      <c r="G91" s="38">
        <v>22.5</v>
      </c>
      <c r="H91" s="38">
        <v>14</v>
      </c>
      <c r="I91" s="38">
        <v>22.5</v>
      </c>
      <c r="J91" s="745">
        <f>I91</f>
        <v>22.5</v>
      </c>
      <c r="K91" s="38"/>
      <c r="L91" s="38">
        <v>22.5</v>
      </c>
      <c r="M91" s="58">
        <f t="shared" si="39"/>
        <v>132.35294117647058</v>
      </c>
      <c r="N91" s="58">
        <f t="shared" si="40"/>
        <v>132.35294117647058</v>
      </c>
      <c r="O91" s="58">
        <f t="shared" si="41"/>
        <v>100</v>
      </c>
      <c r="P91" s="58">
        <f t="shared" si="42"/>
        <v>100</v>
      </c>
      <c r="Q91" s="66">
        <f t="shared" si="43"/>
        <v>100</v>
      </c>
      <c r="R91" s="3"/>
    </row>
    <row r="92" spans="1:19" ht="17.25" hidden="1" customHeight="1" outlineLevel="1">
      <c r="A92" s="32"/>
      <c r="B92" s="35" t="s">
        <v>406</v>
      </c>
      <c r="C92" s="32" t="s">
        <v>37</v>
      </c>
      <c r="D92" s="38">
        <v>54.6</v>
      </c>
      <c r="E92" s="38">
        <v>61.9</v>
      </c>
      <c r="F92" s="38">
        <v>62</v>
      </c>
      <c r="G92" s="38">
        <v>62</v>
      </c>
      <c r="H92" s="38">
        <v>62.4</v>
      </c>
      <c r="I92" s="38">
        <v>62.4</v>
      </c>
      <c r="J92" s="745">
        <f>I92</f>
        <v>62.4</v>
      </c>
      <c r="K92" s="38"/>
      <c r="L92" s="38">
        <v>62</v>
      </c>
      <c r="M92" s="58">
        <f t="shared" si="39"/>
        <v>100.80775444264944</v>
      </c>
      <c r="N92" s="58">
        <f t="shared" si="40"/>
        <v>100.64516129032258</v>
      </c>
      <c r="O92" s="58">
        <f t="shared" si="41"/>
        <v>100</v>
      </c>
      <c r="P92" s="58">
        <f t="shared" si="42"/>
        <v>100</v>
      </c>
      <c r="Q92" s="66">
        <f t="shared" si="43"/>
        <v>99.358974358974365</v>
      </c>
      <c r="R92" s="3"/>
    </row>
    <row r="93" spans="1:19" ht="17.25" hidden="1" customHeight="1" outlineLevel="1">
      <c r="A93" s="32"/>
      <c r="B93" s="35" t="s">
        <v>407</v>
      </c>
      <c r="C93" s="32" t="s">
        <v>37</v>
      </c>
      <c r="D93" s="38">
        <v>2</v>
      </c>
      <c r="E93" s="38">
        <v>2</v>
      </c>
      <c r="F93" s="38">
        <v>2</v>
      </c>
      <c r="G93" s="38">
        <v>2</v>
      </c>
      <c r="H93" s="38">
        <f>F93</f>
        <v>2</v>
      </c>
      <c r="I93" s="38">
        <f>H93</f>
        <v>2</v>
      </c>
      <c r="J93" s="745">
        <f>I93</f>
        <v>2</v>
      </c>
      <c r="K93" s="38"/>
      <c r="L93" s="38">
        <v>2</v>
      </c>
      <c r="M93" s="58">
        <f t="shared" si="39"/>
        <v>100</v>
      </c>
      <c r="N93" s="58">
        <f t="shared" si="40"/>
        <v>100</v>
      </c>
      <c r="O93" s="58">
        <f t="shared" si="41"/>
        <v>100</v>
      </c>
      <c r="P93" s="58">
        <f t="shared" si="42"/>
        <v>100</v>
      </c>
      <c r="Q93" s="66">
        <f t="shared" si="43"/>
        <v>100</v>
      </c>
      <c r="R93" s="3"/>
    </row>
    <row r="94" spans="1:19" ht="17.25" hidden="1" customHeight="1" outlineLevel="1">
      <c r="A94" s="32"/>
      <c r="B94" s="35" t="s">
        <v>408</v>
      </c>
      <c r="C94" s="32" t="s">
        <v>37</v>
      </c>
      <c r="D94" s="38">
        <v>46.4</v>
      </c>
      <c r="E94" s="38">
        <v>30.4</v>
      </c>
      <c r="F94" s="38">
        <v>30</v>
      </c>
      <c r="G94" s="38">
        <v>29</v>
      </c>
      <c r="H94" s="38">
        <v>28.9</v>
      </c>
      <c r="I94" s="38">
        <v>28.9</v>
      </c>
      <c r="J94" s="745">
        <f>I94</f>
        <v>28.9</v>
      </c>
      <c r="K94" s="38"/>
      <c r="L94" s="38">
        <v>29</v>
      </c>
      <c r="M94" s="58">
        <f t="shared" si="39"/>
        <v>95.065789473684205</v>
      </c>
      <c r="N94" s="58">
        <f t="shared" si="40"/>
        <v>96.333333333333329</v>
      </c>
      <c r="O94" s="58">
        <f t="shared" si="41"/>
        <v>100</v>
      </c>
      <c r="P94" s="58">
        <f t="shared" si="42"/>
        <v>100</v>
      </c>
      <c r="Q94" s="66">
        <f t="shared" si="43"/>
        <v>100.34602076124568</v>
      </c>
      <c r="R94" s="3"/>
    </row>
    <row r="95" spans="1:19" ht="17.25" hidden="1" customHeight="1" outlineLevel="1">
      <c r="A95" s="32"/>
      <c r="B95" s="35" t="s">
        <v>409</v>
      </c>
      <c r="C95" s="32" t="s">
        <v>37</v>
      </c>
      <c r="D95" s="38"/>
      <c r="E95" s="38">
        <v>19.3</v>
      </c>
      <c r="F95" s="38">
        <v>19</v>
      </c>
      <c r="G95" s="38">
        <v>16</v>
      </c>
      <c r="H95" s="38">
        <v>15.8</v>
      </c>
      <c r="I95" s="38">
        <v>15.8</v>
      </c>
      <c r="J95" s="745">
        <f>I95</f>
        <v>15.8</v>
      </c>
      <c r="K95" s="38"/>
      <c r="L95" s="38">
        <v>16</v>
      </c>
      <c r="M95" s="58">
        <f t="shared" si="39"/>
        <v>81.865284974093271</v>
      </c>
      <c r="N95" s="58">
        <f t="shared" si="40"/>
        <v>83.15789473684211</v>
      </c>
      <c r="O95" s="58">
        <f t="shared" si="41"/>
        <v>100</v>
      </c>
      <c r="P95" s="58">
        <f t="shared" si="42"/>
        <v>100</v>
      </c>
      <c r="Q95" s="66">
        <f t="shared" si="43"/>
        <v>101.26582278481013</v>
      </c>
      <c r="R95" s="3"/>
    </row>
    <row r="96" spans="1:19" ht="17.25" customHeight="1" outlineLevel="1">
      <c r="A96" s="32"/>
      <c r="B96" s="35" t="s">
        <v>1066</v>
      </c>
      <c r="C96" s="32" t="s">
        <v>37</v>
      </c>
      <c r="D96" s="22"/>
      <c r="E96" s="22"/>
      <c r="F96" s="22"/>
      <c r="G96" s="22"/>
      <c r="H96" s="22"/>
      <c r="I96" s="22"/>
      <c r="J96" s="22">
        <v>35</v>
      </c>
      <c r="K96" s="22"/>
      <c r="L96" s="22"/>
      <c r="M96" s="58"/>
      <c r="N96" s="58"/>
      <c r="O96" s="58"/>
      <c r="P96" s="58"/>
      <c r="Q96" s="66">
        <f t="shared" si="43"/>
        <v>0</v>
      </c>
      <c r="R96" s="3"/>
    </row>
    <row r="97" spans="1:18" ht="17.25" customHeight="1" outlineLevel="1">
      <c r="A97" s="32"/>
      <c r="B97" s="35" t="s">
        <v>1067</v>
      </c>
      <c r="C97" s="32" t="s">
        <v>37</v>
      </c>
      <c r="D97" s="22"/>
      <c r="E97" s="22"/>
      <c r="F97" s="22"/>
      <c r="G97" s="22"/>
      <c r="H97" s="22"/>
      <c r="I97" s="22"/>
      <c r="J97" s="22">
        <v>215</v>
      </c>
      <c r="K97" s="22"/>
      <c r="L97" s="22">
        <v>21.1</v>
      </c>
      <c r="M97" s="58"/>
      <c r="N97" s="58"/>
      <c r="O97" s="58"/>
      <c r="P97" s="58"/>
      <c r="Q97" s="58">
        <f t="shared" si="43"/>
        <v>9.8139534883720945</v>
      </c>
      <c r="R97" s="3"/>
    </row>
    <row r="98" spans="1:18" ht="18.75" customHeight="1">
      <c r="A98" s="11" t="s">
        <v>47</v>
      </c>
      <c r="B98" s="30" t="s">
        <v>96</v>
      </c>
      <c r="C98" s="32"/>
      <c r="D98" s="28"/>
      <c r="E98" s="38"/>
      <c r="F98" s="38"/>
      <c r="G98" s="38"/>
      <c r="H98" s="38"/>
      <c r="I98" s="38"/>
      <c r="J98" s="745"/>
      <c r="K98" s="38"/>
      <c r="L98" s="38"/>
      <c r="M98" s="66" t="str">
        <f t="shared" si="39"/>
        <v/>
      </c>
      <c r="N98" s="66" t="str">
        <f t="shared" si="40"/>
        <v/>
      </c>
      <c r="O98" s="66" t="str">
        <f t="shared" si="41"/>
        <v/>
      </c>
      <c r="P98" s="66" t="str">
        <f t="shared" si="42"/>
        <v/>
      </c>
      <c r="Q98" s="66" t="str">
        <f t="shared" si="43"/>
        <v/>
      </c>
      <c r="R98" s="3"/>
    </row>
    <row r="99" spans="1:18" ht="18.75" customHeight="1">
      <c r="A99" s="11">
        <v>1</v>
      </c>
      <c r="B99" s="30" t="s">
        <v>447</v>
      </c>
      <c r="C99" s="11" t="s">
        <v>54</v>
      </c>
      <c r="D99" s="27">
        <f>SUM(D100:D102)</f>
        <v>20219</v>
      </c>
      <c r="E99" s="27">
        <f t="shared" ref="E99:L99" si="47">SUM(E100:E102)</f>
        <v>18350</v>
      </c>
      <c r="F99" s="27">
        <f t="shared" si="47"/>
        <v>20650</v>
      </c>
      <c r="G99" s="27">
        <f>SUM(G100:G102)</f>
        <v>16902</v>
      </c>
      <c r="H99" s="27">
        <f t="shared" si="47"/>
        <v>20174</v>
      </c>
      <c r="I99" s="27">
        <f t="shared" si="47"/>
        <v>20238</v>
      </c>
      <c r="J99" s="744">
        <f t="shared" si="47"/>
        <v>24300</v>
      </c>
      <c r="K99" s="27">
        <f>SUM(K100:K102)</f>
        <v>0</v>
      </c>
      <c r="L99" s="27">
        <f t="shared" si="47"/>
        <v>16799</v>
      </c>
      <c r="M99" s="66">
        <f t="shared" si="39"/>
        <v>110.28882833787466</v>
      </c>
      <c r="N99" s="66">
        <f t="shared" si="40"/>
        <v>98.004842615012109</v>
      </c>
      <c r="O99" s="66">
        <f t="shared" si="41"/>
        <v>120.07115327601542</v>
      </c>
      <c r="P99" s="66">
        <f t="shared" si="42"/>
        <v>99.390604662170148</v>
      </c>
      <c r="Q99" s="66">
        <f t="shared" si="43"/>
        <v>69.13168724279835</v>
      </c>
      <c r="R99" s="83"/>
    </row>
    <row r="100" spans="1:18" ht="18.75" customHeight="1">
      <c r="A100" s="32"/>
      <c r="B100" s="35" t="s">
        <v>322</v>
      </c>
      <c r="C100" s="32" t="s">
        <v>54</v>
      </c>
      <c r="D100" s="29">
        <v>2461</v>
      </c>
      <c r="E100" s="29">
        <v>2550</v>
      </c>
      <c r="F100" s="29">
        <v>2650</v>
      </c>
      <c r="G100" s="29">
        <v>2546</v>
      </c>
      <c r="H100" s="29">
        <v>2536</v>
      </c>
      <c r="I100" s="29">
        <v>2600</v>
      </c>
      <c r="J100" s="743">
        <v>3100</v>
      </c>
      <c r="K100" s="29"/>
      <c r="L100" s="29">
        <v>2482</v>
      </c>
      <c r="M100" s="58">
        <f t="shared" si="39"/>
        <v>101.96078431372548</v>
      </c>
      <c r="N100" s="58">
        <f t="shared" si="40"/>
        <v>98.113207547169807</v>
      </c>
      <c r="O100" s="58">
        <f t="shared" si="41"/>
        <v>119.23076923076923</v>
      </c>
      <c r="P100" s="58">
        <f t="shared" si="42"/>
        <v>97.486252945797332</v>
      </c>
      <c r="Q100" s="58">
        <f t="shared" si="43"/>
        <v>80.064516129032256</v>
      </c>
      <c r="R100" s="3"/>
    </row>
    <row r="101" spans="1:18" ht="18.75" customHeight="1">
      <c r="A101" s="32"/>
      <c r="B101" s="35" t="s">
        <v>323</v>
      </c>
      <c r="C101" s="32" t="s">
        <v>54</v>
      </c>
      <c r="D101" s="29">
        <v>4034</v>
      </c>
      <c r="E101" s="29">
        <v>4800</v>
      </c>
      <c r="F101" s="29">
        <v>5000</v>
      </c>
      <c r="G101" s="29">
        <v>5032</v>
      </c>
      <c r="H101" s="29">
        <v>5087</v>
      </c>
      <c r="I101" s="29">
        <v>5087</v>
      </c>
      <c r="J101" s="743">
        <v>5700</v>
      </c>
      <c r="K101" s="29"/>
      <c r="L101" s="29">
        <v>5103</v>
      </c>
      <c r="M101" s="58">
        <f t="shared" si="39"/>
        <v>105.97916666666667</v>
      </c>
      <c r="N101" s="58">
        <f t="shared" si="40"/>
        <v>101.74</v>
      </c>
      <c r="O101" s="58">
        <f t="shared" si="41"/>
        <v>112.05032435620208</v>
      </c>
      <c r="P101" s="58">
        <f t="shared" si="42"/>
        <v>101.41096979332274</v>
      </c>
      <c r="Q101" s="58">
        <f t="shared" si="43"/>
        <v>89.526315789473685</v>
      </c>
      <c r="R101" s="3"/>
    </row>
    <row r="102" spans="1:18" ht="18.75" customHeight="1">
      <c r="A102" s="32"/>
      <c r="B102" s="35" t="s">
        <v>324</v>
      </c>
      <c r="C102" s="32" t="s">
        <v>54</v>
      </c>
      <c r="D102" s="29">
        <v>13724</v>
      </c>
      <c r="E102" s="29">
        <v>11000</v>
      </c>
      <c r="F102" s="29">
        <v>13000</v>
      </c>
      <c r="G102" s="29">
        <v>9324</v>
      </c>
      <c r="H102" s="29">
        <v>12551</v>
      </c>
      <c r="I102" s="29">
        <v>12551</v>
      </c>
      <c r="J102" s="743">
        <v>15500</v>
      </c>
      <c r="K102" s="29"/>
      <c r="L102" s="29">
        <v>9214</v>
      </c>
      <c r="M102" s="58">
        <f t="shared" si="39"/>
        <v>114.1</v>
      </c>
      <c r="N102" s="58">
        <f t="shared" si="40"/>
        <v>96.546153846153842</v>
      </c>
      <c r="O102" s="58">
        <f t="shared" si="41"/>
        <v>123.49613576607442</v>
      </c>
      <c r="P102" s="58">
        <f t="shared" si="42"/>
        <v>98.820248820248821</v>
      </c>
      <c r="Q102" s="58">
        <f t="shared" si="43"/>
        <v>59.445161290322581</v>
      </c>
      <c r="R102" s="3"/>
    </row>
    <row r="103" spans="1:18" ht="18.75" customHeight="1">
      <c r="A103" s="11">
        <v>2</v>
      </c>
      <c r="B103" s="44" t="s">
        <v>31</v>
      </c>
      <c r="C103" s="11" t="s">
        <v>54</v>
      </c>
      <c r="D103" s="27">
        <v>77894</v>
      </c>
      <c r="E103" s="27">
        <v>87000</v>
      </c>
      <c r="F103" s="27">
        <v>87000</v>
      </c>
      <c r="G103" s="27">
        <v>75150</v>
      </c>
      <c r="H103" s="27">
        <v>78000</v>
      </c>
      <c r="I103" s="27">
        <v>78000</v>
      </c>
      <c r="J103" s="744">
        <v>120000</v>
      </c>
      <c r="K103" s="27"/>
      <c r="L103" s="27">
        <v>75600</v>
      </c>
      <c r="M103" s="66">
        <f t="shared" si="39"/>
        <v>89.65517241379311</v>
      </c>
      <c r="N103" s="66">
        <f t="shared" si="40"/>
        <v>89.65517241379311</v>
      </c>
      <c r="O103" s="66">
        <f t="shared" si="41"/>
        <v>153.84615384615384</v>
      </c>
      <c r="P103" s="66">
        <f t="shared" si="42"/>
        <v>100.59880239520957</v>
      </c>
      <c r="Q103" s="66">
        <f t="shared" si="43"/>
        <v>63</v>
      </c>
      <c r="R103" s="83"/>
    </row>
    <row r="104" spans="1:18" s="18" customFormat="1" ht="18.75" customHeight="1">
      <c r="A104" s="11" t="s">
        <v>48</v>
      </c>
      <c r="B104" s="45" t="s">
        <v>325</v>
      </c>
      <c r="C104" s="11"/>
      <c r="D104" s="27"/>
      <c r="E104" s="27"/>
      <c r="F104" s="27"/>
      <c r="G104" s="27"/>
      <c r="H104" s="27"/>
      <c r="I104" s="27"/>
      <c r="J104" s="744"/>
      <c r="K104" s="27"/>
      <c r="L104" s="27"/>
      <c r="M104" s="66" t="str">
        <f t="shared" si="39"/>
        <v/>
      </c>
      <c r="N104" s="66" t="str">
        <f t="shared" si="40"/>
        <v/>
      </c>
      <c r="O104" s="66" t="str">
        <f t="shared" si="41"/>
        <v/>
      </c>
      <c r="P104" s="66" t="str">
        <f t="shared" si="42"/>
        <v/>
      </c>
      <c r="Q104" s="66" t="str">
        <f t="shared" si="43"/>
        <v/>
      </c>
      <c r="R104" s="83"/>
    </row>
    <row r="105" spans="1:18" ht="18.75" customHeight="1">
      <c r="A105" s="32">
        <v>1</v>
      </c>
      <c r="B105" s="46" t="s">
        <v>326</v>
      </c>
      <c r="C105" s="32" t="s">
        <v>37</v>
      </c>
      <c r="D105" s="28">
        <v>85</v>
      </c>
      <c r="E105" s="28">
        <v>85.5</v>
      </c>
      <c r="F105" s="28">
        <v>85.5</v>
      </c>
      <c r="G105" s="28">
        <v>91.6</v>
      </c>
      <c r="H105" s="28">
        <v>89.100000000000009</v>
      </c>
      <c r="I105" s="28">
        <v>89.100000000000009</v>
      </c>
      <c r="J105" s="748">
        <v>92</v>
      </c>
      <c r="K105" s="28"/>
      <c r="L105" s="28">
        <v>91.6</v>
      </c>
      <c r="M105" s="58">
        <f t="shared" si="39"/>
        <v>104.21052631578948</v>
      </c>
      <c r="N105" s="58">
        <f t="shared" si="40"/>
        <v>104.21052631578948</v>
      </c>
      <c r="O105" s="58">
        <f t="shared" si="41"/>
        <v>103.25476992143658</v>
      </c>
      <c r="P105" s="58">
        <f t="shared" si="42"/>
        <v>100</v>
      </c>
      <c r="Q105" s="58">
        <f t="shared" si="43"/>
        <v>99.565217391304344</v>
      </c>
      <c r="R105" s="3"/>
    </row>
    <row r="106" spans="1:18" ht="18.75" customHeight="1">
      <c r="A106" s="32">
        <v>2</v>
      </c>
      <c r="B106" s="46" t="s">
        <v>327</v>
      </c>
      <c r="C106" s="32" t="s">
        <v>76</v>
      </c>
      <c r="D106" s="29">
        <f t="shared" ref="D106:I106" si="48">D107+D108</f>
        <v>427.4</v>
      </c>
      <c r="E106" s="29">
        <f t="shared" si="48"/>
        <v>320</v>
      </c>
      <c r="F106" s="29">
        <f t="shared" si="48"/>
        <v>335</v>
      </c>
      <c r="G106" s="29">
        <v>110</v>
      </c>
      <c r="H106" s="29">
        <f t="shared" si="48"/>
        <v>124</v>
      </c>
      <c r="I106" s="29">
        <f t="shared" si="48"/>
        <v>207</v>
      </c>
      <c r="J106" s="743">
        <v>324</v>
      </c>
      <c r="K106" s="29">
        <f>K107+K108</f>
        <v>0</v>
      </c>
      <c r="L106" s="29">
        <v>92</v>
      </c>
      <c r="M106" s="58">
        <f t="shared" si="39"/>
        <v>64.6875</v>
      </c>
      <c r="N106" s="58">
        <f t="shared" si="40"/>
        <v>61.791044776119399</v>
      </c>
      <c r="O106" s="58">
        <f t="shared" si="41"/>
        <v>156.52173913043478</v>
      </c>
      <c r="P106" s="58">
        <f t="shared" si="42"/>
        <v>83.636363636363626</v>
      </c>
      <c r="Q106" s="58">
        <f t="shared" si="43"/>
        <v>28.39506172839506</v>
      </c>
      <c r="R106" s="3"/>
    </row>
    <row r="107" spans="1:18" ht="18.75" customHeight="1">
      <c r="A107" s="32"/>
      <c r="B107" s="48" t="s">
        <v>328</v>
      </c>
      <c r="C107" s="32" t="s">
        <v>76</v>
      </c>
      <c r="D107" s="29">
        <v>211.9</v>
      </c>
      <c r="E107" s="29">
        <v>210</v>
      </c>
      <c r="F107" s="29">
        <v>210</v>
      </c>
      <c r="G107" s="29">
        <v>68</v>
      </c>
      <c r="H107" s="29">
        <v>86.5</v>
      </c>
      <c r="I107" s="29">
        <v>137</v>
      </c>
      <c r="J107" s="743">
        <v>214</v>
      </c>
      <c r="K107" s="29"/>
      <c r="L107" s="29">
        <v>67</v>
      </c>
      <c r="M107" s="58">
        <f t="shared" si="39"/>
        <v>65.238095238095241</v>
      </c>
      <c r="N107" s="58">
        <f t="shared" si="40"/>
        <v>65.238095238095241</v>
      </c>
      <c r="O107" s="58">
        <f t="shared" si="41"/>
        <v>156.20437956204378</v>
      </c>
      <c r="P107" s="58">
        <f t="shared" si="42"/>
        <v>98.52941176470587</v>
      </c>
      <c r="Q107" s="58">
        <f t="shared" si="43"/>
        <v>31.308411214953271</v>
      </c>
      <c r="R107" s="3"/>
    </row>
    <row r="108" spans="1:18" ht="18.75" customHeight="1">
      <c r="A108" s="32"/>
      <c r="B108" s="48" t="s">
        <v>329</v>
      </c>
      <c r="C108" s="32" t="s">
        <v>76</v>
      </c>
      <c r="D108" s="29">
        <v>215.5</v>
      </c>
      <c r="E108" s="29">
        <v>110</v>
      </c>
      <c r="F108" s="29">
        <v>125</v>
      </c>
      <c r="G108" s="29">
        <v>42</v>
      </c>
      <c r="H108" s="29">
        <v>37.5</v>
      </c>
      <c r="I108" s="29">
        <v>70</v>
      </c>
      <c r="J108" s="743">
        <v>110</v>
      </c>
      <c r="K108" s="29"/>
      <c r="L108" s="29">
        <v>24</v>
      </c>
      <c r="M108" s="58">
        <f t="shared" si="39"/>
        <v>63.636363636363633</v>
      </c>
      <c r="N108" s="58">
        <f t="shared" si="40"/>
        <v>56</v>
      </c>
      <c r="O108" s="58">
        <f t="shared" si="41"/>
        <v>157.14285714285714</v>
      </c>
      <c r="P108" s="58">
        <f t="shared" si="42"/>
        <v>57.142857142857146</v>
      </c>
      <c r="Q108" s="58">
        <f t="shared" si="43"/>
        <v>21.818181818181817</v>
      </c>
      <c r="R108" s="3"/>
    </row>
    <row r="109" spans="1:18">
      <c r="A109" s="145" t="s">
        <v>50</v>
      </c>
      <c r="B109" s="146" t="s">
        <v>104</v>
      </c>
      <c r="C109" s="145"/>
      <c r="D109" s="13"/>
      <c r="E109" s="13"/>
      <c r="F109" s="13"/>
      <c r="G109" s="13"/>
      <c r="H109" s="13"/>
      <c r="I109" s="13"/>
      <c r="J109" s="750"/>
      <c r="K109" s="13"/>
      <c r="L109" s="13"/>
      <c r="M109" s="66" t="str">
        <f t="shared" si="39"/>
        <v/>
      </c>
      <c r="N109" s="66" t="str">
        <f t="shared" si="40"/>
        <v/>
      </c>
      <c r="O109" s="66" t="str">
        <f t="shared" si="41"/>
        <v/>
      </c>
      <c r="P109" s="66" t="str">
        <f t="shared" si="42"/>
        <v/>
      </c>
      <c r="Q109" s="66" t="str">
        <f t="shared" si="43"/>
        <v/>
      </c>
      <c r="R109" s="3"/>
    </row>
    <row r="110" spans="1:18" ht="19.5" customHeight="1">
      <c r="A110" s="147"/>
      <c r="B110" s="148" t="s">
        <v>330</v>
      </c>
      <c r="C110" s="32" t="s">
        <v>37</v>
      </c>
      <c r="D110" s="53">
        <v>500.3</v>
      </c>
      <c r="E110" s="53">
        <v>4</v>
      </c>
      <c r="F110" s="53"/>
      <c r="G110" s="53"/>
      <c r="H110" s="53"/>
      <c r="I110" s="53">
        <v>27</v>
      </c>
      <c r="J110" s="751">
        <v>300</v>
      </c>
      <c r="K110" s="53"/>
      <c r="L110" s="53"/>
      <c r="M110" s="58">
        <f t="shared" si="39"/>
        <v>675</v>
      </c>
      <c r="N110" s="58" t="str">
        <f t="shared" si="40"/>
        <v/>
      </c>
      <c r="O110" s="58">
        <f t="shared" si="41"/>
        <v>1111.1111111111111</v>
      </c>
      <c r="P110" s="58" t="str">
        <f t="shared" si="42"/>
        <v/>
      </c>
      <c r="Q110" s="58">
        <f t="shared" si="43"/>
        <v>0</v>
      </c>
      <c r="R110" s="3"/>
    </row>
    <row r="111" spans="1:18" ht="19.5" customHeight="1">
      <c r="A111" s="147"/>
      <c r="B111" s="46" t="s">
        <v>712</v>
      </c>
      <c r="C111" s="32" t="s">
        <v>37</v>
      </c>
      <c r="D111" s="53">
        <v>50870.31</v>
      </c>
      <c r="E111" s="53">
        <v>50870.31</v>
      </c>
      <c r="F111" s="53">
        <v>50870.31</v>
      </c>
      <c r="G111" s="53">
        <f>E111</f>
        <v>50870.31</v>
      </c>
      <c r="H111" s="53">
        <v>50870.31</v>
      </c>
      <c r="I111" s="53">
        <v>50870.31</v>
      </c>
      <c r="J111" s="751">
        <v>50870.31</v>
      </c>
      <c r="K111" s="53"/>
      <c r="L111" s="53">
        <f>J111</f>
        <v>50870.31</v>
      </c>
      <c r="M111" s="58">
        <f t="shared" si="39"/>
        <v>100</v>
      </c>
      <c r="N111" s="58">
        <f t="shared" si="40"/>
        <v>100</v>
      </c>
      <c r="O111" s="58">
        <f t="shared" si="41"/>
        <v>100</v>
      </c>
      <c r="P111" s="58">
        <f t="shared" si="42"/>
        <v>100</v>
      </c>
      <c r="Q111" s="58">
        <f t="shared" si="43"/>
        <v>100</v>
      </c>
      <c r="R111" s="3"/>
    </row>
    <row r="112" spans="1:18" ht="19.5" customHeight="1">
      <c r="A112" s="147"/>
      <c r="B112" s="46" t="s">
        <v>713</v>
      </c>
      <c r="C112" s="32" t="s">
        <v>37</v>
      </c>
      <c r="D112" s="53"/>
      <c r="E112" s="53">
        <v>15886.3</v>
      </c>
      <c r="F112" s="53">
        <v>15886</v>
      </c>
      <c r="G112" s="53">
        <v>15886</v>
      </c>
      <c r="H112" s="53">
        <v>15886</v>
      </c>
      <c r="I112" s="53">
        <v>15886</v>
      </c>
      <c r="J112" s="751">
        <v>15886</v>
      </c>
      <c r="K112" s="53"/>
      <c r="L112" s="53">
        <v>15886</v>
      </c>
      <c r="M112" s="58">
        <f t="shared" si="39"/>
        <v>99.998111580418353</v>
      </c>
      <c r="N112" s="58">
        <f t="shared" si="40"/>
        <v>99.999999999999986</v>
      </c>
      <c r="O112" s="58">
        <f t="shared" si="41"/>
        <v>99.999999999999986</v>
      </c>
      <c r="P112" s="58">
        <f t="shared" si="42"/>
        <v>99.999999999999986</v>
      </c>
      <c r="Q112" s="58">
        <f t="shared" si="43"/>
        <v>99.999999999999986</v>
      </c>
      <c r="R112" s="3"/>
    </row>
    <row r="113" spans="1:19" ht="19.5" customHeight="1">
      <c r="A113" s="147"/>
      <c r="B113" s="46" t="s">
        <v>1073</v>
      </c>
      <c r="C113" s="32" t="s">
        <v>37</v>
      </c>
      <c r="D113" s="53"/>
      <c r="E113" s="53">
        <v>15886.3</v>
      </c>
      <c r="F113" s="53">
        <v>15886</v>
      </c>
      <c r="G113" s="53">
        <v>1735</v>
      </c>
      <c r="H113" s="53">
        <v>15886</v>
      </c>
      <c r="I113" s="53">
        <v>15886</v>
      </c>
      <c r="J113" s="751">
        <v>0</v>
      </c>
      <c r="K113" s="53"/>
      <c r="L113" s="53">
        <v>1634</v>
      </c>
      <c r="M113" s="58">
        <f>IFERROR(I113/E113%,"")</f>
        <v>99.998111580418353</v>
      </c>
      <c r="N113" s="58">
        <f>IFERROR(I113/F113%,"")</f>
        <v>99.999999999999986</v>
      </c>
      <c r="O113" s="58">
        <f>IFERROR(J113/I113%,"")</f>
        <v>0</v>
      </c>
      <c r="P113" s="58">
        <f>IFERROR(L113/G113%,"")</f>
        <v>94.178674351585002</v>
      </c>
      <c r="Q113" s="58" t="str">
        <f>IFERROR(L113/J113%,"")</f>
        <v/>
      </c>
      <c r="R113" s="3"/>
    </row>
    <row r="114" spans="1:19" ht="19.5" customHeight="1">
      <c r="A114" s="147"/>
      <c r="B114" s="148" t="s">
        <v>711</v>
      </c>
      <c r="C114" s="32" t="s">
        <v>33</v>
      </c>
      <c r="D114" s="269">
        <v>31.37</v>
      </c>
      <c r="E114" s="288">
        <f>E112/50640%</f>
        <v>31.37105055292259</v>
      </c>
      <c r="F114" s="288">
        <f>F112/50640%</f>
        <v>31.370458135860982</v>
      </c>
      <c r="G114" s="288">
        <v>31.4</v>
      </c>
      <c r="H114" s="288">
        <f>H112/50640%</f>
        <v>31.370458135860982</v>
      </c>
      <c r="I114" s="288">
        <f>I112/50640%</f>
        <v>31.370458135860982</v>
      </c>
      <c r="J114" s="752">
        <v>47.34</v>
      </c>
      <c r="K114" s="288"/>
      <c r="L114" s="288"/>
      <c r="M114" s="58">
        <f t="shared" si="39"/>
        <v>99.998111580418353</v>
      </c>
      <c r="N114" s="58">
        <f t="shared" si="40"/>
        <v>99.999999999999986</v>
      </c>
      <c r="O114" s="58">
        <f t="shared" si="41"/>
        <v>150.90630744051364</v>
      </c>
      <c r="P114" s="58">
        <f t="shared" si="42"/>
        <v>0</v>
      </c>
      <c r="Q114" s="58">
        <f t="shared" si="43"/>
        <v>0</v>
      </c>
      <c r="R114" s="3"/>
    </row>
    <row r="115" spans="1:19" s="18" customFormat="1">
      <c r="A115" s="11" t="s">
        <v>176</v>
      </c>
      <c r="B115" s="54" t="s">
        <v>183</v>
      </c>
      <c r="C115" s="11"/>
      <c r="D115" s="149"/>
      <c r="E115" s="149"/>
      <c r="F115" s="149"/>
      <c r="G115" s="149"/>
      <c r="H115" s="149"/>
      <c r="I115" s="149"/>
      <c r="J115" s="753"/>
      <c r="K115" s="149"/>
      <c r="L115" s="149"/>
      <c r="M115" s="66" t="str">
        <f t="shared" ref="M115:M142" si="49">IFERROR(I115/E115%,"")</f>
        <v/>
      </c>
      <c r="N115" s="66" t="str">
        <f t="shared" ref="N115:N142" si="50">IFERROR(I115/F115%,"")</f>
        <v/>
      </c>
      <c r="O115" s="66" t="str">
        <f t="shared" ref="O115:O141" si="51">IFERROR(J115/I115%,"")</f>
        <v/>
      </c>
      <c r="P115" s="66" t="str">
        <f t="shared" ref="P115:P141" si="52">IFERROR(L115/G115%,"")</f>
        <v/>
      </c>
      <c r="Q115" s="66" t="str">
        <f t="shared" ref="Q115:Q141" si="53">IFERROR(L115/J115%,"")</f>
        <v/>
      </c>
      <c r="R115" s="66"/>
    </row>
    <row r="116" spans="1:19" ht="22.5" customHeight="1">
      <c r="A116" s="11">
        <v>1</v>
      </c>
      <c r="B116" s="54" t="s">
        <v>449</v>
      </c>
      <c r="C116" s="11" t="s">
        <v>331</v>
      </c>
      <c r="D116" s="27">
        <v>676693</v>
      </c>
      <c r="E116" s="27">
        <v>708000</v>
      </c>
      <c r="F116" s="27">
        <v>722000</v>
      </c>
      <c r="G116" s="27">
        <v>320000</v>
      </c>
      <c r="H116" s="27">
        <v>435000</v>
      </c>
      <c r="I116" s="27">
        <v>730000</v>
      </c>
      <c r="J116" s="744">
        <v>850000</v>
      </c>
      <c r="K116" s="27"/>
      <c r="L116" s="27">
        <v>340000</v>
      </c>
      <c r="M116" s="66">
        <f t="shared" si="49"/>
        <v>103.10734463276836</v>
      </c>
      <c r="N116" s="66">
        <f t="shared" si="50"/>
        <v>101.10803324099723</v>
      </c>
      <c r="O116" s="66">
        <f t="shared" si="51"/>
        <v>116.43835616438356</v>
      </c>
      <c r="P116" s="66">
        <f t="shared" si="52"/>
        <v>106.25</v>
      </c>
      <c r="Q116" s="66">
        <f t="shared" si="53"/>
        <v>40</v>
      </c>
      <c r="R116" s="83"/>
    </row>
    <row r="117" spans="1:19" ht="20.25" customHeight="1">
      <c r="A117" s="32">
        <v>2</v>
      </c>
      <c r="B117" s="20" t="s">
        <v>333</v>
      </c>
      <c r="C117" s="32"/>
      <c r="D117" s="13"/>
      <c r="E117" s="13"/>
      <c r="F117" s="13"/>
      <c r="G117" s="13"/>
      <c r="H117" s="149"/>
      <c r="I117" s="13"/>
      <c r="J117" s="750"/>
      <c r="K117" s="13"/>
      <c r="L117" s="13"/>
      <c r="M117" s="58" t="str">
        <f t="shared" si="49"/>
        <v/>
      </c>
      <c r="N117" s="58" t="str">
        <f t="shared" si="50"/>
        <v/>
      </c>
      <c r="O117" s="58" t="str">
        <f t="shared" si="51"/>
        <v/>
      </c>
      <c r="P117" s="58" t="str">
        <f t="shared" si="52"/>
        <v/>
      </c>
      <c r="Q117" s="58" t="str">
        <f t="shared" si="53"/>
        <v/>
      </c>
      <c r="R117" s="3"/>
    </row>
    <row r="118" spans="1:19" ht="20.25" customHeight="1">
      <c r="A118" s="32"/>
      <c r="B118" s="20" t="s">
        <v>1058</v>
      </c>
      <c r="C118" s="32" t="s">
        <v>65</v>
      </c>
      <c r="D118" s="29">
        <v>40</v>
      </c>
      <c r="E118" s="29">
        <v>42</v>
      </c>
      <c r="F118" s="29">
        <v>40</v>
      </c>
      <c r="G118" s="29">
        <v>60</v>
      </c>
      <c r="H118" s="29">
        <v>30</v>
      </c>
      <c r="I118" s="29">
        <v>38</v>
      </c>
      <c r="J118" s="743">
        <v>150</v>
      </c>
      <c r="K118" s="29"/>
      <c r="L118" s="29">
        <v>59</v>
      </c>
      <c r="M118" s="58">
        <f t="shared" si="49"/>
        <v>90.476190476190482</v>
      </c>
      <c r="N118" s="58">
        <f t="shared" si="50"/>
        <v>95</v>
      </c>
      <c r="O118" s="58">
        <f t="shared" si="51"/>
        <v>394.73684210526318</v>
      </c>
      <c r="P118" s="58">
        <f t="shared" si="52"/>
        <v>98.333333333333343</v>
      </c>
      <c r="Q118" s="58">
        <f t="shared" si="53"/>
        <v>39.333333333333336</v>
      </c>
      <c r="R118" s="3"/>
    </row>
    <row r="119" spans="1:19" ht="20.25" customHeight="1">
      <c r="A119" s="32"/>
      <c r="B119" s="20" t="s">
        <v>335</v>
      </c>
      <c r="C119" s="32" t="s">
        <v>76</v>
      </c>
      <c r="D119" s="29">
        <v>57219</v>
      </c>
      <c r="E119" s="29">
        <v>60000</v>
      </c>
      <c r="F119" s="29">
        <v>55000</v>
      </c>
      <c r="G119" s="29">
        <v>15500</v>
      </c>
      <c r="H119" s="29">
        <v>31000</v>
      </c>
      <c r="I119" s="29">
        <v>55300</v>
      </c>
      <c r="J119" s="743">
        <v>52000</v>
      </c>
      <c r="K119" s="29"/>
      <c r="L119" s="29">
        <v>18000</v>
      </c>
      <c r="M119" s="58">
        <f t="shared" si="49"/>
        <v>92.166666666666671</v>
      </c>
      <c r="N119" s="58">
        <f t="shared" si="50"/>
        <v>100.54545454545455</v>
      </c>
      <c r="O119" s="58">
        <f t="shared" si="51"/>
        <v>94.032549728752258</v>
      </c>
      <c r="P119" s="58">
        <f t="shared" si="52"/>
        <v>116.12903225806451</v>
      </c>
      <c r="Q119" s="58">
        <f t="shared" si="53"/>
        <v>34.615384615384613</v>
      </c>
      <c r="R119" s="3"/>
    </row>
    <row r="120" spans="1:19" ht="20.25" customHeight="1">
      <c r="A120" s="32"/>
      <c r="B120" s="20" t="s">
        <v>336</v>
      </c>
      <c r="C120" s="32" t="s">
        <v>76</v>
      </c>
      <c r="D120" s="29">
        <v>12363</v>
      </c>
      <c r="E120" s="29">
        <v>13000</v>
      </c>
      <c r="F120" s="29">
        <v>12000</v>
      </c>
      <c r="G120" s="29">
        <v>4500</v>
      </c>
      <c r="H120" s="29">
        <v>4950</v>
      </c>
      <c r="I120" s="29">
        <v>12125</v>
      </c>
      <c r="J120" s="743">
        <v>10000</v>
      </c>
      <c r="K120" s="29"/>
      <c r="L120" s="29">
        <v>4200</v>
      </c>
      <c r="M120" s="58">
        <f t="shared" si="49"/>
        <v>93.269230769230774</v>
      </c>
      <c r="N120" s="58">
        <f t="shared" si="50"/>
        <v>101.04166666666667</v>
      </c>
      <c r="O120" s="58">
        <f t="shared" si="51"/>
        <v>82.474226804123717</v>
      </c>
      <c r="P120" s="58">
        <f t="shared" si="52"/>
        <v>93.333333333333329</v>
      </c>
      <c r="Q120" s="58">
        <f t="shared" si="53"/>
        <v>42</v>
      </c>
      <c r="R120" s="3"/>
    </row>
    <row r="121" spans="1:19" ht="20.25" customHeight="1">
      <c r="A121" s="32"/>
      <c r="B121" s="20" t="s">
        <v>991</v>
      </c>
      <c r="C121" s="32" t="s">
        <v>466</v>
      </c>
      <c r="D121" s="29">
        <v>39713</v>
      </c>
      <c r="E121" s="29">
        <v>41000</v>
      </c>
      <c r="F121" s="29">
        <v>60000</v>
      </c>
      <c r="G121" s="29">
        <v>60000</v>
      </c>
      <c r="H121" s="29">
        <v>47180</v>
      </c>
      <c r="I121" s="29">
        <v>67350</v>
      </c>
      <c r="J121" s="743">
        <v>90000</v>
      </c>
      <c r="K121" s="29"/>
      <c r="L121" s="29">
        <v>61000</v>
      </c>
      <c r="M121" s="58">
        <f t="shared" si="49"/>
        <v>164.26829268292684</v>
      </c>
      <c r="N121" s="58">
        <f t="shared" si="50"/>
        <v>112.25</v>
      </c>
      <c r="O121" s="58">
        <f t="shared" si="51"/>
        <v>133.630289532294</v>
      </c>
      <c r="P121" s="58">
        <f t="shared" si="52"/>
        <v>101.66666666666667</v>
      </c>
      <c r="Q121" s="58">
        <f t="shared" si="53"/>
        <v>67.777777777777771</v>
      </c>
      <c r="R121" s="3"/>
    </row>
    <row r="122" spans="1:19" s="18" customFormat="1" ht="17.25" customHeight="1">
      <c r="A122" s="11" t="s">
        <v>182</v>
      </c>
      <c r="B122" s="15" t="s">
        <v>450</v>
      </c>
      <c r="C122" s="11"/>
      <c r="D122" s="29"/>
      <c r="E122" s="29"/>
      <c r="F122" s="29"/>
      <c r="G122" s="29"/>
      <c r="H122" s="29"/>
      <c r="I122" s="29"/>
      <c r="J122" s="743"/>
      <c r="K122" s="29"/>
      <c r="L122" s="29"/>
      <c r="M122" s="66" t="str">
        <f t="shared" si="49"/>
        <v/>
      </c>
      <c r="N122" s="66" t="str">
        <f t="shared" si="50"/>
        <v/>
      </c>
      <c r="O122" s="66" t="str">
        <f t="shared" si="51"/>
        <v/>
      </c>
      <c r="P122" s="66" t="str">
        <f t="shared" si="52"/>
        <v/>
      </c>
      <c r="Q122" s="66" t="str">
        <f t="shared" si="53"/>
        <v/>
      </c>
      <c r="R122" s="66"/>
    </row>
    <row r="123" spans="1:19" ht="22.5" customHeight="1">
      <c r="A123" s="32">
        <v>1</v>
      </c>
      <c r="B123" s="20" t="s">
        <v>184</v>
      </c>
      <c r="C123" s="32" t="s">
        <v>331</v>
      </c>
      <c r="D123" s="29">
        <v>560310</v>
      </c>
      <c r="E123" s="29">
        <v>595000</v>
      </c>
      <c r="F123" s="29">
        <v>696000</v>
      </c>
      <c r="G123" s="29">
        <v>310800</v>
      </c>
      <c r="H123" s="29">
        <v>450000</v>
      </c>
      <c r="I123" s="29">
        <v>698000</v>
      </c>
      <c r="J123" s="743">
        <v>900000</v>
      </c>
      <c r="K123" s="29"/>
      <c r="L123" s="29">
        <v>320000</v>
      </c>
      <c r="M123" s="58">
        <f t="shared" si="49"/>
        <v>117.31092436974789</v>
      </c>
      <c r="N123" s="58">
        <f t="shared" si="50"/>
        <v>100.28735632183908</v>
      </c>
      <c r="O123" s="58">
        <f t="shared" si="51"/>
        <v>128.93982808022923</v>
      </c>
      <c r="P123" s="58">
        <f t="shared" si="52"/>
        <v>102.96010296010296</v>
      </c>
      <c r="Q123" s="58">
        <f t="shared" si="53"/>
        <v>35.555555555555557</v>
      </c>
      <c r="R123" s="3"/>
      <c r="S123" s="77"/>
    </row>
    <row r="124" spans="1:19" ht="19.5" customHeight="1">
      <c r="A124" s="32"/>
      <c r="B124" s="12" t="s">
        <v>454</v>
      </c>
      <c r="C124" s="32"/>
      <c r="D124" s="13"/>
      <c r="E124" s="13"/>
      <c r="F124" s="13"/>
      <c r="G124" s="13"/>
      <c r="H124" s="13"/>
      <c r="I124" s="13"/>
      <c r="J124" s="750"/>
      <c r="K124" s="13"/>
      <c r="L124" s="13"/>
      <c r="M124" s="66" t="str">
        <f t="shared" si="49"/>
        <v/>
      </c>
      <c r="N124" s="66" t="str">
        <f t="shared" si="50"/>
        <v/>
      </c>
      <c r="O124" s="66" t="str">
        <f t="shared" si="51"/>
        <v/>
      </c>
      <c r="P124" s="66" t="str">
        <f t="shared" si="52"/>
        <v/>
      </c>
      <c r="Q124" s="66" t="str">
        <f t="shared" si="53"/>
        <v/>
      </c>
      <c r="R124" s="3"/>
    </row>
    <row r="125" spans="1:19" s="18" customFormat="1" ht="22.5" customHeight="1">
      <c r="A125" s="11" t="s">
        <v>38</v>
      </c>
      <c r="B125" s="15" t="s">
        <v>352</v>
      </c>
      <c r="C125" s="11"/>
      <c r="D125" s="149"/>
      <c r="E125" s="149"/>
      <c r="F125" s="149"/>
      <c r="G125" s="149"/>
      <c r="H125" s="149"/>
      <c r="I125" s="149"/>
      <c r="J125" s="753"/>
      <c r="K125" s="149"/>
      <c r="L125" s="149"/>
      <c r="M125" s="66" t="str">
        <f t="shared" si="49"/>
        <v/>
      </c>
      <c r="N125" s="66" t="str">
        <f t="shared" si="50"/>
        <v/>
      </c>
      <c r="O125" s="66" t="str">
        <f t="shared" si="51"/>
        <v/>
      </c>
      <c r="P125" s="66" t="str">
        <f t="shared" si="52"/>
        <v/>
      </c>
      <c r="Q125" s="66" t="str">
        <f t="shared" si="53"/>
        <v/>
      </c>
      <c r="R125" s="83"/>
    </row>
    <row r="126" spans="1:19" ht="22.5" hidden="1" customHeight="1" outlineLevel="1">
      <c r="A126" s="32">
        <v>1</v>
      </c>
      <c r="B126" s="20" t="s">
        <v>353</v>
      </c>
      <c r="C126" s="32" t="s">
        <v>62</v>
      </c>
      <c r="D126" s="29">
        <v>10520</v>
      </c>
      <c r="E126" s="29">
        <f>D127</f>
        <v>10685</v>
      </c>
      <c r="F126" s="29">
        <f>E127</f>
        <v>11308</v>
      </c>
      <c r="G126" s="29"/>
      <c r="H126" s="29">
        <f>E127</f>
        <v>11308</v>
      </c>
      <c r="I126" s="29">
        <f>F126</f>
        <v>11308</v>
      </c>
      <c r="J126" s="743">
        <f>I127</f>
        <v>11350</v>
      </c>
      <c r="K126" s="29"/>
      <c r="L126" s="29"/>
      <c r="M126" s="58">
        <f t="shared" si="49"/>
        <v>105.83060364997661</v>
      </c>
      <c r="N126" s="58">
        <f t="shared" si="50"/>
        <v>100</v>
      </c>
      <c r="O126" s="58">
        <f t="shared" si="51"/>
        <v>100.37141846480368</v>
      </c>
      <c r="P126" s="58" t="str">
        <f t="shared" si="52"/>
        <v/>
      </c>
      <c r="Q126" s="58">
        <f t="shared" si="53"/>
        <v>0</v>
      </c>
      <c r="R126" s="3"/>
      <c r="S126" s="77"/>
    </row>
    <row r="127" spans="1:19" ht="22.5" hidden="1" customHeight="1" outlineLevel="1">
      <c r="A127" s="32">
        <v>2</v>
      </c>
      <c r="B127" s="20" t="s">
        <v>207</v>
      </c>
      <c r="C127" s="32" t="s">
        <v>62</v>
      </c>
      <c r="D127" s="29">
        <v>10685</v>
      </c>
      <c r="E127" s="29">
        <v>11308</v>
      </c>
      <c r="F127" s="29">
        <f>F126+630</f>
        <v>11938</v>
      </c>
      <c r="G127" s="29"/>
      <c r="H127" s="29">
        <f>H126+420</f>
        <v>11728</v>
      </c>
      <c r="I127" s="29">
        <v>11350</v>
      </c>
      <c r="J127" s="743">
        <v>11650</v>
      </c>
      <c r="K127" s="29"/>
      <c r="L127" s="29"/>
      <c r="M127" s="58">
        <f t="shared" si="49"/>
        <v>100.37141846480368</v>
      </c>
      <c r="N127" s="58">
        <f>IFERROR(I127/F127%,"")</f>
        <v>95.074551851231362</v>
      </c>
      <c r="O127" s="58">
        <f t="shared" si="51"/>
        <v>102.6431718061674</v>
      </c>
      <c r="P127" s="58" t="str">
        <f t="shared" si="52"/>
        <v/>
      </c>
      <c r="Q127" s="58">
        <f t="shared" si="53"/>
        <v>0</v>
      </c>
      <c r="R127" s="3"/>
      <c r="S127" s="77"/>
    </row>
    <row r="128" spans="1:19" ht="22.5" customHeight="1" collapsed="1">
      <c r="A128" s="32">
        <v>1</v>
      </c>
      <c r="B128" s="20" t="s">
        <v>131</v>
      </c>
      <c r="C128" s="32" t="s">
        <v>73</v>
      </c>
      <c r="D128" s="29">
        <v>44006</v>
      </c>
      <c r="E128" s="29">
        <f>D129</f>
        <v>45290</v>
      </c>
      <c r="F128" s="29">
        <f>E129</f>
        <v>46365</v>
      </c>
      <c r="G128" s="29"/>
      <c r="H128" s="29">
        <f>E129</f>
        <v>46365</v>
      </c>
      <c r="I128" s="29">
        <f>E129</f>
        <v>46365</v>
      </c>
      <c r="J128" s="743">
        <v>49394</v>
      </c>
      <c r="K128" s="29"/>
      <c r="L128" s="29"/>
      <c r="M128" s="58">
        <f t="shared" si="49"/>
        <v>102.37359240450431</v>
      </c>
      <c r="N128" s="58">
        <f t="shared" si="50"/>
        <v>100</v>
      </c>
      <c r="O128" s="58">
        <f t="shared" si="51"/>
        <v>106.53294510945757</v>
      </c>
      <c r="P128" s="58" t="str">
        <f t="shared" si="52"/>
        <v/>
      </c>
      <c r="Q128" s="58">
        <f t="shared" si="53"/>
        <v>0</v>
      </c>
      <c r="R128" s="3"/>
      <c r="S128" s="77"/>
    </row>
    <row r="129" spans="1:21" ht="22.5" customHeight="1">
      <c r="A129" s="32">
        <v>2</v>
      </c>
      <c r="B129" s="20" t="s">
        <v>132</v>
      </c>
      <c r="C129" s="32" t="s">
        <v>73</v>
      </c>
      <c r="D129" s="29">
        <v>45290</v>
      </c>
      <c r="E129" s="29">
        <v>46365</v>
      </c>
      <c r="F129" s="29">
        <v>47500</v>
      </c>
      <c r="G129" s="29"/>
      <c r="H129" s="29">
        <f>H128+757</f>
        <v>47122</v>
      </c>
      <c r="I129" s="29">
        <v>47571</v>
      </c>
      <c r="J129" s="743">
        <v>50606</v>
      </c>
      <c r="K129" s="29"/>
      <c r="L129" s="29"/>
      <c r="M129" s="58">
        <f t="shared" si="49"/>
        <v>102.60109996764801</v>
      </c>
      <c r="N129" s="58">
        <f t="shared" si="50"/>
        <v>100.14947368421052</v>
      </c>
      <c r="O129" s="58">
        <f t="shared" si="51"/>
        <v>106.37993735679301</v>
      </c>
      <c r="P129" s="58" t="str">
        <f t="shared" si="52"/>
        <v/>
      </c>
      <c r="Q129" s="58">
        <f t="shared" si="53"/>
        <v>0</v>
      </c>
      <c r="R129" s="3"/>
      <c r="S129" s="77"/>
      <c r="U129" s="616"/>
    </row>
    <row r="130" spans="1:21" ht="22.5" customHeight="1">
      <c r="A130" s="32">
        <v>3</v>
      </c>
      <c r="B130" s="20" t="s">
        <v>339</v>
      </c>
      <c r="C130" s="32" t="s">
        <v>73</v>
      </c>
      <c r="D130" s="29">
        <f t="shared" ref="D130:I130" si="54">(D128+D129)/2</f>
        <v>44648</v>
      </c>
      <c r="E130" s="29">
        <f t="shared" si="54"/>
        <v>45827.5</v>
      </c>
      <c r="F130" s="29">
        <f t="shared" si="54"/>
        <v>46932.5</v>
      </c>
      <c r="G130" s="29"/>
      <c r="H130" s="29">
        <f t="shared" si="54"/>
        <v>46743.5</v>
      </c>
      <c r="I130" s="29">
        <f t="shared" si="54"/>
        <v>46968</v>
      </c>
      <c r="J130" s="743">
        <v>50000</v>
      </c>
      <c r="K130" s="29"/>
      <c r="L130" s="29"/>
      <c r="M130" s="58">
        <f t="shared" si="49"/>
        <v>102.48868037750259</v>
      </c>
      <c r="N130" s="58">
        <f t="shared" si="50"/>
        <v>100.07564054759496</v>
      </c>
      <c r="O130" s="58">
        <f t="shared" si="51"/>
        <v>106.45545903593936</v>
      </c>
      <c r="P130" s="58" t="str">
        <f t="shared" si="52"/>
        <v/>
      </c>
      <c r="Q130" s="58">
        <f>IFERROR(L130/J130%,"")</f>
        <v>0</v>
      </c>
      <c r="R130" s="3"/>
      <c r="S130" s="77"/>
    </row>
    <row r="131" spans="1:21" ht="22.5" customHeight="1">
      <c r="A131" s="32">
        <v>4</v>
      </c>
      <c r="B131" s="48" t="s">
        <v>392</v>
      </c>
      <c r="C131" s="21" t="s">
        <v>170</v>
      </c>
      <c r="D131" s="74">
        <v>22.62</v>
      </c>
      <c r="E131" s="74">
        <v>22.92</v>
      </c>
      <c r="F131" s="74">
        <v>22</v>
      </c>
      <c r="G131" s="74"/>
      <c r="H131" s="74">
        <v>22</v>
      </c>
      <c r="I131" s="74">
        <v>22</v>
      </c>
      <c r="J131" s="754">
        <v>1.8</v>
      </c>
      <c r="K131" s="74"/>
      <c r="L131" s="74"/>
      <c r="M131" s="58">
        <f t="shared" si="49"/>
        <v>95.986038394415345</v>
      </c>
      <c r="N131" s="58">
        <f t="shared" si="50"/>
        <v>100</v>
      </c>
      <c r="O131" s="58">
        <f t="shared" si="51"/>
        <v>8.1818181818181817</v>
      </c>
      <c r="P131" s="58" t="str">
        <f t="shared" si="52"/>
        <v/>
      </c>
      <c r="Q131" s="58">
        <f t="shared" si="53"/>
        <v>0</v>
      </c>
      <c r="R131" s="3"/>
    </row>
    <row r="132" spans="1:21" s="18" customFormat="1" ht="21" customHeight="1">
      <c r="A132" s="11" t="s">
        <v>39</v>
      </c>
      <c r="B132" s="15" t="s">
        <v>163</v>
      </c>
      <c r="C132" s="11"/>
      <c r="D132" s="57"/>
      <c r="E132" s="57"/>
      <c r="F132" s="57"/>
      <c r="G132" s="57"/>
      <c r="H132" s="57"/>
      <c r="I132" s="57"/>
      <c r="J132" s="755"/>
      <c r="K132" s="57"/>
      <c r="L132" s="57"/>
      <c r="M132" s="66" t="str">
        <f t="shared" si="49"/>
        <v/>
      </c>
      <c r="N132" s="66" t="str">
        <f t="shared" si="50"/>
        <v/>
      </c>
      <c r="O132" s="66" t="str">
        <f t="shared" si="51"/>
        <v/>
      </c>
      <c r="P132" s="66" t="str">
        <f t="shared" si="52"/>
        <v/>
      </c>
      <c r="Q132" s="66" t="str">
        <f t="shared" si="53"/>
        <v/>
      </c>
      <c r="R132" s="83"/>
    </row>
    <row r="133" spans="1:21" ht="21" customHeight="1">
      <c r="A133" s="32">
        <v>1</v>
      </c>
      <c r="B133" s="20" t="s">
        <v>393</v>
      </c>
      <c r="C133" s="32" t="s">
        <v>33</v>
      </c>
      <c r="D133" s="58">
        <v>42.86</v>
      </c>
      <c r="E133" s="58">
        <v>43</v>
      </c>
      <c r="F133" s="58">
        <v>44</v>
      </c>
      <c r="G133" s="58"/>
      <c r="H133" s="58">
        <v>43</v>
      </c>
      <c r="I133" s="58">
        <f>F133</f>
        <v>44</v>
      </c>
      <c r="J133" s="747">
        <v>45.5</v>
      </c>
      <c r="K133" s="58"/>
      <c r="L133" s="58"/>
      <c r="M133" s="58">
        <f t="shared" si="49"/>
        <v>102.32558139534883</v>
      </c>
      <c r="N133" s="58">
        <f t="shared" si="50"/>
        <v>100</v>
      </c>
      <c r="O133" s="58">
        <f t="shared" si="51"/>
        <v>103.40909090909091</v>
      </c>
      <c r="P133" s="58" t="str">
        <f t="shared" si="52"/>
        <v/>
      </c>
      <c r="Q133" s="58">
        <f t="shared" si="53"/>
        <v>0</v>
      </c>
      <c r="R133" s="3"/>
    </row>
    <row r="134" spans="1:21" ht="21" customHeight="1">
      <c r="A134" s="32"/>
      <c r="B134" s="20" t="s">
        <v>394</v>
      </c>
      <c r="C134" s="32" t="s">
        <v>33</v>
      </c>
      <c r="D134" s="58">
        <v>32</v>
      </c>
      <c r="E134" s="58">
        <v>35</v>
      </c>
      <c r="F134" s="58">
        <v>36</v>
      </c>
      <c r="G134" s="58"/>
      <c r="H134" s="58">
        <v>35</v>
      </c>
      <c r="I134" s="58">
        <f>F134</f>
        <v>36</v>
      </c>
      <c r="J134" s="747"/>
      <c r="K134" s="58"/>
      <c r="L134" s="58"/>
      <c r="M134" s="58">
        <f t="shared" si="49"/>
        <v>102.85714285714286</v>
      </c>
      <c r="N134" s="58">
        <f t="shared" si="50"/>
        <v>100</v>
      </c>
      <c r="O134" s="58">
        <f t="shared" si="51"/>
        <v>0</v>
      </c>
      <c r="P134" s="58" t="str">
        <f t="shared" si="52"/>
        <v/>
      </c>
      <c r="Q134" s="58" t="str">
        <f t="shared" si="53"/>
        <v/>
      </c>
      <c r="R134" s="3"/>
    </row>
    <row r="135" spans="1:21" ht="47.25">
      <c r="A135" s="32">
        <v>2</v>
      </c>
      <c r="B135" s="20" t="s">
        <v>357</v>
      </c>
      <c r="C135" s="32" t="s">
        <v>120</v>
      </c>
      <c r="D135" s="59">
        <f>174+50</f>
        <v>224</v>
      </c>
      <c r="E135" s="59">
        <v>175</v>
      </c>
      <c r="F135" s="59">
        <v>250</v>
      </c>
      <c r="G135" s="59">
        <v>138</v>
      </c>
      <c r="H135" s="59">
        <v>305</v>
      </c>
      <c r="I135" s="59">
        <v>290</v>
      </c>
      <c r="J135" s="746">
        <v>270</v>
      </c>
      <c r="K135" s="59"/>
      <c r="L135" s="59"/>
      <c r="M135" s="58">
        <f t="shared" si="49"/>
        <v>165.71428571428572</v>
      </c>
      <c r="N135" s="58">
        <f t="shared" si="50"/>
        <v>116</v>
      </c>
      <c r="O135" s="58">
        <f t="shared" si="51"/>
        <v>93.103448275862078</v>
      </c>
      <c r="P135" s="58">
        <f t="shared" si="52"/>
        <v>0</v>
      </c>
      <c r="Q135" s="58">
        <f t="shared" si="53"/>
        <v>0</v>
      </c>
      <c r="R135" s="3"/>
    </row>
    <row r="136" spans="1:21" ht="30.75" customHeight="1">
      <c r="A136" s="32"/>
      <c r="B136" s="20" t="s">
        <v>396</v>
      </c>
      <c r="C136" s="32" t="s">
        <v>397</v>
      </c>
      <c r="D136" s="20">
        <v>111</v>
      </c>
      <c r="E136" s="20">
        <v>115</v>
      </c>
      <c r="F136" s="20">
        <v>120</v>
      </c>
      <c r="G136" s="20"/>
      <c r="H136" s="20">
        <v>115</v>
      </c>
      <c r="I136" s="59">
        <f>F136</f>
        <v>120</v>
      </c>
      <c r="J136" s="756"/>
      <c r="K136" s="20"/>
      <c r="L136" s="20"/>
      <c r="M136" s="58">
        <f t="shared" si="49"/>
        <v>104.34782608695653</v>
      </c>
      <c r="N136" s="58">
        <f t="shared" si="50"/>
        <v>100</v>
      </c>
      <c r="O136" s="58">
        <f t="shared" si="51"/>
        <v>0</v>
      </c>
      <c r="P136" s="58" t="str">
        <f t="shared" si="52"/>
        <v/>
      </c>
      <c r="Q136" s="58" t="str">
        <f t="shared" si="53"/>
        <v/>
      </c>
      <c r="R136" s="3"/>
    </row>
    <row r="137" spans="1:21" ht="21" customHeight="1">
      <c r="A137" s="11" t="s">
        <v>47</v>
      </c>
      <c r="B137" s="15" t="s">
        <v>288</v>
      </c>
      <c r="C137" s="32"/>
      <c r="D137" s="59"/>
      <c r="E137" s="59"/>
      <c r="F137" s="59"/>
      <c r="G137" s="59"/>
      <c r="H137" s="59"/>
      <c r="I137" s="59"/>
      <c r="J137" s="746"/>
      <c r="K137" s="59"/>
      <c r="L137" s="59"/>
      <c r="M137" s="66" t="str">
        <f t="shared" si="49"/>
        <v/>
      </c>
      <c r="N137" s="66" t="str">
        <f t="shared" si="50"/>
        <v/>
      </c>
      <c r="O137" s="66" t="str">
        <f t="shared" si="51"/>
        <v/>
      </c>
      <c r="P137" s="66" t="str">
        <f t="shared" si="52"/>
        <v/>
      </c>
      <c r="Q137" s="66" t="str">
        <f t="shared" si="53"/>
        <v/>
      </c>
      <c r="R137" s="3"/>
    </row>
    <row r="138" spans="1:21" ht="29.25" customHeight="1">
      <c r="A138" s="60">
        <v>1</v>
      </c>
      <c r="B138" s="61" t="s">
        <v>355</v>
      </c>
      <c r="C138" s="32" t="s">
        <v>33</v>
      </c>
      <c r="D138" s="67" t="s">
        <v>358</v>
      </c>
      <c r="E138" s="88">
        <f>D139-E139</f>
        <v>3.1799999999999997</v>
      </c>
      <c r="F138" s="88">
        <v>3</v>
      </c>
      <c r="G138" s="88"/>
      <c r="H138" s="67"/>
      <c r="I138" s="67">
        <v>2.14</v>
      </c>
      <c r="J138" s="763" t="s">
        <v>388</v>
      </c>
      <c r="K138" s="88"/>
      <c r="L138" s="88"/>
      <c r="M138" s="58">
        <f t="shared" si="49"/>
        <v>67.29559748427674</v>
      </c>
      <c r="N138" s="58">
        <f t="shared" si="50"/>
        <v>71.333333333333343</v>
      </c>
      <c r="O138" s="58" t="str">
        <f t="shared" si="51"/>
        <v/>
      </c>
      <c r="P138" s="58" t="str">
        <f t="shared" si="52"/>
        <v/>
      </c>
      <c r="Q138" s="58" t="str">
        <f t="shared" si="53"/>
        <v/>
      </c>
      <c r="R138" s="3"/>
    </row>
    <row r="139" spans="1:21" ht="21" customHeight="1">
      <c r="A139" s="60">
        <v>2</v>
      </c>
      <c r="B139" s="61" t="s">
        <v>395</v>
      </c>
      <c r="C139" s="32" t="s">
        <v>33</v>
      </c>
      <c r="D139" s="80">
        <v>17.32</v>
      </c>
      <c r="E139" s="80">
        <v>14.14</v>
      </c>
      <c r="F139" s="80">
        <f>E139-3</f>
        <v>11.14</v>
      </c>
      <c r="G139" s="80"/>
      <c r="H139" s="80"/>
      <c r="I139" s="80">
        <f>E139-I138</f>
        <v>12</v>
      </c>
      <c r="J139" s="757"/>
      <c r="K139" s="80"/>
      <c r="L139" s="80"/>
      <c r="M139" s="58">
        <f t="shared" si="49"/>
        <v>84.865629420084872</v>
      </c>
      <c r="N139" s="58">
        <f t="shared" si="50"/>
        <v>107.71992818671454</v>
      </c>
      <c r="O139" s="58">
        <f t="shared" si="51"/>
        <v>0</v>
      </c>
      <c r="P139" s="58" t="str">
        <f t="shared" si="52"/>
        <v/>
      </c>
      <c r="Q139" s="58" t="str">
        <f t="shared" si="53"/>
        <v/>
      </c>
      <c r="R139" s="3"/>
      <c r="S139" s="89"/>
    </row>
    <row r="140" spans="1:21" s="18" customFormat="1" ht="20.25" customHeight="1">
      <c r="A140" s="11" t="s">
        <v>48</v>
      </c>
      <c r="B140" s="15" t="s">
        <v>6</v>
      </c>
      <c r="C140" s="11"/>
      <c r="D140" s="149"/>
      <c r="E140" s="149"/>
      <c r="F140" s="149"/>
      <c r="G140" s="149"/>
      <c r="H140" s="149"/>
      <c r="I140" s="149"/>
      <c r="J140" s="753"/>
      <c r="K140" s="149"/>
      <c r="L140" s="149"/>
      <c r="M140" s="66" t="str">
        <f t="shared" si="49"/>
        <v/>
      </c>
      <c r="N140" s="66" t="str">
        <f t="shared" si="50"/>
        <v/>
      </c>
      <c r="O140" s="66" t="str">
        <f t="shared" si="51"/>
        <v/>
      </c>
      <c r="P140" s="66" t="str">
        <f t="shared" si="52"/>
        <v/>
      </c>
      <c r="Q140" s="66" t="str">
        <f t="shared" si="53"/>
        <v/>
      </c>
      <c r="R140" s="83"/>
    </row>
    <row r="141" spans="1:21" ht="23.25" customHeight="1">
      <c r="A141" s="32">
        <v>1</v>
      </c>
      <c r="B141" s="20" t="s">
        <v>389</v>
      </c>
      <c r="C141" s="32" t="s">
        <v>8</v>
      </c>
      <c r="D141" s="29">
        <f>SUM(D142:D149)</f>
        <v>13999</v>
      </c>
      <c r="E141" s="29">
        <f>SUM(E142:E149)</f>
        <v>14102</v>
      </c>
      <c r="F141" s="29">
        <f t="shared" ref="F141:L141" si="55">F142+F147+F148+F149</f>
        <v>14530</v>
      </c>
      <c r="G141" s="29">
        <f t="shared" si="55"/>
        <v>14163</v>
      </c>
      <c r="H141" s="29">
        <f t="shared" si="55"/>
        <v>14536</v>
      </c>
      <c r="I141" s="29">
        <f t="shared" si="55"/>
        <v>14495</v>
      </c>
      <c r="J141" s="743">
        <f t="shared" si="55"/>
        <v>14805</v>
      </c>
      <c r="K141" s="29">
        <f t="shared" si="55"/>
        <v>0</v>
      </c>
      <c r="L141" s="29">
        <f t="shared" si="55"/>
        <v>14646</v>
      </c>
      <c r="M141" s="58">
        <f t="shared" si="49"/>
        <v>102.78683874627711</v>
      </c>
      <c r="N141" s="58">
        <f t="shared" si="50"/>
        <v>99.759119064005503</v>
      </c>
      <c r="O141" s="58">
        <f t="shared" si="51"/>
        <v>102.13866850638152</v>
      </c>
      <c r="P141" s="58">
        <f t="shared" si="52"/>
        <v>103.41029442914638</v>
      </c>
      <c r="Q141" s="58">
        <f t="shared" si="53"/>
        <v>98.926038500506579</v>
      </c>
      <c r="R141" s="3"/>
    </row>
    <row r="142" spans="1:21" ht="21" customHeight="1">
      <c r="A142" s="32" t="s">
        <v>34</v>
      </c>
      <c r="B142" s="20" t="s">
        <v>188</v>
      </c>
      <c r="C142" s="32" t="s">
        <v>8</v>
      </c>
      <c r="D142" s="151">
        <v>4325</v>
      </c>
      <c r="E142" s="151">
        <v>4401</v>
      </c>
      <c r="F142" s="151">
        <f t="shared" ref="F142:L142" si="56">F143+F145</f>
        <v>4430</v>
      </c>
      <c r="G142" s="151">
        <f t="shared" si="56"/>
        <v>4199</v>
      </c>
      <c r="H142" s="151">
        <f t="shared" si="56"/>
        <v>4480</v>
      </c>
      <c r="I142" s="151">
        <f t="shared" si="56"/>
        <v>4476</v>
      </c>
      <c r="J142" s="758">
        <f t="shared" si="56"/>
        <v>4423</v>
      </c>
      <c r="K142" s="151">
        <f t="shared" si="56"/>
        <v>0</v>
      </c>
      <c r="L142" s="151">
        <f t="shared" si="56"/>
        <v>4236</v>
      </c>
      <c r="M142" s="58">
        <f t="shared" si="49"/>
        <v>101.70415814587594</v>
      </c>
      <c r="N142" s="58">
        <f t="shared" si="50"/>
        <v>101.03837471783297</v>
      </c>
      <c r="O142" s="58">
        <f t="shared" ref="O142:O148" si="57">IFERROR(J142/I142%,"")</f>
        <v>98.815907059874888</v>
      </c>
      <c r="P142" s="58">
        <f t="shared" ref="P142:P148" si="58">IFERROR(L142/G142%,"")</f>
        <v>100.88116218147178</v>
      </c>
      <c r="Q142" s="58">
        <f t="shared" ref="Q142:Q148" si="59">IFERROR(L142/J142%,"")</f>
        <v>95.772100384354516</v>
      </c>
      <c r="R142" s="3"/>
      <c r="S142" s="81"/>
    </row>
    <row r="143" spans="1:21" s="42" customFormat="1" ht="21" customHeight="1">
      <c r="A143" s="39" t="s">
        <v>557</v>
      </c>
      <c r="B143" s="20" t="s">
        <v>189</v>
      </c>
      <c r="C143" s="32" t="s">
        <v>12</v>
      </c>
      <c r="D143" s="152"/>
      <c r="E143" s="151"/>
      <c r="F143" s="151">
        <v>450</v>
      </c>
      <c r="G143" s="151">
        <v>372</v>
      </c>
      <c r="H143" s="151">
        <v>516</v>
      </c>
      <c r="I143" s="151">
        <v>516</v>
      </c>
      <c r="J143" s="758">
        <v>523</v>
      </c>
      <c r="K143" s="151"/>
      <c r="L143" s="151">
        <v>396</v>
      </c>
      <c r="M143" s="58" t="str">
        <f t="shared" ref="M143:M173" si="60">IFERROR(I143/E143%,"")</f>
        <v/>
      </c>
      <c r="N143" s="58">
        <f t="shared" ref="N143:N173" si="61">IFERROR(I143/F143%,"")</f>
        <v>114.66666666666667</v>
      </c>
      <c r="O143" s="58">
        <f t="shared" si="57"/>
        <v>101.35658914728683</v>
      </c>
      <c r="P143" s="58">
        <f t="shared" si="58"/>
        <v>106.45161290322581</v>
      </c>
      <c r="Q143" s="58">
        <f t="shared" si="59"/>
        <v>75.717017208412997</v>
      </c>
      <c r="R143" s="84"/>
      <c r="S143" s="82"/>
    </row>
    <row r="144" spans="1:21" s="42" customFormat="1" ht="21" customHeight="1">
      <c r="A144" s="39"/>
      <c r="B144" s="62" t="s">
        <v>849</v>
      </c>
      <c r="C144" s="32" t="s">
        <v>12</v>
      </c>
      <c r="D144" s="152"/>
      <c r="E144" s="151"/>
      <c r="F144" s="151">
        <v>350</v>
      </c>
      <c r="G144" s="151"/>
      <c r="H144" s="151">
        <v>365</v>
      </c>
      <c r="I144" s="151">
        <v>365</v>
      </c>
      <c r="J144" s="758">
        <v>400</v>
      </c>
      <c r="K144" s="151"/>
      <c r="L144" s="151"/>
      <c r="M144" s="58" t="str">
        <f t="shared" si="60"/>
        <v/>
      </c>
      <c r="N144" s="58">
        <f t="shared" si="61"/>
        <v>104.28571428571429</v>
      </c>
      <c r="O144" s="58">
        <f t="shared" si="57"/>
        <v>109.58904109589041</v>
      </c>
      <c r="P144" s="58" t="str">
        <f t="shared" si="58"/>
        <v/>
      </c>
      <c r="Q144" s="58">
        <f t="shared" si="59"/>
        <v>0</v>
      </c>
      <c r="R144" s="84"/>
      <c r="S144" s="82"/>
    </row>
    <row r="145" spans="1:19" s="42" customFormat="1" ht="21" customHeight="1">
      <c r="A145" s="32" t="s">
        <v>557</v>
      </c>
      <c r="B145" s="20" t="s">
        <v>190</v>
      </c>
      <c r="C145" s="32" t="s">
        <v>12</v>
      </c>
      <c r="D145" s="152"/>
      <c r="E145" s="151"/>
      <c r="F145" s="151">
        <v>3980</v>
      </c>
      <c r="G145" s="151">
        <v>3827</v>
      </c>
      <c r="H145" s="151">
        <v>3964</v>
      </c>
      <c r="I145" s="151">
        <v>3960</v>
      </c>
      <c r="J145" s="758">
        <v>3900</v>
      </c>
      <c r="K145" s="151"/>
      <c r="L145" s="151">
        <v>3840</v>
      </c>
      <c r="M145" s="58" t="str">
        <f t="shared" si="60"/>
        <v/>
      </c>
      <c r="N145" s="58">
        <f t="shared" si="61"/>
        <v>99.497487437185939</v>
      </c>
      <c r="O145" s="58">
        <f t="shared" si="57"/>
        <v>98.484848484848484</v>
      </c>
      <c r="P145" s="58">
        <f t="shared" si="58"/>
        <v>100.33969166448915</v>
      </c>
      <c r="Q145" s="58">
        <f t="shared" si="59"/>
        <v>98.461538461538467</v>
      </c>
      <c r="R145" s="84"/>
      <c r="S145" s="82"/>
    </row>
    <row r="146" spans="1:19" s="42" customFormat="1" ht="21" customHeight="1">
      <c r="A146" s="32"/>
      <c r="B146" s="62" t="s">
        <v>849</v>
      </c>
      <c r="C146" s="32" t="s">
        <v>12</v>
      </c>
      <c r="D146" s="152"/>
      <c r="E146" s="151"/>
      <c r="F146" s="151"/>
      <c r="G146" s="151"/>
      <c r="H146" s="151"/>
      <c r="I146" s="151"/>
      <c r="J146" s="758">
        <f>J145</f>
        <v>3900</v>
      </c>
      <c r="K146" s="151"/>
      <c r="L146" s="151"/>
      <c r="M146" s="58" t="str">
        <f>IFERROR(I146/E146%,"")</f>
        <v/>
      </c>
      <c r="N146" s="58" t="str">
        <f>IFERROR(I146/F146%,"")</f>
        <v/>
      </c>
      <c r="O146" s="58" t="str">
        <f t="shared" si="57"/>
        <v/>
      </c>
      <c r="P146" s="58" t="str">
        <f t="shared" si="58"/>
        <v/>
      </c>
      <c r="Q146" s="58">
        <f t="shared" si="59"/>
        <v>0</v>
      </c>
      <c r="R146" s="84"/>
      <c r="S146" s="82"/>
    </row>
    <row r="147" spans="1:19" ht="21" customHeight="1">
      <c r="A147" s="32" t="s">
        <v>35</v>
      </c>
      <c r="B147" s="20" t="s">
        <v>272</v>
      </c>
      <c r="C147" s="32" t="s">
        <v>8</v>
      </c>
      <c r="D147" s="151">
        <v>5412</v>
      </c>
      <c r="E147" s="151">
        <v>5400</v>
      </c>
      <c r="F147" s="151">
        <v>5700</v>
      </c>
      <c r="G147" s="151">
        <v>6227</v>
      </c>
      <c r="H147" s="151">
        <v>5691</v>
      </c>
      <c r="I147" s="151">
        <v>5682</v>
      </c>
      <c r="J147" s="758">
        <v>6492</v>
      </c>
      <c r="K147" s="151"/>
      <c r="L147" s="151">
        <v>6316</v>
      </c>
      <c r="M147" s="58">
        <f t="shared" si="60"/>
        <v>105.22222222222223</v>
      </c>
      <c r="N147" s="58">
        <f t="shared" si="61"/>
        <v>99.684210526315795</v>
      </c>
      <c r="O147" s="58">
        <f t="shared" si="57"/>
        <v>114.25554382259767</v>
      </c>
      <c r="P147" s="58">
        <f t="shared" si="58"/>
        <v>101.42925967560623</v>
      </c>
      <c r="Q147" s="58">
        <f t="shared" si="59"/>
        <v>97.28897104128157</v>
      </c>
      <c r="R147" s="3"/>
      <c r="S147" s="81"/>
    </row>
    <row r="148" spans="1:19" ht="21" customHeight="1">
      <c r="A148" s="32" t="s">
        <v>36</v>
      </c>
      <c r="B148" s="20" t="s">
        <v>273</v>
      </c>
      <c r="C148" s="32" t="s">
        <v>8</v>
      </c>
      <c r="D148" s="151">
        <v>3521</v>
      </c>
      <c r="E148" s="151">
        <v>3560</v>
      </c>
      <c r="F148" s="151">
        <v>3570</v>
      </c>
      <c r="G148" s="151">
        <v>3697</v>
      </c>
      <c r="H148" s="151">
        <v>3558</v>
      </c>
      <c r="I148" s="151">
        <f>3457+73</f>
        <v>3530</v>
      </c>
      <c r="J148" s="758">
        <v>3850</v>
      </c>
      <c r="K148" s="151"/>
      <c r="L148" s="151">
        <v>4094</v>
      </c>
      <c r="M148" s="58">
        <f t="shared" si="60"/>
        <v>99.157303370786508</v>
      </c>
      <c r="N148" s="58">
        <f t="shared" si="61"/>
        <v>98.879551820728281</v>
      </c>
      <c r="O148" s="58">
        <f t="shared" si="57"/>
        <v>109.06515580736544</v>
      </c>
      <c r="P148" s="58">
        <f t="shared" si="58"/>
        <v>110.73843657019205</v>
      </c>
      <c r="Q148" s="58">
        <f t="shared" si="59"/>
        <v>106.33766233766234</v>
      </c>
      <c r="R148" s="3"/>
    </row>
    <row r="149" spans="1:19" ht="21" customHeight="1">
      <c r="A149" s="32" t="s">
        <v>53</v>
      </c>
      <c r="B149" s="20" t="s">
        <v>1069</v>
      </c>
      <c r="C149" s="32" t="s">
        <v>8</v>
      </c>
      <c r="D149" s="151">
        <v>741</v>
      </c>
      <c r="E149" s="151">
        <v>741</v>
      </c>
      <c r="F149" s="151">
        <v>830</v>
      </c>
      <c r="G149" s="151">
        <v>40</v>
      </c>
      <c r="H149" s="151">
        <v>807</v>
      </c>
      <c r="I149" s="151">
        <v>807</v>
      </c>
      <c r="J149" s="758">
        <v>40</v>
      </c>
      <c r="K149" s="151"/>
      <c r="L149" s="151">
        <v>0</v>
      </c>
      <c r="M149" s="58">
        <f t="shared" si="60"/>
        <v>108.90688259109312</v>
      </c>
      <c r="N149" s="58">
        <f t="shared" si="61"/>
        <v>97.228915662650593</v>
      </c>
      <c r="O149" s="58">
        <f t="shared" ref="O149:O193" si="62">IFERROR(J149/I149%,"")</f>
        <v>4.9566294919454768</v>
      </c>
      <c r="P149" s="58">
        <f t="shared" ref="P149:P193" si="63">IFERROR(L149/G149%,"")</f>
        <v>0</v>
      </c>
      <c r="Q149" s="58">
        <f t="shared" ref="Q149:Q193" si="64">IFERROR(L149/J149%,"")</f>
        <v>0</v>
      </c>
      <c r="R149" s="3"/>
      <c r="S149" s="81"/>
    </row>
    <row r="150" spans="1:19" ht="22.5" hidden="1" customHeight="1" outlineLevel="1">
      <c r="A150" s="32"/>
      <c r="B150" s="15" t="s">
        <v>398</v>
      </c>
      <c r="C150" s="32"/>
      <c r="D150" s="13">
        <f t="shared" ref="D150:J150" si="65">SUM(D152:D156)</f>
        <v>37</v>
      </c>
      <c r="E150" s="13">
        <f t="shared" si="65"/>
        <v>38</v>
      </c>
      <c r="F150" s="13">
        <f t="shared" si="65"/>
        <v>38</v>
      </c>
      <c r="G150" s="13">
        <f>SUM(G152:G156)</f>
        <v>0</v>
      </c>
      <c r="H150" s="13">
        <f t="shared" si="65"/>
        <v>38</v>
      </c>
      <c r="I150" s="13">
        <f t="shared" si="65"/>
        <v>38</v>
      </c>
      <c r="J150" s="750">
        <f t="shared" si="65"/>
        <v>38</v>
      </c>
      <c r="K150" s="13">
        <f>SUM(K152:K156)</f>
        <v>38</v>
      </c>
      <c r="L150" s="13">
        <f>SUM(L152:L156)</f>
        <v>38</v>
      </c>
      <c r="M150" s="58">
        <f t="shared" si="60"/>
        <v>100</v>
      </c>
      <c r="N150" s="58">
        <f t="shared" si="61"/>
        <v>100</v>
      </c>
      <c r="O150" s="58">
        <f t="shared" si="62"/>
        <v>100</v>
      </c>
      <c r="P150" s="58" t="str">
        <f t="shared" si="63"/>
        <v/>
      </c>
      <c r="Q150" s="58">
        <f t="shared" si="64"/>
        <v>100</v>
      </c>
      <c r="R150" s="3"/>
    </row>
    <row r="151" spans="1:19" ht="22.5" hidden="1" customHeight="1" outlineLevel="1">
      <c r="A151" s="32"/>
      <c r="B151" s="62" t="s">
        <v>341</v>
      </c>
      <c r="C151" s="32"/>
      <c r="D151" s="13"/>
      <c r="E151" s="13"/>
      <c r="F151" s="13"/>
      <c r="G151" s="13"/>
      <c r="H151" s="13"/>
      <c r="I151" s="13"/>
      <c r="J151" s="750"/>
      <c r="K151" s="13"/>
      <c r="L151" s="13"/>
      <c r="M151" s="58" t="str">
        <f t="shared" si="60"/>
        <v/>
      </c>
      <c r="N151" s="58" t="str">
        <f t="shared" si="61"/>
        <v/>
      </c>
      <c r="O151" s="58" t="str">
        <f t="shared" si="62"/>
        <v/>
      </c>
      <c r="P151" s="58" t="str">
        <f t="shared" si="63"/>
        <v/>
      </c>
      <c r="Q151" s="58" t="str">
        <f t="shared" si="64"/>
        <v/>
      </c>
      <c r="R151" s="3"/>
    </row>
    <row r="152" spans="1:19" ht="22.5" hidden="1" customHeight="1" outlineLevel="1">
      <c r="A152" s="32"/>
      <c r="B152" s="20" t="s">
        <v>343</v>
      </c>
      <c r="C152" s="32" t="s">
        <v>143</v>
      </c>
      <c r="D152" s="13">
        <v>13</v>
      </c>
      <c r="E152" s="13">
        <v>13</v>
      </c>
      <c r="F152" s="13">
        <f t="shared" ref="F152:I156" si="66">E152</f>
        <v>13</v>
      </c>
      <c r="G152" s="13">
        <f>A152</f>
        <v>0</v>
      </c>
      <c r="H152" s="13">
        <f>F152</f>
        <v>13</v>
      </c>
      <c r="I152" s="13">
        <f t="shared" si="66"/>
        <v>13</v>
      </c>
      <c r="J152" s="750">
        <v>13</v>
      </c>
      <c r="K152" s="13">
        <v>13</v>
      </c>
      <c r="L152" s="13">
        <f>F152</f>
        <v>13</v>
      </c>
      <c r="M152" s="58">
        <f t="shared" si="60"/>
        <v>100</v>
      </c>
      <c r="N152" s="58">
        <f t="shared" si="61"/>
        <v>100</v>
      </c>
      <c r="O152" s="58">
        <f t="shared" si="62"/>
        <v>100</v>
      </c>
      <c r="P152" s="58" t="str">
        <f t="shared" si="63"/>
        <v/>
      </c>
      <c r="Q152" s="58">
        <f t="shared" si="64"/>
        <v>100</v>
      </c>
      <c r="R152" s="3"/>
    </row>
    <row r="153" spans="1:19" ht="22.5" hidden="1" customHeight="1" outlineLevel="1">
      <c r="A153" s="32"/>
      <c r="B153" s="20" t="s">
        <v>344</v>
      </c>
      <c r="C153" s="32" t="s">
        <v>143</v>
      </c>
      <c r="D153" s="13">
        <v>13</v>
      </c>
      <c r="E153" s="13">
        <v>14</v>
      </c>
      <c r="F153" s="13">
        <f t="shared" si="66"/>
        <v>14</v>
      </c>
      <c r="G153" s="13">
        <f>A153</f>
        <v>0</v>
      </c>
      <c r="H153" s="13">
        <f>F153</f>
        <v>14</v>
      </c>
      <c r="I153" s="13">
        <f t="shared" si="66"/>
        <v>14</v>
      </c>
      <c r="J153" s="750">
        <v>14</v>
      </c>
      <c r="K153" s="13">
        <v>14</v>
      </c>
      <c r="L153" s="13">
        <f>F153</f>
        <v>14</v>
      </c>
      <c r="M153" s="58">
        <f t="shared" si="60"/>
        <v>99.999999999999986</v>
      </c>
      <c r="N153" s="58">
        <f t="shared" si="61"/>
        <v>99.999999999999986</v>
      </c>
      <c r="O153" s="58">
        <f t="shared" si="62"/>
        <v>99.999999999999986</v>
      </c>
      <c r="P153" s="58" t="str">
        <f t="shared" si="63"/>
        <v/>
      </c>
      <c r="Q153" s="58">
        <f t="shared" si="64"/>
        <v>99.999999999999986</v>
      </c>
      <c r="R153" s="3"/>
    </row>
    <row r="154" spans="1:19" ht="22.5" hidden="1" customHeight="1" outlineLevel="1">
      <c r="A154" s="32"/>
      <c r="B154" s="20" t="s">
        <v>345</v>
      </c>
      <c r="C154" s="32" t="s">
        <v>143</v>
      </c>
      <c r="D154" s="13">
        <v>9</v>
      </c>
      <c r="E154" s="13">
        <v>9</v>
      </c>
      <c r="F154" s="13">
        <f t="shared" si="66"/>
        <v>9</v>
      </c>
      <c r="G154" s="13">
        <f>A154</f>
        <v>0</v>
      </c>
      <c r="H154" s="13">
        <f>F154</f>
        <v>9</v>
      </c>
      <c r="I154" s="13">
        <f t="shared" si="66"/>
        <v>9</v>
      </c>
      <c r="J154" s="750">
        <v>9</v>
      </c>
      <c r="K154" s="13">
        <v>9</v>
      </c>
      <c r="L154" s="13">
        <f>F154</f>
        <v>9</v>
      </c>
      <c r="M154" s="58">
        <f t="shared" si="60"/>
        <v>100</v>
      </c>
      <c r="N154" s="58">
        <f t="shared" si="61"/>
        <v>100</v>
      </c>
      <c r="O154" s="58">
        <f t="shared" si="62"/>
        <v>100</v>
      </c>
      <c r="P154" s="58" t="str">
        <f t="shared" si="63"/>
        <v/>
      </c>
      <c r="Q154" s="58">
        <f t="shared" si="64"/>
        <v>100</v>
      </c>
      <c r="R154" s="3"/>
    </row>
    <row r="155" spans="1:19" ht="22.5" hidden="1" customHeight="1" outlineLevel="1">
      <c r="A155" s="32"/>
      <c r="B155" s="20" t="s">
        <v>346</v>
      </c>
      <c r="C155" s="32" t="s">
        <v>143</v>
      </c>
      <c r="D155" s="13">
        <v>1</v>
      </c>
      <c r="E155" s="13">
        <v>1</v>
      </c>
      <c r="F155" s="13">
        <f t="shared" si="66"/>
        <v>1</v>
      </c>
      <c r="G155" s="13">
        <f>A155</f>
        <v>0</v>
      </c>
      <c r="H155" s="13">
        <f>F155</f>
        <v>1</v>
      </c>
      <c r="I155" s="13">
        <f t="shared" si="66"/>
        <v>1</v>
      </c>
      <c r="J155" s="750">
        <v>1</v>
      </c>
      <c r="K155" s="13">
        <v>1</v>
      </c>
      <c r="L155" s="13">
        <f>F155</f>
        <v>1</v>
      </c>
      <c r="M155" s="58">
        <f t="shared" si="60"/>
        <v>100</v>
      </c>
      <c r="N155" s="58">
        <f t="shared" si="61"/>
        <v>100</v>
      </c>
      <c r="O155" s="58">
        <f t="shared" si="62"/>
        <v>100</v>
      </c>
      <c r="P155" s="58" t="str">
        <f t="shared" si="63"/>
        <v/>
      </c>
      <c r="Q155" s="58">
        <f t="shared" si="64"/>
        <v>100</v>
      </c>
      <c r="R155" s="3"/>
    </row>
    <row r="156" spans="1:19" ht="22.5" hidden="1" customHeight="1" outlineLevel="1">
      <c r="A156" s="32"/>
      <c r="B156" s="20" t="s">
        <v>347</v>
      </c>
      <c r="C156" s="32" t="s">
        <v>143</v>
      </c>
      <c r="D156" s="13">
        <v>1</v>
      </c>
      <c r="E156" s="13">
        <v>1</v>
      </c>
      <c r="F156" s="13">
        <f t="shared" si="66"/>
        <v>1</v>
      </c>
      <c r="G156" s="13">
        <f>A156</f>
        <v>0</v>
      </c>
      <c r="H156" s="13">
        <f>F156</f>
        <v>1</v>
      </c>
      <c r="I156" s="13">
        <f t="shared" si="66"/>
        <v>1</v>
      </c>
      <c r="J156" s="750">
        <v>1</v>
      </c>
      <c r="K156" s="13">
        <v>1</v>
      </c>
      <c r="L156" s="13">
        <f>F156</f>
        <v>1</v>
      </c>
      <c r="M156" s="58">
        <f t="shared" si="60"/>
        <v>100</v>
      </c>
      <c r="N156" s="58">
        <f t="shared" si="61"/>
        <v>100</v>
      </c>
      <c r="O156" s="58">
        <f t="shared" si="62"/>
        <v>100</v>
      </c>
      <c r="P156" s="58" t="str">
        <f t="shared" si="63"/>
        <v/>
      </c>
      <c r="Q156" s="58">
        <f t="shared" si="64"/>
        <v>100</v>
      </c>
      <c r="R156" s="3"/>
    </row>
    <row r="157" spans="1:19" ht="22.5" hidden="1" customHeight="1" outlineLevel="1">
      <c r="A157" s="32"/>
      <c r="B157" s="15" t="s">
        <v>348</v>
      </c>
      <c r="C157" s="32" t="s">
        <v>143</v>
      </c>
      <c r="D157" s="13">
        <f t="shared" ref="D157:J157" si="67">SUM(D159:D163)</f>
        <v>20</v>
      </c>
      <c r="E157" s="13">
        <f t="shared" si="67"/>
        <v>21</v>
      </c>
      <c r="F157" s="13">
        <f t="shared" si="67"/>
        <v>25</v>
      </c>
      <c r="G157" s="13">
        <f>SUM(G159:G163)</f>
        <v>25</v>
      </c>
      <c r="H157" s="13">
        <f>SUM(H159:H163)</f>
        <v>21</v>
      </c>
      <c r="I157" s="13">
        <f>SUM(I159:I163)</f>
        <v>21</v>
      </c>
      <c r="J157" s="750">
        <f t="shared" si="67"/>
        <v>24</v>
      </c>
      <c r="K157" s="13">
        <f>SUM(K159:K163)</f>
        <v>25</v>
      </c>
      <c r="L157" s="13">
        <f>SUM(L159:L163)</f>
        <v>25</v>
      </c>
      <c r="M157" s="58">
        <f t="shared" si="60"/>
        <v>100</v>
      </c>
      <c r="N157" s="58">
        <f t="shared" si="61"/>
        <v>84</v>
      </c>
      <c r="O157" s="58">
        <f t="shared" si="62"/>
        <v>114.28571428571429</v>
      </c>
      <c r="P157" s="58">
        <f t="shared" si="63"/>
        <v>100</v>
      </c>
      <c r="Q157" s="58">
        <f t="shared" si="64"/>
        <v>104.16666666666667</v>
      </c>
      <c r="R157" s="3"/>
    </row>
    <row r="158" spans="1:19" ht="22.5" hidden="1" customHeight="1" outlineLevel="1">
      <c r="A158" s="32"/>
      <c r="B158" s="62" t="s">
        <v>341</v>
      </c>
      <c r="C158" s="32"/>
      <c r="D158" s="13"/>
      <c r="E158" s="13"/>
      <c r="F158" s="13"/>
      <c r="G158" s="13"/>
      <c r="H158" s="13"/>
      <c r="I158" s="13"/>
      <c r="J158" s="750"/>
      <c r="K158" s="13"/>
      <c r="L158" s="13"/>
      <c r="M158" s="58" t="str">
        <f t="shared" si="60"/>
        <v/>
      </c>
      <c r="N158" s="58" t="str">
        <f t="shared" si="61"/>
        <v/>
      </c>
      <c r="O158" s="58" t="str">
        <f t="shared" si="62"/>
        <v/>
      </c>
      <c r="P158" s="58" t="str">
        <f t="shared" si="63"/>
        <v/>
      </c>
      <c r="Q158" s="58" t="str">
        <f t="shared" si="64"/>
        <v/>
      </c>
      <c r="R158" s="3"/>
    </row>
    <row r="159" spans="1:19" ht="22.5" hidden="1" customHeight="1" outlineLevel="1">
      <c r="A159" s="32"/>
      <c r="B159" s="20" t="s">
        <v>343</v>
      </c>
      <c r="C159" s="32" t="s">
        <v>143</v>
      </c>
      <c r="D159" s="13">
        <v>5</v>
      </c>
      <c r="E159" s="13">
        <v>6</v>
      </c>
      <c r="F159" s="13">
        <v>8</v>
      </c>
      <c r="G159" s="13">
        <v>6</v>
      </c>
      <c r="H159" s="13">
        <v>6</v>
      </c>
      <c r="I159" s="13">
        <v>6</v>
      </c>
      <c r="J159" s="750">
        <v>7</v>
      </c>
      <c r="K159" s="13">
        <v>6</v>
      </c>
      <c r="L159" s="13">
        <v>6</v>
      </c>
      <c r="M159" s="58">
        <f t="shared" si="60"/>
        <v>100</v>
      </c>
      <c r="N159" s="58">
        <f t="shared" si="61"/>
        <v>75</v>
      </c>
      <c r="O159" s="58">
        <f t="shared" si="62"/>
        <v>116.66666666666667</v>
      </c>
      <c r="P159" s="58">
        <f t="shared" si="63"/>
        <v>100</v>
      </c>
      <c r="Q159" s="58">
        <f t="shared" si="64"/>
        <v>85.714285714285708</v>
      </c>
      <c r="R159" s="3"/>
    </row>
    <row r="160" spans="1:19" ht="22.5" hidden="1" customHeight="1" outlineLevel="1">
      <c r="A160" s="32"/>
      <c r="B160" s="20" t="s">
        <v>344</v>
      </c>
      <c r="C160" s="32" t="s">
        <v>143</v>
      </c>
      <c r="D160" s="13">
        <v>9</v>
      </c>
      <c r="E160" s="13">
        <v>9</v>
      </c>
      <c r="F160" s="13">
        <v>10</v>
      </c>
      <c r="G160" s="13">
        <v>12</v>
      </c>
      <c r="H160" s="13">
        <v>9</v>
      </c>
      <c r="I160" s="13">
        <v>9</v>
      </c>
      <c r="J160" s="750">
        <v>10</v>
      </c>
      <c r="K160" s="13">
        <v>12</v>
      </c>
      <c r="L160" s="13">
        <v>12</v>
      </c>
      <c r="M160" s="58">
        <f t="shared" si="60"/>
        <v>100</v>
      </c>
      <c r="N160" s="58">
        <f t="shared" si="61"/>
        <v>90</v>
      </c>
      <c r="O160" s="58">
        <f t="shared" si="62"/>
        <v>111.11111111111111</v>
      </c>
      <c r="P160" s="58">
        <f t="shared" si="63"/>
        <v>100</v>
      </c>
      <c r="Q160" s="58">
        <f t="shared" si="64"/>
        <v>120</v>
      </c>
      <c r="R160" s="3"/>
    </row>
    <row r="161" spans="1:18" ht="22.5" hidden="1" customHeight="1" outlineLevel="1">
      <c r="A161" s="32"/>
      <c r="B161" s="20" t="s">
        <v>345</v>
      </c>
      <c r="C161" s="32" t="s">
        <v>143</v>
      </c>
      <c r="D161" s="13">
        <v>4</v>
      </c>
      <c r="E161" s="13">
        <v>4</v>
      </c>
      <c r="F161" s="13">
        <v>5</v>
      </c>
      <c r="G161" s="13">
        <v>5</v>
      </c>
      <c r="H161" s="13">
        <v>4</v>
      </c>
      <c r="I161" s="13">
        <v>4</v>
      </c>
      <c r="J161" s="750">
        <v>5</v>
      </c>
      <c r="K161" s="13">
        <v>5</v>
      </c>
      <c r="L161" s="13">
        <v>5</v>
      </c>
      <c r="M161" s="58">
        <f t="shared" si="60"/>
        <v>100</v>
      </c>
      <c r="N161" s="58">
        <f t="shared" si="61"/>
        <v>80</v>
      </c>
      <c r="O161" s="58">
        <f t="shared" si="62"/>
        <v>125</v>
      </c>
      <c r="P161" s="58">
        <f t="shared" si="63"/>
        <v>100</v>
      </c>
      <c r="Q161" s="58">
        <f t="shared" si="64"/>
        <v>100</v>
      </c>
      <c r="R161" s="3"/>
    </row>
    <row r="162" spans="1:18" ht="22.5" hidden="1" customHeight="1" outlineLevel="1">
      <c r="A162" s="32"/>
      <c r="B162" s="20" t="s">
        <v>346</v>
      </c>
      <c r="C162" s="32" t="s">
        <v>143</v>
      </c>
      <c r="D162" s="13">
        <v>1</v>
      </c>
      <c r="E162" s="13">
        <v>1</v>
      </c>
      <c r="F162" s="13">
        <v>1</v>
      </c>
      <c r="G162" s="13">
        <v>1</v>
      </c>
      <c r="H162" s="13">
        <v>1</v>
      </c>
      <c r="I162" s="13">
        <v>1</v>
      </c>
      <c r="J162" s="750">
        <v>1</v>
      </c>
      <c r="K162" s="13">
        <v>1</v>
      </c>
      <c r="L162" s="13">
        <v>1</v>
      </c>
      <c r="M162" s="58">
        <f t="shared" si="60"/>
        <v>100</v>
      </c>
      <c r="N162" s="58">
        <f t="shared" si="61"/>
        <v>100</v>
      </c>
      <c r="O162" s="58">
        <f t="shared" si="62"/>
        <v>100</v>
      </c>
      <c r="P162" s="58">
        <f t="shared" si="63"/>
        <v>100</v>
      </c>
      <c r="Q162" s="58">
        <f t="shared" si="64"/>
        <v>100</v>
      </c>
      <c r="R162" s="3"/>
    </row>
    <row r="163" spans="1:18" ht="22.5" hidden="1" customHeight="1" outlineLevel="1">
      <c r="A163" s="32"/>
      <c r="B163" s="20" t="s">
        <v>347</v>
      </c>
      <c r="C163" s="32" t="s">
        <v>143</v>
      </c>
      <c r="D163" s="13">
        <v>1</v>
      </c>
      <c r="E163" s="13">
        <v>1</v>
      </c>
      <c r="F163" s="13">
        <v>1</v>
      </c>
      <c r="G163" s="13">
        <v>1</v>
      </c>
      <c r="H163" s="13">
        <v>1</v>
      </c>
      <c r="I163" s="13">
        <v>1</v>
      </c>
      <c r="J163" s="750">
        <v>1</v>
      </c>
      <c r="K163" s="13">
        <v>1</v>
      </c>
      <c r="L163" s="13">
        <v>1</v>
      </c>
      <c r="M163" s="58">
        <f t="shared" si="60"/>
        <v>100</v>
      </c>
      <c r="N163" s="58">
        <f t="shared" si="61"/>
        <v>100</v>
      </c>
      <c r="O163" s="58">
        <f t="shared" si="62"/>
        <v>100</v>
      </c>
      <c r="P163" s="58">
        <f t="shared" si="63"/>
        <v>100</v>
      </c>
      <c r="Q163" s="58">
        <f t="shared" si="64"/>
        <v>100</v>
      </c>
      <c r="R163" s="3"/>
    </row>
    <row r="164" spans="1:18" ht="22.5" customHeight="1" collapsed="1">
      <c r="A164" s="32">
        <v>2</v>
      </c>
      <c r="B164" s="20" t="s">
        <v>144</v>
      </c>
      <c r="C164" s="32" t="s">
        <v>33</v>
      </c>
      <c r="D164" s="74">
        <f t="shared" ref="D164:I164" si="68">D157/D150%</f>
        <v>54.054054054054056</v>
      </c>
      <c r="E164" s="55">
        <f t="shared" si="68"/>
        <v>55.263157894736842</v>
      </c>
      <c r="F164" s="55">
        <f t="shared" si="68"/>
        <v>65.78947368421052</v>
      </c>
      <c r="G164" s="55"/>
      <c r="H164" s="55">
        <f t="shared" si="68"/>
        <v>55.263157894736842</v>
      </c>
      <c r="I164" s="55">
        <f t="shared" si="68"/>
        <v>55.263157894736842</v>
      </c>
      <c r="J164" s="759">
        <v>76.5</v>
      </c>
      <c r="K164" s="55">
        <f>K157/K150%</f>
        <v>65.78947368421052</v>
      </c>
      <c r="L164" s="55"/>
      <c r="M164" s="58">
        <f t="shared" si="60"/>
        <v>99.999999999999986</v>
      </c>
      <c r="N164" s="58">
        <f t="shared" si="61"/>
        <v>84.000000000000014</v>
      </c>
      <c r="O164" s="58">
        <f t="shared" si="62"/>
        <v>138.42857142857142</v>
      </c>
      <c r="P164" s="58" t="str">
        <f t="shared" si="63"/>
        <v/>
      </c>
      <c r="Q164" s="58">
        <f t="shared" si="64"/>
        <v>0</v>
      </c>
      <c r="R164" s="3"/>
    </row>
    <row r="165" spans="1:18" ht="22.5" hidden="1" customHeight="1" outlineLevel="1">
      <c r="A165" s="32"/>
      <c r="B165" s="62" t="s">
        <v>341</v>
      </c>
      <c r="C165" s="32" t="s">
        <v>33</v>
      </c>
      <c r="D165" s="55"/>
      <c r="E165" s="55"/>
      <c r="F165" s="55"/>
      <c r="G165" s="55"/>
      <c r="H165" s="55"/>
      <c r="I165" s="55"/>
      <c r="J165" s="759"/>
      <c r="K165" s="55"/>
      <c r="L165" s="55"/>
      <c r="M165" s="58" t="str">
        <f t="shared" si="60"/>
        <v/>
      </c>
      <c r="N165" s="58" t="str">
        <f t="shared" si="61"/>
        <v/>
      </c>
      <c r="O165" s="58" t="str">
        <f t="shared" si="62"/>
        <v/>
      </c>
      <c r="P165" s="58" t="str">
        <f t="shared" si="63"/>
        <v/>
      </c>
      <c r="Q165" s="58" t="str">
        <f t="shared" si="64"/>
        <v/>
      </c>
      <c r="R165" s="3"/>
    </row>
    <row r="166" spans="1:18" ht="22.5" hidden="1" customHeight="1" outlineLevel="1">
      <c r="A166" s="32"/>
      <c r="B166" s="20" t="s">
        <v>343</v>
      </c>
      <c r="C166" s="32" t="s">
        <v>33</v>
      </c>
      <c r="D166" s="55">
        <f t="shared" ref="D166:J166" si="69">D159/D152%</f>
        <v>38.46153846153846</v>
      </c>
      <c r="E166" s="55">
        <f t="shared" si="69"/>
        <v>46.153846153846153</v>
      </c>
      <c r="F166" s="55">
        <f t="shared" si="69"/>
        <v>61.538461538461533</v>
      </c>
      <c r="G166" s="55"/>
      <c r="H166" s="55">
        <f t="shared" ref="H166:I170" si="70">H159/H152%</f>
        <v>46.153846153846153</v>
      </c>
      <c r="I166" s="55">
        <f t="shared" si="70"/>
        <v>46.153846153846153</v>
      </c>
      <c r="J166" s="759">
        <f t="shared" si="69"/>
        <v>53.846153846153847</v>
      </c>
      <c r="K166" s="55"/>
      <c r="L166" s="55"/>
      <c r="M166" s="58">
        <f t="shared" si="60"/>
        <v>100</v>
      </c>
      <c r="N166" s="58">
        <f t="shared" si="61"/>
        <v>75.000000000000014</v>
      </c>
      <c r="O166" s="58">
        <f t="shared" si="62"/>
        <v>116.66666666666667</v>
      </c>
      <c r="P166" s="58" t="str">
        <f t="shared" si="63"/>
        <v/>
      </c>
      <c r="Q166" s="58">
        <f t="shared" si="64"/>
        <v>0</v>
      </c>
      <c r="R166" s="3"/>
    </row>
    <row r="167" spans="1:18" ht="22.5" hidden="1" customHeight="1" outlineLevel="1">
      <c r="A167" s="32"/>
      <c r="B167" s="20" t="s">
        <v>344</v>
      </c>
      <c r="C167" s="32" t="s">
        <v>33</v>
      </c>
      <c r="D167" s="55">
        <f t="shared" ref="D167:F170" si="71">D160/D153%</f>
        <v>69.230769230769226</v>
      </c>
      <c r="E167" s="55">
        <f t="shared" si="71"/>
        <v>64.285714285714278</v>
      </c>
      <c r="F167" s="55">
        <f t="shared" si="71"/>
        <v>71.428571428571416</v>
      </c>
      <c r="G167" s="55"/>
      <c r="H167" s="55">
        <f t="shared" si="70"/>
        <v>64.285714285714278</v>
      </c>
      <c r="I167" s="55">
        <f t="shared" si="70"/>
        <v>64.285714285714278</v>
      </c>
      <c r="J167" s="759">
        <f>J160/J153%</f>
        <v>71.428571428571416</v>
      </c>
      <c r="K167" s="55"/>
      <c r="L167" s="55"/>
      <c r="M167" s="58">
        <f t="shared" si="60"/>
        <v>100</v>
      </c>
      <c r="N167" s="58">
        <f t="shared" si="61"/>
        <v>90</v>
      </c>
      <c r="O167" s="58">
        <f t="shared" si="62"/>
        <v>111.1111111111111</v>
      </c>
      <c r="P167" s="58" t="str">
        <f t="shared" si="63"/>
        <v/>
      </c>
      <c r="Q167" s="58">
        <f t="shared" si="64"/>
        <v>0</v>
      </c>
      <c r="R167" s="3"/>
    </row>
    <row r="168" spans="1:18" ht="22.5" hidden="1" customHeight="1" outlineLevel="1">
      <c r="A168" s="32"/>
      <c r="B168" s="20" t="s">
        <v>345</v>
      </c>
      <c r="C168" s="32" t="s">
        <v>33</v>
      </c>
      <c r="D168" s="55">
        <f t="shared" si="71"/>
        <v>44.444444444444443</v>
      </c>
      <c r="E168" s="55">
        <f t="shared" si="71"/>
        <v>44.444444444444443</v>
      </c>
      <c r="F168" s="55">
        <f t="shared" si="71"/>
        <v>55.555555555555557</v>
      </c>
      <c r="G168" s="55"/>
      <c r="H168" s="55">
        <f t="shared" si="70"/>
        <v>44.444444444444443</v>
      </c>
      <c r="I168" s="55">
        <f t="shared" si="70"/>
        <v>44.444444444444443</v>
      </c>
      <c r="J168" s="759">
        <f>J161/J154%</f>
        <v>55.555555555555557</v>
      </c>
      <c r="K168" s="55"/>
      <c r="L168" s="55"/>
      <c r="M168" s="58">
        <f t="shared" si="60"/>
        <v>100</v>
      </c>
      <c r="N168" s="58">
        <f t="shared" si="61"/>
        <v>80</v>
      </c>
      <c r="O168" s="58">
        <f t="shared" si="62"/>
        <v>125.00000000000001</v>
      </c>
      <c r="P168" s="58" t="str">
        <f t="shared" si="63"/>
        <v/>
      </c>
      <c r="Q168" s="58">
        <f t="shared" si="64"/>
        <v>0</v>
      </c>
      <c r="R168" s="3"/>
    </row>
    <row r="169" spans="1:18" ht="22.5" hidden="1" customHeight="1" outlineLevel="1">
      <c r="A169" s="32"/>
      <c r="B169" s="20" t="s">
        <v>346</v>
      </c>
      <c r="C169" s="32" t="s">
        <v>33</v>
      </c>
      <c r="D169" s="55">
        <f t="shared" si="71"/>
        <v>100</v>
      </c>
      <c r="E169" s="55">
        <f t="shared" si="71"/>
        <v>100</v>
      </c>
      <c r="F169" s="55">
        <f t="shared" si="71"/>
        <v>100</v>
      </c>
      <c r="G169" s="55"/>
      <c r="H169" s="55">
        <f t="shared" si="70"/>
        <v>100</v>
      </c>
      <c r="I169" s="55">
        <f t="shared" si="70"/>
        <v>100</v>
      </c>
      <c r="J169" s="759">
        <f>J162/J155%</f>
        <v>100</v>
      </c>
      <c r="K169" s="55"/>
      <c r="L169" s="55"/>
      <c r="M169" s="58">
        <f t="shared" si="60"/>
        <v>100</v>
      </c>
      <c r="N169" s="58">
        <f t="shared" si="61"/>
        <v>100</v>
      </c>
      <c r="O169" s="58">
        <f t="shared" si="62"/>
        <v>100</v>
      </c>
      <c r="P169" s="58" t="str">
        <f t="shared" si="63"/>
        <v/>
      </c>
      <c r="Q169" s="58">
        <f t="shared" si="64"/>
        <v>0</v>
      </c>
      <c r="R169" s="3"/>
    </row>
    <row r="170" spans="1:18" ht="22.5" hidden="1" customHeight="1" outlineLevel="1">
      <c r="A170" s="32"/>
      <c r="B170" s="20" t="s">
        <v>347</v>
      </c>
      <c r="C170" s="32" t="s">
        <v>33</v>
      </c>
      <c r="D170" s="55">
        <f t="shared" si="71"/>
        <v>100</v>
      </c>
      <c r="E170" s="55">
        <f t="shared" si="71"/>
        <v>100</v>
      </c>
      <c r="F170" s="55">
        <f t="shared" si="71"/>
        <v>100</v>
      </c>
      <c r="G170" s="55"/>
      <c r="H170" s="55">
        <f t="shared" si="70"/>
        <v>100</v>
      </c>
      <c r="I170" s="55">
        <f t="shared" si="70"/>
        <v>100</v>
      </c>
      <c r="J170" s="759">
        <f>J163/J156%</f>
        <v>100</v>
      </c>
      <c r="K170" s="55"/>
      <c r="L170" s="55"/>
      <c r="M170" s="58">
        <f t="shared" si="60"/>
        <v>100</v>
      </c>
      <c r="N170" s="58">
        <f t="shared" si="61"/>
        <v>100</v>
      </c>
      <c r="O170" s="58">
        <f t="shared" si="62"/>
        <v>100</v>
      </c>
      <c r="P170" s="58" t="str">
        <f t="shared" si="63"/>
        <v/>
      </c>
      <c r="Q170" s="58">
        <f t="shared" si="64"/>
        <v>0</v>
      </c>
      <c r="R170" s="3"/>
    </row>
    <row r="171" spans="1:18" ht="31.5" collapsed="1">
      <c r="A171" s="32">
        <v>3</v>
      </c>
      <c r="B171" s="48" t="s">
        <v>1070</v>
      </c>
      <c r="C171" s="32" t="s">
        <v>33</v>
      </c>
      <c r="D171" s="13"/>
      <c r="E171" s="13"/>
      <c r="F171" s="13"/>
      <c r="G171" s="13"/>
      <c r="H171" s="13"/>
      <c r="I171" s="13"/>
      <c r="J171" s="750">
        <v>97.5</v>
      </c>
      <c r="K171" s="13"/>
      <c r="L171" s="13"/>
      <c r="M171" s="58" t="str">
        <f t="shared" si="60"/>
        <v/>
      </c>
      <c r="N171" s="58" t="str">
        <f t="shared" si="61"/>
        <v/>
      </c>
      <c r="O171" s="58" t="str">
        <f t="shared" si="62"/>
        <v/>
      </c>
      <c r="P171" s="58" t="str">
        <f t="shared" si="63"/>
        <v/>
      </c>
      <c r="Q171" s="58">
        <f t="shared" si="64"/>
        <v>0</v>
      </c>
      <c r="R171" s="3"/>
    </row>
    <row r="172" spans="1:18" ht="22.5" customHeight="1">
      <c r="A172" s="73" t="s">
        <v>1071</v>
      </c>
      <c r="B172" s="68" t="s">
        <v>13</v>
      </c>
      <c r="C172" s="32"/>
      <c r="D172" s="153"/>
      <c r="E172" s="153"/>
      <c r="F172" s="153"/>
      <c r="G172" s="153"/>
      <c r="H172" s="153"/>
      <c r="I172" s="153"/>
      <c r="J172" s="760"/>
      <c r="K172" s="153"/>
      <c r="L172" s="153"/>
      <c r="M172" s="58" t="str">
        <f t="shared" si="60"/>
        <v/>
      </c>
      <c r="N172" s="58" t="str">
        <f t="shared" si="61"/>
        <v/>
      </c>
      <c r="O172" s="58" t="str">
        <f t="shared" si="62"/>
        <v/>
      </c>
      <c r="P172" s="58" t="str">
        <f t="shared" si="63"/>
        <v/>
      </c>
      <c r="Q172" s="58" t="str">
        <f t="shared" si="64"/>
        <v/>
      </c>
      <c r="R172" s="3"/>
    </row>
    <row r="173" spans="1:18" ht="22.5" customHeight="1">
      <c r="A173" s="73" t="s">
        <v>34</v>
      </c>
      <c r="B173" s="68" t="s">
        <v>272</v>
      </c>
      <c r="C173" s="32" t="s">
        <v>33</v>
      </c>
      <c r="D173" s="153">
        <v>99.9</v>
      </c>
      <c r="E173" s="153">
        <v>100</v>
      </c>
      <c r="F173" s="153">
        <v>100</v>
      </c>
      <c r="G173" s="153"/>
      <c r="H173" s="153">
        <v>100</v>
      </c>
      <c r="I173" s="153">
        <v>100</v>
      </c>
      <c r="J173" s="760">
        <v>99.8</v>
      </c>
      <c r="K173" s="153">
        <v>100</v>
      </c>
      <c r="L173" s="153"/>
      <c r="M173" s="58">
        <f t="shared" si="60"/>
        <v>100</v>
      </c>
      <c r="N173" s="58">
        <f t="shared" si="61"/>
        <v>100</v>
      </c>
      <c r="O173" s="58">
        <f t="shared" si="62"/>
        <v>99.8</v>
      </c>
      <c r="P173" s="58" t="str">
        <f t="shared" si="63"/>
        <v/>
      </c>
      <c r="Q173" s="58">
        <f t="shared" si="64"/>
        <v>0</v>
      </c>
      <c r="R173" s="3"/>
    </row>
    <row r="174" spans="1:18" ht="22.5" customHeight="1">
      <c r="A174" s="73" t="s">
        <v>35</v>
      </c>
      <c r="B174" s="68" t="s">
        <v>391</v>
      </c>
      <c r="C174" s="32" t="s">
        <v>33</v>
      </c>
      <c r="D174" s="153">
        <v>96.2</v>
      </c>
      <c r="E174" s="153">
        <v>99.8</v>
      </c>
      <c r="F174" s="153">
        <v>100</v>
      </c>
      <c r="G174" s="153"/>
      <c r="H174" s="153">
        <v>99.8</v>
      </c>
      <c r="I174" s="153">
        <v>99.9</v>
      </c>
      <c r="J174" s="760">
        <v>94</v>
      </c>
      <c r="K174" s="153">
        <v>99</v>
      </c>
      <c r="L174" s="153"/>
      <c r="M174" s="58">
        <f t="shared" ref="M174:M193" si="72">IFERROR(I174/E174%,"")</f>
        <v>100.10020040080161</v>
      </c>
      <c r="N174" s="58">
        <f t="shared" ref="N174:N193" si="73">IFERROR(I174/F174%,"")</f>
        <v>99.9</v>
      </c>
      <c r="O174" s="58">
        <f t="shared" si="62"/>
        <v>94.094094094094089</v>
      </c>
      <c r="P174" s="58" t="str">
        <f t="shared" si="63"/>
        <v/>
      </c>
      <c r="Q174" s="58">
        <f t="shared" si="64"/>
        <v>0</v>
      </c>
      <c r="R174" s="3"/>
    </row>
    <row r="175" spans="1:18" ht="22.5" customHeight="1">
      <c r="A175" s="11" t="s">
        <v>50</v>
      </c>
      <c r="B175" s="15" t="s">
        <v>350</v>
      </c>
      <c r="C175" s="32"/>
      <c r="D175" s="13"/>
      <c r="E175" s="13"/>
      <c r="F175" s="13"/>
      <c r="G175" s="13"/>
      <c r="H175" s="13"/>
      <c r="I175" s="13"/>
      <c r="J175" s="750"/>
      <c r="K175" s="13"/>
      <c r="L175" s="13"/>
      <c r="M175" s="66" t="str">
        <f t="shared" si="72"/>
        <v/>
      </c>
      <c r="N175" s="66" t="str">
        <f t="shared" si="73"/>
        <v/>
      </c>
      <c r="O175" s="66" t="str">
        <f t="shared" si="62"/>
        <v/>
      </c>
      <c r="P175" s="66" t="str">
        <f t="shared" si="63"/>
        <v/>
      </c>
      <c r="Q175" s="66" t="str">
        <f t="shared" si="64"/>
        <v/>
      </c>
      <c r="R175" s="3"/>
    </row>
    <row r="176" spans="1:18" ht="22.5" customHeight="1">
      <c r="A176" s="32">
        <v>1</v>
      </c>
      <c r="B176" s="20" t="s">
        <v>351</v>
      </c>
      <c r="C176" s="32" t="s">
        <v>145</v>
      </c>
      <c r="D176" s="13">
        <f>D177+D178</f>
        <v>130</v>
      </c>
      <c r="E176" s="13">
        <f>E177+E178</f>
        <v>130</v>
      </c>
      <c r="F176" s="13">
        <f>F177+F178</f>
        <v>130</v>
      </c>
      <c r="G176" s="13"/>
      <c r="H176" s="13">
        <f>H177+H178</f>
        <v>130</v>
      </c>
      <c r="I176" s="13">
        <f>I177+I178</f>
        <v>130</v>
      </c>
      <c r="J176" s="750">
        <f>J177+J178</f>
        <v>195</v>
      </c>
      <c r="K176" s="13"/>
      <c r="L176" s="13"/>
      <c r="M176" s="58">
        <f t="shared" si="72"/>
        <v>100</v>
      </c>
      <c r="N176" s="58">
        <f t="shared" si="73"/>
        <v>100</v>
      </c>
      <c r="O176" s="58">
        <f t="shared" si="62"/>
        <v>150</v>
      </c>
      <c r="P176" s="58" t="str">
        <f t="shared" si="63"/>
        <v/>
      </c>
      <c r="Q176" s="58">
        <f t="shared" si="64"/>
        <v>0</v>
      </c>
      <c r="R176" s="3"/>
    </row>
    <row r="177" spans="1:19" ht="22.5" customHeight="1">
      <c r="A177" s="32"/>
      <c r="B177" s="20" t="s">
        <v>851</v>
      </c>
      <c r="C177" s="32" t="s">
        <v>145</v>
      </c>
      <c r="D177" s="13">
        <v>85</v>
      </c>
      <c r="E177" s="13">
        <v>85</v>
      </c>
      <c r="F177" s="13">
        <v>85</v>
      </c>
      <c r="G177" s="13"/>
      <c r="H177" s="13">
        <v>85</v>
      </c>
      <c r="I177" s="13">
        <v>85</v>
      </c>
      <c r="J177" s="750">
        <v>150</v>
      </c>
      <c r="K177" s="13"/>
      <c r="L177" s="13"/>
      <c r="M177" s="58">
        <f>IFERROR(I177/E177%,"")</f>
        <v>100</v>
      </c>
      <c r="N177" s="58">
        <f>IFERROR(I177/F177%,"")</f>
        <v>100</v>
      </c>
      <c r="O177" s="58">
        <f t="shared" si="62"/>
        <v>176.47058823529412</v>
      </c>
      <c r="P177" s="58" t="str">
        <f t="shared" si="63"/>
        <v/>
      </c>
      <c r="Q177" s="58">
        <f t="shared" si="64"/>
        <v>0</v>
      </c>
      <c r="R177" s="3"/>
    </row>
    <row r="178" spans="1:19" ht="22.5" customHeight="1">
      <c r="A178" s="32"/>
      <c r="B178" s="20" t="s">
        <v>852</v>
      </c>
      <c r="C178" s="32" t="s">
        <v>145</v>
      </c>
      <c r="D178" s="13">
        <v>45</v>
      </c>
      <c r="E178" s="13">
        <v>45</v>
      </c>
      <c r="F178" s="13">
        <v>45</v>
      </c>
      <c r="G178" s="13"/>
      <c r="H178" s="13">
        <v>45</v>
      </c>
      <c r="I178" s="13">
        <v>45</v>
      </c>
      <c r="J178" s="750">
        <v>45</v>
      </c>
      <c r="K178" s="13"/>
      <c r="L178" s="13"/>
      <c r="M178" s="58">
        <f>IFERROR(I178/E178%,"")</f>
        <v>100</v>
      </c>
      <c r="N178" s="58">
        <f>IFERROR(I178/F178%,"")</f>
        <v>100</v>
      </c>
      <c r="O178" s="58">
        <f t="shared" si="62"/>
        <v>100</v>
      </c>
      <c r="P178" s="58" t="str">
        <f t="shared" si="63"/>
        <v/>
      </c>
      <c r="Q178" s="58">
        <f t="shared" si="64"/>
        <v>0</v>
      </c>
      <c r="R178" s="3"/>
    </row>
    <row r="179" spans="1:19" ht="24" customHeight="1">
      <c r="A179" s="32">
        <v>2</v>
      </c>
      <c r="B179" s="20" t="s">
        <v>451</v>
      </c>
      <c r="C179" s="32" t="s">
        <v>349</v>
      </c>
      <c r="D179" s="13">
        <v>2</v>
      </c>
      <c r="E179" s="13">
        <v>4</v>
      </c>
      <c r="F179" s="13">
        <v>7</v>
      </c>
      <c r="G179" s="13">
        <v>9</v>
      </c>
      <c r="H179" s="13">
        <v>4</v>
      </c>
      <c r="I179" s="13">
        <v>7</v>
      </c>
      <c r="J179" s="750">
        <v>9</v>
      </c>
      <c r="K179" s="13"/>
      <c r="L179" s="13">
        <v>9</v>
      </c>
      <c r="M179" s="58">
        <f t="shared" si="72"/>
        <v>175</v>
      </c>
      <c r="N179" s="58">
        <f t="shared" si="73"/>
        <v>99.999999999999986</v>
      </c>
      <c r="O179" s="58">
        <f t="shared" si="62"/>
        <v>128.57142857142856</v>
      </c>
      <c r="P179" s="58">
        <f t="shared" si="63"/>
        <v>100</v>
      </c>
      <c r="Q179" s="58">
        <f t="shared" si="64"/>
        <v>100</v>
      </c>
      <c r="R179" s="3"/>
    </row>
    <row r="180" spans="1:19" ht="21" customHeight="1">
      <c r="A180" s="32"/>
      <c r="B180" s="47" t="s">
        <v>452</v>
      </c>
      <c r="C180" s="32" t="s">
        <v>33</v>
      </c>
      <c r="D180" s="55">
        <f t="shared" ref="D180:L180" si="74">D179/9%</f>
        <v>22.222222222222221</v>
      </c>
      <c r="E180" s="55">
        <f t="shared" si="74"/>
        <v>44.444444444444443</v>
      </c>
      <c r="F180" s="55">
        <f t="shared" si="74"/>
        <v>77.777777777777786</v>
      </c>
      <c r="G180" s="55">
        <f>G179/9%</f>
        <v>100</v>
      </c>
      <c r="H180" s="55">
        <f t="shared" si="74"/>
        <v>44.444444444444443</v>
      </c>
      <c r="I180" s="55">
        <f t="shared" si="74"/>
        <v>77.777777777777786</v>
      </c>
      <c r="J180" s="759">
        <f t="shared" si="74"/>
        <v>100</v>
      </c>
      <c r="K180" s="55">
        <f t="shared" si="74"/>
        <v>0</v>
      </c>
      <c r="L180" s="55">
        <f t="shared" si="74"/>
        <v>100</v>
      </c>
      <c r="M180" s="58">
        <f t="shared" si="72"/>
        <v>175.00000000000003</v>
      </c>
      <c r="N180" s="58">
        <f t="shared" si="73"/>
        <v>100</v>
      </c>
      <c r="O180" s="58">
        <f t="shared" si="62"/>
        <v>128.57142857142856</v>
      </c>
      <c r="P180" s="58">
        <f t="shared" si="63"/>
        <v>100</v>
      </c>
      <c r="Q180" s="58">
        <f t="shared" si="64"/>
        <v>100</v>
      </c>
      <c r="R180" s="3"/>
    </row>
    <row r="181" spans="1:19" ht="21.75" customHeight="1">
      <c r="A181" s="32">
        <v>3</v>
      </c>
      <c r="B181" s="46" t="s">
        <v>187</v>
      </c>
      <c r="C181" s="32" t="s">
        <v>33</v>
      </c>
      <c r="D181" s="55">
        <v>83.5</v>
      </c>
      <c r="E181" s="55">
        <v>85</v>
      </c>
      <c r="F181" s="55">
        <v>90</v>
      </c>
      <c r="G181" s="55">
        <v>90.3</v>
      </c>
      <c r="H181" s="55"/>
      <c r="I181" s="55">
        <v>86</v>
      </c>
      <c r="J181" s="759">
        <v>90.25</v>
      </c>
      <c r="K181" s="55"/>
      <c r="L181" s="55">
        <v>90.3</v>
      </c>
      <c r="M181" s="58">
        <f t="shared" si="72"/>
        <v>101.17647058823529</v>
      </c>
      <c r="N181" s="58">
        <f t="shared" si="73"/>
        <v>95.555555555555557</v>
      </c>
      <c r="O181" s="58">
        <f t="shared" si="62"/>
        <v>104.94186046511628</v>
      </c>
      <c r="P181" s="58">
        <f t="shared" si="63"/>
        <v>100</v>
      </c>
      <c r="Q181" s="58">
        <f t="shared" si="64"/>
        <v>100.05540166204986</v>
      </c>
      <c r="R181" s="3"/>
    </row>
    <row r="182" spans="1:19" ht="31.5">
      <c r="A182" s="32">
        <v>4</v>
      </c>
      <c r="B182" s="46" t="s">
        <v>412</v>
      </c>
      <c r="C182" s="32" t="s">
        <v>33</v>
      </c>
      <c r="D182" s="74">
        <v>33.1</v>
      </c>
      <c r="E182" s="55">
        <v>31.8</v>
      </c>
      <c r="F182" s="55">
        <v>31.3</v>
      </c>
      <c r="G182" s="55"/>
      <c r="H182" s="55"/>
      <c r="I182" s="55">
        <f>F182</f>
        <v>31.3</v>
      </c>
      <c r="J182" s="759">
        <v>31</v>
      </c>
      <c r="K182" s="55"/>
      <c r="L182" s="55"/>
      <c r="M182" s="58">
        <f t="shared" si="72"/>
        <v>98.427672955974842</v>
      </c>
      <c r="N182" s="58">
        <f t="shared" si="73"/>
        <v>100</v>
      </c>
      <c r="O182" s="58">
        <f t="shared" si="62"/>
        <v>99.04153354632588</v>
      </c>
      <c r="P182" s="58" t="str">
        <f t="shared" si="63"/>
        <v/>
      </c>
      <c r="Q182" s="58">
        <f t="shared" si="64"/>
        <v>0</v>
      </c>
      <c r="R182" s="3"/>
    </row>
    <row r="183" spans="1:19" ht="31.5">
      <c r="A183" s="32">
        <v>5</v>
      </c>
      <c r="B183" s="46" t="s">
        <v>413</v>
      </c>
      <c r="C183" s="32" t="s">
        <v>33</v>
      </c>
      <c r="D183" s="74">
        <v>20.6</v>
      </c>
      <c r="E183" s="55">
        <v>20</v>
      </c>
      <c r="F183" s="55">
        <v>19.5</v>
      </c>
      <c r="G183" s="55"/>
      <c r="H183" s="55"/>
      <c r="I183" s="55">
        <f>F183</f>
        <v>19.5</v>
      </c>
      <c r="J183" s="759">
        <v>18.600000000000001</v>
      </c>
      <c r="K183" s="55"/>
      <c r="L183" s="55"/>
      <c r="M183" s="58">
        <f t="shared" si="72"/>
        <v>97.5</v>
      </c>
      <c r="N183" s="58">
        <f t="shared" si="73"/>
        <v>100</v>
      </c>
      <c r="O183" s="58">
        <f t="shared" si="62"/>
        <v>95.384615384615387</v>
      </c>
      <c r="P183" s="58" t="str">
        <f t="shared" si="63"/>
        <v/>
      </c>
      <c r="Q183" s="58">
        <f t="shared" si="64"/>
        <v>0</v>
      </c>
      <c r="R183" s="3"/>
    </row>
    <row r="184" spans="1:19" ht="31.5">
      <c r="A184" s="11" t="s">
        <v>51</v>
      </c>
      <c r="B184" s="142" t="s">
        <v>192</v>
      </c>
      <c r="C184" s="12"/>
      <c r="D184" s="13"/>
      <c r="E184" s="13"/>
      <c r="F184" s="13"/>
      <c r="G184" s="13"/>
      <c r="H184" s="13"/>
      <c r="I184" s="13"/>
      <c r="J184" s="750"/>
      <c r="K184" s="13"/>
      <c r="L184" s="13"/>
      <c r="M184" s="66" t="str">
        <f t="shared" si="72"/>
        <v/>
      </c>
      <c r="N184" s="66" t="str">
        <f t="shared" si="73"/>
        <v/>
      </c>
      <c r="O184" s="66" t="str">
        <f t="shared" si="62"/>
        <v/>
      </c>
      <c r="P184" s="66" t="str">
        <f t="shared" si="63"/>
        <v/>
      </c>
      <c r="Q184" s="66" t="str">
        <f t="shared" si="64"/>
        <v/>
      </c>
      <c r="R184" s="3"/>
    </row>
    <row r="185" spans="1:19" ht="22.5" customHeight="1">
      <c r="A185" s="11">
        <v>1</v>
      </c>
      <c r="B185" s="63" t="s">
        <v>193</v>
      </c>
      <c r="C185" s="12"/>
      <c r="D185" s="13"/>
      <c r="E185" s="13"/>
      <c r="F185" s="13"/>
      <c r="G185" s="13"/>
      <c r="H185" s="13"/>
      <c r="I185" s="13"/>
      <c r="J185" s="750"/>
      <c r="K185" s="13"/>
      <c r="L185" s="13"/>
      <c r="M185" s="66" t="str">
        <f t="shared" si="72"/>
        <v/>
      </c>
      <c r="N185" s="66" t="str">
        <f t="shared" si="73"/>
        <v/>
      </c>
      <c r="O185" s="66" t="str">
        <f t="shared" si="62"/>
        <v/>
      </c>
      <c r="P185" s="66" t="str">
        <f t="shared" si="63"/>
        <v/>
      </c>
      <c r="Q185" s="66" t="str">
        <f t="shared" si="64"/>
        <v/>
      </c>
      <c r="R185" s="3"/>
    </row>
    <row r="186" spans="1:19" ht="22.5" customHeight="1">
      <c r="A186" s="19"/>
      <c r="B186" s="48" t="s">
        <v>194</v>
      </c>
      <c r="C186" s="21" t="s">
        <v>16</v>
      </c>
      <c r="D186" s="59">
        <v>1560</v>
      </c>
      <c r="E186" s="59">
        <v>1560</v>
      </c>
      <c r="F186" s="59">
        <f>E186</f>
        <v>1560</v>
      </c>
      <c r="G186" s="59">
        <f>E186/2</f>
        <v>780</v>
      </c>
      <c r="H186" s="59">
        <v>1248</v>
      </c>
      <c r="I186" s="59">
        <f>F186</f>
        <v>1560</v>
      </c>
      <c r="J186" s="746">
        <f>I186</f>
        <v>1560</v>
      </c>
      <c r="K186" s="59"/>
      <c r="L186" s="59">
        <f>J186/2</f>
        <v>780</v>
      </c>
      <c r="M186" s="58">
        <f t="shared" si="72"/>
        <v>100</v>
      </c>
      <c r="N186" s="58">
        <f t="shared" si="73"/>
        <v>100</v>
      </c>
      <c r="O186" s="58">
        <f t="shared" si="62"/>
        <v>100</v>
      </c>
      <c r="P186" s="58">
        <f t="shared" si="63"/>
        <v>100</v>
      </c>
      <c r="Q186" s="58">
        <f t="shared" si="64"/>
        <v>50</v>
      </c>
      <c r="R186" s="3"/>
    </row>
    <row r="187" spans="1:19" ht="22.5" customHeight="1">
      <c r="A187" s="19"/>
      <c r="B187" s="48" t="s">
        <v>195</v>
      </c>
      <c r="C187" s="21" t="s">
        <v>16</v>
      </c>
      <c r="D187" s="59">
        <v>21800</v>
      </c>
      <c r="E187" s="59">
        <v>21800</v>
      </c>
      <c r="F187" s="59">
        <f>E187</f>
        <v>21800</v>
      </c>
      <c r="G187" s="59">
        <f>E187/2</f>
        <v>10900</v>
      </c>
      <c r="H187" s="59">
        <v>16320</v>
      </c>
      <c r="I187" s="59">
        <f>F187</f>
        <v>21800</v>
      </c>
      <c r="J187" s="746">
        <f>I187</f>
        <v>21800</v>
      </c>
      <c r="K187" s="59"/>
      <c r="L187" s="59">
        <f>J187/2</f>
        <v>10900</v>
      </c>
      <c r="M187" s="58">
        <f t="shared" si="72"/>
        <v>100</v>
      </c>
      <c r="N187" s="58">
        <f t="shared" si="73"/>
        <v>100</v>
      </c>
      <c r="O187" s="58">
        <f t="shared" si="62"/>
        <v>100</v>
      </c>
      <c r="P187" s="58">
        <f t="shared" si="63"/>
        <v>100</v>
      </c>
      <c r="Q187" s="58">
        <f t="shared" si="64"/>
        <v>50</v>
      </c>
      <c r="R187" s="3"/>
      <c r="S187" s="77"/>
    </row>
    <row r="188" spans="1:19" ht="22.5" customHeight="1">
      <c r="A188" s="11">
        <v>2</v>
      </c>
      <c r="B188" s="63" t="s">
        <v>196</v>
      </c>
      <c r="C188" s="21"/>
      <c r="D188" s="59"/>
      <c r="E188" s="59"/>
      <c r="F188" s="59"/>
      <c r="G188" s="59"/>
      <c r="H188" s="59"/>
      <c r="I188" s="59"/>
      <c r="J188" s="746"/>
      <c r="K188" s="59"/>
      <c r="L188" s="59"/>
      <c r="M188" s="66" t="str">
        <f t="shared" si="72"/>
        <v/>
      </c>
      <c r="N188" s="66" t="str">
        <f t="shared" si="73"/>
        <v/>
      </c>
      <c r="O188" s="66" t="str">
        <f t="shared" si="62"/>
        <v/>
      </c>
      <c r="P188" s="66" t="str">
        <f t="shared" si="63"/>
        <v/>
      </c>
      <c r="Q188" s="66" t="str">
        <f t="shared" si="64"/>
        <v/>
      </c>
      <c r="R188" s="3"/>
    </row>
    <row r="189" spans="1:19" ht="22.5" hidden="1" customHeight="1" outlineLevel="1">
      <c r="A189" s="32"/>
      <c r="B189" s="48" t="s">
        <v>198</v>
      </c>
      <c r="C189" s="21" t="s">
        <v>199</v>
      </c>
      <c r="D189" s="59">
        <v>9233</v>
      </c>
      <c r="E189" s="59">
        <f>E127*E190%</f>
        <v>9781.42</v>
      </c>
      <c r="F189" s="59">
        <f>F127*F190%</f>
        <v>10744.2</v>
      </c>
      <c r="G189" s="59"/>
      <c r="H189" s="59">
        <f>H127*H190%</f>
        <v>0</v>
      </c>
      <c r="I189" s="59">
        <f>I127*I190%</f>
        <v>10215</v>
      </c>
      <c r="J189" s="746">
        <f>J127*J190%</f>
        <v>10519.95</v>
      </c>
      <c r="K189" s="59"/>
      <c r="L189" s="59"/>
      <c r="M189" s="58">
        <f t="shared" si="72"/>
        <v>104.43268973216568</v>
      </c>
      <c r="N189" s="58">
        <f t="shared" si="73"/>
        <v>95.074551851231362</v>
      </c>
      <c r="O189" s="58">
        <f t="shared" si="62"/>
        <v>102.98531571218795</v>
      </c>
      <c r="P189" s="58" t="str">
        <f t="shared" si="63"/>
        <v/>
      </c>
      <c r="Q189" s="58">
        <f t="shared" si="64"/>
        <v>0</v>
      </c>
      <c r="R189" s="3"/>
    </row>
    <row r="190" spans="1:19" ht="22.5" customHeight="1" collapsed="1">
      <c r="A190" s="32" t="s">
        <v>197</v>
      </c>
      <c r="B190" s="48" t="s">
        <v>200</v>
      </c>
      <c r="C190" s="41" t="s">
        <v>33</v>
      </c>
      <c r="D190" s="59">
        <v>85.6</v>
      </c>
      <c r="E190" s="58">
        <v>86.5</v>
      </c>
      <c r="F190" s="58">
        <v>90</v>
      </c>
      <c r="G190" s="58"/>
      <c r="H190" s="58"/>
      <c r="I190" s="58">
        <f>F190</f>
        <v>90</v>
      </c>
      <c r="J190" s="747">
        <v>90.3</v>
      </c>
      <c r="K190" s="58"/>
      <c r="L190" s="58"/>
      <c r="M190" s="58">
        <f t="shared" si="72"/>
        <v>104.04624277456648</v>
      </c>
      <c r="N190" s="58">
        <f t="shared" si="73"/>
        <v>100</v>
      </c>
      <c r="O190" s="58">
        <f t="shared" si="62"/>
        <v>100.33333333333333</v>
      </c>
      <c r="P190" s="58" t="str">
        <f t="shared" si="63"/>
        <v/>
      </c>
      <c r="Q190" s="58">
        <f t="shared" si="64"/>
        <v>0</v>
      </c>
      <c r="R190" s="3"/>
    </row>
    <row r="191" spans="1:19" ht="22.5" hidden="1" customHeight="1" outlineLevel="1">
      <c r="A191" s="32"/>
      <c r="B191" s="48" t="s">
        <v>202</v>
      </c>
      <c r="C191" s="21" t="s">
        <v>203</v>
      </c>
      <c r="D191" s="59">
        <v>58</v>
      </c>
      <c r="E191" s="58">
        <f>67*E192%</f>
        <v>57.954999999999998</v>
      </c>
      <c r="F191" s="58">
        <f>67*F192%</f>
        <v>60.97</v>
      </c>
      <c r="G191" s="59"/>
      <c r="H191" s="58">
        <f>67*H192%</f>
        <v>0</v>
      </c>
      <c r="I191" s="58">
        <f>67*I192%</f>
        <v>60.97</v>
      </c>
      <c r="J191" s="746">
        <v>61</v>
      </c>
      <c r="K191" s="59"/>
      <c r="L191" s="59"/>
      <c r="M191" s="58">
        <f t="shared" si="72"/>
        <v>105.20231213872832</v>
      </c>
      <c r="N191" s="58">
        <f t="shared" si="73"/>
        <v>100</v>
      </c>
      <c r="O191" s="58">
        <f t="shared" si="62"/>
        <v>100.04920452681647</v>
      </c>
      <c r="P191" s="58" t="str">
        <f t="shared" si="63"/>
        <v/>
      </c>
      <c r="Q191" s="58">
        <f t="shared" si="64"/>
        <v>0</v>
      </c>
      <c r="R191" s="3"/>
    </row>
    <row r="192" spans="1:19" ht="22.5" customHeight="1" collapsed="1">
      <c r="A192" s="32" t="s">
        <v>201</v>
      </c>
      <c r="B192" s="48" t="s">
        <v>171</v>
      </c>
      <c r="C192" s="41" t="s">
        <v>33</v>
      </c>
      <c r="D192" s="59">
        <f>D191/67%</f>
        <v>86.567164179104466</v>
      </c>
      <c r="E192" s="58">
        <v>86.5</v>
      </c>
      <c r="F192" s="58">
        <v>91</v>
      </c>
      <c r="G192" s="58"/>
      <c r="H192" s="58"/>
      <c r="I192" s="58">
        <v>91</v>
      </c>
      <c r="J192" s="747">
        <v>100</v>
      </c>
      <c r="K192" s="58"/>
      <c r="L192" s="58"/>
      <c r="M192" s="58">
        <f t="shared" si="72"/>
        <v>105.20231213872833</v>
      </c>
      <c r="N192" s="58">
        <f t="shared" si="73"/>
        <v>100</v>
      </c>
      <c r="O192" s="58">
        <f t="shared" si="62"/>
        <v>109.89010989010988</v>
      </c>
      <c r="P192" s="58" t="str">
        <f t="shared" si="63"/>
        <v/>
      </c>
      <c r="Q192" s="58">
        <f t="shared" si="64"/>
        <v>0</v>
      </c>
      <c r="R192" s="3"/>
    </row>
    <row r="193" spans="1:18" ht="22.5" customHeight="1">
      <c r="A193" s="32" t="s">
        <v>354</v>
      </c>
      <c r="B193" s="20" t="s">
        <v>356</v>
      </c>
      <c r="C193" s="32" t="s">
        <v>61</v>
      </c>
      <c r="D193" s="59">
        <v>4</v>
      </c>
      <c r="E193" s="59">
        <v>4</v>
      </c>
      <c r="F193" s="59">
        <v>4</v>
      </c>
      <c r="G193" s="59">
        <v>7</v>
      </c>
      <c r="H193" s="59">
        <v>4</v>
      </c>
      <c r="I193" s="59">
        <v>4</v>
      </c>
      <c r="J193" s="746">
        <v>8</v>
      </c>
      <c r="K193" s="59"/>
      <c r="L193" s="59">
        <v>8</v>
      </c>
      <c r="M193" s="58">
        <f t="shared" si="72"/>
        <v>100</v>
      </c>
      <c r="N193" s="58">
        <f t="shared" si="73"/>
        <v>100</v>
      </c>
      <c r="O193" s="58">
        <f t="shared" si="62"/>
        <v>200</v>
      </c>
      <c r="P193" s="58">
        <f t="shared" si="63"/>
        <v>114.28571428571428</v>
      </c>
      <c r="Q193" s="58">
        <f t="shared" si="64"/>
        <v>100</v>
      </c>
      <c r="R193" s="3"/>
    </row>
    <row r="194" spans="1:18" ht="10.5" customHeight="1">
      <c r="A194" s="4"/>
      <c r="B194" s="64"/>
      <c r="C194" s="4"/>
      <c r="D194" s="64"/>
      <c r="E194" s="64"/>
      <c r="F194" s="64"/>
      <c r="G194" s="64"/>
      <c r="H194" s="64"/>
      <c r="I194" s="64"/>
      <c r="J194" s="761"/>
      <c r="K194" s="64"/>
      <c r="L194" s="64"/>
      <c r="M194" s="64"/>
      <c r="N194" s="64"/>
      <c r="O194" s="64"/>
      <c r="P194" s="64"/>
      <c r="Q194" s="64"/>
      <c r="R194" s="64"/>
    </row>
  </sheetData>
  <mergeCells count="12">
    <mergeCell ref="A3:R3"/>
    <mergeCell ref="A2:R2"/>
    <mergeCell ref="A1:R1"/>
    <mergeCell ref="R5:R6"/>
    <mergeCell ref="D5:D6"/>
    <mergeCell ref="E5:E6"/>
    <mergeCell ref="A5:A6"/>
    <mergeCell ref="B5:B6"/>
    <mergeCell ref="C5:C6"/>
    <mergeCell ref="J5:L5"/>
    <mergeCell ref="M5:Q5"/>
    <mergeCell ref="G5:G6"/>
  </mergeCells>
  <printOptions horizontalCentered="1"/>
  <pageMargins left="0.47244094488188981" right="0.47244094488188981" top="0.78740157480314965" bottom="0.47244094488188981" header="0.31496062992125984" footer="0.31496062992125984"/>
  <pageSetup paperSize="9" fitToHeight="0" orientation="landscape" r:id="rId1"/>
  <headerFooter>
    <oddFooter>&amp;R&amp;"Times New Roman,Regular"&amp;14&amp;P/&amp;N</oddFooter>
  </headerFooter>
  <ignoredErrors>
    <ignoredError sqref="E128 E26:F28 E30:F33 D59 D46 D48 D32 D26 D60:E60 D41:D43 F59:F60 R48:R54 R55:S56 S57:S58 R20:R34 R36:S45 H42:I42 R57:R61 I60 H27:I31 H44:I44 J42 J16 J49 J31 H61:J61 J55:J56 J20:J23 O42:O45 O20:O31 O48:O56 E41:F44 D57:F58 O16:O17 R16:R17 O32:O34 O36:O41 J37:J41 H32:I33 H41:I41 H35:I35 K41:N41 K33:N33 H36:I40 K36:N36 P41 P36:P40 H34:I34 P34 P32:P33 J24 H26:I26 H24:I24 K26 K25 O60:O61 O57:O59 J57:J58 H57:I58 H59:I59 K57:N58 P59:Q59 P57:Q58 M34:N34 M59:N59 J51 H25:I25 K34 K38:N40 K37 M37:N37 K59 K35:P35 K32 M32:N32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94"/>
  <sheetViews>
    <sheetView zoomScale="85" zoomScaleNormal="85" zoomScaleSheetLayoutView="100" workbookViewId="0">
      <pane xSplit="2" ySplit="8" topLeftCell="C15" activePane="bottomRight" state="frozen"/>
      <selection activeCell="I116" sqref="I116"/>
      <selection pane="topRight" activeCell="I116" sqref="I116"/>
      <selection pane="bottomLeft" activeCell="I116" sqref="I116"/>
      <selection pane="bottomRight" activeCell="L34" sqref="L34"/>
    </sheetView>
  </sheetViews>
  <sheetFormatPr defaultColWidth="9.140625" defaultRowHeight="15.75" outlineLevelRow="1" outlineLevelCol="1"/>
  <cols>
    <col min="1" max="1" width="5.5703125" style="65" customWidth="1"/>
    <col min="2" max="2" width="39.140625" style="5" customWidth="1"/>
    <col min="3" max="3" width="12.140625" style="65" customWidth="1"/>
    <col min="4" max="6" width="12.140625" style="5" hidden="1" customWidth="1" outlineLevel="1"/>
    <col min="7" max="7" width="12.140625" style="5" customWidth="1" collapsed="1"/>
    <col min="8" max="9" width="12.140625" style="5" hidden="1" customWidth="1" outlineLevel="1"/>
    <col min="10" max="10" width="12.140625" style="5" customWidth="1" collapsed="1"/>
    <col min="11" max="11" width="12.140625" style="5" hidden="1" customWidth="1" outlineLevel="1"/>
    <col min="12" max="12" width="12.140625" style="5" customWidth="1" collapsed="1"/>
    <col min="13" max="15" width="12.140625" style="5" hidden="1" customWidth="1" outlineLevel="1"/>
    <col min="16" max="16" width="12.140625" style="5" customWidth="1" collapsed="1"/>
    <col min="17" max="18" width="12.140625" style="5" customWidth="1"/>
    <col min="19" max="19" width="10.5703125" style="5" bestFit="1" customWidth="1"/>
    <col min="20" max="20" width="13.7109375" style="5" hidden="1" customWidth="1" outlineLevel="1"/>
    <col min="21" max="21" width="9.140625" style="5" collapsed="1"/>
    <col min="22" max="16384" width="9.140625" style="5"/>
  </cols>
  <sheetData>
    <row r="1" spans="1:20" ht="18.75" hidden="1" outlineLevel="1">
      <c r="A1" s="768" t="s">
        <v>166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  <c r="O1" s="768"/>
      <c r="P1" s="768"/>
      <c r="Q1" s="768"/>
      <c r="R1" s="768"/>
    </row>
    <row r="2" spans="1:20" ht="18.75" hidden="1" outlineLevel="1">
      <c r="A2" s="769" t="s">
        <v>1051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  <c r="O2" s="769"/>
      <c r="P2" s="769"/>
      <c r="Q2" s="769"/>
      <c r="R2" s="769"/>
    </row>
    <row r="3" spans="1:20" ht="18.75" hidden="1" outlineLevel="1">
      <c r="A3" s="770" t="s">
        <v>724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  <c r="O3" s="770"/>
      <c r="P3" s="770"/>
      <c r="Q3" s="770"/>
      <c r="R3" s="770"/>
    </row>
    <row r="4" spans="1:20" hidden="1" outlineLevel="1">
      <c r="A4" s="7"/>
      <c r="B4" s="2"/>
      <c r="C4" s="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0" ht="16.5" customHeight="1" collapsed="1">
      <c r="A5" s="771" t="s">
        <v>55</v>
      </c>
      <c r="B5" s="772" t="s">
        <v>69</v>
      </c>
      <c r="C5" s="772" t="s">
        <v>18</v>
      </c>
      <c r="D5" s="772" t="s">
        <v>361</v>
      </c>
      <c r="E5" s="772" t="s">
        <v>415</v>
      </c>
      <c r="F5" s="719" t="s">
        <v>514</v>
      </c>
      <c r="G5" s="764" t="s">
        <v>1040</v>
      </c>
      <c r="H5" s="719" t="s">
        <v>514</v>
      </c>
      <c r="I5" s="719" t="s">
        <v>514</v>
      </c>
      <c r="J5" s="772" t="s">
        <v>864</v>
      </c>
      <c r="K5" s="772"/>
      <c r="L5" s="772"/>
      <c r="M5" s="797" t="s">
        <v>475</v>
      </c>
      <c r="N5" s="812"/>
      <c r="O5" s="812"/>
      <c r="P5" s="812"/>
      <c r="Q5" s="814"/>
      <c r="R5" s="766" t="s">
        <v>75</v>
      </c>
    </row>
    <row r="6" spans="1:20" ht="31.5">
      <c r="A6" s="771"/>
      <c r="B6" s="772"/>
      <c r="C6" s="771"/>
      <c r="D6" s="772"/>
      <c r="E6" s="771"/>
      <c r="F6" s="715" t="s">
        <v>470</v>
      </c>
      <c r="G6" s="765"/>
      <c r="H6" s="715" t="s">
        <v>832</v>
      </c>
      <c r="I6" s="715" t="s">
        <v>1038</v>
      </c>
      <c r="J6" s="716" t="s">
        <v>470</v>
      </c>
      <c r="K6" s="715" t="s">
        <v>1039</v>
      </c>
      <c r="L6" s="716" t="s">
        <v>1030</v>
      </c>
      <c r="M6" s="715" t="s">
        <v>836</v>
      </c>
      <c r="N6" s="715" t="s">
        <v>839</v>
      </c>
      <c r="O6" s="714" t="s">
        <v>837</v>
      </c>
      <c r="P6" s="714" t="s">
        <v>471</v>
      </c>
      <c r="Q6" s="715" t="s">
        <v>470</v>
      </c>
      <c r="R6" s="767"/>
    </row>
    <row r="7" spans="1:20">
      <c r="A7" s="717" t="s">
        <v>40</v>
      </c>
      <c r="B7" s="717" t="s">
        <v>43</v>
      </c>
      <c r="C7" s="717" t="s">
        <v>176</v>
      </c>
      <c r="D7" s="717"/>
      <c r="E7" s="717">
        <v>4</v>
      </c>
      <c r="F7" s="717">
        <v>5</v>
      </c>
      <c r="G7" s="717">
        <v>1</v>
      </c>
      <c r="H7" s="717"/>
      <c r="I7" s="717">
        <v>6</v>
      </c>
      <c r="J7" s="717">
        <v>2</v>
      </c>
      <c r="K7" s="717"/>
      <c r="L7" s="717">
        <v>3</v>
      </c>
      <c r="M7" s="718" t="s">
        <v>833</v>
      </c>
      <c r="N7" s="718" t="s">
        <v>834</v>
      </c>
      <c r="O7" s="717" t="s">
        <v>835</v>
      </c>
      <c r="P7" s="717">
        <v>4</v>
      </c>
      <c r="Q7" s="717">
        <v>5</v>
      </c>
      <c r="R7" s="717">
        <v>6</v>
      </c>
    </row>
    <row r="8" spans="1:20" ht="20.25" customHeight="1">
      <c r="A8" s="301"/>
      <c r="B8" s="302" t="s">
        <v>167</v>
      </c>
      <c r="C8" s="301"/>
      <c r="D8" s="303"/>
      <c r="E8" s="301"/>
      <c r="F8" s="301"/>
      <c r="G8" s="301"/>
      <c r="H8" s="301"/>
      <c r="I8" s="301"/>
      <c r="J8" s="301"/>
      <c r="K8" s="301"/>
      <c r="L8" s="301"/>
      <c r="M8" s="301"/>
      <c r="N8" s="321"/>
      <c r="O8" s="321"/>
      <c r="P8" s="321"/>
      <c r="Q8" s="321"/>
      <c r="R8" s="128"/>
    </row>
    <row r="9" spans="1:20" ht="19.5" customHeight="1" collapsed="1">
      <c r="A9" s="11" t="s">
        <v>40</v>
      </c>
      <c r="B9" s="142" t="s">
        <v>332</v>
      </c>
      <c r="C9" s="12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66"/>
      <c r="O9" s="66"/>
      <c r="P9" s="66"/>
      <c r="Q9" s="66"/>
      <c r="R9" s="66"/>
      <c r="S9" s="14"/>
    </row>
    <row r="10" spans="1:20" s="18" customFormat="1" ht="19.5" customHeight="1">
      <c r="A10" s="11" t="s">
        <v>38</v>
      </c>
      <c r="B10" s="15" t="s">
        <v>172</v>
      </c>
      <c r="C10" s="12" t="s">
        <v>130</v>
      </c>
      <c r="D10" s="16">
        <v>347871</v>
      </c>
      <c r="E10" s="16">
        <v>313038</v>
      </c>
      <c r="F10" s="16">
        <v>277205</v>
      </c>
      <c r="G10" s="16">
        <v>207474</v>
      </c>
      <c r="H10" s="16">
        <v>239423</v>
      </c>
      <c r="I10" s="16">
        <v>360655</v>
      </c>
      <c r="J10" s="16">
        <v>312703</v>
      </c>
      <c r="K10" s="16">
        <v>175768</v>
      </c>
      <c r="L10" s="16">
        <v>198868.98</v>
      </c>
      <c r="M10" s="66">
        <f t="shared" ref="M10:M72" si="0">IFERROR(I10/E10%,"")</f>
        <v>115.2112523080265</v>
      </c>
      <c r="N10" s="66">
        <f t="shared" ref="N10:N72" si="1">IFERROR(I10/F10%,"")</f>
        <v>130.10407460182896</v>
      </c>
      <c r="O10" s="66">
        <f t="shared" ref="O10:O17" si="2">IFERROR(J10/I10%,"")</f>
        <v>86.704190985845187</v>
      </c>
      <c r="P10" s="66">
        <f t="shared" ref="P10:P72" si="3">IFERROR(L10/G10%,"")</f>
        <v>95.852482720726471</v>
      </c>
      <c r="Q10" s="66">
        <f t="shared" ref="Q10:Q72" si="4">IFERROR(L10/J10%,"")</f>
        <v>63.596761143960883</v>
      </c>
      <c r="R10" s="83"/>
      <c r="S10" s="17"/>
      <c r="T10" s="358">
        <v>313722</v>
      </c>
    </row>
    <row r="11" spans="1:20" ht="19.5" customHeight="1">
      <c r="A11" s="19" t="s">
        <v>155</v>
      </c>
      <c r="B11" s="20" t="s">
        <v>173</v>
      </c>
      <c r="C11" s="21" t="s">
        <v>130</v>
      </c>
      <c r="D11" s="22">
        <v>90496</v>
      </c>
      <c r="E11" s="22">
        <v>104622</v>
      </c>
      <c r="F11" s="22">
        <v>82860</v>
      </c>
      <c r="G11" s="22">
        <v>49146</v>
      </c>
      <c r="H11" s="22">
        <v>98907</v>
      </c>
      <c r="I11" s="22">
        <v>111075</v>
      </c>
      <c r="J11" s="22">
        <v>98770</v>
      </c>
      <c r="K11" s="22">
        <v>56922</v>
      </c>
      <c r="L11" s="22">
        <v>63590</v>
      </c>
      <c r="M11" s="58">
        <f t="shared" si="0"/>
        <v>106.16791879337042</v>
      </c>
      <c r="N11" s="58">
        <f t="shared" si="1"/>
        <v>134.05141202027517</v>
      </c>
      <c r="O11" s="58">
        <f t="shared" si="2"/>
        <v>88.921899617375644</v>
      </c>
      <c r="P11" s="58">
        <f t="shared" si="3"/>
        <v>129.38998087331623</v>
      </c>
      <c r="Q11" s="58">
        <f t="shared" si="4"/>
        <v>64.381897337248148</v>
      </c>
      <c r="R11" s="3"/>
      <c r="S11" s="14"/>
      <c r="T11" s="359">
        <v>98700</v>
      </c>
    </row>
    <row r="12" spans="1:20" s="42" customFormat="1" ht="19.5" customHeight="1">
      <c r="A12" s="71"/>
      <c r="B12" s="62" t="s">
        <v>455</v>
      </c>
      <c r="C12" s="41" t="s">
        <v>130</v>
      </c>
      <c r="D12" s="72">
        <v>84999</v>
      </c>
      <c r="E12" s="72">
        <v>71796</v>
      </c>
      <c r="F12" s="72">
        <v>70788</v>
      </c>
      <c r="G12" s="72">
        <v>38205</v>
      </c>
      <c r="H12" s="72">
        <v>79682.86</v>
      </c>
      <c r="I12" s="72">
        <v>89040.21</v>
      </c>
      <c r="J12" s="72">
        <v>80858</v>
      </c>
      <c r="K12" s="72">
        <v>42836</v>
      </c>
      <c r="L12" s="72">
        <v>48530</v>
      </c>
      <c r="M12" s="85">
        <f t="shared" si="0"/>
        <v>124.01834364031423</v>
      </c>
      <c r="N12" s="85">
        <f t="shared" si="1"/>
        <v>125.78432785217835</v>
      </c>
      <c r="O12" s="85">
        <f t="shared" si="2"/>
        <v>90.81065734234005</v>
      </c>
      <c r="P12" s="85">
        <f t="shared" si="3"/>
        <v>127.02525847402173</v>
      </c>
      <c r="Q12" s="85">
        <f t="shared" si="4"/>
        <v>60.018798387296243</v>
      </c>
      <c r="R12" s="84"/>
      <c r="S12" s="14"/>
      <c r="T12" s="359">
        <v>80858</v>
      </c>
    </row>
    <row r="13" spans="1:20" s="18" customFormat="1" ht="18.75" customHeight="1">
      <c r="A13" s="11" t="s">
        <v>39</v>
      </c>
      <c r="B13" s="15" t="s">
        <v>174</v>
      </c>
      <c r="C13" s="12" t="s">
        <v>130</v>
      </c>
      <c r="D13" s="16">
        <v>308217</v>
      </c>
      <c r="E13" s="16">
        <v>300633</v>
      </c>
      <c r="F13" s="16">
        <v>265133</v>
      </c>
      <c r="G13" s="16">
        <v>148884</v>
      </c>
      <c r="H13" s="16">
        <v>205352</v>
      </c>
      <c r="I13" s="16">
        <v>300789</v>
      </c>
      <c r="J13" s="16">
        <v>294791</v>
      </c>
      <c r="K13" s="16">
        <v>135663</v>
      </c>
      <c r="L13" s="16">
        <v>147395.5</v>
      </c>
      <c r="M13" s="66">
        <f t="shared" si="0"/>
        <v>100.05189051102175</v>
      </c>
      <c r="N13" s="66">
        <f t="shared" si="1"/>
        <v>113.4483447929907</v>
      </c>
      <c r="O13" s="66">
        <f t="shared" si="2"/>
        <v>98.005911120419967</v>
      </c>
      <c r="P13" s="66">
        <f t="shared" si="3"/>
        <v>99.000228365707542</v>
      </c>
      <c r="Q13" s="66">
        <f t="shared" si="4"/>
        <v>50</v>
      </c>
      <c r="R13" s="83"/>
      <c r="S13" s="17"/>
      <c r="T13" s="358">
        <v>295880</v>
      </c>
    </row>
    <row r="14" spans="1:20" ht="20.25" customHeight="1">
      <c r="A14" s="19" t="s">
        <v>155</v>
      </c>
      <c r="B14" s="20" t="s">
        <v>175</v>
      </c>
      <c r="C14" s="21" t="s">
        <v>130</v>
      </c>
      <c r="D14" s="22">
        <v>239615</v>
      </c>
      <c r="E14" s="22">
        <v>264543</v>
      </c>
      <c r="F14" s="22">
        <v>232779</v>
      </c>
      <c r="G14" s="22">
        <v>92574</v>
      </c>
      <c r="H14" s="22">
        <v>177506</v>
      </c>
      <c r="I14" s="22">
        <v>252381</v>
      </c>
      <c r="J14" s="22">
        <v>245608</v>
      </c>
      <c r="K14" s="22">
        <v>119515</v>
      </c>
      <c r="L14" s="22">
        <v>122804</v>
      </c>
      <c r="M14" s="58">
        <f t="shared" si="0"/>
        <v>95.402637756432796</v>
      </c>
      <c r="N14" s="58">
        <f t="shared" si="1"/>
        <v>108.42086270668746</v>
      </c>
      <c r="O14" s="58">
        <f t="shared" si="2"/>
        <v>97.316358996913394</v>
      </c>
      <c r="P14" s="58">
        <f t="shared" si="3"/>
        <v>132.65495711538878</v>
      </c>
      <c r="Q14" s="58">
        <f t="shared" si="4"/>
        <v>50</v>
      </c>
      <c r="R14" s="3"/>
      <c r="S14" s="14"/>
      <c r="T14" s="359">
        <v>245608</v>
      </c>
    </row>
    <row r="15" spans="1:20" ht="20.25" customHeight="1">
      <c r="A15" s="11"/>
      <c r="B15" s="30" t="s">
        <v>177</v>
      </c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66" t="str">
        <f t="shared" si="0"/>
        <v/>
      </c>
      <c r="N15" s="66" t="str">
        <f t="shared" si="1"/>
        <v/>
      </c>
      <c r="O15" s="66" t="str">
        <f t="shared" si="2"/>
        <v/>
      </c>
      <c r="P15" s="66" t="str">
        <f t="shared" si="3"/>
        <v/>
      </c>
      <c r="Q15" s="66" t="str">
        <f t="shared" si="4"/>
        <v/>
      </c>
      <c r="R15" s="66"/>
    </row>
    <row r="16" spans="1:20" ht="20.25" customHeight="1">
      <c r="A16" s="32" t="s">
        <v>56</v>
      </c>
      <c r="B16" s="35" t="s">
        <v>401</v>
      </c>
      <c r="C16" s="32" t="s">
        <v>37</v>
      </c>
      <c r="D16" s="29">
        <f t="shared" ref="D16:L16" si="5">D17+D69</f>
        <v>17898.73</v>
      </c>
      <c r="E16" s="29">
        <f t="shared" si="5"/>
        <v>17734.400000000001</v>
      </c>
      <c r="F16" s="29">
        <f t="shared" si="5"/>
        <v>18028.099999999999</v>
      </c>
      <c r="G16" s="29">
        <f t="shared" si="5"/>
        <v>17645.97</v>
      </c>
      <c r="H16" s="29">
        <f t="shared" si="5"/>
        <v>17663.870000000003</v>
      </c>
      <c r="I16" s="29">
        <f t="shared" si="5"/>
        <v>17714.47</v>
      </c>
      <c r="J16" s="29">
        <f t="shared" si="5"/>
        <v>17341.599999999999</v>
      </c>
      <c r="K16" s="29">
        <f t="shared" si="5"/>
        <v>16026.900000000001</v>
      </c>
      <c r="L16" s="29">
        <f t="shared" si="5"/>
        <v>17425</v>
      </c>
      <c r="M16" s="58">
        <f t="shared" si="0"/>
        <v>99.887619541681701</v>
      </c>
      <c r="N16" s="58">
        <f t="shared" si="1"/>
        <v>98.260326934064068</v>
      </c>
      <c r="O16" s="58">
        <f t="shared" si="2"/>
        <v>97.895110607317065</v>
      </c>
      <c r="P16" s="58">
        <f t="shared" si="3"/>
        <v>98.747759403421853</v>
      </c>
      <c r="Q16" s="58">
        <f t="shared" si="4"/>
        <v>100.48092448217004</v>
      </c>
      <c r="R16" s="3"/>
    </row>
    <row r="17" spans="1:18" ht="17.25" customHeight="1">
      <c r="A17" s="11" t="s">
        <v>38</v>
      </c>
      <c r="B17" s="30" t="s">
        <v>439</v>
      </c>
      <c r="C17" s="11" t="s">
        <v>37</v>
      </c>
      <c r="D17" s="27">
        <f t="shared" ref="D17:L17" si="6">D20+D49+D56+D52+D65</f>
        <v>8084.73</v>
      </c>
      <c r="E17" s="27">
        <f t="shared" si="6"/>
        <v>7662.8</v>
      </c>
      <c r="F17" s="27">
        <f t="shared" si="6"/>
        <v>7906</v>
      </c>
      <c r="G17" s="27">
        <f t="shared" si="6"/>
        <v>7565.77</v>
      </c>
      <c r="H17" s="27">
        <f t="shared" si="6"/>
        <v>7245.17</v>
      </c>
      <c r="I17" s="27">
        <f t="shared" si="6"/>
        <v>7250.57</v>
      </c>
      <c r="J17" s="27">
        <f t="shared" si="6"/>
        <v>6910.4</v>
      </c>
      <c r="K17" s="27">
        <f t="shared" si="6"/>
        <v>5997.3</v>
      </c>
      <c r="L17" s="27">
        <f t="shared" si="6"/>
        <v>7010.8</v>
      </c>
      <c r="M17" s="66">
        <f t="shared" si="0"/>
        <v>94.620373753719264</v>
      </c>
      <c r="N17" s="66">
        <f t="shared" si="1"/>
        <v>91.709714141158614</v>
      </c>
      <c r="O17" s="66">
        <f t="shared" si="2"/>
        <v>95.308368859275902</v>
      </c>
      <c r="P17" s="66">
        <f t="shared" si="3"/>
        <v>92.664725467467292</v>
      </c>
      <c r="Q17" s="66">
        <f t="shared" si="4"/>
        <v>101.45288261171568</v>
      </c>
      <c r="R17" s="3"/>
    </row>
    <row r="18" spans="1:18" ht="17.25" customHeight="1">
      <c r="A18" s="11" t="s">
        <v>56</v>
      </c>
      <c r="B18" s="35" t="s">
        <v>504</v>
      </c>
      <c r="C18" s="11"/>
      <c r="D18" s="29">
        <f>D28+D43+D52+D59</f>
        <v>732.03</v>
      </c>
      <c r="E18" s="29">
        <f t="shared" ref="E18:L18" si="7">E28+E43+E52+E59</f>
        <v>756.7</v>
      </c>
      <c r="F18" s="29">
        <f t="shared" si="7"/>
        <v>747</v>
      </c>
      <c r="G18" s="29">
        <f t="shared" si="7"/>
        <v>743.77</v>
      </c>
      <c r="H18" s="29">
        <f t="shared" si="7"/>
        <v>751.17000000000007</v>
      </c>
      <c r="I18" s="29">
        <f t="shared" si="7"/>
        <v>751.17000000000007</v>
      </c>
      <c r="J18" s="29">
        <f t="shared" si="7"/>
        <v>738</v>
      </c>
      <c r="K18" s="29">
        <f t="shared" si="7"/>
        <v>602.30000000000007</v>
      </c>
      <c r="L18" s="29">
        <f t="shared" si="7"/>
        <v>741.80000000000007</v>
      </c>
      <c r="M18" s="66"/>
      <c r="N18" s="66"/>
      <c r="O18" s="66"/>
      <c r="P18" s="58">
        <f t="shared" si="3"/>
        <v>99.735133172889491</v>
      </c>
      <c r="Q18" s="58">
        <f t="shared" si="4"/>
        <v>100.5149051490515</v>
      </c>
      <c r="R18" s="3"/>
    </row>
    <row r="19" spans="1:18" ht="17.25" customHeight="1">
      <c r="A19" s="11" t="s">
        <v>56</v>
      </c>
      <c r="B19" s="35" t="s">
        <v>503</v>
      </c>
      <c r="C19" s="11"/>
      <c r="D19" s="29">
        <f>D31+D46+D49+D62</f>
        <v>7345.2</v>
      </c>
      <c r="E19" s="29">
        <f t="shared" ref="E19:L19" si="8">E31+E46+E49+E62</f>
        <v>6874.9</v>
      </c>
      <c r="F19" s="29">
        <f t="shared" si="8"/>
        <v>7127</v>
      </c>
      <c r="G19" s="29">
        <f t="shared" si="8"/>
        <v>6790</v>
      </c>
      <c r="H19" s="29">
        <f t="shared" si="8"/>
        <v>6462</v>
      </c>
      <c r="I19" s="29">
        <f t="shared" si="8"/>
        <v>6462</v>
      </c>
      <c r="J19" s="29">
        <f t="shared" si="8"/>
        <v>6135</v>
      </c>
      <c r="K19" s="29">
        <f t="shared" si="8"/>
        <v>5377</v>
      </c>
      <c r="L19" s="29">
        <f t="shared" si="8"/>
        <v>6232</v>
      </c>
      <c r="M19" s="66"/>
      <c r="N19" s="66"/>
      <c r="O19" s="66"/>
      <c r="P19" s="58">
        <f t="shared" si="3"/>
        <v>91.782032400589088</v>
      </c>
      <c r="Q19" s="58">
        <f t="shared" si="4"/>
        <v>101.58109209453953</v>
      </c>
      <c r="R19" s="3"/>
    </row>
    <row r="20" spans="1:18" s="18" customFormat="1" ht="17.25" customHeight="1">
      <c r="A20" s="11">
        <v>1</v>
      </c>
      <c r="B20" s="30" t="s">
        <v>22</v>
      </c>
      <c r="C20" s="11" t="s">
        <v>37</v>
      </c>
      <c r="D20" s="27">
        <f t="shared" ref="D20:L20" si="9">D25+D40</f>
        <v>1649.23</v>
      </c>
      <c r="E20" s="27">
        <f t="shared" si="9"/>
        <v>1641.6</v>
      </c>
      <c r="F20" s="27">
        <f t="shared" si="9"/>
        <v>1614</v>
      </c>
      <c r="G20" s="27">
        <f t="shared" si="9"/>
        <v>1618.87</v>
      </c>
      <c r="H20" s="27">
        <f t="shared" si="9"/>
        <v>1646.3700000000001</v>
      </c>
      <c r="I20" s="27">
        <f t="shared" si="9"/>
        <v>1646.3700000000001</v>
      </c>
      <c r="J20" s="27">
        <f t="shared" si="9"/>
        <v>1613</v>
      </c>
      <c r="K20" s="27">
        <f t="shared" si="9"/>
        <v>893.2</v>
      </c>
      <c r="L20" s="27">
        <f t="shared" si="9"/>
        <v>1660.7</v>
      </c>
      <c r="M20" s="66">
        <f t="shared" si="0"/>
        <v>100.2905701754386</v>
      </c>
      <c r="N20" s="66">
        <f t="shared" si="1"/>
        <v>102.00557620817844</v>
      </c>
      <c r="O20" s="66">
        <f t="shared" ref="O20:O72" si="10">IFERROR(J20/I20%,"")</f>
        <v>97.973116614126823</v>
      </c>
      <c r="P20" s="66">
        <f t="shared" si="3"/>
        <v>102.58390111621071</v>
      </c>
      <c r="Q20" s="66">
        <f t="shared" si="4"/>
        <v>102.95722256664601</v>
      </c>
      <c r="R20" s="83"/>
    </row>
    <row r="21" spans="1:18" ht="17.25" customHeight="1">
      <c r="A21" s="32" t="s">
        <v>56</v>
      </c>
      <c r="B21" s="35" t="s">
        <v>23</v>
      </c>
      <c r="C21" s="34" t="s">
        <v>20</v>
      </c>
      <c r="D21" s="29">
        <f t="shared" ref="D21:J21" si="11">SUM(D22:D23)</f>
        <v>6733.6763900000005</v>
      </c>
      <c r="E21" s="29">
        <f t="shared" si="11"/>
        <v>7129.6886000000004</v>
      </c>
      <c r="F21" s="29">
        <f t="shared" si="11"/>
        <v>7071.0429999999997</v>
      </c>
      <c r="G21" s="29">
        <f>SUM(G22:G23)</f>
        <v>2859.4050999999999</v>
      </c>
      <c r="H21" s="29">
        <f>SUM(H22:H23)</f>
        <v>3120.1059380221645</v>
      </c>
      <c r="I21" s="29">
        <f>SUM(I22:I23)</f>
        <v>7374.5459380221637</v>
      </c>
      <c r="J21" s="29">
        <f t="shared" si="11"/>
        <v>7129.1459999999997</v>
      </c>
      <c r="K21" s="29">
        <f>SUM(K22:K23)</f>
        <v>2714.6752000000001</v>
      </c>
      <c r="L21" s="29">
        <f>SUM(L22:L23)</f>
        <v>2837.3002000000001</v>
      </c>
      <c r="M21" s="58">
        <f t="shared" si="0"/>
        <v>103.43433425720954</v>
      </c>
      <c r="N21" s="58">
        <f t="shared" si="1"/>
        <v>104.29219477271123</v>
      </c>
      <c r="O21" s="58">
        <f t="shared" si="10"/>
        <v>96.672338336697933</v>
      </c>
      <c r="P21" s="58">
        <f t="shared" si="3"/>
        <v>99.22694059683954</v>
      </c>
      <c r="Q21" s="58">
        <f t="shared" si="4"/>
        <v>39.798598597924631</v>
      </c>
      <c r="R21" s="3"/>
    </row>
    <row r="22" spans="1:18" ht="17.25" customHeight="1">
      <c r="A22" s="32"/>
      <c r="B22" s="33" t="s">
        <v>24</v>
      </c>
      <c r="C22" s="34" t="s">
        <v>76</v>
      </c>
      <c r="D22" s="29">
        <f t="shared" ref="D22:L22" si="12">D27</f>
        <v>6298.7078300000003</v>
      </c>
      <c r="E22" s="29">
        <f t="shared" si="12"/>
        <v>6644.7176000000009</v>
      </c>
      <c r="F22" s="29">
        <f t="shared" si="12"/>
        <v>6644.5429999999997</v>
      </c>
      <c r="G22" s="29">
        <f t="shared" si="12"/>
        <v>2714.4050999999999</v>
      </c>
      <c r="H22" s="29">
        <f t="shared" si="12"/>
        <v>2973.9459380221647</v>
      </c>
      <c r="I22" s="29">
        <f t="shared" si="12"/>
        <v>6927.3859380221638</v>
      </c>
      <c r="J22" s="29">
        <f t="shared" si="12"/>
        <v>6707.1459999999997</v>
      </c>
      <c r="K22" s="29">
        <f t="shared" si="12"/>
        <v>2714.6752000000001</v>
      </c>
      <c r="L22" s="29">
        <f t="shared" si="12"/>
        <v>2714.6752000000001</v>
      </c>
      <c r="M22" s="58">
        <f t="shared" si="0"/>
        <v>104.25403087141224</v>
      </c>
      <c r="N22" s="58">
        <f t="shared" si="1"/>
        <v>104.25677037566261</v>
      </c>
      <c r="O22" s="58">
        <f t="shared" si="10"/>
        <v>96.820735267348994</v>
      </c>
      <c r="P22" s="58">
        <f t="shared" si="3"/>
        <v>100.00995061496164</v>
      </c>
      <c r="Q22" s="58">
        <f t="shared" si="4"/>
        <v>40.474371662701245</v>
      </c>
      <c r="R22" s="3"/>
    </row>
    <row r="23" spans="1:18" ht="17.25" customHeight="1">
      <c r="A23" s="32"/>
      <c r="B23" s="35" t="s">
        <v>137</v>
      </c>
      <c r="C23" s="34" t="s">
        <v>76</v>
      </c>
      <c r="D23" s="29">
        <f t="shared" ref="D23:L23" si="13">D42</f>
        <v>434.96856000000002</v>
      </c>
      <c r="E23" s="29">
        <f t="shared" si="13"/>
        <v>484.97099999999995</v>
      </c>
      <c r="F23" s="29">
        <f t="shared" si="13"/>
        <v>426.5</v>
      </c>
      <c r="G23" s="29">
        <f t="shared" si="13"/>
        <v>145</v>
      </c>
      <c r="H23" s="29">
        <f t="shared" si="13"/>
        <v>146.16</v>
      </c>
      <c r="I23" s="29">
        <f t="shared" si="13"/>
        <v>447.15999999999997</v>
      </c>
      <c r="J23" s="29">
        <f t="shared" si="13"/>
        <v>422</v>
      </c>
      <c r="K23" s="29">
        <f t="shared" si="13"/>
        <v>0</v>
      </c>
      <c r="L23" s="29">
        <f t="shared" si="13"/>
        <v>122.625</v>
      </c>
      <c r="M23" s="58">
        <f t="shared" si="0"/>
        <v>92.203451340389435</v>
      </c>
      <c r="N23" s="58">
        <f t="shared" si="1"/>
        <v>104.84407971864009</v>
      </c>
      <c r="O23" s="58">
        <f t="shared" si="10"/>
        <v>94.373378656409344</v>
      </c>
      <c r="P23" s="58">
        <f t="shared" si="3"/>
        <v>84.568965517241381</v>
      </c>
      <c r="Q23" s="58">
        <f t="shared" si="4"/>
        <v>29.058056872037916</v>
      </c>
      <c r="R23" s="3"/>
    </row>
    <row r="24" spans="1:18" ht="17.25" customHeight="1">
      <c r="A24" s="32" t="s">
        <v>56</v>
      </c>
      <c r="B24" s="35" t="s">
        <v>25</v>
      </c>
      <c r="C24" s="32" t="s">
        <v>57</v>
      </c>
      <c r="D24" s="29">
        <f>D21/D126*1000</f>
        <v>150.81697702024726</v>
      </c>
      <c r="E24" s="29">
        <f>E21/E126*1000</f>
        <v>155.57664284545305</v>
      </c>
      <c r="F24" s="29">
        <f>F21/F126*1000</f>
        <v>150.66410270068715</v>
      </c>
      <c r="G24" s="29" t="str">
        <f>IFERROR(G21/G126*1000,"")</f>
        <v/>
      </c>
      <c r="H24" s="29">
        <f>H21/H126*1000</f>
        <v>66.749514649569775</v>
      </c>
      <c r="I24" s="29">
        <f>I21/I126*1000</f>
        <v>157.01213460275429</v>
      </c>
      <c r="J24" s="29">
        <f>J21/J126*1000</f>
        <v>147.90790022385937</v>
      </c>
      <c r="K24" s="29" t="str">
        <f>IFERROR(K21/K126*1000,"")</f>
        <v/>
      </c>
      <c r="L24" s="29">
        <f>L21/L126*1000</f>
        <v>60.934651976891523</v>
      </c>
      <c r="M24" s="58">
        <f t="shared" si="0"/>
        <v>100.92269104863462</v>
      </c>
      <c r="N24" s="58">
        <f t="shared" si="1"/>
        <v>104.21336721108563</v>
      </c>
      <c r="O24" s="58">
        <f t="shared" si="10"/>
        <v>94.201572762558172</v>
      </c>
      <c r="P24" s="58" t="str">
        <f t="shared" si="3"/>
        <v/>
      </c>
      <c r="Q24" s="58">
        <f t="shared" si="4"/>
        <v>41.197699301164178</v>
      </c>
      <c r="R24" s="3"/>
    </row>
    <row r="25" spans="1:18" s="18" customFormat="1" ht="17.25" customHeight="1">
      <c r="A25" s="11" t="s">
        <v>34</v>
      </c>
      <c r="B25" s="44" t="s">
        <v>440</v>
      </c>
      <c r="C25" s="11" t="s">
        <v>37</v>
      </c>
      <c r="D25" s="16">
        <f t="shared" ref="D25:L25" si="14">D28+D31</f>
        <v>1558.31</v>
      </c>
      <c r="E25" s="16">
        <f t="shared" si="14"/>
        <v>1540</v>
      </c>
      <c r="F25" s="16">
        <f t="shared" si="14"/>
        <v>1531</v>
      </c>
      <c r="G25" s="16">
        <f t="shared" si="14"/>
        <v>1533.87</v>
      </c>
      <c r="H25" s="16">
        <f t="shared" si="14"/>
        <v>1560.97</v>
      </c>
      <c r="I25" s="16">
        <f t="shared" si="14"/>
        <v>1560.97</v>
      </c>
      <c r="J25" s="16">
        <f t="shared" si="14"/>
        <v>1531</v>
      </c>
      <c r="K25" s="16">
        <f t="shared" si="14"/>
        <v>893.2</v>
      </c>
      <c r="L25" s="16">
        <f t="shared" si="14"/>
        <v>1588.2</v>
      </c>
      <c r="M25" s="66">
        <f t="shared" si="0"/>
        <v>101.36168831168831</v>
      </c>
      <c r="N25" s="66">
        <f t="shared" si="1"/>
        <v>101.95754408883083</v>
      </c>
      <c r="O25" s="66">
        <f t="shared" si="10"/>
        <v>98.080039975143663</v>
      </c>
      <c r="P25" s="66">
        <f t="shared" si="3"/>
        <v>103.54202116215846</v>
      </c>
      <c r="Q25" s="66">
        <f t="shared" si="4"/>
        <v>103.73612018288701</v>
      </c>
      <c r="R25" s="83"/>
    </row>
    <row r="26" spans="1:18" ht="17.25" customHeight="1">
      <c r="A26" s="32"/>
      <c r="B26" s="37" t="s">
        <v>27</v>
      </c>
      <c r="C26" s="34" t="s">
        <v>21</v>
      </c>
      <c r="D26" s="38">
        <f t="shared" ref="D26:L26" si="15">D27/D25*10</f>
        <v>40.420120707689748</v>
      </c>
      <c r="E26" s="38">
        <f t="shared" si="15"/>
        <v>43.147516883116886</v>
      </c>
      <c r="F26" s="38">
        <f t="shared" si="15"/>
        <v>43.400019595035921</v>
      </c>
      <c r="G26" s="38">
        <f t="shared" si="15"/>
        <v>17.696448199651861</v>
      </c>
      <c r="H26" s="38">
        <f t="shared" si="15"/>
        <v>19.051909633254738</v>
      </c>
      <c r="I26" s="38">
        <f t="shared" si="15"/>
        <v>44.378725651499799</v>
      </c>
      <c r="J26" s="38">
        <f t="shared" si="15"/>
        <v>43.808922273024166</v>
      </c>
      <c r="K26" s="38">
        <f t="shared" si="15"/>
        <v>30.392691446484548</v>
      </c>
      <c r="L26" s="38">
        <f t="shared" si="15"/>
        <v>17.092779246946229</v>
      </c>
      <c r="M26" s="58">
        <f t="shared" si="0"/>
        <v>102.85348696129643</v>
      </c>
      <c r="N26" s="58">
        <f t="shared" si="1"/>
        <v>102.25508206124364</v>
      </c>
      <c r="O26" s="58">
        <f t="shared" si="10"/>
        <v>98.716043847337517</v>
      </c>
      <c r="P26" s="58">
        <f t="shared" si="3"/>
        <v>96.588756422220882</v>
      </c>
      <c r="Q26" s="58">
        <f t="shared" si="4"/>
        <v>39.016662268980994</v>
      </c>
      <c r="R26" s="3"/>
    </row>
    <row r="27" spans="1:18" ht="17.25" customHeight="1">
      <c r="A27" s="32"/>
      <c r="B27" s="37" t="s">
        <v>28</v>
      </c>
      <c r="C27" s="34" t="s">
        <v>76</v>
      </c>
      <c r="D27" s="22">
        <f t="shared" ref="D27:L27" si="16">D30+D33</f>
        <v>6298.7078300000003</v>
      </c>
      <c r="E27" s="22">
        <f t="shared" si="16"/>
        <v>6644.7176000000009</v>
      </c>
      <c r="F27" s="22">
        <f t="shared" si="16"/>
        <v>6644.5429999999997</v>
      </c>
      <c r="G27" s="22">
        <f t="shared" si="16"/>
        <v>2714.4050999999999</v>
      </c>
      <c r="H27" s="22">
        <f t="shared" si="16"/>
        <v>2973.9459380221647</v>
      </c>
      <c r="I27" s="22">
        <f t="shared" si="16"/>
        <v>6927.3859380221638</v>
      </c>
      <c r="J27" s="22">
        <f t="shared" si="16"/>
        <v>6707.1459999999997</v>
      </c>
      <c r="K27" s="22">
        <f t="shared" si="16"/>
        <v>2714.6752000000001</v>
      </c>
      <c r="L27" s="22">
        <f t="shared" si="16"/>
        <v>2714.6752000000001</v>
      </c>
      <c r="M27" s="58">
        <f t="shared" si="0"/>
        <v>104.25403087141224</v>
      </c>
      <c r="N27" s="58">
        <f t="shared" si="1"/>
        <v>104.25677037566261</v>
      </c>
      <c r="O27" s="58">
        <f t="shared" si="10"/>
        <v>96.820735267348994</v>
      </c>
      <c r="P27" s="58">
        <f t="shared" si="3"/>
        <v>100.00995061496164</v>
      </c>
      <c r="Q27" s="58">
        <f t="shared" si="4"/>
        <v>40.474371662701245</v>
      </c>
      <c r="R27" s="3"/>
    </row>
    <row r="28" spans="1:18" s="104" customFormat="1" ht="17.25" customHeight="1">
      <c r="A28" s="100" t="s">
        <v>420</v>
      </c>
      <c r="B28" s="720" t="s">
        <v>441</v>
      </c>
      <c r="C28" s="100" t="s">
        <v>37</v>
      </c>
      <c r="D28" s="638">
        <v>597.30999999999995</v>
      </c>
      <c r="E28" s="721">
        <v>570.5</v>
      </c>
      <c r="F28" s="722">
        <v>571</v>
      </c>
      <c r="G28" s="722">
        <f>'06T- 2018'!I28</f>
        <v>573.87</v>
      </c>
      <c r="H28" s="722">
        <v>573.87</v>
      </c>
      <c r="I28" s="722">
        <v>573.87</v>
      </c>
      <c r="J28" s="722">
        <v>571</v>
      </c>
      <c r="K28" s="103">
        <f>'T5. 2019'!K26</f>
        <v>573.20000000000005</v>
      </c>
      <c r="L28" s="722">
        <v>573.20000000000005</v>
      </c>
      <c r="M28" s="103">
        <f t="shared" si="0"/>
        <v>100.59070990359334</v>
      </c>
      <c r="N28" s="103">
        <f t="shared" si="1"/>
        <v>100.50262697022767</v>
      </c>
      <c r="O28" s="103">
        <f t="shared" si="10"/>
        <v>99.499886733929287</v>
      </c>
      <c r="P28" s="103">
        <f t="shared" si="3"/>
        <v>99.883248819419052</v>
      </c>
      <c r="Q28" s="103">
        <f t="shared" si="4"/>
        <v>100.38528896672506</v>
      </c>
      <c r="R28" s="129"/>
    </row>
    <row r="29" spans="1:18" ht="17.25" customHeight="1">
      <c r="A29" s="32"/>
      <c r="B29" s="116" t="s">
        <v>27</v>
      </c>
      <c r="C29" s="34" t="s">
        <v>21</v>
      </c>
      <c r="D29" s="25">
        <v>39.33</v>
      </c>
      <c r="E29" s="38">
        <v>47.2</v>
      </c>
      <c r="F29" s="58">
        <v>47.33</v>
      </c>
      <c r="G29" s="58">
        <f>'06T- 2018'!I29</f>
        <v>47.3</v>
      </c>
      <c r="H29" s="58">
        <v>51.822641678815145</v>
      </c>
      <c r="I29" s="58">
        <v>51.822641678815145</v>
      </c>
      <c r="J29" s="58">
        <v>47.26</v>
      </c>
      <c r="K29" s="58">
        <f>'T5. 2019'!K27</f>
        <v>47.36</v>
      </c>
      <c r="L29" s="58">
        <v>47.36</v>
      </c>
      <c r="M29" s="58">
        <f t="shared" si="0"/>
        <v>109.79373237037106</v>
      </c>
      <c r="N29" s="58">
        <f t="shared" si="1"/>
        <v>109.49216496686066</v>
      </c>
      <c r="O29" s="58">
        <f t="shared" si="10"/>
        <v>91.195659790766072</v>
      </c>
      <c r="P29" s="58">
        <f t="shared" si="3"/>
        <v>100.12684989429175</v>
      </c>
      <c r="Q29" s="58">
        <f t="shared" si="4"/>
        <v>100.21159542953873</v>
      </c>
      <c r="R29" s="3"/>
    </row>
    <row r="30" spans="1:18" ht="17.25" customHeight="1">
      <c r="A30" s="32"/>
      <c r="B30" s="117" t="s">
        <v>28</v>
      </c>
      <c r="C30" s="34" t="s">
        <v>76</v>
      </c>
      <c r="D30" s="22">
        <f t="shared" ref="D30:L30" si="17">D28*D29/10</f>
        <v>2349.2202299999999</v>
      </c>
      <c r="E30" s="22">
        <f t="shared" si="17"/>
        <v>2692.76</v>
      </c>
      <c r="F30" s="22">
        <f t="shared" si="17"/>
        <v>2702.5430000000001</v>
      </c>
      <c r="G30" s="22">
        <f t="shared" si="17"/>
        <v>2714.4050999999999</v>
      </c>
      <c r="H30" s="22">
        <f t="shared" si="17"/>
        <v>2973.9459380221647</v>
      </c>
      <c r="I30" s="22">
        <f t="shared" si="17"/>
        <v>2973.9459380221647</v>
      </c>
      <c r="J30" s="22">
        <f t="shared" si="17"/>
        <v>2698.5459999999998</v>
      </c>
      <c r="K30" s="22">
        <f t="shared" si="17"/>
        <v>2714.6752000000001</v>
      </c>
      <c r="L30" s="22">
        <f t="shared" si="17"/>
        <v>2714.6752000000001</v>
      </c>
      <c r="M30" s="58">
        <f t="shared" si="0"/>
        <v>110.44229482100761</v>
      </c>
      <c r="N30" s="58">
        <f t="shared" si="1"/>
        <v>110.04250211827026</v>
      </c>
      <c r="O30" s="58">
        <f t="shared" si="10"/>
        <v>90.739578198071726</v>
      </c>
      <c r="P30" s="58">
        <f t="shared" si="3"/>
        <v>100.00995061496164</v>
      </c>
      <c r="Q30" s="58">
        <f t="shared" si="4"/>
        <v>100.59769965010788</v>
      </c>
      <c r="R30" s="3"/>
    </row>
    <row r="31" spans="1:18" ht="17.25" customHeight="1">
      <c r="A31" s="32" t="s">
        <v>421</v>
      </c>
      <c r="B31" s="609" t="s">
        <v>442</v>
      </c>
      <c r="C31" s="32" t="s">
        <v>37</v>
      </c>
      <c r="D31" s="22">
        <f t="shared" ref="D31:L31" si="18">D34+D37</f>
        <v>961</v>
      </c>
      <c r="E31" s="29">
        <f t="shared" si="18"/>
        <v>969.5</v>
      </c>
      <c r="F31" s="29">
        <f t="shared" si="18"/>
        <v>960</v>
      </c>
      <c r="G31" s="29">
        <f t="shared" si="18"/>
        <v>960</v>
      </c>
      <c r="H31" s="29">
        <f t="shared" si="18"/>
        <v>987.1</v>
      </c>
      <c r="I31" s="29">
        <f t="shared" si="18"/>
        <v>987.1</v>
      </c>
      <c r="J31" s="29">
        <f t="shared" si="18"/>
        <v>960</v>
      </c>
      <c r="K31" s="29">
        <f t="shared" si="18"/>
        <v>320</v>
      </c>
      <c r="L31" s="29">
        <f t="shared" si="18"/>
        <v>1015</v>
      </c>
      <c r="M31" s="58">
        <f t="shared" si="0"/>
        <v>101.81536874677668</v>
      </c>
      <c r="N31" s="58">
        <f t="shared" si="1"/>
        <v>102.82291666666667</v>
      </c>
      <c r="O31" s="58">
        <f t="shared" si="10"/>
        <v>97.254584135345965</v>
      </c>
      <c r="P31" s="58">
        <f t="shared" si="3"/>
        <v>105.72916666666667</v>
      </c>
      <c r="Q31" s="58">
        <f t="shared" si="4"/>
        <v>105.72916666666667</v>
      </c>
      <c r="R31" s="3"/>
    </row>
    <row r="32" spans="1:18" ht="17.25" customHeight="1">
      <c r="A32" s="32"/>
      <c r="B32" s="117" t="s">
        <v>27</v>
      </c>
      <c r="C32" s="34" t="s">
        <v>21</v>
      </c>
      <c r="D32" s="38">
        <f t="shared" ref="D32:L32" si="19">D33/D31*10</f>
        <v>41.097685744016658</v>
      </c>
      <c r="E32" s="28">
        <f t="shared" si="19"/>
        <v>40.762842702423939</v>
      </c>
      <c r="F32" s="28">
        <f t="shared" si="19"/>
        <v>41.0625</v>
      </c>
      <c r="G32" s="28">
        <f t="shared" si="19"/>
        <v>0</v>
      </c>
      <c r="H32" s="28">
        <f t="shared" si="19"/>
        <v>0</v>
      </c>
      <c r="I32" s="28">
        <f t="shared" si="19"/>
        <v>40.051058656671053</v>
      </c>
      <c r="J32" s="28">
        <f t="shared" si="19"/>
        <v>41.756250000000001</v>
      </c>
      <c r="K32" s="28">
        <f t="shared" si="19"/>
        <v>0</v>
      </c>
      <c r="L32" s="28">
        <f t="shared" si="19"/>
        <v>0</v>
      </c>
      <c r="M32" s="58">
        <f t="shared" si="0"/>
        <v>98.25384100184317</v>
      </c>
      <c r="N32" s="58">
        <f t="shared" si="1"/>
        <v>97.536824734663142</v>
      </c>
      <c r="O32" s="58">
        <f t="shared" si="10"/>
        <v>104.25754374671175</v>
      </c>
      <c r="P32" s="58" t="str">
        <f t="shared" si="3"/>
        <v/>
      </c>
      <c r="Q32" s="58">
        <f t="shared" si="4"/>
        <v>0</v>
      </c>
      <c r="R32" s="3"/>
    </row>
    <row r="33" spans="1:18" ht="17.25" customHeight="1">
      <c r="A33" s="32"/>
      <c r="B33" s="117" t="s">
        <v>28</v>
      </c>
      <c r="C33" s="34" t="s">
        <v>76</v>
      </c>
      <c r="D33" s="22">
        <f t="shared" ref="D33:L33" si="20">D36+D39</f>
        <v>3949.4876000000004</v>
      </c>
      <c r="E33" s="29">
        <f t="shared" si="20"/>
        <v>3951.9576000000006</v>
      </c>
      <c r="F33" s="29">
        <f t="shared" si="20"/>
        <v>3942</v>
      </c>
      <c r="G33" s="29">
        <f t="shared" si="20"/>
        <v>0</v>
      </c>
      <c r="H33" s="29">
        <f t="shared" si="20"/>
        <v>0</v>
      </c>
      <c r="I33" s="29">
        <f t="shared" si="20"/>
        <v>3953.4399999999996</v>
      </c>
      <c r="J33" s="29">
        <f t="shared" si="20"/>
        <v>4008.6</v>
      </c>
      <c r="K33" s="29">
        <f t="shared" si="20"/>
        <v>0</v>
      </c>
      <c r="L33" s="29">
        <f t="shared" si="20"/>
        <v>0</v>
      </c>
      <c r="M33" s="58">
        <f t="shared" si="0"/>
        <v>100.03751052389831</v>
      </c>
      <c r="N33" s="58">
        <f t="shared" si="1"/>
        <v>100.2902080162354</v>
      </c>
      <c r="O33" s="58">
        <f t="shared" si="10"/>
        <v>101.39524060059088</v>
      </c>
      <c r="P33" s="58" t="str">
        <f t="shared" si="3"/>
        <v/>
      </c>
      <c r="Q33" s="58">
        <f t="shared" si="4"/>
        <v>0</v>
      </c>
      <c r="R33" s="3"/>
    </row>
    <row r="34" spans="1:18" ht="17.25" customHeight="1">
      <c r="A34" s="32"/>
      <c r="B34" s="610" t="s">
        <v>443</v>
      </c>
      <c r="C34" s="32" t="s">
        <v>37</v>
      </c>
      <c r="D34" s="22">
        <v>906.4</v>
      </c>
      <c r="E34" s="38">
        <v>903.3</v>
      </c>
      <c r="F34" s="22">
        <v>900</v>
      </c>
      <c r="G34" s="22">
        <f>'06T- 2018'!I34</f>
        <v>900</v>
      </c>
      <c r="H34" s="22">
        <v>893.2</v>
      </c>
      <c r="I34" s="22">
        <v>893.2</v>
      </c>
      <c r="J34" s="22">
        <v>900</v>
      </c>
      <c r="K34" s="22">
        <f>'T5. 2019'!K32</f>
        <v>300</v>
      </c>
      <c r="L34" s="22">
        <v>960</v>
      </c>
      <c r="M34" s="58">
        <f t="shared" si="0"/>
        <v>98.881877560057575</v>
      </c>
      <c r="N34" s="58">
        <f t="shared" si="1"/>
        <v>99.244444444444454</v>
      </c>
      <c r="O34" s="58">
        <f t="shared" si="10"/>
        <v>100.76130765785938</v>
      </c>
      <c r="P34" s="58">
        <f t="shared" si="3"/>
        <v>106.66666666666667</v>
      </c>
      <c r="Q34" s="58">
        <f t="shared" si="4"/>
        <v>106.66666666666667</v>
      </c>
      <c r="R34" s="3"/>
    </row>
    <row r="35" spans="1:18" ht="17.25" customHeight="1">
      <c r="A35" s="32"/>
      <c r="B35" s="115" t="s">
        <v>27</v>
      </c>
      <c r="C35" s="34" t="s">
        <v>21</v>
      </c>
      <c r="D35" s="25">
        <v>42.83</v>
      </c>
      <c r="E35" s="38">
        <v>42.84</v>
      </c>
      <c r="F35" s="38">
        <v>43</v>
      </c>
      <c r="G35" s="38"/>
      <c r="H35" s="38"/>
      <c r="I35" s="38">
        <v>43</v>
      </c>
      <c r="J35" s="38">
        <v>43.74</v>
      </c>
      <c r="K35" s="38"/>
      <c r="L35" s="38"/>
      <c r="M35" s="58">
        <f t="shared" si="0"/>
        <v>100.37348272642389</v>
      </c>
      <c r="N35" s="58">
        <f t="shared" si="1"/>
        <v>100</v>
      </c>
      <c r="O35" s="58">
        <f t="shared" si="10"/>
        <v>101.72093023255815</v>
      </c>
      <c r="P35" s="58" t="str">
        <f t="shared" si="3"/>
        <v/>
      </c>
      <c r="Q35" s="58">
        <f t="shared" si="4"/>
        <v>0</v>
      </c>
      <c r="R35" s="3"/>
    </row>
    <row r="36" spans="1:18" ht="17.25" customHeight="1">
      <c r="A36" s="32"/>
      <c r="B36" s="115" t="s">
        <v>28</v>
      </c>
      <c r="C36" s="34" t="s">
        <v>76</v>
      </c>
      <c r="D36" s="22">
        <f>D35*D34/10</f>
        <v>3882.1112000000003</v>
      </c>
      <c r="E36" s="22">
        <f t="shared" ref="E36:L36" si="21">E34*E35/10</f>
        <v>3869.7372000000005</v>
      </c>
      <c r="F36" s="22">
        <f t="shared" si="21"/>
        <v>3870</v>
      </c>
      <c r="G36" s="180">
        <f t="shared" si="21"/>
        <v>0</v>
      </c>
      <c r="H36" s="22">
        <f t="shared" si="21"/>
        <v>0</v>
      </c>
      <c r="I36" s="22">
        <f t="shared" si="21"/>
        <v>3840.7599999999998</v>
      </c>
      <c r="J36" s="22">
        <f t="shared" si="21"/>
        <v>3936.6</v>
      </c>
      <c r="K36" s="22">
        <f t="shared" si="21"/>
        <v>0</v>
      </c>
      <c r="L36" s="180">
        <f t="shared" si="21"/>
        <v>0</v>
      </c>
      <c r="M36" s="58">
        <f t="shared" si="0"/>
        <v>99.251184292308011</v>
      </c>
      <c r="N36" s="58">
        <f t="shared" si="1"/>
        <v>99.244444444444426</v>
      </c>
      <c r="O36" s="58">
        <f t="shared" si="10"/>
        <v>102.49533946406441</v>
      </c>
      <c r="P36" s="58" t="str">
        <f t="shared" si="3"/>
        <v/>
      </c>
      <c r="Q36" s="58">
        <f t="shared" si="4"/>
        <v>0</v>
      </c>
      <c r="R36" s="3"/>
    </row>
    <row r="37" spans="1:18" ht="17.25" customHeight="1">
      <c r="A37" s="32"/>
      <c r="B37" s="610" t="s">
        <v>456</v>
      </c>
      <c r="C37" s="32" t="s">
        <v>37</v>
      </c>
      <c r="D37" s="22">
        <v>54.6</v>
      </c>
      <c r="E37" s="22">
        <v>66.2</v>
      </c>
      <c r="F37" s="22">
        <v>60</v>
      </c>
      <c r="G37" s="22">
        <f>'06T- 2018'!I37</f>
        <v>60</v>
      </c>
      <c r="H37" s="22">
        <v>93.9</v>
      </c>
      <c r="I37" s="22">
        <v>93.9</v>
      </c>
      <c r="J37" s="22">
        <v>60</v>
      </c>
      <c r="K37" s="22">
        <f>'T5. 2019'!K35</f>
        <v>20</v>
      </c>
      <c r="L37" s="22">
        <v>55</v>
      </c>
      <c r="M37" s="58">
        <f t="shared" si="0"/>
        <v>141.8429003021148</v>
      </c>
      <c r="N37" s="58">
        <f t="shared" si="1"/>
        <v>156.50000000000003</v>
      </c>
      <c r="O37" s="58">
        <f t="shared" si="10"/>
        <v>63.897763578274756</v>
      </c>
      <c r="P37" s="58">
        <f t="shared" si="3"/>
        <v>91.666666666666671</v>
      </c>
      <c r="Q37" s="58">
        <f t="shared" si="4"/>
        <v>91.666666666666671</v>
      </c>
      <c r="R37" s="3"/>
    </row>
    <row r="38" spans="1:18" ht="17.25" customHeight="1">
      <c r="A38" s="32"/>
      <c r="B38" s="115" t="s">
        <v>27</v>
      </c>
      <c r="C38" s="34" t="s">
        <v>21</v>
      </c>
      <c r="D38" s="38">
        <v>12.34</v>
      </c>
      <c r="E38" s="38">
        <v>12.42</v>
      </c>
      <c r="F38" s="38">
        <v>12</v>
      </c>
      <c r="G38" s="38"/>
      <c r="H38" s="38"/>
      <c r="I38" s="38">
        <v>12</v>
      </c>
      <c r="J38" s="38">
        <v>12</v>
      </c>
      <c r="K38" s="38"/>
      <c r="L38" s="38"/>
      <c r="M38" s="58">
        <f t="shared" si="0"/>
        <v>96.618357487922708</v>
      </c>
      <c r="N38" s="58">
        <f t="shared" si="1"/>
        <v>100</v>
      </c>
      <c r="O38" s="58">
        <f t="shared" si="10"/>
        <v>100</v>
      </c>
      <c r="P38" s="58" t="str">
        <f t="shared" si="3"/>
        <v/>
      </c>
      <c r="Q38" s="58">
        <f t="shared" si="4"/>
        <v>0</v>
      </c>
      <c r="R38" s="3"/>
    </row>
    <row r="39" spans="1:18" ht="17.25" customHeight="1">
      <c r="A39" s="32"/>
      <c r="B39" s="115" t="s">
        <v>28</v>
      </c>
      <c r="C39" s="34" t="s">
        <v>76</v>
      </c>
      <c r="D39" s="22">
        <f t="shared" ref="D39:L39" si="22">D38*D37/10</f>
        <v>67.376400000000004</v>
      </c>
      <c r="E39" s="22">
        <f t="shared" si="22"/>
        <v>82.220400000000012</v>
      </c>
      <c r="F39" s="22">
        <f t="shared" si="22"/>
        <v>72</v>
      </c>
      <c r="G39" s="180">
        <f t="shared" si="22"/>
        <v>0</v>
      </c>
      <c r="H39" s="22">
        <f t="shared" si="22"/>
        <v>0</v>
      </c>
      <c r="I39" s="22">
        <f t="shared" si="22"/>
        <v>112.68000000000002</v>
      </c>
      <c r="J39" s="22">
        <f t="shared" si="22"/>
        <v>72</v>
      </c>
      <c r="K39" s="22">
        <f t="shared" si="22"/>
        <v>0</v>
      </c>
      <c r="L39" s="180">
        <f t="shared" si="22"/>
        <v>0</v>
      </c>
      <c r="M39" s="58">
        <f t="shared" si="0"/>
        <v>137.04628048513507</v>
      </c>
      <c r="N39" s="58">
        <f t="shared" si="1"/>
        <v>156.50000000000003</v>
      </c>
      <c r="O39" s="58">
        <f t="shared" si="10"/>
        <v>63.897763578274748</v>
      </c>
      <c r="P39" s="58" t="str">
        <f t="shared" si="3"/>
        <v/>
      </c>
      <c r="Q39" s="58">
        <f t="shared" si="4"/>
        <v>0</v>
      </c>
      <c r="R39" s="3"/>
    </row>
    <row r="40" spans="1:18" s="18" customFormat="1" ht="17.25" customHeight="1">
      <c r="A40" s="11" t="s">
        <v>35</v>
      </c>
      <c r="B40" s="44" t="s">
        <v>444</v>
      </c>
      <c r="C40" s="11" t="s">
        <v>37</v>
      </c>
      <c r="D40" s="16">
        <f t="shared" ref="D40:L40" si="23">D43+D46</f>
        <v>90.92</v>
      </c>
      <c r="E40" s="16">
        <f t="shared" si="23"/>
        <v>101.6</v>
      </c>
      <c r="F40" s="16">
        <f t="shared" si="23"/>
        <v>83</v>
      </c>
      <c r="G40" s="16">
        <f t="shared" si="23"/>
        <v>85</v>
      </c>
      <c r="H40" s="16">
        <f t="shared" si="23"/>
        <v>85.4</v>
      </c>
      <c r="I40" s="16">
        <f t="shared" si="23"/>
        <v>85.4</v>
      </c>
      <c r="J40" s="16">
        <f t="shared" si="23"/>
        <v>82</v>
      </c>
      <c r="K40" s="16">
        <f t="shared" si="23"/>
        <v>0</v>
      </c>
      <c r="L40" s="16">
        <f t="shared" si="23"/>
        <v>72.5</v>
      </c>
      <c r="M40" s="66">
        <f t="shared" si="0"/>
        <v>84.055118110236222</v>
      </c>
      <c r="N40" s="66">
        <f t="shared" si="1"/>
        <v>102.89156626506025</v>
      </c>
      <c r="O40" s="66">
        <f t="shared" si="10"/>
        <v>96.018735362997646</v>
      </c>
      <c r="P40" s="66">
        <f t="shared" si="3"/>
        <v>85.294117647058826</v>
      </c>
      <c r="Q40" s="66">
        <f t="shared" si="4"/>
        <v>88.41463414634147</v>
      </c>
      <c r="R40" s="83"/>
    </row>
    <row r="41" spans="1:18" ht="17.25" customHeight="1">
      <c r="A41" s="32"/>
      <c r="B41" s="37" t="s">
        <v>27</v>
      </c>
      <c r="C41" s="34" t="s">
        <v>21</v>
      </c>
      <c r="D41" s="38">
        <f t="shared" ref="D41:L41" si="24">D42/D40*10</f>
        <v>47.840800703915534</v>
      </c>
      <c r="E41" s="38">
        <f t="shared" si="24"/>
        <v>47.733366141732283</v>
      </c>
      <c r="F41" s="38">
        <f t="shared" si="24"/>
        <v>51.385542168674696</v>
      </c>
      <c r="G41" s="38">
        <f t="shared" si="24"/>
        <v>17.058823529411764</v>
      </c>
      <c r="H41" s="38">
        <f t="shared" si="24"/>
        <v>17.114754098360653</v>
      </c>
      <c r="I41" s="38">
        <f t="shared" si="24"/>
        <v>52.360655737704903</v>
      </c>
      <c r="J41" s="38">
        <f t="shared" si="24"/>
        <v>51.463414634146346</v>
      </c>
      <c r="K41" s="38" t="e">
        <f t="shared" si="24"/>
        <v>#DIV/0!</v>
      </c>
      <c r="L41" s="38">
        <f t="shared" si="24"/>
        <v>16.913793103448278</v>
      </c>
      <c r="M41" s="58">
        <f t="shared" si="0"/>
        <v>109.69403578669278</v>
      </c>
      <c r="N41" s="58">
        <f t="shared" si="1"/>
        <v>101.8976418811139</v>
      </c>
      <c r="O41" s="58">
        <f t="shared" si="10"/>
        <v>98.286421186065382</v>
      </c>
      <c r="P41" s="58">
        <f t="shared" si="3"/>
        <v>99.149821640903696</v>
      </c>
      <c r="Q41" s="58">
        <f t="shared" si="4"/>
        <v>32.865664324235986</v>
      </c>
      <c r="R41" s="3"/>
    </row>
    <row r="42" spans="1:18" ht="17.25" customHeight="1">
      <c r="A42" s="32"/>
      <c r="B42" s="37" t="s">
        <v>28</v>
      </c>
      <c r="C42" s="34" t="s">
        <v>76</v>
      </c>
      <c r="D42" s="22">
        <f t="shared" ref="D42:L42" si="25">D45+D48</f>
        <v>434.96856000000002</v>
      </c>
      <c r="E42" s="22">
        <f t="shared" si="25"/>
        <v>484.97099999999995</v>
      </c>
      <c r="F42" s="22">
        <f t="shared" si="25"/>
        <v>426.5</v>
      </c>
      <c r="G42" s="22">
        <f t="shared" si="25"/>
        <v>145</v>
      </c>
      <c r="H42" s="22">
        <f t="shared" si="25"/>
        <v>146.16</v>
      </c>
      <c r="I42" s="22">
        <f t="shared" si="25"/>
        <v>447.15999999999997</v>
      </c>
      <c r="J42" s="22">
        <f t="shared" si="25"/>
        <v>422</v>
      </c>
      <c r="K42" s="22">
        <f t="shared" si="25"/>
        <v>0</v>
      </c>
      <c r="L42" s="22">
        <f t="shared" si="25"/>
        <v>122.625</v>
      </c>
      <c r="M42" s="58">
        <f t="shared" si="0"/>
        <v>92.203451340389435</v>
      </c>
      <c r="N42" s="58">
        <f t="shared" si="1"/>
        <v>104.84407971864009</v>
      </c>
      <c r="O42" s="58">
        <f t="shared" si="10"/>
        <v>94.373378656409344</v>
      </c>
      <c r="P42" s="58">
        <f t="shared" si="3"/>
        <v>84.568965517241381</v>
      </c>
      <c r="Q42" s="58">
        <f t="shared" si="4"/>
        <v>29.058056872037916</v>
      </c>
      <c r="R42" s="3"/>
    </row>
    <row r="43" spans="1:18" ht="17.25" customHeight="1">
      <c r="A43" s="32" t="s">
        <v>423</v>
      </c>
      <c r="B43" s="611" t="s">
        <v>457</v>
      </c>
      <c r="C43" s="32" t="s">
        <v>37</v>
      </c>
      <c r="D43" s="29">
        <v>28.22</v>
      </c>
      <c r="E43" s="29">
        <v>38.700000000000003</v>
      </c>
      <c r="F43" s="29">
        <v>23</v>
      </c>
      <c r="G43" s="29">
        <f>'06T- 2018'!I43</f>
        <v>25</v>
      </c>
      <c r="H43" s="29">
        <v>25.2</v>
      </c>
      <c r="I43" s="29">
        <v>25.2</v>
      </c>
      <c r="J43" s="29">
        <v>22</v>
      </c>
      <c r="K43" s="29"/>
      <c r="L43" s="29">
        <v>22.5</v>
      </c>
      <c r="M43" s="58">
        <f t="shared" si="0"/>
        <v>65.116279069767444</v>
      </c>
      <c r="N43" s="58">
        <f t="shared" si="1"/>
        <v>109.56521739130434</v>
      </c>
      <c r="O43" s="58">
        <f t="shared" si="10"/>
        <v>87.301587301587304</v>
      </c>
      <c r="P43" s="58">
        <f t="shared" si="3"/>
        <v>90</v>
      </c>
      <c r="Q43" s="58">
        <f t="shared" si="4"/>
        <v>102.27272727272727</v>
      </c>
      <c r="R43" s="3"/>
    </row>
    <row r="44" spans="1:18" ht="17.25" customHeight="1">
      <c r="A44" s="32"/>
      <c r="B44" s="116" t="s">
        <v>27</v>
      </c>
      <c r="C44" s="34" t="s">
        <v>21</v>
      </c>
      <c r="D44" s="28">
        <v>56.13</v>
      </c>
      <c r="E44" s="28">
        <v>47.3</v>
      </c>
      <c r="F44" s="28">
        <v>55</v>
      </c>
      <c r="G44" s="28">
        <f>'06T- 2018'!I44</f>
        <v>58</v>
      </c>
      <c r="H44" s="28">
        <v>58</v>
      </c>
      <c r="I44" s="28">
        <v>58</v>
      </c>
      <c r="J44" s="28">
        <v>50</v>
      </c>
      <c r="K44" s="28"/>
      <c r="L44" s="28">
        <v>54.5</v>
      </c>
      <c r="M44" s="58">
        <f t="shared" si="0"/>
        <v>122.6215644820296</v>
      </c>
      <c r="N44" s="58">
        <f t="shared" si="1"/>
        <v>105.45454545454544</v>
      </c>
      <c r="O44" s="58">
        <f t="shared" si="10"/>
        <v>86.206896551724142</v>
      </c>
      <c r="P44" s="58">
        <f t="shared" si="3"/>
        <v>93.965517241379317</v>
      </c>
      <c r="Q44" s="58">
        <f t="shared" si="4"/>
        <v>109</v>
      </c>
      <c r="R44" s="3"/>
    </row>
    <row r="45" spans="1:18" ht="17.25" customHeight="1">
      <c r="A45" s="32"/>
      <c r="B45" s="117" t="s">
        <v>28</v>
      </c>
      <c r="C45" s="34" t="s">
        <v>76</v>
      </c>
      <c r="D45" s="29">
        <f t="shared" ref="D45:L45" si="26">D44*D43/10</f>
        <v>158.39885999999998</v>
      </c>
      <c r="E45" s="29">
        <f t="shared" si="26"/>
        <v>183.05099999999999</v>
      </c>
      <c r="F45" s="29">
        <f t="shared" si="26"/>
        <v>126.5</v>
      </c>
      <c r="G45" s="29">
        <f t="shared" si="26"/>
        <v>145</v>
      </c>
      <c r="H45" s="29">
        <f t="shared" si="26"/>
        <v>146.16</v>
      </c>
      <c r="I45" s="29">
        <f t="shared" si="26"/>
        <v>146.16</v>
      </c>
      <c r="J45" s="29">
        <f t="shared" si="26"/>
        <v>110</v>
      </c>
      <c r="K45" s="29">
        <f t="shared" si="26"/>
        <v>0</v>
      </c>
      <c r="L45" s="29">
        <f t="shared" si="26"/>
        <v>122.625</v>
      </c>
      <c r="M45" s="58">
        <f t="shared" si="0"/>
        <v>79.846600127833227</v>
      </c>
      <c r="N45" s="58">
        <f t="shared" si="1"/>
        <v>115.54150197628459</v>
      </c>
      <c r="O45" s="58">
        <f t="shared" si="10"/>
        <v>75.259989053092497</v>
      </c>
      <c r="P45" s="58">
        <f t="shared" si="3"/>
        <v>84.568965517241381</v>
      </c>
      <c r="Q45" s="58">
        <f t="shared" si="4"/>
        <v>111.47727272727272</v>
      </c>
      <c r="R45" s="3"/>
    </row>
    <row r="46" spans="1:18" ht="17.25" customHeight="1">
      <c r="A46" s="32" t="s">
        <v>424</v>
      </c>
      <c r="B46" s="611" t="s">
        <v>458</v>
      </c>
      <c r="C46" s="32" t="s">
        <v>37</v>
      </c>
      <c r="D46" s="29">
        <v>62.7</v>
      </c>
      <c r="E46" s="29">
        <v>62.9</v>
      </c>
      <c r="F46" s="29">
        <v>60</v>
      </c>
      <c r="G46" s="29">
        <f>'06T- 2018'!I46</f>
        <v>60</v>
      </c>
      <c r="H46" s="29">
        <v>60.2</v>
      </c>
      <c r="I46" s="29">
        <v>60.2</v>
      </c>
      <c r="J46" s="29">
        <v>60</v>
      </c>
      <c r="K46" s="29"/>
      <c r="L46" s="29">
        <v>50</v>
      </c>
      <c r="M46" s="58">
        <f t="shared" si="0"/>
        <v>95.707472178060414</v>
      </c>
      <c r="N46" s="58">
        <f t="shared" si="1"/>
        <v>100.33333333333334</v>
      </c>
      <c r="O46" s="58">
        <f t="shared" si="10"/>
        <v>99.667774086378742</v>
      </c>
      <c r="P46" s="58">
        <f t="shared" si="3"/>
        <v>83.333333333333343</v>
      </c>
      <c r="Q46" s="58">
        <f t="shared" si="4"/>
        <v>83.333333333333343</v>
      </c>
      <c r="R46" s="3"/>
    </row>
    <row r="47" spans="1:18" ht="17.25" customHeight="1">
      <c r="A47" s="32"/>
      <c r="B47" s="116" t="s">
        <v>27</v>
      </c>
      <c r="C47" s="34" t="s">
        <v>21</v>
      </c>
      <c r="D47" s="28">
        <v>44.11</v>
      </c>
      <c r="E47" s="28">
        <v>48</v>
      </c>
      <c r="F47" s="28">
        <v>50</v>
      </c>
      <c r="G47" s="28"/>
      <c r="H47" s="28"/>
      <c r="I47" s="28">
        <v>50</v>
      </c>
      <c r="J47" s="28">
        <v>52</v>
      </c>
      <c r="K47" s="28"/>
      <c r="L47" s="28"/>
      <c r="M47" s="58">
        <f t="shared" si="0"/>
        <v>104.16666666666667</v>
      </c>
      <c r="N47" s="58">
        <f t="shared" si="1"/>
        <v>100</v>
      </c>
      <c r="O47" s="58">
        <f t="shared" si="10"/>
        <v>104</v>
      </c>
      <c r="P47" s="58" t="str">
        <f t="shared" si="3"/>
        <v/>
      </c>
      <c r="Q47" s="58">
        <f t="shared" si="4"/>
        <v>0</v>
      </c>
      <c r="R47" s="3"/>
    </row>
    <row r="48" spans="1:18" ht="17.25" customHeight="1">
      <c r="A48" s="32"/>
      <c r="B48" s="117" t="s">
        <v>28</v>
      </c>
      <c r="C48" s="34" t="s">
        <v>76</v>
      </c>
      <c r="D48" s="29">
        <f>D46*D47/10</f>
        <v>276.56970000000001</v>
      </c>
      <c r="E48" s="29">
        <f t="shared" ref="E48:L48" si="27">E47*E46/10</f>
        <v>301.91999999999996</v>
      </c>
      <c r="F48" s="29">
        <f t="shared" si="27"/>
        <v>300</v>
      </c>
      <c r="G48" s="29">
        <f t="shared" si="27"/>
        <v>0</v>
      </c>
      <c r="H48" s="29">
        <f t="shared" si="27"/>
        <v>0</v>
      </c>
      <c r="I48" s="29">
        <f t="shared" si="27"/>
        <v>301</v>
      </c>
      <c r="J48" s="29">
        <f t="shared" si="27"/>
        <v>312</v>
      </c>
      <c r="K48" s="29">
        <f t="shared" si="27"/>
        <v>0</v>
      </c>
      <c r="L48" s="29">
        <f t="shared" si="27"/>
        <v>0</v>
      </c>
      <c r="M48" s="58">
        <f t="shared" si="0"/>
        <v>99.695283518812943</v>
      </c>
      <c r="N48" s="58">
        <f t="shared" si="1"/>
        <v>100.33333333333333</v>
      </c>
      <c r="O48" s="58">
        <f t="shared" si="10"/>
        <v>103.65448504983389</v>
      </c>
      <c r="P48" s="58" t="str">
        <f t="shared" si="3"/>
        <v/>
      </c>
      <c r="Q48" s="58">
        <f t="shared" si="4"/>
        <v>0</v>
      </c>
      <c r="R48" s="3"/>
    </row>
    <row r="49" spans="1:18" ht="19.5" customHeight="1">
      <c r="A49" s="11">
        <v>2</v>
      </c>
      <c r="B49" s="30" t="s">
        <v>29</v>
      </c>
      <c r="C49" s="32" t="s">
        <v>37</v>
      </c>
      <c r="D49" s="27">
        <v>6199.5</v>
      </c>
      <c r="E49" s="27">
        <v>5720.5</v>
      </c>
      <c r="F49" s="27">
        <v>6000</v>
      </c>
      <c r="G49" s="27">
        <f>'06T- 2018'!I49</f>
        <v>5700</v>
      </c>
      <c r="H49" s="27">
        <v>5281.3</v>
      </c>
      <c r="I49" s="27">
        <v>5281.3</v>
      </c>
      <c r="J49" s="27">
        <v>5000</v>
      </c>
      <c r="K49" s="27">
        <v>5057</v>
      </c>
      <c r="L49" s="27">
        <v>5057</v>
      </c>
      <c r="M49" s="66">
        <f t="shared" si="0"/>
        <v>92.322349444978585</v>
      </c>
      <c r="N49" s="66">
        <f t="shared" si="1"/>
        <v>88.021666666666675</v>
      </c>
      <c r="O49" s="66">
        <f t="shared" si="10"/>
        <v>94.673659894344198</v>
      </c>
      <c r="P49" s="66">
        <f t="shared" si="3"/>
        <v>88.719298245614041</v>
      </c>
      <c r="Q49" s="66">
        <f t="shared" si="4"/>
        <v>101.14</v>
      </c>
      <c r="R49" s="3"/>
    </row>
    <row r="50" spans="1:18" ht="19.5" customHeight="1">
      <c r="A50" s="39"/>
      <c r="B50" s="37" t="s">
        <v>27</v>
      </c>
      <c r="C50" s="34" t="s">
        <v>21</v>
      </c>
      <c r="D50" s="28">
        <f>D51/D49*10</f>
        <v>148.34260827486088</v>
      </c>
      <c r="E50" s="28">
        <v>148.51</v>
      </c>
      <c r="F50" s="28">
        <v>145</v>
      </c>
      <c r="G50" s="28"/>
      <c r="H50" s="28"/>
      <c r="I50" s="28">
        <v>148</v>
      </c>
      <c r="J50" s="28">
        <v>150</v>
      </c>
      <c r="K50" s="28"/>
      <c r="L50" s="28"/>
      <c r="M50" s="58">
        <f t="shared" si="0"/>
        <v>99.656588781900211</v>
      </c>
      <c r="N50" s="58">
        <f t="shared" si="1"/>
        <v>102.06896551724138</v>
      </c>
      <c r="O50" s="58">
        <f t="shared" si="10"/>
        <v>101.35135135135135</v>
      </c>
      <c r="P50" s="58" t="str">
        <f t="shared" si="3"/>
        <v/>
      </c>
      <c r="Q50" s="58">
        <f t="shared" si="4"/>
        <v>0</v>
      </c>
      <c r="R50" s="3"/>
    </row>
    <row r="51" spans="1:18" ht="19.5" customHeight="1">
      <c r="A51" s="39"/>
      <c r="B51" s="37" t="s">
        <v>28</v>
      </c>
      <c r="C51" s="34" t="s">
        <v>76</v>
      </c>
      <c r="D51" s="29">
        <v>91965</v>
      </c>
      <c r="E51" s="29">
        <f t="shared" ref="E51:L51" si="28">E50*E49/10</f>
        <v>84955.145499999999</v>
      </c>
      <c r="F51" s="29">
        <f t="shared" si="28"/>
        <v>87000</v>
      </c>
      <c r="G51" s="29">
        <f t="shared" si="28"/>
        <v>0</v>
      </c>
      <c r="H51" s="29">
        <f t="shared" si="28"/>
        <v>0</v>
      </c>
      <c r="I51" s="29">
        <f t="shared" si="28"/>
        <v>78163.240000000005</v>
      </c>
      <c r="J51" s="29">
        <f t="shared" si="28"/>
        <v>75000</v>
      </c>
      <c r="K51" s="29">
        <f t="shared" si="28"/>
        <v>0</v>
      </c>
      <c r="L51" s="29">
        <f t="shared" si="28"/>
        <v>0</v>
      </c>
      <c r="M51" s="58">
        <f t="shared" si="0"/>
        <v>92.005304140171248</v>
      </c>
      <c r="N51" s="58">
        <f t="shared" si="1"/>
        <v>89.842804597701161</v>
      </c>
      <c r="O51" s="58">
        <f t="shared" si="10"/>
        <v>95.953033676700187</v>
      </c>
      <c r="P51" s="58" t="str">
        <f t="shared" si="3"/>
        <v/>
      </c>
      <c r="Q51" s="58">
        <f t="shared" si="4"/>
        <v>0</v>
      </c>
      <c r="R51" s="3"/>
    </row>
    <row r="52" spans="1:18" s="18" customFormat="1" ht="19.5" customHeight="1">
      <c r="A52" s="11">
        <v>3</v>
      </c>
      <c r="B52" s="30" t="s">
        <v>317</v>
      </c>
      <c r="C52" s="11" t="s">
        <v>37</v>
      </c>
      <c r="D52" s="27">
        <v>9.1999999999999993</v>
      </c>
      <c r="E52" s="27">
        <v>10.5</v>
      </c>
      <c r="F52" s="27">
        <v>30</v>
      </c>
      <c r="G52" s="27">
        <f>'06T- 2018'!I52</f>
        <v>29.1</v>
      </c>
      <c r="H52" s="27">
        <v>29.1</v>
      </c>
      <c r="I52" s="27">
        <v>29.1</v>
      </c>
      <c r="J52" s="27">
        <v>30</v>
      </c>
      <c r="K52" s="27">
        <v>29.1</v>
      </c>
      <c r="L52" s="27">
        <v>29.1</v>
      </c>
      <c r="M52" s="66">
        <f t="shared" si="0"/>
        <v>277.14285714285717</v>
      </c>
      <c r="N52" s="66">
        <f t="shared" si="1"/>
        <v>97.000000000000014</v>
      </c>
      <c r="O52" s="66">
        <f t="shared" si="10"/>
        <v>103.09278350515463</v>
      </c>
      <c r="P52" s="66">
        <f t="shared" si="3"/>
        <v>99.999999999999986</v>
      </c>
      <c r="Q52" s="66">
        <f t="shared" si="4"/>
        <v>97.000000000000014</v>
      </c>
      <c r="R52" s="83"/>
    </row>
    <row r="53" spans="1:18" ht="19.5" customHeight="1">
      <c r="A53" s="32"/>
      <c r="B53" s="33" t="s">
        <v>123</v>
      </c>
      <c r="C53" s="32" t="s">
        <v>37</v>
      </c>
      <c r="D53" s="29"/>
      <c r="E53" s="29"/>
      <c r="F53" s="29">
        <v>20</v>
      </c>
      <c r="G53" s="712">
        <f>'06T- 2018'!I53</f>
        <v>19.100000000000001</v>
      </c>
      <c r="H53" s="29">
        <v>19.100000000000001</v>
      </c>
      <c r="I53" s="29">
        <v>19.100000000000001</v>
      </c>
      <c r="J53" s="29"/>
      <c r="K53" s="29"/>
      <c r="L53" s="29"/>
      <c r="M53" s="58" t="str">
        <f t="shared" si="0"/>
        <v/>
      </c>
      <c r="N53" s="58">
        <f t="shared" si="1"/>
        <v>95.5</v>
      </c>
      <c r="O53" s="58">
        <f t="shared" si="10"/>
        <v>0</v>
      </c>
      <c r="P53" s="58">
        <f t="shared" si="3"/>
        <v>0</v>
      </c>
      <c r="Q53" s="58" t="str">
        <f t="shared" si="4"/>
        <v/>
      </c>
      <c r="R53" s="3"/>
    </row>
    <row r="54" spans="1:18" ht="19.5" customHeight="1">
      <c r="A54" s="39"/>
      <c r="B54" s="37" t="s">
        <v>27</v>
      </c>
      <c r="C54" s="34" t="s">
        <v>21</v>
      </c>
      <c r="D54" s="28"/>
      <c r="E54" s="28">
        <v>600</v>
      </c>
      <c r="F54" s="28">
        <v>733.3</v>
      </c>
      <c r="G54" s="28"/>
      <c r="H54" s="28"/>
      <c r="I54" s="28">
        <v>733.3</v>
      </c>
      <c r="J54" s="28">
        <v>724.39862542955325</v>
      </c>
      <c r="K54" s="28"/>
      <c r="L54" s="28"/>
      <c r="M54" s="58">
        <f t="shared" si="0"/>
        <v>122.21666666666665</v>
      </c>
      <c r="N54" s="58">
        <f t="shared" si="1"/>
        <v>100</v>
      </c>
      <c r="O54" s="58">
        <f t="shared" si="10"/>
        <v>98.786121018621756</v>
      </c>
      <c r="P54" s="58" t="str">
        <f t="shared" si="3"/>
        <v/>
      </c>
      <c r="Q54" s="58">
        <f t="shared" si="4"/>
        <v>0</v>
      </c>
      <c r="R54" s="3"/>
    </row>
    <row r="55" spans="1:18" ht="19.5" customHeight="1">
      <c r="A55" s="39"/>
      <c r="B55" s="37" t="s">
        <v>28</v>
      </c>
      <c r="C55" s="34" t="s">
        <v>76</v>
      </c>
      <c r="D55" s="29">
        <f t="shared" ref="D55:L55" si="29">D54*D52/10</f>
        <v>0</v>
      </c>
      <c r="E55" s="29">
        <f t="shared" si="29"/>
        <v>630</v>
      </c>
      <c r="F55" s="29">
        <f t="shared" si="29"/>
        <v>2199.9</v>
      </c>
      <c r="G55" s="29">
        <f t="shared" si="29"/>
        <v>0</v>
      </c>
      <c r="H55" s="29">
        <f t="shared" si="29"/>
        <v>0</v>
      </c>
      <c r="I55" s="29">
        <f t="shared" si="29"/>
        <v>2133.9029999999998</v>
      </c>
      <c r="J55" s="29">
        <f t="shared" si="29"/>
        <v>2173.1958762886597</v>
      </c>
      <c r="K55" s="29">
        <f t="shared" si="29"/>
        <v>0</v>
      </c>
      <c r="L55" s="29">
        <f t="shared" si="29"/>
        <v>0</v>
      </c>
      <c r="M55" s="58">
        <f t="shared" si="0"/>
        <v>338.71476190476187</v>
      </c>
      <c r="N55" s="58">
        <f t="shared" si="1"/>
        <v>96.999999999999986</v>
      </c>
      <c r="O55" s="58">
        <f t="shared" si="10"/>
        <v>101.84136187486779</v>
      </c>
      <c r="P55" s="58" t="str">
        <f t="shared" si="3"/>
        <v/>
      </c>
      <c r="Q55" s="58">
        <f t="shared" si="4"/>
        <v>0</v>
      </c>
      <c r="R55" s="3"/>
    </row>
    <row r="56" spans="1:18" ht="19.5" customHeight="1">
      <c r="A56" s="11">
        <v>4</v>
      </c>
      <c r="B56" s="30" t="s">
        <v>136</v>
      </c>
      <c r="C56" s="32" t="s">
        <v>37</v>
      </c>
      <c r="D56" s="27">
        <f t="shared" ref="D56:L56" si="30">D59+D62</f>
        <v>219.3</v>
      </c>
      <c r="E56" s="27">
        <f t="shared" si="30"/>
        <v>259</v>
      </c>
      <c r="F56" s="27">
        <f t="shared" si="30"/>
        <v>230</v>
      </c>
      <c r="G56" s="27">
        <f t="shared" si="30"/>
        <v>185.8</v>
      </c>
      <c r="H56" s="27">
        <f t="shared" si="30"/>
        <v>256.39999999999998</v>
      </c>
      <c r="I56" s="27">
        <f t="shared" si="30"/>
        <v>256.39999999999998</v>
      </c>
      <c r="J56" s="27">
        <f t="shared" si="30"/>
        <v>230</v>
      </c>
      <c r="K56" s="27">
        <f t="shared" si="30"/>
        <v>0</v>
      </c>
      <c r="L56" s="27">
        <f t="shared" si="30"/>
        <v>227</v>
      </c>
      <c r="M56" s="66">
        <f t="shared" si="0"/>
        <v>98.996138996138995</v>
      </c>
      <c r="N56" s="66">
        <f t="shared" si="1"/>
        <v>111.47826086956522</v>
      </c>
      <c r="O56" s="66">
        <f t="shared" si="10"/>
        <v>89.703588143525749</v>
      </c>
      <c r="P56" s="66">
        <f t="shared" si="3"/>
        <v>122.17438105489774</v>
      </c>
      <c r="Q56" s="66">
        <f t="shared" si="4"/>
        <v>98.695652173913047</v>
      </c>
      <c r="R56" s="3"/>
    </row>
    <row r="57" spans="1:18" ht="19.5" customHeight="1">
      <c r="A57" s="39"/>
      <c r="B57" s="37" t="s">
        <v>27</v>
      </c>
      <c r="C57" s="34" t="s">
        <v>21</v>
      </c>
      <c r="D57" s="28">
        <f t="shared" ref="D57:L57" si="31">D58/D56*10</f>
        <v>119.96580027359781</v>
      </c>
      <c r="E57" s="28">
        <f t="shared" si="31"/>
        <v>134.57142857142858</v>
      </c>
      <c r="F57" s="28">
        <f t="shared" si="31"/>
        <v>136.63173913043477</v>
      </c>
      <c r="G57" s="28">
        <f t="shared" si="31"/>
        <v>94.734122712594186</v>
      </c>
      <c r="H57" s="28">
        <f t="shared" si="31"/>
        <v>72.43759750390015</v>
      </c>
      <c r="I57" s="28">
        <f t="shared" si="31"/>
        <v>135.35101404056161</v>
      </c>
      <c r="J57" s="28">
        <f t="shared" si="31"/>
        <v>136.19999999999999</v>
      </c>
      <c r="K57" s="28" t="e">
        <f t="shared" si="31"/>
        <v>#DIV/0!</v>
      </c>
      <c r="L57" s="28">
        <f t="shared" si="31"/>
        <v>78.910572687224658</v>
      </c>
      <c r="M57" s="58">
        <f t="shared" si="0"/>
        <v>100.57930979659567</v>
      </c>
      <c r="N57" s="58">
        <f t="shared" si="1"/>
        <v>99.06264452313637</v>
      </c>
      <c r="O57" s="58">
        <f t="shared" si="10"/>
        <v>100.62724757952975</v>
      </c>
      <c r="P57" s="58">
        <f t="shared" si="3"/>
        <v>83.296884404181114</v>
      </c>
      <c r="Q57" s="58">
        <f t="shared" si="4"/>
        <v>57.937278037609886</v>
      </c>
      <c r="R57" s="3"/>
    </row>
    <row r="58" spans="1:18" ht="19.5" customHeight="1">
      <c r="A58" s="39"/>
      <c r="B58" s="37" t="s">
        <v>28</v>
      </c>
      <c r="C58" s="34" t="s">
        <v>76</v>
      </c>
      <c r="D58" s="29">
        <f t="shared" ref="D58:L58" si="32">D61+D64</f>
        <v>2630.85</v>
      </c>
      <c r="E58" s="29">
        <f t="shared" si="32"/>
        <v>3485.4</v>
      </c>
      <c r="F58" s="29">
        <f t="shared" si="32"/>
        <v>3142.5299999999997</v>
      </c>
      <c r="G58" s="29">
        <f t="shared" si="32"/>
        <v>1760.1599999999999</v>
      </c>
      <c r="H58" s="29">
        <f t="shared" si="32"/>
        <v>1857.3</v>
      </c>
      <c r="I58" s="29">
        <f t="shared" si="32"/>
        <v>3470.3999999999996</v>
      </c>
      <c r="J58" s="29">
        <f t="shared" si="32"/>
        <v>3132.6</v>
      </c>
      <c r="K58" s="29">
        <f t="shared" si="32"/>
        <v>0</v>
      </c>
      <c r="L58" s="29">
        <f t="shared" si="32"/>
        <v>1791.27</v>
      </c>
      <c r="M58" s="58">
        <f t="shared" si="0"/>
        <v>99.569633327595099</v>
      </c>
      <c r="N58" s="58">
        <f t="shared" si="1"/>
        <v>110.43331328579202</v>
      </c>
      <c r="O58" s="58">
        <f t="shared" si="10"/>
        <v>90.266251728907349</v>
      </c>
      <c r="P58" s="58">
        <f t="shared" si="3"/>
        <v>101.76745295882193</v>
      </c>
      <c r="Q58" s="58">
        <f t="shared" si="4"/>
        <v>57.181574411032365</v>
      </c>
      <c r="R58" s="3"/>
    </row>
    <row r="59" spans="1:18" ht="19.5" customHeight="1">
      <c r="A59" s="32"/>
      <c r="B59" s="612" t="s">
        <v>459</v>
      </c>
      <c r="C59" s="21" t="s">
        <v>37</v>
      </c>
      <c r="D59" s="22">
        <v>97.3</v>
      </c>
      <c r="E59" s="22">
        <v>137</v>
      </c>
      <c r="F59" s="22">
        <v>123</v>
      </c>
      <c r="G59" s="22">
        <f>'06T- 2018'!I59</f>
        <v>115.8</v>
      </c>
      <c r="H59" s="22">
        <v>123</v>
      </c>
      <c r="I59" s="22">
        <v>123</v>
      </c>
      <c r="J59" s="22">
        <v>115</v>
      </c>
      <c r="K59" s="22"/>
      <c r="L59" s="22">
        <v>117</v>
      </c>
      <c r="M59" s="58">
        <f t="shared" si="0"/>
        <v>89.781021897810206</v>
      </c>
      <c r="N59" s="58">
        <f t="shared" si="1"/>
        <v>100</v>
      </c>
      <c r="O59" s="58">
        <f t="shared" si="10"/>
        <v>93.495934959349597</v>
      </c>
      <c r="P59" s="58">
        <f t="shared" si="3"/>
        <v>101.03626943005182</v>
      </c>
      <c r="Q59" s="58">
        <f t="shared" si="4"/>
        <v>101.73913043478262</v>
      </c>
      <c r="R59" s="3"/>
    </row>
    <row r="60" spans="1:18" ht="19.5" customHeight="1">
      <c r="A60" s="32"/>
      <c r="B60" s="136" t="s">
        <v>27</v>
      </c>
      <c r="C60" s="21" t="s">
        <v>21</v>
      </c>
      <c r="D60" s="38">
        <v>145</v>
      </c>
      <c r="E60" s="38">
        <v>152</v>
      </c>
      <c r="F60" s="38">
        <v>151.1</v>
      </c>
      <c r="G60" s="38">
        <f>'06T- 2018'!I60</f>
        <v>152</v>
      </c>
      <c r="H60" s="38">
        <v>151</v>
      </c>
      <c r="I60" s="38">
        <v>152</v>
      </c>
      <c r="J60" s="38">
        <v>152.4</v>
      </c>
      <c r="K60" s="38"/>
      <c r="L60" s="38">
        <v>153.1</v>
      </c>
      <c r="M60" s="58">
        <f t="shared" si="0"/>
        <v>100</v>
      </c>
      <c r="N60" s="58">
        <f t="shared" si="1"/>
        <v>100.59563203176705</v>
      </c>
      <c r="O60" s="58">
        <f t="shared" si="10"/>
        <v>100.26315789473685</v>
      </c>
      <c r="P60" s="58">
        <f t="shared" si="3"/>
        <v>100.72368421052632</v>
      </c>
      <c r="Q60" s="58">
        <f t="shared" si="4"/>
        <v>100.45931758530183</v>
      </c>
      <c r="R60" s="3"/>
    </row>
    <row r="61" spans="1:18" ht="19.5" customHeight="1">
      <c r="A61" s="32"/>
      <c r="B61" s="136" t="s">
        <v>28</v>
      </c>
      <c r="C61" s="21" t="s">
        <v>76</v>
      </c>
      <c r="D61" s="22">
        <f t="shared" ref="D61:L61" si="33">D60*D59/10</f>
        <v>1410.85</v>
      </c>
      <c r="E61" s="22">
        <f t="shared" si="33"/>
        <v>2082.4</v>
      </c>
      <c r="F61" s="22">
        <f t="shared" si="33"/>
        <v>1858.53</v>
      </c>
      <c r="G61" s="22">
        <f t="shared" si="33"/>
        <v>1760.1599999999999</v>
      </c>
      <c r="H61" s="22">
        <f t="shared" si="33"/>
        <v>1857.3</v>
      </c>
      <c r="I61" s="22">
        <f t="shared" si="33"/>
        <v>1869.6</v>
      </c>
      <c r="J61" s="22">
        <f t="shared" si="33"/>
        <v>1752.6</v>
      </c>
      <c r="K61" s="22">
        <f t="shared" si="33"/>
        <v>0</v>
      </c>
      <c r="L61" s="22">
        <f t="shared" si="33"/>
        <v>1791.27</v>
      </c>
      <c r="M61" s="58">
        <f t="shared" si="0"/>
        <v>89.781021897810206</v>
      </c>
      <c r="N61" s="58">
        <f t="shared" si="1"/>
        <v>100.59563203176704</v>
      </c>
      <c r="O61" s="58">
        <f t="shared" si="10"/>
        <v>93.741976893453156</v>
      </c>
      <c r="P61" s="58">
        <f t="shared" si="3"/>
        <v>101.76745295882193</v>
      </c>
      <c r="Q61" s="58">
        <f t="shared" si="4"/>
        <v>102.20643615200274</v>
      </c>
      <c r="R61" s="3"/>
    </row>
    <row r="62" spans="1:18" ht="19.5" customHeight="1">
      <c r="A62" s="32"/>
      <c r="B62" s="612" t="s">
        <v>460</v>
      </c>
      <c r="C62" s="21" t="s">
        <v>37</v>
      </c>
      <c r="D62" s="22">
        <v>122</v>
      </c>
      <c r="E62" s="22">
        <v>122</v>
      </c>
      <c r="F62" s="22">
        <v>107</v>
      </c>
      <c r="G62" s="22">
        <f>'06T- 2018'!I62</f>
        <v>70</v>
      </c>
      <c r="H62" s="22">
        <v>133.4</v>
      </c>
      <c r="I62" s="22">
        <v>133.4</v>
      </c>
      <c r="J62" s="22">
        <v>115</v>
      </c>
      <c r="K62" s="22"/>
      <c r="L62" s="22">
        <v>110</v>
      </c>
      <c r="M62" s="58">
        <f t="shared" si="0"/>
        <v>109.34426229508198</v>
      </c>
      <c r="N62" s="58">
        <f t="shared" si="1"/>
        <v>124.67289719626169</v>
      </c>
      <c r="O62" s="58">
        <f t="shared" si="10"/>
        <v>86.206896551724128</v>
      </c>
      <c r="P62" s="58">
        <f t="shared" si="3"/>
        <v>157.14285714285714</v>
      </c>
      <c r="Q62" s="58">
        <f t="shared" si="4"/>
        <v>95.652173913043484</v>
      </c>
      <c r="R62" s="3"/>
    </row>
    <row r="63" spans="1:18" ht="19.5" customHeight="1">
      <c r="A63" s="32"/>
      <c r="B63" s="136" t="s">
        <v>27</v>
      </c>
      <c r="C63" s="21" t="s">
        <v>21</v>
      </c>
      <c r="D63" s="38">
        <v>100</v>
      </c>
      <c r="E63" s="38">
        <v>115</v>
      </c>
      <c r="F63" s="38">
        <v>120</v>
      </c>
      <c r="G63" s="38"/>
      <c r="H63" s="38"/>
      <c r="I63" s="38">
        <v>120</v>
      </c>
      <c r="J63" s="38">
        <v>120</v>
      </c>
      <c r="K63" s="38"/>
      <c r="L63" s="38"/>
      <c r="M63" s="58">
        <f t="shared" si="0"/>
        <v>104.34782608695653</v>
      </c>
      <c r="N63" s="58">
        <f t="shared" si="1"/>
        <v>100</v>
      </c>
      <c r="O63" s="58">
        <f t="shared" si="10"/>
        <v>100</v>
      </c>
      <c r="P63" s="58" t="str">
        <f t="shared" si="3"/>
        <v/>
      </c>
      <c r="Q63" s="58">
        <f t="shared" si="4"/>
        <v>0</v>
      </c>
      <c r="R63" s="3"/>
    </row>
    <row r="64" spans="1:18" ht="19.5" customHeight="1">
      <c r="A64" s="32"/>
      <c r="B64" s="136" t="s">
        <v>28</v>
      </c>
      <c r="C64" s="21" t="s">
        <v>76</v>
      </c>
      <c r="D64" s="22">
        <f t="shared" ref="D64:L64" si="34">D63*D62/10</f>
        <v>1220</v>
      </c>
      <c r="E64" s="22">
        <f t="shared" si="34"/>
        <v>1403</v>
      </c>
      <c r="F64" s="22">
        <f t="shared" si="34"/>
        <v>1284</v>
      </c>
      <c r="G64" s="22">
        <f t="shared" si="34"/>
        <v>0</v>
      </c>
      <c r="H64" s="22">
        <f t="shared" si="34"/>
        <v>0</v>
      </c>
      <c r="I64" s="22">
        <f t="shared" si="34"/>
        <v>1600.8</v>
      </c>
      <c r="J64" s="22">
        <f t="shared" si="34"/>
        <v>1380</v>
      </c>
      <c r="K64" s="22">
        <f t="shared" si="34"/>
        <v>0</v>
      </c>
      <c r="L64" s="22">
        <f t="shared" si="34"/>
        <v>0</v>
      </c>
      <c r="M64" s="58">
        <f t="shared" si="0"/>
        <v>114.09836065573771</v>
      </c>
      <c r="N64" s="58">
        <f t="shared" si="1"/>
        <v>124.67289719626169</v>
      </c>
      <c r="O64" s="58">
        <f t="shared" si="10"/>
        <v>86.206896551724142</v>
      </c>
      <c r="P64" s="58" t="str">
        <f t="shared" si="3"/>
        <v/>
      </c>
      <c r="Q64" s="58">
        <f t="shared" si="4"/>
        <v>0</v>
      </c>
      <c r="R64" s="3"/>
    </row>
    <row r="65" spans="1:19" s="18" customFormat="1" ht="31.5">
      <c r="A65" s="11">
        <v>5</v>
      </c>
      <c r="B65" s="30" t="s">
        <v>411</v>
      </c>
      <c r="C65" s="11" t="s">
        <v>37</v>
      </c>
      <c r="D65" s="36">
        <f t="shared" ref="D65:J65" si="35">SUM(D66:D68)</f>
        <v>7.5</v>
      </c>
      <c r="E65" s="36">
        <f t="shared" si="35"/>
        <v>31.2</v>
      </c>
      <c r="F65" s="36">
        <f t="shared" si="35"/>
        <v>32</v>
      </c>
      <c r="G65" s="36">
        <f>SUM(G66:G68)</f>
        <v>32</v>
      </c>
      <c r="H65" s="36">
        <f t="shared" si="35"/>
        <v>32</v>
      </c>
      <c r="I65" s="36">
        <f t="shared" si="35"/>
        <v>37.4</v>
      </c>
      <c r="J65" s="36">
        <f t="shared" si="35"/>
        <v>37.4</v>
      </c>
      <c r="K65" s="36">
        <v>18</v>
      </c>
      <c r="L65" s="36">
        <v>37</v>
      </c>
      <c r="M65" s="66">
        <f t="shared" si="0"/>
        <v>119.87179487179486</v>
      </c>
      <c r="N65" s="66">
        <f t="shared" si="1"/>
        <v>116.875</v>
      </c>
      <c r="O65" s="66">
        <f t="shared" si="10"/>
        <v>100</v>
      </c>
      <c r="P65" s="66">
        <f t="shared" si="3"/>
        <v>115.625</v>
      </c>
      <c r="Q65" s="66">
        <f t="shared" si="4"/>
        <v>98.930481283422466</v>
      </c>
      <c r="R65" s="83"/>
    </row>
    <row r="66" spans="1:19" ht="19.5" customHeight="1" outlineLevel="1">
      <c r="A66" s="32"/>
      <c r="B66" s="35" t="s">
        <v>402</v>
      </c>
      <c r="C66" s="32" t="s">
        <v>37</v>
      </c>
      <c r="D66" s="28">
        <v>3.7</v>
      </c>
      <c r="E66" s="28">
        <v>4</v>
      </c>
      <c r="F66" s="28">
        <v>4</v>
      </c>
      <c r="G66" s="28">
        <f>'06T- 2018'!I66</f>
        <v>4</v>
      </c>
      <c r="H66" s="28">
        <f>F66</f>
        <v>4</v>
      </c>
      <c r="I66" s="28">
        <f>H66</f>
        <v>4</v>
      </c>
      <c r="J66" s="28">
        <f>I66</f>
        <v>4</v>
      </c>
      <c r="K66" s="28"/>
      <c r="L66" s="28"/>
      <c r="M66" s="58">
        <f t="shared" si="0"/>
        <v>100</v>
      </c>
      <c r="N66" s="58">
        <f t="shared" si="1"/>
        <v>100</v>
      </c>
      <c r="O66" s="58">
        <f t="shared" si="10"/>
        <v>100</v>
      </c>
      <c r="P66" s="58">
        <f t="shared" si="3"/>
        <v>0</v>
      </c>
      <c r="Q66" s="58">
        <f t="shared" si="4"/>
        <v>0</v>
      </c>
      <c r="R66" s="3"/>
    </row>
    <row r="67" spans="1:19" ht="19.5" customHeight="1" outlineLevel="1">
      <c r="A67" s="32"/>
      <c r="B67" s="35" t="s">
        <v>403</v>
      </c>
      <c r="C67" s="32" t="s">
        <v>37</v>
      </c>
      <c r="D67" s="28">
        <v>3.8</v>
      </c>
      <c r="E67" s="28">
        <v>4</v>
      </c>
      <c r="F67" s="28">
        <v>4</v>
      </c>
      <c r="G67" s="28">
        <f>'06T- 2018'!I67</f>
        <v>4</v>
      </c>
      <c r="H67" s="28">
        <f>F67</f>
        <v>4</v>
      </c>
      <c r="I67" s="28">
        <v>3.7</v>
      </c>
      <c r="J67" s="28">
        <f>I67</f>
        <v>3.7</v>
      </c>
      <c r="K67" s="28"/>
      <c r="L67" s="28"/>
      <c r="M67" s="58">
        <f t="shared" si="0"/>
        <v>92.5</v>
      </c>
      <c r="N67" s="58">
        <f t="shared" si="1"/>
        <v>92.5</v>
      </c>
      <c r="O67" s="58">
        <f t="shared" si="10"/>
        <v>99.999999999999986</v>
      </c>
      <c r="P67" s="58">
        <f t="shared" si="3"/>
        <v>0</v>
      </c>
      <c r="Q67" s="58">
        <f t="shared" si="4"/>
        <v>0</v>
      </c>
      <c r="R67" s="3"/>
    </row>
    <row r="68" spans="1:19" ht="19.5" customHeight="1" outlineLevel="1">
      <c r="A68" s="32"/>
      <c r="B68" s="35" t="s">
        <v>404</v>
      </c>
      <c r="C68" s="32" t="s">
        <v>37</v>
      </c>
      <c r="D68" s="28"/>
      <c r="E68" s="28">
        <v>23.2</v>
      </c>
      <c r="F68" s="28">
        <v>24</v>
      </c>
      <c r="G68" s="28">
        <f>'06T- 2018'!I68</f>
        <v>24</v>
      </c>
      <c r="H68" s="28">
        <f>F68</f>
        <v>24</v>
      </c>
      <c r="I68" s="28">
        <v>29.7</v>
      </c>
      <c r="J68" s="28">
        <f>I68</f>
        <v>29.7</v>
      </c>
      <c r="K68" s="28"/>
      <c r="L68" s="28"/>
      <c r="M68" s="58">
        <f t="shared" si="0"/>
        <v>128.01724137931035</v>
      </c>
      <c r="N68" s="58">
        <f t="shared" si="1"/>
        <v>123.75</v>
      </c>
      <c r="O68" s="58">
        <f t="shared" si="10"/>
        <v>100</v>
      </c>
      <c r="P68" s="58">
        <f t="shared" si="3"/>
        <v>0</v>
      </c>
      <c r="Q68" s="58">
        <f t="shared" si="4"/>
        <v>0</v>
      </c>
      <c r="R68" s="3"/>
    </row>
    <row r="69" spans="1:19" ht="17.25" customHeight="1">
      <c r="A69" s="24" t="s">
        <v>39</v>
      </c>
      <c r="B69" s="30" t="s">
        <v>122</v>
      </c>
      <c r="C69" s="11" t="s">
        <v>37</v>
      </c>
      <c r="D69" s="27">
        <f t="shared" ref="D69:L69" si="36">D70+D83+D84</f>
        <v>9814</v>
      </c>
      <c r="E69" s="27">
        <f t="shared" si="36"/>
        <v>10071.6</v>
      </c>
      <c r="F69" s="27">
        <f t="shared" si="36"/>
        <v>10122.1</v>
      </c>
      <c r="G69" s="27">
        <f t="shared" si="36"/>
        <v>10080.200000000001</v>
      </c>
      <c r="H69" s="27">
        <f t="shared" si="36"/>
        <v>10418.700000000001</v>
      </c>
      <c r="I69" s="27">
        <f>I70+I83+I84</f>
        <v>10463.900000000001</v>
      </c>
      <c r="J69" s="27">
        <f t="shared" si="36"/>
        <v>10431.200000000001</v>
      </c>
      <c r="K69" s="27">
        <f t="shared" si="36"/>
        <v>10029.6</v>
      </c>
      <c r="L69" s="27">
        <f t="shared" si="36"/>
        <v>10414.200000000001</v>
      </c>
      <c r="M69" s="66">
        <f t="shared" si="0"/>
        <v>103.89511100520275</v>
      </c>
      <c r="N69" s="66">
        <f t="shared" si="1"/>
        <v>103.37676964266309</v>
      </c>
      <c r="O69" s="66">
        <f t="shared" si="10"/>
        <v>99.687497013541787</v>
      </c>
      <c r="P69" s="66">
        <f t="shared" si="3"/>
        <v>103.31342632090633</v>
      </c>
      <c r="Q69" s="66">
        <f t="shared" si="4"/>
        <v>99.837027379400254</v>
      </c>
      <c r="R69" s="3"/>
    </row>
    <row r="70" spans="1:19" s="18" customFormat="1" ht="17.25" customHeight="1">
      <c r="A70" s="24">
        <v>1</v>
      </c>
      <c r="B70" s="23" t="s">
        <v>448</v>
      </c>
      <c r="C70" s="11" t="s">
        <v>37</v>
      </c>
      <c r="D70" s="27">
        <f t="shared" ref="D70:I70" si="37">D71+D77</f>
        <v>9537.2999999999993</v>
      </c>
      <c r="E70" s="27">
        <f t="shared" si="37"/>
        <v>9722.1</v>
      </c>
      <c r="F70" s="27">
        <f t="shared" si="37"/>
        <v>9772.1</v>
      </c>
      <c r="G70" s="27">
        <f t="shared" si="37"/>
        <v>9730.2000000000007</v>
      </c>
      <c r="H70" s="27">
        <f t="shared" si="37"/>
        <v>10029.6</v>
      </c>
      <c r="I70" s="27">
        <f t="shared" si="37"/>
        <v>10029.6</v>
      </c>
      <c r="J70" s="27">
        <f>J71+J77</f>
        <v>10079.6</v>
      </c>
      <c r="K70" s="27">
        <f>K71+K77</f>
        <v>10029.6</v>
      </c>
      <c r="L70" s="27">
        <f>L71+L77</f>
        <v>9978.7000000000007</v>
      </c>
      <c r="M70" s="66">
        <f t="shared" si="0"/>
        <v>103.16289690498967</v>
      </c>
      <c r="N70" s="66">
        <f t="shared" si="1"/>
        <v>102.63505285455531</v>
      </c>
      <c r="O70" s="66">
        <f t="shared" si="10"/>
        <v>100.4985243678711</v>
      </c>
      <c r="P70" s="66">
        <f t="shared" si="3"/>
        <v>102.55390433906805</v>
      </c>
      <c r="Q70" s="66">
        <f t="shared" si="4"/>
        <v>98.998968213024327</v>
      </c>
      <c r="R70" s="83"/>
    </row>
    <row r="71" spans="1:19" s="18" customFormat="1" ht="17.25" customHeight="1">
      <c r="A71" s="11" t="s">
        <v>34</v>
      </c>
      <c r="B71" s="30" t="s">
        <v>445</v>
      </c>
      <c r="C71" s="11" t="s">
        <v>37</v>
      </c>
      <c r="D71" s="16">
        <v>1743.8</v>
      </c>
      <c r="E71" s="16">
        <f>D71+E72</f>
        <v>1919.5</v>
      </c>
      <c r="F71" s="16">
        <f>E71+F72-F73</f>
        <v>1969.5</v>
      </c>
      <c r="G71" s="16">
        <f>E71+G72-G73</f>
        <v>1969.5</v>
      </c>
      <c r="H71" s="16">
        <f>E71+H72-H73</f>
        <v>2299.5</v>
      </c>
      <c r="I71" s="16">
        <f>E71+I72-I73</f>
        <v>2299.5</v>
      </c>
      <c r="J71" s="16">
        <f>I71+J72</f>
        <v>2349.5</v>
      </c>
      <c r="K71" s="16">
        <f>I71+K72</f>
        <v>2299.5</v>
      </c>
      <c r="L71" s="16">
        <f>I71+L72</f>
        <v>2313.5</v>
      </c>
      <c r="M71" s="66">
        <f t="shared" si="0"/>
        <v>119.79682208908569</v>
      </c>
      <c r="N71" s="66">
        <f t="shared" si="1"/>
        <v>116.75552170601675</v>
      </c>
      <c r="O71" s="66">
        <f t="shared" si="10"/>
        <v>102.17438573602956</v>
      </c>
      <c r="P71" s="66">
        <f t="shared" si="3"/>
        <v>117.46636202081747</v>
      </c>
      <c r="Q71" s="66">
        <f t="shared" si="4"/>
        <v>98.467759097680357</v>
      </c>
      <c r="R71" s="83"/>
    </row>
    <row r="72" spans="1:19" ht="17.25" customHeight="1">
      <c r="A72" s="32"/>
      <c r="B72" s="35" t="s">
        <v>123</v>
      </c>
      <c r="C72" s="32" t="s">
        <v>37</v>
      </c>
      <c r="D72" s="38">
        <v>185.9</v>
      </c>
      <c r="E72" s="38">
        <v>175.7</v>
      </c>
      <c r="F72" s="38">
        <v>50</v>
      </c>
      <c r="G72" s="38">
        <v>50</v>
      </c>
      <c r="H72" s="38">
        <v>381</v>
      </c>
      <c r="I72" s="38">
        <v>381</v>
      </c>
      <c r="J72" s="38">
        <v>50</v>
      </c>
      <c r="K72" s="38"/>
      <c r="L72" s="38">
        <v>14</v>
      </c>
      <c r="M72" s="58">
        <f t="shared" si="0"/>
        <v>216.84689812179855</v>
      </c>
      <c r="N72" s="58">
        <f t="shared" si="1"/>
        <v>762</v>
      </c>
      <c r="O72" s="58">
        <f t="shared" si="10"/>
        <v>13.123359580052494</v>
      </c>
      <c r="P72" s="58">
        <f t="shared" si="3"/>
        <v>28</v>
      </c>
      <c r="Q72" s="58">
        <f t="shared" si="4"/>
        <v>28</v>
      </c>
      <c r="R72" s="3"/>
    </row>
    <row r="73" spans="1:19" ht="17.25" customHeight="1">
      <c r="A73" s="32"/>
      <c r="B73" s="35" t="s">
        <v>321</v>
      </c>
      <c r="C73" s="32" t="s">
        <v>37</v>
      </c>
      <c r="D73" s="38"/>
      <c r="E73" s="38"/>
      <c r="F73" s="38"/>
      <c r="G73" s="38"/>
      <c r="H73" s="38">
        <v>1</v>
      </c>
      <c r="I73" s="38">
        <v>1</v>
      </c>
      <c r="J73" s="38"/>
      <c r="K73" s="38"/>
      <c r="L73" s="38"/>
      <c r="M73" s="58"/>
      <c r="N73" s="58"/>
      <c r="O73" s="58"/>
      <c r="P73" s="58"/>
      <c r="Q73" s="58"/>
      <c r="R73" s="3"/>
    </row>
    <row r="74" spans="1:19" ht="17.25" customHeight="1">
      <c r="A74" s="32"/>
      <c r="B74" s="35" t="s">
        <v>124</v>
      </c>
      <c r="C74" s="32" t="s">
        <v>37</v>
      </c>
      <c r="D74" s="22">
        <v>1246</v>
      </c>
      <c r="E74" s="22">
        <v>1384</v>
      </c>
      <c r="F74" s="22">
        <v>1559</v>
      </c>
      <c r="G74" s="22">
        <v>1559</v>
      </c>
      <c r="H74" s="22">
        <v>1558</v>
      </c>
      <c r="I74" s="22">
        <v>1558</v>
      </c>
      <c r="J74" s="22">
        <v>1745</v>
      </c>
      <c r="K74" s="22"/>
      <c r="L74" s="22"/>
      <c r="M74" s="58">
        <f t="shared" ref="M74:M137" si="38">IFERROR(I74/E74%,"")</f>
        <v>112.57225433526011</v>
      </c>
      <c r="N74" s="58">
        <f t="shared" ref="N74:N137" si="39">IFERROR(I74/F74%,"")</f>
        <v>99.935856318152659</v>
      </c>
      <c r="O74" s="58">
        <f t="shared" ref="O74:O137" si="40">IFERROR(J74/I74%,"")</f>
        <v>112.002567394095</v>
      </c>
      <c r="P74" s="58">
        <f t="shared" ref="P74:P137" si="41">IFERROR(L74/G74%,"")</f>
        <v>0</v>
      </c>
      <c r="Q74" s="58">
        <f t="shared" ref="Q74:Q137" si="42">IFERROR(L74/J74%,"")</f>
        <v>0</v>
      </c>
      <c r="R74" s="3"/>
      <c r="S74" s="81"/>
    </row>
    <row r="75" spans="1:19" ht="17.25" customHeight="1">
      <c r="A75" s="32"/>
      <c r="B75" s="35" t="s">
        <v>125</v>
      </c>
      <c r="C75" s="32" t="s">
        <v>21</v>
      </c>
      <c r="D75" s="38">
        <v>31.73</v>
      </c>
      <c r="E75" s="38">
        <v>35.65</v>
      </c>
      <c r="F75" s="38">
        <v>35</v>
      </c>
      <c r="G75" s="38"/>
      <c r="H75" s="38"/>
      <c r="I75" s="38">
        <v>35</v>
      </c>
      <c r="J75" s="38">
        <v>35</v>
      </c>
      <c r="K75" s="38"/>
      <c r="L75" s="38"/>
      <c r="M75" s="58">
        <f t="shared" si="38"/>
        <v>98.176718092566631</v>
      </c>
      <c r="N75" s="58">
        <f t="shared" si="39"/>
        <v>100</v>
      </c>
      <c r="O75" s="58">
        <f t="shared" si="40"/>
        <v>100</v>
      </c>
      <c r="P75" s="58" t="str">
        <f t="shared" si="41"/>
        <v/>
      </c>
      <c r="Q75" s="58">
        <f t="shared" si="42"/>
        <v>0</v>
      </c>
      <c r="R75" s="3"/>
    </row>
    <row r="76" spans="1:19" ht="17.25" customHeight="1">
      <c r="A76" s="32"/>
      <c r="B76" s="35" t="s">
        <v>320</v>
      </c>
      <c r="C76" s="32" t="s">
        <v>76</v>
      </c>
      <c r="D76" s="22">
        <f t="shared" ref="D76:L76" si="43">D74*D75/10</f>
        <v>3953.558</v>
      </c>
      <c r="E76" s="22">
        <f t="shared" si="43"/>
        <v>4933.96</v>
      </c>
      <c r="F76" s="22">
        <f t="shared" si="43"/>
        <v>5456.5</v>
      </c>
      <c r="G76" s="22">
        <f t="shared" si="43"/>
        <v>0</v>
      </c>
      <c r="H76" s="22">
        <f t="shared" si="43"/>
        <v>0</v>
      </c>
      <c r="I76" s="22">
        <f t="shared" si="43"/>
        <v>5453</v>
      </c>
      <c r="J76" s="22">
        <f t="shared" si="43"/>
        <v>6107.5</v>
      </c>
      <c r="K76" s="22">
        <f t="shared" si="43"/>
        <v>0</v>
      </c>
      <c r="L76" s="22">
        <f t="shared" si="43"/>
        <v>0</v>
      </c>
      <c r="M76" s="58">
        <f t="shared" si="38"/>
        <v>110.51974478917543</v>
      </c>
      <c r="N76" s="58">
        <f t="shared" si="39"/>
        <v>99.935856318152659</v>
      </c>
      <c r="O76" s="58">
        <f t="shared" si="40"/>
        <v>112.002567394095</v>
      </c>
      <c r="P76" s="58" t="str">
        <f t="shared" si="41"/>
        <v/>
      </c>
      <c r="Q76" s="58">
        <f t="shared" si="42"/>
        <v>0</v>
      </c>
      <c r="R76" s="3"/>
    </row>
    <row r="77" spans="1:19" s="18" customFormat="1" ht="17.25" customHeight="1">
      <c r="A77" s="11" t="s">
        <v>35</v>
      </c>
      <c r="B77" s="30" t="s">
        <v>446</v>
      </c>
      <c r="C77" s="11" t="s">
        <v>37</v>
      </c>
      <c r="D77" s="16">
        <v>7793.5</v>
      </c>
      <c r="E77" s="16">
        <f>D77+E78-E79</f>
        <v>7802.6</v>
      </c>
      <c r="F77" s="16">
        <f>E77+F78-F79</f>
        <v>7802.6</v>
      </c>
      <c r="G77" s="16">
        <f>E77+G78-G79</f>
        <v>7760.7000000000007</v>
      </c>
      <c r="H77" s="16">
        <f>E77+H78-H79</f>
        <v>7730.1</v>
      </c>
      <c r="I77" s="16">
        <f>E77+I78-I79</f>
        <v>7730.1</v>
      </c>
      <c r="J77" s="16">
        <f>I77+J78-J79</f>
        <v>7730.1</v>
      </c>
      <c r="K77" s="16">
        <f>I77+K78-K79</f>
        <v>7730.1</v>
      </c>
      <c r="L77" s="16">
        <f>I77+L78-L79</f>
        <v>7665.2000000000007</v>
      </c>
      <c r="M77" s="66">
        <f t="shared" si="38"/>
        <v>99.070822546330703</v>
      </c>
      <c r="N77" s="66">
        <f t="shared" si="39"/>
        <v>99.070822546330703</v>
      </c>
      <c r="O77" s="66">
        <f t="shared" si="40"/>
        <v>100</v>
      </c>
      <c r="P77" s="66">
        <f t="shared" si="41"/>
        <v>98.769440900949647</v>
      </c>
      <c r="Q77" s="66">
        <f t="shared" si="42"/>
        <v>99.16042483279648</v>
      </c>
      <c r="R77" s="83"/>
    </row>
    <row r="78" spans="1:19" ht="17.25" customHeight="1">
      <c r="A78" s="32"/>
      <c r="B78" s="35" t="s">
        <v>123</v>
      </c>
      <c r="C78" s="32" t="s">
        <v>37</v>
      </c>
      <c r="D78" s="43">
        <v>0</v>
      </c>
      <c r="E78" s="28">
        <v>24.6</v>
      </c>
      <c r="F78" s="43"/>
      <c r="G78" s="43">
        <v>3</v>
      </c>
      <c r="H78" s="43">
        <v>38.299999999999997</v>
      </c>
      <c r="I78" s="43">
        <v>38.299999999999997</v>
      </c>
      <c r="J78" s="43"/>
      <c r="K78" s="43"/>
      <c r="L78" s="43"/>
      <c r="M78" s="58">
        <f t="shared" si="38"/>
        <v>155.69105691056907</v>
      </c>
      <c r="N78" s="58" t="str">
        <f t="shared" si="39"/>
        <v/>
      </c>
      <c r="O78" s="58">
        <f t="shared" si="40"/>
        <v>0</v>
      </c>
      <c r="P78" s="58">
        <f t="shared" si="41"/>
        <v>0</v>
      </c>
      <c r="Q78" s="58" t="str">
        <f t="shared" si="42"/>
        <v/>
      </c>
      <c r="R78" s="3"/>
    </row>
    <row r="79" spans="1:19" ht="17.25" customHeight="1">
      <c r="A79" s="32"/>
      <c r="B79" s="35" t="s">
        <v>321</v>
      </c>
      <c r="C79" s="32" t="s">
        <v>37</v>
      </c>
      <c r="D79" s="28">
        <v>81.5</v>
      </c>
      <c r="E79" s="28">
        <v>15.5</v>
      </c>
      <c r="F79" s="43"/>
      <c r="G79" s="43">
        <v>44.9</v>
      </c>
      <c r="H79" s="43">
        <v>110.8</v>
      </c>
      <c r="I79" s="43">
        <v>110.8</v>
      </c>
      <c r="J79" s="43"/>
      <c r="K79" s="43"/>
      <c r="L79" s="43">
        <v>64.900000000000006</v>
      </c>
      <c r="M79" s="58">
        <f t="shared" si="38"/>
        <v>714.83870967741939</v>
      </c>
      <c r="N79" s="58" t="str">
        <f t="shared" si="39"/>
        <v/>
      </c>
      <c r="O79" s="58">
        <f t="shared" si="40"/>
        <v>0</v>
      </c>
      <c r="P79" s="58">
        <f t="shared" si="41"/>
        <v>144.543429844098</v>
      </c>
      <c r="Q79" s="58" t="str">
        <f t="shared" si="42"/>
        <v/>
      </c>
      <c r="R79" s="3"/>
    </row>
    <row r="80" spans="1:19" ht="17.25" customHeight="1">
      <c r="A80" s="32"/>
      <c r="B80" s="35" t="s">
        <v>124</v>
      </c>
      <c r="C80" s="32" t="s">
        <v>37</v>
      </c>
      <c r="D80" s="22">
        <v>4821</v>
      </c>
      <c r="E80" s="22">
        <v>5385</v>
      </c>
      <c r="F80" s="22">
        <v>5755</v>
      </c>
      <c r="G80" s="22">
        <v>5730</v>
      </c>
      <c r="H80" s="22">
        <v>5723.7</v>
      </c>
      <c r="I80" s="22">
        <v>5723.7</v>
      </c>
      <c r="J80" s="22">
        <v>6190</v>
      </c>
      <c r="K80" s="22"/>
      <c r="L80" s="22"/>
      <c r="M80" s="58">
        <f t="shared" si="38"/>
        <v>106.28969359331475</v>
      </c>
      <c r="N80" s="58">
        <f t="shared" si="39"/>
        <v>99.456125108601213</v>
      </c>
      <c r="O80" s="58">
        <f t="shared" si="40"/>
        <v>108.1468281007041</v>
      </c>
      <c r="P80" s="58">
        <f t="shared" si="41"/>
        <v>0</v>
      </c>
      <c r="Q80" s="58">
        <f t="shared" si="42"/>
        <v>0</v>
      </c>
      <c r="R80" s="3"/>
    </row>
    <row r="81" spans="1:19" ht="17.25" customHeight="1">
      <c r="A81" s="32"/>
      <c r="B81" s="35" t="s">
        <v>126</v>
      </c>
      <c r="C81" s="32" t="s">
        <v>21</v>
      </c>
      <c r="D81" s="38">
        <v>12.33</v>
      </c>
      <c r="E81" s="38">
        <v>12.35</v>
      </c>
      <c r="F81" s="38">
        <v>12.5</v>
      </c>
      <c r="G81" s="38"/>
      <c r="H81" s="38">
        <v>12.5</v>
      </c>
      <c r="I81" s="38">
        <v>12.5</v>
      </c>
      <c r="J81" s="38">
        <v>12.5</v>
      </c>
      <c r="K81" s="38"/>
      <c r="L81" s="38"/>
      <c r="M81" s="58">
        <f t="shared" si="38"/>
        <v>101.21457489878543</v>
      </c>
      <c r="N81" s="58">
        <f t="shared" si="39"/>
        <v>100</v>
      </c>
      <c r="O81" s="58">
        <f t="shared" si="40"/>
        <v>100</v>
      </c>
      <c r="P81" s="58" t="str">
        <f t="shared" si="41"/>
        <v/>
      </c>
      <c r="Q81" s="58">
        <f t="shared" si="42"/>
        <v>0</v>
      </c>
      <c r="R81" s="3"/>
    </row>
    <row r="82" spans="1:19" ht="17.25" customHeight="1">
      <c r="A82" s="32"/>
      <c r="B82" s="35" t="s">
        <v>474</v>
      </c>
      <c r="C82" s="32" t="s">
        <v>76</v>
      </c>
      <c r="D82" s="22">
        <f t="shared" ref="D82:L82" si="44">D80*D81/10</f>
        <v>5944.2929999999997</v>
      </c>
      <c r="E82" s="22">
        <f t="shared" si="44"/>
        <v>6650.4750000000004</v>
      </c>
      <c r="F82" s="22">
        <f t="shared" si="44"/>
        <v>7193.75</v>
      </c>
      <c r="G82" s="22">
        <f t="shared" si="44"/>
        <v>0</v>
      </c>
      <c r="H82" s="22">
        <f t="shared" si="44"/>
        <v>7154.625</v>
      </c>
      <c r="I82" s="22">
        <f t="shared" si="44"/>
        <v>7154.625</v>
      </c>
      <c r="J82" s="22">
        <f t="shared" si="44"/>
        <v>7737.5</v>
      </c>
      <c r="K82" s="22">
        <f t="shared" si="44"/>
        <v>0</v>
      </c>
      <c r="L82" s="22">
        <f t="shared" si="44"/>
        <v>0</v>
      </c>
      <c r="M82" s="58">
        <f t="shared" si="38"/>
        <v>107.5806615316951</v>
      </c>
      <c r="N82" s="58">
        <f t="shared" si="39"/>
        <v>99.456125108601213</v>
      </c>
      <c r="O82" s="58">
        <f t="shared" si="40"/>
        <v>108.14682810070408</v>
      </c>
      <c r="P82" s="58" t="str">
        <f t="shared" si="41"/>
        <v/>
      </c>
      <c r="Q82" s="58">
        <f t="shared" si="42"/>
        <v>0</v>
      </c>
      <c r="R82" s="3"/>
    </row>
    <row r="83" spans="1:19" s="18" customFormat="1" ht="17.25" customHeight="1">
      <c r="A83" s="11">
        <v>2</v>
      </c>
      <c r="B83" s="30" t="s">
        <v>181</v>
      </c>
      <c r="C83" s="11" t="s">
        <v>37</v>
      </c>
      <c r="D83" s="16">
        <v>155.19999999999999</v>
      </c>
      <c r="E83" s="16">
        <v>218.9</v>
      </c>
      <c r="F83" s="16">
        <v>220</v>
      </c>
      <c r="G83" s="16">
        <v>220</v>
      </c>
      <c r="H83" s="16">
        <v>266</v>
      </c>
      <c r="I83" s="16">
        <v>302.70000000000005</v>
      </c>
      <c r="J83" s="16">
        <v>220</v>
      </c>
      <c r="K83" s="16"/>
      <c r="L83" s="16">
        <v>303</v>
      </c>
      <c r="M83" s="66">
        <f t="shared" si="38"/>
        <v>138.28232069438101</v>
      </c>
      <c r="N83" s="66">
        <f t="shared" si="39"/>
        <v>137.59090909090909</v>
      </c>
      <c r="O83" s="66">
        <f t="shared" si="40"/>
        <v>72.67922035018168</v>
      </c>
      <c r="P83" s="66">
        <f t="shared" si="41"/>
        <v>137.72727272727272</v>
      </c>
      <c r="Q83" s="66">
        <f t="shared" si="42"/>
        <v>137.72727272727272</v>
      </c>
      <c r="R83" s="83"/>
    </row>
    <row r="84" spans="1:19" s="18" customFormat="1" ht="31.5">
      <c r="A84" s="11">
        <v>3</v>
      </c>
      <c r="B84" s="30" t="s">
        <v>410</v>
      </c>
      <c r="C84" s="11" t="s">
        <v>37</v>
      </c>
      <c r="D84" s="16">
        <f t="shared" ref="D84:L84" si="45">SUM(D85:D89)</f>
        <v>121.5</v>
      </c>
      <c r="E84" s="16">
        <f t="shared" si="45"/>
        <v>130.60000000000002</v>
      </c>
      <c r="F84" s="16">
        <f t="shared" si="45"/>
        <v>130</v>
      </c>
      <c r="G84" s="16">
        <f>SUM(G85:G89)</f>
        <v>130</v>
      </c>
      <c r="H84" s="16">
        <f t="shared" si="45"/>
        <v>123.10000000000001</v>
      </c>
      <c r="I84" s="16">
        <f t="shared" si="45"/>
        <v>131.60000000000002</v>
      </c>
      <c r="J84" s="16">
        <f t="shared" si="45"/>
        <v>131.60000000000002</v>
      </c>
      <c r="K84" s="16">
        <f>SUM(K85:K89)</f>
        <v>0</v>
      </c>
      <c r="L84" s="16">
        <f t="shared" si="45"/>
        <v>132.5</v>
      </c>
      <c r="M84" s="66">
        <f t="shared" si="38"/>
        <v>100.7656967840735</v>
      </c>
      <c r="N84" s="66">
        <f t="shared" si="39"/>
        <v>101.23076923076924</v>
      </c>
      <c r="O84" s="66">
        <f t="shared" si="40"/>
        <v>100</v>
      </c>
      <c r="P84" s="66">
        <f t="shared" si="41"/>
        <v>101.92307692307692</v>
      </c>
      <c r="Q84" s="66">
        <f t="shared" si="42"/>
        <v>100.68389057750758</v>
      </c>
      <c r="R84" s="83"/>
      <c r="S84" s="87"/>
    </row>
    <row r="85" spans="1:19" ht="17.25" hidden="1" customHeight="1" outlineLevel="1">
      <c r="A85" s="32"/>
      <c r="B85" s="35" t="s">
        <v>405</v>
      </c>
      <c r="C85" s="32" t="s">
        <v>37</v>
      </c>
      <c r="D85" s="38">
        <v>18.5</v>
      </c>
      <c r="E85" s="38">
        <v>17</v>
      </c>
      <c r="F85" s="38">
        <v>17</v>
      </c>
      <c r="G85" s="38"/>
      <c r="H85" s="38">
        <v>14</v>
      </c>
      <c r="I85" s="38">
        <v>22.5</v>
      </c>
      <c r="J85" s="38">
        <f>I85</f>
        <v>22.5</v>
      </c>
      <c r="K85" s="38"/>
      <c r="L85" s="38"/>
      <c r="M85" s="58">
        <f t="shared" si="38"/>
        <v>132.35294117647058</v>
      </c>
      <c r="N85" s="58">
        <f t="shared" si="39"/>
        <v>132.35294117647058</v>
      </c>
      <c r="O85" s="58">
        <f t="shared" si="40"/>
        <v>100</v>
      </c>
      <c r="P85" s="58" t="str">
        <f t="shared" si="41"/>
        <v/>
      </c>
      <c r="Q85" s="58">
        <f t="shared" si="42"/>
        <v>0</v>
      </c>
      <c r="R85" s="3"/>
    </row>
    <row r="86" spans="1:19" ht="17.25" hidden="1" customHeight="1" outlineLevel="1">
      <c r="A86" s="32"/>
      <c r="B86" s="35" t="s">
        <v>406</v>
      </c>
      <c r="C86" s="32" t="s">
        <v>37</v>
      </c>
      <c r="D86" s="38">
        <v>54.6</v>
      </c>
      <c r="E86" s="38">
        <v>61.9</v>
      </c>
      <c r="F86" s="38">
        <v>62</v>
      </c>
      <c r="G86" s="38">
        <v>130</v>
      </c>
      <c r="H86" s="38">
        <v>62.4</v>
      </c>
      <c r="I86" s="38">
        <v>62.4</v>
      </c>
      <c r="J86" s="38">
        <f>I86</f>
        <v>62.4</v>
      </c>
      <c r="K86" s="38"/>
      <c r="L86" s="38">
        <f>62+70.5</f>
        <v>132.5</v>
      </c>
      <c r="M86" s="58">
        <f t="shared" si="38"/>
        <v>100.80775444264944</v>
      </c>
      <c r="N86" s="58">
        <f t="shared" si="39"/>
        <v>100.64516129032258</v>
      </c>
      <c r="O86" s="58">
        <f t="shared" si="40"/>
        <v>100</v>
      </c>
      <c r="P86" s="58">
        <f t="shared" si="41"/>
        <v>101.92307692307692</v>
      </c>
      <c r="Q86" s="58">
        <f t="shared" si="42"/>
        <v>212.33974358974359</v>
      </c>
      <c r="R86" s="3"/>
    </row>
    <row r="87" spans="1:19" ht="17.25" hidden="1" customHeight="1" outlineLevel="1">
      <c r="A87" s="32"/>
      <c r="B87" s="35" t="s">
        <v>407</v>
      </c>
      <c r="C87" s="32" t="s">
        <v>37</v>
      </c>
      <c r="D87" s="38">
        <v>2</v>
      </c>
      <c r="E87" s="38">
        <v>2</v>
      </c>
      <c r="F87" s="38">
        <v>2</v>
      </c>
      <c r="G87" s="38"/>
      <c r="H87" s="38">
        <f>F87</f>
        <v>2</v>
      </c>
      <c r="I87" s="38">
        <f>H87</f>
        <v>2</v>
      </c>
      <c r="J87" s="38">
        <f>I87</f>
        <v>2</v>
      </c>
      <c r="K87" s="38"/>
      <c r="L87" s="38"/>
      <c r="M87" s="58">
        <f t="shared" si="38"/>
        <v>100</v>
      </c>
      <c r="N87" s="58">
        <f t="shared" si="39"/>
        <v>100</v>
      </c>
      <c r="O87" s="58">
        <f t="shared" si="40"/>
        <v>100</v>
      </c>
      <c r="P87" s="58" t="str">
        <f t="shared" si="41"/>
        <v/>
      </c>
      <c r="Q87" s="58">
        <f t="shared" si="42"/>
        <v>0</v>
      </c>
      <c r="R87" s="3"/>
    </row>
    <row r="88" spans="1:19" ht="17.25" hidden="1" customHeight="1" outlineLevel="1">
      <c r="A88" s="32"/>
      <c r="B88" s="35" t="s">
        <v>408</v>
      </c>
      <c r="C88" s="32" t="s">
        <v>37</v>
      </c>
      <c r="D88" s="38">
        <v>46.4</v>
      </c>
      <c r="E88" s="38">
        <v>30.4</v>
      </c>
      <c r="F88" s="38">
        <v>30</v>
      </c>
      <c r="G88" s="38"/>
      <c r="H88" s="38">
        <v>28.9</v>
      </c>
      <c r="I88" s="38">
        <v>28.9</v>
      </c>
      <c r="J88" s="38">
        <f>I88</f>
        <v>28.9</v>
      </c>
      <c r="K88" s="38"/>
      <c r="L88" s="38"/>
      <c r="M88" s="58">
        <f t="shared" si="38"/>
        <v>95.065789473684205</v>
      </c>
      <c r="N88" s="58">
        <f t="shared" si="39"/>
        <v>96.333333333333329</v>
      </c>
      <c r="O88" s="58">
        <f t="shared" si="40"/>
        <v>100</v>
      </c>
      <c r="P88" s="58" t="str">
        <f t="shared" si="41"/>
        <v/>
      </c>
      <c r="Q88" s="58">
        <f t="shared" si="42"/>
        <v>0</v>
      </c>
      <c r="R88" s="3"/>
    </row>
    <row r="89" spans="1:19" ht="17.25" hidden="1" customHeight="1" outlineLevel="1">
      <c r="A89" s="32"/>
      <c r="B89" s="35" t="s">
        <v>409</v>
      </c>
      <c r="C89" s="32" t="s">
        <v>37</v>
      </c>
      <c r="D89" s="38"/>
      <c r="E89" s="38">
        <v>19.3</v>
      </c>
      <c r="F89" s="38">
        <v>19</v>
      </c>
      <c r="G89" s="38"/>
      <c r="H89" s="38">
        <v>15.8</v>
      </c>
      <c r="I89" s="38">
        <v>15.8</v>
      </c>
      <c r="J89" s="38">
        <f>I89</f>
        <v>15.8</v>
      </c>
      <c r="K89" s="38"/>
      <c r="L89" s="38"/>
      <c r="M89" s="58">
        <f t="shared" si="38"/>
        <v>81.865284974093271</v>
      </c>
      <c r="N89" s="58">
        <f t="shared" si="39"/>
        <v>83.15789473684211</v>
      </c>
      <c r="O89" s="58">
        <f t="shared" si="40"/>
        <v>100</v>
      </c>
      <c r="P89" s="58" t="str">
        <f t="shared" si="41"/>
        <v/>
      </c>
      <c r="Q89" s="58">
        <f t="shared" si="42"/>
        <v>0</v>
      </c>
      <c r="R89" s="3"/>
    </row>
    <row r="90" spans="1:19" ht="18.75" customHeight="1" collapsed="1">
      <c r="A90" s="11" t="s">
        <v>47</v>
      </c>
      <c r="B90" s="30" t="s">
        <v>96</v>
      </c>
      <c r="C90" s="32"/>
      <c r="D90" s="28"/>
      <c r="E90" s="38"/>
      <c r="F90" s="38"/>
      <c r="G90" s="38"/>
      <c r="H90" s="38"/>
      <c r="I90" s="38"/>
      <c r="J90" s="38"/>
      <c r="K90" s="38"/>
      <c r="L90" s="38"/>
      <c r="M90" s="66" t="str">
        <f t="shared" si="38"/>
        <v/>
      </c>
      <c r="N90" s="66" t="str">
        <f t="shared" si="39"/>
        <v/>
      </c>
      <c r="O90" s="66" t="str">
        <f t="shared" si="40"/>
        <v/>
      </c>
      <c r="P90" s="66" t="str">
        <f t="shared" si="41"/>
        <v/>
      </c>
      <c r="Q90" s="66" t="str">
        <f t="shared" si="42"/>
        <v/>
      </c>
      <c r="R90" s="3"/>
    </row>
    <row r="91" spans="1:19" ht="18.75" customHeight="1">
      <c r="A91" s="11">
        <v>1</v>
      </c>
      <c r="B91" s="30" t="s">
        <v>447</v>
      </c>
      <c r="C91" s="11" t="s">
        <v>54</v>
      </c>
      <c r="D91" s="27">
        <f>SUM(D92:D94)</f>
        <v>20219</v>
      </c>
      <c r="E91" s="27">
        <f t="shared" ref="E91:L91" si="46">SUM(E92:E94)</f>
        <v>18350</v>
      </c>
      <c r="F91" s="27">
        <f t="shared" si="46"/>
        <v>20650</v>
      </c>
      <c r="G91" s="27">
        <f t="shared" si="46"/>
        <v>19600</v>
      </c>
      <c r="H91" s="27">
        <f t="shared" si="46"/>
        <v>20174</v>
      </c>
      <c r="I91" s="27">
        <f t="shared" si="46"/>
        <v>20238</v>
      </c>
      <c r="J91" s="27">
        <f t="shared" si="46"/>
        <v>20900</v>
      </c>
      <c r="K91" s="27">
        <f t="shared" si="46"/>
        <v>0</v>
      </c>
      <c r="L91" s="27">
        <f t="shared" si="46"/>
        <v>17523</v>
      </c>
      <c r="M91" s="66">
        <f t="shared" si="38"/>
        <v>110.28882833787466</v>
      </c>
      <c r="N91" s="66">
        <f t="shared" si="39"/>
        <v>98.004842615012109</v>
      </c>
      <c r="O91" s="66">
        <f t="shared" si="40"/>
        <v>103.27107421681984</v>
      </c>
      <c r="P91" s="66">
        <f t="shared" si="41"/>
        <v>89.40306122448979</v>
      </c>
      <c r="Q91" s="66">
        <f t="shared" si="42"/>
        <v>83.84210526315789</v>
      </c>
      <c r="R91" s="83"/>
    </row>
    <row r="92" spans="1:19" ht="18.75" customHeight="1">
      <c r="A92" s="32"/>
      <c r="B92" s="35" t="s">
        <v>322</v>
      </c>
      <c r="C92" s="32" t="s">
        <v>54</v>
      </c>
      <c r="D92" s="29">
        <v>2461</v>
      </c>
      <c r="E92" s="29">
        <v>2550</v>
      </c>
      <c r="F92" s="29">
        <v>2650</v>
      </c>
      <c r="G92" s="29">
        <v>2600</v>
      </c>
      <c r="H92" s="29">
        <v>2536</v>
      </c>
      <c r="I92" s="29">
        <v>2600</v>
      </c>
      <c r="J92" s="29">
        <v>2700</v>
      </c>
      <c r="K92" s="29"/>
      <c r="L92" s="29">
        <v>2559</v>
      </c>
      <c r="M92" s="58">
        <f t="shared" si="38"/>
        <v>101.96078431372548</v>
      </c>
      <c r="N92" s="58">
        <f t="shared" si="39"/>
        <v>98.113207547169807</v>
      </c>
      <c r="O92" s="58">
        <f t="shared" si="40"/>
        <v>103.84615384615384</v>
      </c>
      <c r="P92" s="58">
        <f t="shared" si="41"/>
        <v>98.42307692307692</v>
      </c>
      <c r="Q92" s="58">
        <f t="shared" si="42"/>
        <v>94.777777777777771</v>
      </c>
      <c r="R92" s="3"/>
    </row>
    <row r="93" spans="1:19" ht="18.75" customHeight="1">
      <c r="A93" s="32"/>
      <c r="B93" s="35" t="s">
        <v>323</v>
      </c>
      <c r="C93" s="32" t="s">
        <v>54</v>
      </c>
      <c r="D93" s="29">
        <v>4034</v>
      </c>
      <c r="E93" s="29">
        <v>4800</v>
      </c>
      <c r="F93" s="29">
        <v>5000</v>
      </c>
      <c r="G93" s="29">
        <v>5000</v>
      </c>
      <c r="H93" s="29">
        <v>5087</v>
      </c>
      <c r="I93" s="29">
        <v>5087</v>
      </c>
      <c r="J93" s="29">
        <v>5200</v>
      </c>
      <c r="K93" s="29"/>
      <c r="L93" s="29">
        <v>4812</v>
      </c>
      <c r="M93" s="58">
        <f t="shared" si="38"/>
        <v>105.97916666666667</v>
      </c>
      <c r="N93" s="58">
        <f t="shared" si="39"/>
        <v>101.74</v>
      </c>
      <c r="O93" s="58">
        <f t="shared" si="40"/>
        <v>102.2213485354826</v>
      </c>
      <c r="P93" s="58">
        <f t="shared" si="41"/>
        <v>96.24</v>
      </c>
      <c r="Q93" s="58">
        <f t="shared" si="42"/>
        <v>92.538461538461533</v>
      </c>
      <c r="R93" s="3"/>
    </row>
    <row r="94" spans="1:19" ht="18.75" customHeight="1">
      <c r="A94" s="32"/>
      <c r="B94" s="35" t="s">
        <v>324</v>
      </c>
      <c r="C94" s="32" t="s">
        <v>54</v>
      </c>
      <c r="D94" s="29">
        <v>13724</v>
      </c>
      <c r="E94" s="29">
        <v>11000</v>
      </c>
      <c r="F94" s="29">
        <v>13000</v>
      </c>
      <c r="G94" s="29">
        <v>12000</v>
      </c>
      <c r="H94" s="29">
        <v>12551</v>
      </c>
      <c r="I94" s="29">
        <v>12551</v>
      </c>
      <c r="J94" s="29">
        <v>13000</v>
      </c>
      <c r="K94" s="29"/>
      <c r="L94" s="29">
        <v>10152</v>
      </c>
      <c r="M94" s="58">
        <f t="shared" si="38"/>
        <v>114.1</v>
      </c>
      <c r="N94" s="58">
        <f t="shared" si="39"/>
        <v>96.546153846153842</v>
      </c>
      <c r="O94" s="58">
        <f t="shared" si="40"/>
        <v>103.57740419090112</v>
      </c>
      <c r="P94" s="58">
        <f t="shared" si="41"/>
        <v>84.6</v>
      </c>
      <c r="Q94" s="58">
        <f t="shared" si="42"/>
        <v>78.092307692307699</v>
      </c>
      <c r="R94" s="3"/>
    </row>
    <row r="95" spans="1:19" ht="18.75" customHeight="1">
      <c r="A95" s="11">
        <v>2</v>
      </c>
      <c r="B95" s="44" t="s">
        <v>31</v>
      </c>
      <c r="C95" s="11" t="s">
        <v>54</v>
      </c>
      <c r="D95" s="27">
        <v>77894</v>
      </c>
      <c r="E95" s="27">
        <v>87000</v>
      </c>
      <c r="F95" s="27">
        <v>87000</v>
      </c>
      <c r="G95" s="27">
        <v>80000</v>
      </c>
      <c r="H95" s="27">
        <v>78000</v>
      </c>
      <c r="I95" s="27">
        <v>78000</v>
      </c>
      <c r="J95" s="27">
        <v>80000</v>
      </c>
      <c r="K95" s="27"/>
      <c r="L95" s="27">
        <v>75000</v>
      </c>
      <c r="M95" s="66">
        <f t="shared" si="38"/>
        <v>89.65517241379311</v>
      </c>
      <c r="N95" s="66">
        <f t="shared" si="39"/>
        <v>89.65517241379311</v>
      </c>
      <c r="O95" s="66">
        <f t="shared" si="40"/>
        <v>102.56410256410257</v>
      </c>
      <c r="P95" s="66">
        <f t="shared" si="41"/>
        <v>93.75</v>
      </c>
      <c r="Q95" s="66">
        <f t="shared" si="42"/>
        <v>93.75</v>
      </c>
      <c r="R95" s="83"/>
    </row>
    <row r="96" spans="1:19" s="18" customFormat="1" ht="18.75" customHeight="1">
      <c r="A96" s="11" t="s">
        <v>48</v>
      </c>
      <c r="B96" s="45" t="s">
        <v>325</v>
      </c>
      <c r="C96" s="11"/>
      <c r="D96" s="27"/>
      <c r="E96" s="27"/>
      <c r="F96" s="27"/>
      <c r="G96" s="27"/>
      <c r="H96" s="27"/>
      <c r="I96" s="27"/>
      <c r="J96" s="27"/>
      <c r="K96" s="27"/>
      <c r="L96" s="27"/>
      <c r="M96" s="66" t="str">
        <f t="shared" si="38"/>
        <v/>
      </c>
      <c r="N96" s="66" t="str">
        <f t="shared" si="39"/>
        <v/>
      </c>
      <c r="O96" s="66" t="str">
        <f t="shared" si="40"/>
        <v/>
      </c>
      <c r="P96" s="66" t="str">
        <f t="shared" si="41"/>
        <v/>
      </c>
      <c r="Q96" s="66" t="str">
        <f t="shared" si="42"/>
        <v/>
      </c>
      <c r="R96" s="83"/>
    </row>
    <row r="97" spans="1:19" ht="18.75" customHeight="1">
      <c r="A97" s="32">
        <v>1</v>
      </c>
      <c r="B97" s="46" t="s">
        <v>326</v>
      </c>
      <c r="C97" s="32" t="s">
        <v>37</v>
      </c>
      <c r="D97" s="28">
        <v>85</v>
      </c>
      <c r="E97" s="28">
        <v>85.5</v>
      </c>
      <c r="F97" s="28">
        <v>85.5</v>
      </c>
      <c r="G97" s="28">
        <f>'06T- 2018'!I98</f>
        <v>86.1</v>
      </c>
      <c r="H97" s="28">
        <v>89.100000000000009</v>
      </c>
      <c r="I97" s="28">
        <v>89.100000000000009</v>
      </c>
      <c r="J97" s="28">
        <v>89.100000000000009</v>
      </c>
      <c r="K97" s="28"/>
      <c r="L97" s="28">
        <f>'T5. 2019'!K95</f>
        <v>90.7</v>
      </c>
      <c r="M97" s="58">
        <f t="shared" si="38"/>
        <v>104.21052631578948</v>
      </c>
      <c r="N97" s="58">
        <f t="shared" si="39"/>
        <v>104.21052631578948</v>
      </c>
      <c r="O97" s="58">
        <f t="shared" si="40"/>
        <v>100</v>
      </c>
      <c r="P97" s="58">
        <f t="shared" si="41"/>
        <v>105.34262485481999</v>
      </c>
      <c r="Q97" s="58">
        <f t="shared" si="42"/>
        <v>101.79573512906845</v>
      </c>
      <c r="R97" s="3"/>
    </row>
    <row r="98" spans="1:19" ht="18.75" customHeight="1">
      <c r="A98" s="32">
        <v>2</v>
      </c>
      <c r="B98" s="46" t="s">
        <v>327</v>
      </c>
      <c r="C98" s="32" t="s">
        <v>76</v>
      </c>
      <c r="D98" s="29">
        <f t="shared" ref="D98:L98" si="47">D99+D100</f>
        <v>427.4</v>
      </c>
      <c r="E98" s="29">
        <f t="shared" si="47"/>
        <v>320</v>
      </c>
      <c r="F98" s="29">
        <f t="shared" si="47"/>
        <v>335</v>
      </c>
      <c r="G98" s="29">
        <f t="shared" si="47"/>
        <v>80</v>
      </c>
      <c r="H98" s="29">
        <f t="shared" si="47"/>
        <v>124</v>
      </c>
      <c r="I98" s="29">
        <f t="shared" si="47"/>
        <v>207</v>
      </c>
      <c r="J98" s="29">
        <f t="shared" si="47"/>
        <v>305</v>
      </c>
      <c r="K98" s="29">
        <f t="shared" si="47"/>
        <v>0</v>
      </c>
      <c r="L98" s="29">
        <f t="shared" si="47"/>
        <v>85</v>
      </c>
      <c r="M98" s="58">
        <f t="shared" si="38"/>
        <v>64.6875</v>
      </c>
      <c r="N98" s="58">
        <f t="shared" si="39"/>
        <v>61.791044776119399</v>
      </c>
      <c r="O98" s="58">
        <f t="shared" si="40"/>
        <v>147.34299516908214</v>
      </c>
      <c r="P98" s="58">
        <f t="shared" si="41"/>
        <v>106.25</v>
      </c>
      <c r="Q98" s="58">
        <f t="shared" si="42"/>
        <v>27.868852459016395</v>
      </c>
      <c r="R98" s="3"/>
    </row>
    <row r="99" spans="1:19" ht="18.75" customHeight="1">
      <c r="A99" s="32"/>
      <c r="B99" s="48" t="s">
        <v>328</v>
      </c>
      <c r="C99" s="32" t="s">
        <v>76</v>
      </c>
      <c r="D99" s="29">
        <v>211.9</v>
      </c>
      <c r="E99" s="29">
        <v>210</v>
      </c>
      <c r="F99" s="29">
        <v>210</v>
      </c>
      <c r="G99" s="29">
        <f>'06T- 2018'!I100</f>
        <v>60</v>
      </c>
      <c r="H99" s="29">
        <v>86.5</v>
      </c>
      <c r="I99" s="29">
        <v>137</v>
      </c>
      <c r="J99" s="29">
        <v>195</v>
      </c>
      <c r="K99" s="29"/>
      <c r="L99" s="29">
        <v>60</v>
      </c>
      <c r="M99" s="58">
        <f t="shared" si="38"/>
        <v>65.238095238095241</v>
      </c>
      <c r="N99" s="58">
        <f t="shared" si="39"/>
        <v>65.238095238095241</v>
      </c>
      <c r="O99" s="58">
        <f t="shared" si="40"/>
        <v>142.33576642335765</v>
      </c>
      <c r="P99" s="58">
        <f t="shared" si="41"/>
        <v>100</v>
      </c>
      <c r="Q99" s="58">
        <f t="shared" si="42"/>
        <v>30.76923076923077</v>
      </c>
      <c r="R99" s="3"/>
    </row>
    <row r="100" spans="1:19" ht="18.75" customHeight="1">
      <c r="A100" s="32"/>
      <c r="B100" s="48" t="s">
        <v>329</v>
      </c>
      <c r="C100" s="32" t="s">
        <v>76</v>
      </c>
      <c r="D100" s="29">
        <v>215.5</v>
      </c>
      <c r="E100" s="29">
        <v>110</v>
      </c>
      <c r="F100" s="29">
        <v>125</v>
      </c>
      <c r="G100" s="29">
        <f>'06T- 2018'!I101</f>
        <v>20</v>
      </c>
      <c r="H100" s="29">
        <v>37.5</v>
      </c>
      <c r="I100" s="29">
        <v>70</v>
      </c>
      <c r="J100" s="29">
        <v>110</v>
      </c>
      <c r="K100" s="29"/>
      <c r="L100" s="29">
        <v>25</v>
      </c>
      <c r="M100" s="58">
        <f t="shared" si="38"/>
        <v>63.636363636363633</v>
      </c>
      <c r="N100" s="58">
        <f t="shared" si="39"/>
        <v>56</v>
      </c>
      <c r="O100" s="58">
        <f t="shared" si="40"/>
        <v>157.14285714285714</v>
      </c>
      <c r="P100" s="58">
        <f t="shared" si="41"/>
        <v>125</v>
      </c>
      <c r="Q100" s="58">
        <f t="shared" si="42"/>
        <v>22.727272727272727</v>
      </c>
      <c r="R100" s="3"/>
    </row>
    <row r="101" spans="1:19">
      <c r="A101" s="145" t="s">
        <v>50</v>
      </c>
      <c r="B101" s="146" t="s">
        <v>104</v>
      </c>
      <c r="C101" s="145"/>
      <c r="D101" s="13"/>
      <c r="E101" s="13"/>
      <c r="F101" s="13"/>
      <c r="G101" s="13"/>
      <c r="H101" s="13"/>
      <c r="I101" s="13"/>
      <c r="J101" s="13"/>
      <c r="K101" s="13"/>
      <c r="L101" s="13"/>
      <c r="M101" s="66" t="str">
        <f t="shared" si="38"/>
        <v/>
      </c>
      <c r="N101" s="66" t="str">
        <f t="shared" si="39"/>
        <v/>
      </c>
      <c r="O101" s="66" t="str">
        <f t="shared" si="40"/>
        <v/>
      </c>
      <c r="P101" s="66" t="str">
        <f t="shared" si="41"/>
        <v/>
      </c>
      <c r="Q101" s="66" t="str">
        <f t="shared" si="42"/>
        <v/>
      </c>
      <c r="R101" s="3"/>
    </row>
    <row r="102" spans="1:19" ht="19.5" customHeight="1">
      <c r="A102" s="147"/>
      <c r="B102" s="148" t="s">
        <v>330</v>
      </c>
      <c r="C102" s="32" t="s">
        <v>37</v>
      </c>
      <c r="D102" s="53">
        <v>500.3</v>
      </c>
      <c r="E102" s="53">
        <v>4</v>
      </c>
      <c r="F102" s="53"/>
      <c r="G102" s="53"/>
      <c r="H102" s="53"/>
      <c r="I102" s="53">
        <v>27</v>
      </c>
      <c r="J102" s="53"/>
      <c r="K102" s="53"/>
      <c r="L102" s="53"/>
      <c r="M102" s="58">
        <f t="shared" si="38"/>
        <v>675</v>
      </c>
      <c r="N102" s="58" t="str">
        <f t="shared" si="39"/>
        <v/>
      </c>
      <c r="O102" s="58">
        <f t="shared" si="40"/>
        <v>0</v>
      </c>
      <c r="P102" s="58" t="str">
        <f t="shared" si="41"/>
        <v/>
      </c>
      <c r="Q102" s="58" t="str">
        <f t="shared" si="42"/>
        <v/>
      </c>
      <c r="R102" s="3"/>
    </row>
    <row r="103" spans="1:19" ht="19.5" customHeight="1">
      <c r="A103" s="147"/>
      <c r="B103" s="46" t="s">
        <v>712</v>
      </c>
      <c r="C103" s="32" t="s">
        <v>37</v>
      </c>
      <c r="D103" s="53">
        <v>50870.31</v>
      </c>
      <c r="E103" s="53">
        <v>50870.31</v>
      </c>
      <c r="F103" s="53">
        <v>50870.31</v>
      </c>
      <c r="G103" s="53">
        <f>J103</f>
        <v>50870.31</v>
      </c>
      <c r="H103" s="53">
        <v>50870.31</v>
      </c>
      <c r="I103" s="53">
        <v>50870.31</v>
      </c>
      <c r="J103" s="53">
        <v>50870.31</v>
      </c>
      <c r="K103" s="53"/>
      <c r="L103" s="53">
        <f>J103</f>
        <v>50870.31</v>
      </c>
      <c r="M103" s="58">
        <f t="shared" si="38"/>
        <v>100</v>
      </c>
      <c r="N103" s="58">
        <f t="shared" si="39"/>
        <v>100</v>
      </c>
      <c r="O103" s="58">
        <f t="shared" si="40"/>
        <v>100</v>
      </c>
      <c r="P103" s="58">
        <f t="shared" si="41"/>
        <v>100</v>
      </c>
      <c r="Q103" s="58">
        <f t="shared" si="42"/>
        <v>100</v>
      </c>
      <c r="R103" s="3"/>
    </row>
    <row r="104" spans="1:19" ht="19.5" customHeight="1">
      <c r="A104" s="147"/>
      <c r="B104" s="46" t="s">
        <v>713</v>
      </c>
      <c r="C104" s="32" t="s">
        <v>37</v>
      </c>
      <c r="D104" s="53"/>
      <c r="E104" s="53">
        <v>15886.3</v>
      </c>
      <c r="F104" s="53">
        <v>15886</v>
      </c>
      <c r="G104" s="53"/>
      <c r="H104" s="53">
        <v>15886</v>
      </c>
      <c r="I104" s="53">
        <v>15886</v>
      </c>
      <c r="J104" s="53">
        <v>15886</v>
      </c>
      <c r="K104" s="53"/>
      <c r="L104" s="53"/>
      <c r="M104" s="58">
        <f t="shared" si="38"/>
        <v>99.998111580418353</v>
      </c>
      <c r="N104" s="58">
        <f t="shared" si="39"/>
        <v>99.999999999999986</v>
      </c>
      <c r="O104" s="58">
        <f t="shared" si="40"/>
        <v>99.999999999999986</v>
      </c>
      <c r="P104" s="58" t="str">
        <f t="shared" si="41"/>
        <v/>
      </c>
      <c r="Q104" s="58">
        <f t="shared" si="42"/>
        <v>0</v>
      </c>
      <c r="R104" s="3"/>
    </row>
    <row r="105" spans="1:19" ht="19.5" customHeight="1">
      <c r="A105" s="147"/>
      <c r="B105" s="148" t="s">
        <v>711</v>
      </c>
      <c r="C105" s="32" t="s">
        <v>33</v>
      </c>
      <c r="D105" s="269">
        <v>31.37</v>
      </c>
      <c r="E105" s="288">
        <f>E104/50640%</f>
        <v>31.37105055292259</v>
      </c>
      <c r="F105" s="288">
        <f>F104/50640%</f>
        <v>31.370458135860982</v>
      </c>
      <c r="G105" s="288"/>
      <c r="H105" s="288">
        <f>H104/50640%</f>
        <v>31.370458135860982</v>
      </c>
      <c r="I105" s="288">
        <f>I104/50640%</f>
        <v>31.370458135860982</v>
      </c>
      <c r="J105" s="288">
        <f>J104/50640%</f>
        <v>31.370458135860982</v>
      </c>
      <c r="K105" s="288"/>
      <c r="L105" s="288"/>
      <c r="M105" s="58">
        <f t="shared" si="38"/>
        <v>99.998111580418353</v>
      </c>
      <c r="N105" s="58">
        <f t="shared" si="39"/>
        <v>99.999999999999986</v>
      </c>
      <c r="O105" s="58">
        <f t="shared" si="40"/>
        <v>99.999999999999986</v>
      </c>
      <c r="P105" s="58" t="str">
        <f t="shared" si="41"/>
        <v/>
      </c>
      <c r="Q105" s="58">
        <f t="shared" si="42"/>
        <v>0</v>
      </c>
      <c r="R105" s="3"/>
    </row>
    <row r="106" spans="1:19" s="18" customFormat="1" ht="17.25" customHeight="1">
      <c r="A106" s="11">
        <v>1</v>
      </c>
      <c r="B106" s="30" t="s">
        <v>30</v>
      </c>
      <c r="C106" s="11" t="s">
        <v>37</v>
      </c>
      <c r="D106" s="16">
        <v>1646</v>
      </c>
      <c r="E106" s="16">
        <f>D106+E107</f>
        <v>1675</v>
      </c>
      <c r="F106" s="16">
        <f>E106+F107</f>
        <v>1710</v>
      </c>
      <c r="G106" s="16">
        <f>E106+G107</f>
        <v>1710</v>
      </c>
      <c r="H106" s="16">
        <f>E106+H107</f>
        <v>1710</v>
      </c>
      <c r="I106" s="16">
        <f>E106+I107-I108</f>
        <v>1725</v>
      </c>
      <c r="J106" s="16">
        <f>I106+J107</f>
        <v>1725</v>
      </c>
      <c r="K106" s="16"/>
      <c r="L106" s="16">
        <f>J106</f>
        <v>1725</v>
      </c>
      <c r="M106" s="66">
        <f t="shared" si="38"/>
        <v>102.98507462686567</v>
      </c>
      <c r="N106" s="66">
        <f t="shared" si="39"/>
        <v>100.87719298245614</v>
      </c>
      <c r="O106" s="66">
        <f t="shared" si="40"/>
        <v>100</v>
      </c>
      <c r="P106" s="66">
        <f t="shared" si="41"/>
        <v>100.87719298245614</v>
      </c>
      <c r="Q106" s="66">
        <f t="shared" si="42"/>
        <v>100</v>
      </c>
      <c r="R106" s="83"/>
      <c r="S106" s="87"/>
    </row>
    <row r="107" spans="1:19" ht="17.25" customHeight="1">
      <c r="A107" s="32"/>
      <c r="B107" s="35" t="s">
        <v>123</v>
      </c>
      <c r="C107" s="32" t="s">
        <v>37</v>
      </c>
      <c r="D107" s="22">
        <v>57.2</v>
      </c>
      <c r="E107" s="22">
        <v>29</v>
      </c>
      <c r="F107" s="22">
        <v>35</v>
      </c>
      <c r="G107" s="22">
        <v>35</v>
      </c>
      <c r="H107" s="22">
        <f>F107</f>
        <v>35</v>
      </c>
      <c r="I107" s="22">
        <v>54</v>
      </c>
      <c r="J107" s="22"/>
      <c r="K107" s="22"/>
      <c r="L107" s="22"/>
      <c r="M107" s="58">
        <f t="shared" si="38"/>
        <v>186.20689655172416</v>
      </c>
      <c r="N107" s="58">
        <f t="shared" si="39"/>
        <v>154.28571428571431</v>
      </c>
      <c r="O107" s="58">
        <f t="shared" si="40"/>
        <v>0</v>
      </c>
      <c r="P107" s="58">
        <f t="shared" si="41"/>
        <v>0</v>
      </c>
      <c r="Q107" s="58" t="str">
        <f t="shared" si="42"/>
        <v/>
      </c>
      <c r="R107" s="3"/>
    </row>
    <row r="108" spans="1:19" ht="17.25" customHeight="1">
      <c r="A108" s="32"/>
      <c r="B108" s="35" t="s">
        <v>721</v>
      </c>
      <c r="C108" s="32" t="s">
        <v>37</v>
      </c>
      <c r="D108" s="22"/>
      <c r="E108" s="22"/>
      <c r="F108" s="22"/>
      <c r="G108" s="22"/>
      <c r="H108" s="22"/>
      <c r="I108" s="22">
        <v>4</v>
      </c>
      <c r="J108" s="22"/>
      <c r="K108" s="22"/>
      <c r="L108" s="22"/>
      <c r="M108" s="58"/>
      <c r="N108" s="58"/>
      <c r="O108" s="58">
        <f t="shared" si="40"/>
        <v>0</v>
      </c>
      <c r="P108" s="58" t="str">
        <f t="shared" si="41"/>
        <v/>
      </c>
      <c r="Q108" s="58" t="str">
        <f t="shared" si="42"/>
        <v/>
      </c>
      <c r="R108" s="3"/>
    </row>
    <row r="109" spans="1:19" s="18" customFormat="1">
      <c r="A109" s="11" t="s">
        <v>176</v>
      </c>
      <c r="B109" s="54" t="s">
        <v>183</v>
      </c>
      <c r="C109" s="11"/>
      <c r="D109" s="149"/>
      <c r="E109" s="149"/>
      <c r="F109" s="149"/>
      <c r="G109" s="149"/>
      <c r="H109" s="149"/>
      <c r="I109" s="149"/>
      <c r="J109" s="149"/>
      <c r="K109" s="149"/>
      <c r="L109" s="149"/>
      <c r="M109" s="66" t="str">
        <f t="shared" si="38"/>
        <v/>
      </c>
      <c r="N109" s="66" t="str">
        <f t="shared" si="39"/>
        <v/>
      </c>
      <c r="O109" s="66" t="str">
        <f t="shared" si="40"/>
        <v/>
      </c>
      <c r="P109" s="66" t="str">
        <f t="shared" si="41"/>
        <v/>
      </c>
      <c r="Q109" s="66" t="str">
        <f t="shared" si="42"/>
        <v/>
      </c>
      <c r="R109" s="66"/>
    </row>
    <row r="110" spans="1:19" ht="22.5" customHeight="1">
      <c r="A110" s="11">
        <v>1</v>
      </c>
      <c r="B110" s="54" t="s">
        <v>449</v>
      </c>
      <c r="C110" s="11" t="s">
        <v>331</v>
      </c>
      <c r="D110" s="27">
        <v>676693</v>
      </c>
      <c r="E110" s="27">
        <v>708000</v>
      </c>
      <c r="F110" s="27">
        <v>722000</v>
      </c>
      <c r="G110" s="27">
        <f>'06T- 2018'!I110</f>
        <v>350000</v>
      </c>
      <c r="H110" s="27">
        <v>435000</v>
      </c>
      <c r="I110" s="27">
        <v>730000</v>
      </c>
      <c r="J110" s="27">
        <v>750000</v>
      </c>
      <c r="K110" s="27"/>
      <c r="L110" s="27">
        <v>535600</v>
      </c>
      <c r="M110" s="66">
        <f t="shared" si="38"/>
        <v>103.10734463276836</v>
      </c>
      <c r="N110" s="66">
        <f t="shared" si="39"/>
        <v>101.10803324099723</v>
      </c>
      <c r="O110" s="66">
        <f t="shared" si="40"/>
        <v>102.73972602739725</v>
      </c>
      <c r="P110" s="66">
        <f t="shared" si="41"/>
        <v>153.02857142857144</v>
      </c>
      <c r="Q110" s="66">
        <f t="shared" si="42"/>
        <v>71.413333333333327</v>
      </c>
      <c r="R110" s="83"/>
    </row>
    <row r="111" spans="1:19" ht="20.25" customHeight="1">
      <c r="A111" s="32">
        <v>2</v>
      </c>
      <c r="B111" s="20" t="s">
        <v>333</v>
      </c>
      <c r="C111" s="32"/>
      <c r="D111" s="13"/>
      <c r="E111" s="13"/>
      <c r="F111" s="13"/>
      <c r="G111" s="13"/>
      <c r="H111" s="149"/>
      <c r="I111" s="13"/>
      <c r="J111" s="13"/>
      <c r="K111" s="13"/>
      <c r="L111" s="13"/>
      <c r="M111" s="58" t="str">
        <f t="shared" si="38"/>
        <v/>
      </c>
      <c r="N111" s="58" t="str">
        <f t="shared" si="39"/>
        <v/>
      </c>
      <c r="O111" s="58" t="str">
        <f t="shared" si="40"/>
        <v/>
      </c>
      <c r="P111" s="58" t="str">
        <f t="shared" si="41"/>
        <v/>
      </c>
      <c r="Q111" s="58" t="str">
        <f t="shared" si="42"/>
        <v/>
      </c>
      <c r="R111" s="3"/>
    </row>
    <row r="112" spans="1:19" ht="20.25" customHeight="1">
      <c r="A112" s="32"/>
      <c r="B112" s="20" t="s">
        <v>334</v>
      </c>
      <c r="C112" s="32" t="s">
        <v>65</v>
      </c>
      <c r="D112" s="29">
        <v>40</v>
      </c>
      <c r="E112" s="29">
        <v>42</v>
      </c>
      <c r="F112" s="29">
        <v>40</v>
      </c>
      <c r="G112" s="29">
        <f>'06T- 2018'!I112</f>
        <v>24</v>
      </c>
      <c r="H112" s="29">
        <v>30</v>
      </c>
      <c r="I112" s="29">
        <v>38</v>
      </c>
      <c r="J112" s="29">
        <v>45</v>
      </c>
      <c r="K112" s="29"/>
      <c r="L112" s="29">
        <v>30</v>
      </c>
      <c r="M112" s="58">
        <f t="shared" si="38"/>
        <v>90.476190476190482</v>
      </c>
      <c r="N112" s="58">
        <f t="shared" si="39"/>
        <v>95</v>
      </c>
      <c r="O112" s="58">
        <f t="shared" si="40"/>
        <v>118.42105263157895</v>
      </c>
      <c r="P112" s="58">
        <f t="shared" si="41"/>
        <v>125</v>
      </c>
      <c r="Q112" s="58">
        <f t="shared" si="42"/>
        <v>66.666666666666671</v>
      </c>
      <c r="R112" s="3"/>
    </row>
    <row r="113" spans="1:21" ht="20.25" customHeight="1">
      <c r="A113" s="32"/>
      <c r="B113" s="20" t="s">
        <v>340</v>
      </c>
      <c r="C113" s="32" t="s">
        <v>65</v>
      </c>
      <c r="D113" s="29">
        <v>35</v>
      </c>
      <c r="E113" s="29">
        <v>30</v>
      </c>
      <c r="F113" s="29">
        <v>40</v>
      </c>
      <c r="G113" s="29">
        <f>'06T- 2018'!I113</f>
        <v>20</v>
      </c>
      <c r="H113" s="29">
        <v>32</v>
      </c>
      <c r="I113" s="29">
        <v>40</v>
      </c>
      <c r="J113" s="29">
        <v>45</v>
      </c>
      <c r="K113" s="29"/>
      <c r="L113" s="29">
        <v>34</v>
      </c>
      <c r="M113" s="58">
        <f t="shared" si="38"/>
        <v>133.33333333333334</v>
      </c>
      <c r="N113" s="58">
        <f t="shared" si="39"/>
        <v>100</v>
      </c>
      <c r="O113" s="58">
        <f t="shared" si="40"/>
        <v>112.5</v>
      </c>
      <c r="P113" s="58">
        <f t="shared" si="41"/>
        <v>170</v>
      </c>
      <c r="Q113" s="58">
        <f t="shared" si="42"/>
        <v>75.555555555555557</v>
      </c>
      <c r="R113" s="3"/>
    </row>
    <row r="114" spans="1:21" ht="20.25" customHeight="1">
      <c r="A114" s="32"/>
      <c r="B114" s="20" t="s">
        <v>335</v>
      </c>
      <c r="C114" s="32" t="s">
        <v>76</v>
      </c>
      <c r="D114" s="29">
        <v>57219</v>
      </c>
      <c r="E114" s="29">
        <v>60000</v>
      </c>
      <c r="F114" s="29">
        <v>55000</v>
      </c>
      <c r="G114" s="29">
        <f>'06T- 2018'!I114</f>
        <v>25000</v>
      </c>
      <c r="H114" s="29">
        <v>31000</v>
      </c>
      <c r="I114" s="29">
        <v>55300</v>
      </c>
      <c r="J114" s="29">
        <v>55000</v>
      </c>
      <c r="K114" s="29"/>
      <c r="L114" s="29">
        <v>28800</v>
      </c>
      <c r="M114" s="58">
        <f t="shared" si="38"/>
        <v>92.166666666666671</v>
      </c>
      <c r="N114" s="58">
        <f t="shared" si="39"/>
        <v>100.54545454545455</v>
      </c>
      <c r="O114" s="58">
        <f t="shared" si="40"/>
        <v>99.457504520795666</v>
      </c>
      <c r="P114" s="58">
        <f t="shared" si="41"/>
        <v>115.2</v>
      </c>
      <c r="Q114" s="58">
        <f t="shared" si="42"/>
        <v>52.363636363636367</v>
      </c>
      <c r="R114" s="3"/>
    </row>
    <row r="115" spans="1:21" ht="20.25" customHeight="1">
      <c r="A115" s="32"/>
      <c r="B115" s="20" t="s">
        <v>336</v>
      </c>
      <c r="C115" s="32" t="s">
        <v>76</v>
      </c>
      <c r="D115" s="29">
        <v>12363</v>
      </c>
      <c r="E115" s="29">
        <v>13000</v>
      </c>
      <c r="F115" s="29">
        <v>12000</v>
      </c>
      <c r="G115" s="29">
        <f>'06T- 2018'!I115</f>
        <v>6000</v>
      </c>
      <c r="H115" s="29">
        <v>4950</v>
      </c>
      <c r="I115" s="29">
        <v>12125</v>
      </c>
      <c r="J115" s="29">
        <v>12000</v>
      </c>
      <c r="K115" s="29"/>
      <c r="L115" s="29">
        <v>7680</v>
      </c>
      <c r="M115" s="58">
        <f t="shared" si="38"/>
        <v>93.269230769230774</v>
      </c>
      <c r="N115" s="58">
        <f t="shared" si="39"/>
        <v>101.04166666666667</v>
      </c>
      <c r="O115" s="58">
        <f t="shared" si="40"/>
        <v>98.969072164948457</v>
      </c>
      <c r="P115" s="58">
        <f t="shared" si="41"/>
        <v>128</v>
      </c>
      <c r="Q115" s="58">
        <f t="shared" si="42"/>
        <v>64</v>
      </c>
      <c r="R115" s="3"/>
    </row>
    <row r="116" spans="1:21" ht="20.25" customHeight="1">
      <c r="A116" s="32"/>
      <c r="B116" s="20" t="s">
        <v>337</v>
      </c>
      <c r="C116" s="32" t="s">
        <v>466</v>
      </c>
      <c r="D116" s="29">
        <v>39713</v>
      </c>
      <c r="E116" s="29">
        <v>41000</v>
      </c>
      <c r="F116" s="29">
        <v>60000</v>
      </c>
      <c r="G116" s="29">
        <f>'06T- 2018'!I116</f>
        <v>30000</v>
      </c>
      <c r="H116" s="29">
        <v>47180</v>
      </c>
      <c r="I116" s="29">
        <v>67350</v>
      </c>
      <c r="J116" s="29">
        <v>80000</v>
      </c>
      <c r="K116" s="29"/>
      <c r="L116" s="29">
        <v>58260</v>
      </c>
      <c r="M116" s="58">
        <f t="shared" si="38"/>
        <v>164.26829268292684</v>
      </c>
      <c r="N116" s="58">
        <f t="shared" si="39"/>
        <v>112.25</v>
      </c>
      <c r="O116" s="58">
        <f t="shared" si="40"/>
        <v>118.78247958426132</v>
      </c>
      <c r="P116" s="58">
        <f t="shared" si="41"/>
        <v>194.2</v>
      </c>
      <c r="Q116" s="58">
        <f t="shared" si="42"/>
        <v>72.825000000000003</v>
      </c>
      <c r="R116" s="3"/>
    </row>
    <row r="117" spans="1:21" ht="20.25" customHeight="1">
      <c r="A117" s="32"/>
      <c r="B117" s="20" t="s">
        <v>338</v>
      </c>
      <c r="C117" s="32" t="s">
        <v>466</v>
      </c>
      <c r="D117" s="29">
        <v>34500</v>
      </c>
      <c r="E117" s="29">
        <v>35000</v>
      </c>
      <c r="F117" s="29">
        <v>54000</v>
      </c>
      <c r="G117" s="29">
        <f>'06T- 2018'!I117</f>
        <v>0</v>
      </c>
      <c r="H117" s="29">
        <v>30850</v>
      </c>
      <c r="I117" s="29">
        <v>37000</v>
      </c>
      <c r="J117" s="29">
        <v>70000</v>
      </c>
      <c r="K117" s="29"/>
      <c r="L117" s="29">
        <v>37000</v>
      </c>
      <c r="M117" s="58">
        <f t="shared" si="38"/>
        <v>105.71428571428571</v>
      </c>
      <c r="N117" s="58">
        <f t="shared" si="39"/>
        <v>68.518518518518519</v>
      </c>
      <c r="O117" s="58">
        <f t="shared" si="40"/>
        <v>189.18918918918919</v>
      </c>
      <c r="P117" s="58" t="str">
        <f t="shared" si="41"/>
        <v/>
      </c>
      <c r="Q117" s="58">
        <f t="shared" si="42"/>
        <v>52.857142857142854</v>
      </c>
      <c r="R117" s="3"/>
    </row>
    <row r="118" spans="1:21" s="18" customFormat="1" ht="17.25" customHeight="1">
      <c r="A118" s="11" t="s">
        <v>182</v>
      </c>
      <c r="B118" s="15" t="s">
        <v>450</v>
      </c>
      <c r="C118" s="11"/>
      <c r="D118" s="29"/>
      <c r="E118" s="29"/>
      <c r="F118" s="29"/>
      <c r="G118" s="29"/>
      <c r="H118" s="29"/>
      <c r="I118" s="29"/>
      <c r="J118" s="29"/>
      <c r="K118" s="29"/>
      <c r="L118" s="29"/>
      <c r="M118" s="66" t="str">
        <f t="shared" si="38"/>
        <v/>
      </c>
      <c r="N118" s="66" t="str">
        <f t="shared" si="39"/>
        <v/>
      </c>
      <c r="O118" s="66" t="str">
        <f t="shared" si="40"/>
        <v/>
      </c>
      <c r="P118" s="66" t="str">
        <f t="shared" si="41"/>
        <v/>
      </c>
      <c r="Q118" s="66" t="str">
        <f t="shared" si="42"/>
        <v/>
      </c>
      <c r="R118" s="66"/>
    </row>
    <row r="119" spans="1:21" ht="22.5" customHeight="1">
      <c r="A119" s="32">
        <v>1</v>
      </c>
      <c r="B119" s="20" t="s">
        <v>184</v>
      </c>
      <c r="C119" s="32" t="s">
        <v>331</v>
      </c>
      <c r="D119" s="29">
        <v>560310</v>
      </c>
      <c r="E119" s="29">
        <v>595000</v>
      </c>
      <c r="F119" s="29">
        <v>696000</v>
      </c>
      <c r="G119" s="29">
        <f>'06T- 2018'!I119</f>
        <v>300000</v>
      </c>
      <c r="H119" s="29">
        <v>450000</v>
      </c>
      <c r="I119" s="29">
        <v>698000</v>
      </c>
      <c r="J119" s="29">
        <v>730000</v>
      </c>
      <c r="K119" s="29"/>
      <c r="L119" s="29">
        <v>400000</v>
      </c>
      <c r="M119" s="58">
        <f t="shared" si="38"/>
        <v>117.31092436974789</v>
      </c>
      <c r="N119" s="58">
        <f t="shared" si="39"/>
        <v>100.28735632183908</v>
      </c>
      <c r="O119" s="58">
        <f t="shared" si="40"/>
        <v>104.58452722063038</v>
      </c>
      <c r="P119" s="58">
        <f t="shared" si="41"/>
        <v>133.33333333333334</v>
      </c>
      <c r="Q119" s="58">
        <f t="shared" si="42"/>
        <v>54.794520547945204</v>
      </c>
      <c r="R119" s="3"/>
      <c r="S119" s="77"/>
    </row>
    <row r="120" spans="1:21" ht="19.5" customHeight="1">
      <c r="A120" s="32"/>
      <c r="B120" s="12" t="s">
        <v>454</v>
      </c>
      <c r="C120" s="32"/>
      <c r="D120" s="13"/>
      <c r="E120" s="13"/>
      <c r="F120" s="13"/>
      <c r="G120" s="13"/>
      <c r="H120" s="13"/>
      <c r="I120" s="13"/>
      <c r="J120" s="13"/>
      <c r="K120" s="13"/>
      <c r="L120" s="13"/>
      <c r="M120" s="66" t="str">
        <f t="shared" si="38"/>
        <v/>
      </c>
      <c r="N120" s="66" t="str">
        <f t="shared" si="39"/>
        <v/>
      </c>
      <c r="O120" s="66" t="str">
        <f t="shared" si="40"/>
        <v/>
      </c>
      <c r="P120" s="66" t="str">
        <f t="shared" si="41"/>
        <v/>
      </c>
      <c r="Q120" s="66" t="str">
        <f t="shared" si="42"/>
        <v/>
      </c>
      <c r="R120" s="3"/>
    </row>
    <row r="121" spans="1:21" s="18" customFormat="1" ht="22.5" customHeight="1">
      <c r="A121" s="11" t="s">
        <v>38</v>
      </c>
      <c r="B121" s="15" t="s">
        <v>352</v>
      </c>
      <c r="C121" s="11"/>
      <c r="D121" s="149"/>
      <c r="E121" s="149"/>
      <c r="F121" s="149"/>
      <c r="G121" s="149"/>
      <c r="H121" s="149"/>
      <c r="I121" s="149"/>
      <c r="J121" s="149"/>
      <c r="K121" s="149"/>
      <c r="L121" s="149"/>
      <c r="M121" s="66" t="str">
        <f t="shared" si="38"/>
        <v/>
      </c>
      <c r="N121" s="66" t="str">
        <f t="shared" si="39"/>
        <v/>
      </c>
      <c r="O121" s="66" t="str">
        <f t="shared" si="40"/>
        <v/>
      </c>
      <c r="P121" s="66" t="str">
        <f t="shared" si="41"/>
        <v/>
      </c>
      <c r="Q121" s="66" t="str">
        <f t="shared" si="42"/>
        <v/>
      </c>
      <c r="R121" s="83"/>
    </row>
    <row r="122" spans="1:21" ht="22.5" hidden="1" customHeight="1" outlineLevel="1">
      <c r="A122" s="613">
        <v>1</v>
      </c>
      <c r="B122" s="462" t="s">
        <v>353</v>
      </c>
      <c r="C122" s="613" t="s">
        <v>62</v>
      </c>
      <c r="D122" s="614">
        <v>10520</v>
      </c>
      <c r="E122" s="614">
        <f>D123</f>
        <v>10685</v>
      </c>
      <c r="F122" s="614">
        <f>E123</f>
        <v>11308</v>
      </c>
      <c r="G122" s="614">
        <f>E123</f>
        <v>11308</v>
      </c>
      <c r="H122" s="614">
        <f>E123</f>
        <v>11308</v>
      </c>
      <c r="I122" s="614">
        <f>F122</f>
        <v>11308</v>
      </c>
      <c r="J122" s="614">
        <f>I123</f>
        <v>11350</v>
      </c>
      <c r="K122" s="614"/>
      <c r="L122" s="614"/>
      <c r="M122" s="445">
        <f t="shared" si="38"/>
        <v>105.83060364997661</v>
      </c>
      <c r="N122" s="445">
        <f t="shared" si="39"/>
        <v>100</v>
      </c>
      <c r="O122" s="445">
        <f t="shared" si="40"/>
        <v>100.37141846480368</v>
      </c>
      <c r="P122" s="445">
        <f t="shared" si="41"/>
        <v>0</v>
      </c>
      <c r="Q122" s="445">
        <f t="shared" si="42"/>
        <v>0</v>
      </c>
      <c r="R122" s="615"/>
      <c r="S122" s="77"/>
    </row>
    <row r="123" spans="1:21" ht="22.5" hidden="1" customHeight="1" outlineLevel="1">
      <c r="A123" s="613">
        <v>2</v>
      </c>
      <c r="B123" s="462" t="s">
        <v>207</v>
      </c>
      <c r="C123" s="613" t="s">
        <v>62</v>
      </c>
      <c r="D123" s="614">
        <v>10685</v>
      </c>
      <c r="E123" s="614">
        <v>11308</v>
      </c>
      <c r="F123" s="614">
        <f>F122+630</f>
        <v>11938</v>
      </c>
      <c r="G123" s="614"/>
      <c r="H123" s="614">
        <f>H122+420</f>
        <v>11728</v>
      </c>
      <c r="I123" s="614">
        <v>11350</v>
      </c>
      <c r="J123" s="614">
        <v>11650</v>
      </c>
      <c r="K123" s="614"/>
      <c r="L123" s="614"/>
      <c r="M123" s="445">
        <f t="shared" si="38"/>
        <v>100.37141846480368</v>
      </c>
      <c r="N123" s="445">
        <f>IFERROR(I123/F123%,"")</f>
        <v>95.074551851231362</v>
      </c>
      <c r="O123" s="445">
        <f t="shared" si="40"/>
        <v>102.6431718061674</v>
      </c>
      <c r="P123" s="445" t="str">
        <f t="shared" si="41"/>
        <v/>
      </c>
      <c r="Q123" s="445">
        <f t="shared" si="42"/>
        <v>0</v>
      </c>
      <c r="R123" s="615"/>
      <c r="S123" s="77"/>
    </row>
    <row r="124" spans="1:21" ht="22.5" customHeight="1" collapsed="1">
      <c r="A124" s="32">
        <v>1</v>
      </c>
      <c r="B124" s="20" t="s">
        <v>131</v>
      </c>
      <c r="C124" s="32" t="s">
        <v>73</v>
      </c>
      <c r="D124" s="29">
        <v>44006</v>
      </c>
      <c r="E124" s="29">
        <f>D125</f>
        <v>45290</v>
      </c>
      <c r="F124" s="29">
        <f>E125</f>
        <v>46365</v>
      </c>
      <c r="G124" s="29"/>
      <c r="H124" s="29">
        <f>E125</f>
        <v>46365</v>
      </c>
      <c r="I124" s="29">
        <f>E125</f>
        <v>46365</v>
      </c>
      <c r="J124" s="29">
        <f>I125</f>
        <v>47571</v>
      </c>
      <c r="K124" s="29"/>
      <c r="L124" s="29"/>
      <c r="M124" s="58">
        <f t="shared" si="38"/>
        <v>102.37359240450431</v>
      </c>
      <c r="N124" s="58">
        <f t="shared" si="39"/>
        <v>100</v>
      </c>
      <c r="O124" s="58">
        <f t="shared" si="40"/>
        <v>102.60109996764801</v>
      </c>
      <c r="P124" s="58" t="str">
        <f t="shared" si="41"/>
        <v/>
      </c>
      <c r="Q124" s="58">
        <f t="shared" si="42"/>
        <v>0</v>
      </c>
      <c r="R124" s="3"/>
      <c r="S124" s="77"/>
    </row>
    <row r="125" spans="1:21" ht="22.5" customHeight="1">
      <c r="A125" s="32">
        <v>2</v>
      </c>
      <c r="B125" s="20" t="s">
        <v>132</v>
      </c>
      <c r="C125" s="32" t="s">
        <v>73</v>
      </c>
      <c r="D125" s="29">
        <v>45290</v>
      </c>
      <c r="E125" s="29">
        <v>46365</v>
      </c>
      <c r="F125" s="29">
        <v>47500</v>
      </c>
      <c r="G125" s="29"/>
      <c r="H125" s="29">
        <f>H124+757</f>
        <v>47122</v>
      </c>
      <c r="I125" s="29">
        <v>47571</v>
      </c>
      <c r="J125" s="29">
        <v>48828.800000000003</v>
      </c>
      <c r="K125" s="29"/>
      <c r="L125" s="29"/>
      <c r="M125" s="58">
        <f t="shared" si="38"/>
        <v>102.60109996764801</v>
      </c>
      <c r="N125" s="58">
        <f t="shared" si="39"/>
        <v>100.14947368421052</v>
      </c>
      <c r="O125" s="58">
        <f t="shared" si="40"/>
        <v>102.64404784427488</v>
      </c>
      <c r="P125" s="58" t="str">
        <f t="shared" si="41"/>
        <v/>
      </c>
      <c r="Q125" s="58">
        <f t="shared" si="42"/>
        <v>0</v>
      </c>
      <c r="R125" s="3"/>
      <c r="S125" s="77"/>
      <c r="U125" s="616"/>
    </row>
    <row r="126" spans="1:21" ht="22.5" customHeight="1">
      <c r="A126" s="32">
        <v>3</v>
      </c>
      <c r="B126" s="20" t="s">
        <v>339</v>
      </c>
      <c r="C126" s="32" t="s">
        <v>73</v>
      </c>
      <c r="D126" s="29">
        <f t="shared" ref="D126:J126" si="48">(D124+D125)/2</f>
        <v>44648</v>
      </c>
      <c r="E126" s="29">
        <f t="shared" si="48"/>
        <v>45827.5</v>
      </c>
      <c r="F126" s="29">
        <f t="shared" si="48"/>
        <v>46932.5</v>
      </c>
      <c r="G126" s="29"/>
      <c r="H126" s="29">
        <f t="shared" si="48"/>
        <v>46743.5</v>
      </c>
      <c r="I126" s="29">
        <f t="shared" si="48"/>
        <v>46968</v>
      </c>
      <c r="J126" s="29">
        <f t="shared" si="48"/>
        <v>48199.9</v>
      </c>
      <c r="K126" s="29"/>
      <c r="L126" s="29">
        <v>46563</v>
      </c>
      <c r="M126" s="58">
        <f t="shared" si="38"/>
        <v>102.48868037750259</v>
      </c>
      <c r="N126" s="58">
        <f t="shared" si="39"/>
        <v>100.07564054759496</v>
      </c>
      <c r="O126" s="58">
        <f t="shared" si="40"/>
        <v>102.62284959972747</v>
      </c>
      <c r="P126" s="58" t="str">
        <f t="shared" si="41"/>
        <v/>
      </c>
      <c r="Q126" s="58">
        <f>IFERROR(L126/J126%,"")</f>
        <v>96.60393486293539</v>
      </c>
      <c r="R126" s="3"/>
      <c r="S126" s="77"/>
    </row>
    <row r="127" spans="1:21" ht="22.5" customHeight="1">
      <c r="A127" s="32">
        <v>4</v>
      </c>
      <c r="B127" s="48" t="s">
        <v>392</v>
      </c>
      <c r="C127" s="21" t="s">
        <v>170</v>
      </c>
      <c r="D127" s="74">
        <v>22.62</v>
      </c>
      <c r="E127" s="74">
        <v>22.92</v>
      </c>
      <c r="F127" s="74">
        <v>22</v>
      </c>
      <c r="G127" s="74"/>
      <c r="H127" s="74">
        <v>22</v>
      </c>
      <c r="I127" s="74">
        <v>22</v>
      </c>
      <c r="J127" s="74">
        <f>'B05'!E21*10</f>
        <v>22.134283492043473</v>
      </c>
      <c r="K127" s="74"/>
      <c r="L127" s="74"/>
      <c r="M127" s="58">
        <f t="shared" si="38"/>
        <v>95.986038394415345</v>
      </c>
      <c r="N127" s="58">
        <f t="shared" si="39"/>
        <v>100</v>
      </c>
      <c r="O127" s="58">
        <f t="shared" si="40"/>
        <v>100.61037950928851</v>
      </c>
      <c r="P127" s="58" t="str">
        <f t="shared" si="41"/>
        <v/>
      </c>
      <c r="Q127" s="58">
        <f t="shared" si="42"/>
        <v>0</v>
      </c>
      <c r="R127" s="3"/>
    </row>
    <row r="128" spans="1:21" s="18" customFormat="1" ht="21" customHeight="1">
      <c r="A128" s="11" t="s">
        <v>39</v>
      </c>
      <c r="B128" s="15" t="s">
        <v>163</v>
      </c>
      <c r="C128" s="11"/>
      <c r="D128" s="57"/>
      <c r="E128" s="57"/>
      <c r="F128" s="57"/>
      <c r="G128" s="57"/>
      <c r="H128" s="57"/>
      <c r="I128" s="57"/>
      <c r="J128" s="57"/>
      <c r="K128" s="57"/>
      <c r="L128" s="57"/>
      <c r="M128" s="66" t="str">
        <f t="shared" si="38"/>
        <v/>
      </c>
      <c r="N128" s="66" t="str">
        <f t="shared" si="39"/>
        <v/>
      </c>
      <c r="O128" s="66" t="str">
        <f t="shared" si="40"/>
        <v/>
      </c>
      <c r="P128" s="66" t="str">
        <f t="shared" si="41"/>
        <v/>
      </c>
      <c r="Q128" s="66" t="str">
        <f t="shared" si="42"/>
        <v/>
      </c>
      <c r="R128" s="83"/>
    </row>
    <row r="129" spans="1:19" ht="21" customHeight="1">
      <c r="A129" s="32">
        <v>1</v>
      </c>
      <c r="B129" s="20" t="s">
        <v>393</v>
      </c>
      <c r="C129" s="32" t="s">
        <v>33</v>
      </c>
      <c r="D129" s="58">
        <v>42.86</v>
      </c>
      <c r="E129" s="58">
        <v>43</v>
      </c>
      <c r="F129" s="58">
        <v>44</v>
      </c>
      <c r="G129" s="58"/>
      <c r="H129" s="58">
        <v>43</v>
      </c>
      <c r="I129" s="58">
        <f>F129</f>
        <v>44</v>
      </c>
      <c r="J129" s="58">
        <v>44.5</v>
      </c>
      <c r="K129" s="58"/>
      <c r="L129" s="58"/>
      <c r="M129" s="58">
        <f t="shared" si="38"/>
        <v>102.32558139534883</v>
      </c>
      <c r="N129" s="58">
        <f t="shared" si="39"/>
        <v>100</v>
      </c>
      <c r="O129" s="58">
        <f t="shared" si="40"/>
        <v>101.13636363636364</v>
      </c>
      <c r="P129" s="58" t="str">
        <f t="shared" si="41"/>
        <v/>
      </c>
      <c r="Q129" s="58">
        <f t="shared" si="42"/>
        <v>0</v>
      </c>
      <c r="R129" s="3"/>
    </row>
    <row r="130" spans="1:19" ht="21" customHeight="1">
      <c r="A130" s="32"/>
      <c r="B130" s="20" t="s">
        <v>394</v>
      </c>
      <c r="C130" s="32" t="s">
        <v>33</v>
      </c>
      <c r="D130" s="58">
        <v>32</v>
      </c>
      <c r="E130" s="58">
        <v>35</v>
      </c>
      <c r="F130" s="58">
        <v>36</v>
      </c>
      <c r="G130" s="58"/>
      <c r="H130" s="58">
        <v>35</v>
      </c>
      <c r="I130" s="58">
        <f>F130</f>
        <v>36</v>
      </c>
      <c r="J130" s="58">
        <v>36.5</v>
      </c>
      <c r="K130" s="58"/>
      <c r="L130" s="58"/>
      <c r="M130" s="58">
        <f t="shared" si="38"/>
        <v>102.85714285714286</v>
      </c>
      <c r="N130" s="58">
        <f t="shared" si="39"/>
        <v>100</v>
      </c>
      <c r="O130" s="58">
        <f t="shared" si="40"/>
        <v>101.38888888888889</v>
      </c>
      <c r="P130" s="58" t="str">
        <f t="shared" si="41"/>
        <v/>
      </c>
      <c r="Q130" s="58">
        <f t="shared" si="42"/>
        <v>0</v>
      </c>
      <c r="R130" s="3"/>
    </row>
    <row r="131" spans="1:19" ht="47.25">
      <c r="A131" s="32">
        <v>2</v>
      </c>
      <c r="B131" s="20" t="s">
        <v>357</v>
      </c>
      <c r="C131" s="32" t="s">
        <v>120</v>
      </c>
      <c r="D131" s="59">
        <f>174+50</f>
        <v>224</v>
      </c>
      <c r="E131" s="59">
        <v>175</v>
      </c>
      <c r="F131" s="59">
        <v>250</v>
      </c>
      <c r="G131" s="59">
        <v>200</v>
      </c>
      <c r="H131" s="59">
        <v>305</v>
      </c>
      <c r="I131" s="59">
        <v>290</v>
      </c>
      <c r="J131" s="59">
        <v>250</v>
      </c>
      <c r="K131" s="59"/>
      <c r="L131" s="59">
        <v>103</v>
      </c>
      <c r="M131" s="58">
        <f t="shared" si="38"/>
        <v>165.71428571428572</v>
      </c>
      <c r="N131" s="58">
        <f t="shared" si="39"/>
        <v>116</v>
      </c>
      <c r="O131" s="58">
        <f t="shared" si="40"/>
        <v>86.206896551724142</v>
      </c>
      <c r="P131" s="58">
        <f t="shared" si="41"/>
        <v>51.5</v>
      </c>
      <c r="Q131" s="58">
        <f t="shared" si="42"/>
        <v>41.2</v>
      </c>
      <c r="R131" s="3"/>
    </row>
    <row r="132" spans="1:19" ht="30.75" customHeight="1">
      <c r="A132" s="32"/>
      <c r="B132" s="20" t="s">
        <v>396</v>
      </c>
      <c r="C132" s="32" t="s">
        <v>397</v>
      </c>
      <c r="D132" s="20">
        <v>111</v>
      </c>
      <c r="E132" s="20">
        <v>115</v>
      </c>
      <c r="F132" s="20">
        <v>120</v>
      </c>
      <c r="G132" s="20">
        <v>115</v>
      </c>
      <c r="H132" s="20">
        <v>115</v>
      </c>
      <c r="I132" s="59">
        <f>F132</f>
        <v>120</v>
      </c>
      <c r="J132" s="20">
        <v>120</v>
      </c>
      <c r="K132" s="20"/>
      <c r="L132" s="20"/>
      <c r="M132" s="58">
        <f t="shared" si="38"/>
        <v>104.34782608695653</v>
      </c>
      <c r="N132" s="58">
        <f t="shared" si="39"/>
        <v>100</v>
      </c>
      <c r="O132" s="58">
        <f t="shared" si="40"/>
        <v>100</v>
      </c>
      <c r="P132" s="58">
        <f t="shared" si="41"/>
        <v>0</v>
      </c>
      <c r="Q132" s="58">
        <f t="shared" si="42"/>
        <v>0</v>
      </c>
      <c r="R132" s="3"/>
    </row>
    <row r="133" spans="1:19" ht="21" customHeight="1">
      <c r="A133" s="11" t="s">
        <v>47</v>
      </c>
      <c r="B133" s="15" t="s">
        <v>288</v>
      </c>
      <c r="C133" s="32"/>
      <c r="D133" s="59"/>
      <c r="E133" s="59"/>
      <c r="F133" s="59"/>
      <c r="G133" s="59"/>
      <c r="H133" s="59"/>
      <c r="I133" s="59"/>
      <c r="J133" s="59"/>
      <c r="K133" s="59"/>
      <c r="L133" s="59"/>
      <c r="M133" s="66" t="str">
        <f t="shared" si="38"/>
        <v/>
      </c>
      <c r="N133" s="66" t="str">
        <f t="shared" si="39"/>
        <v/>
      </c>
      <c r="O133" s="66" t="str">
        <f t="shared" si="40"/>
        <v/>
      </c>
      <c r="P133" s="66" t="str">
        <f t="shared" si="41"/>
        <v/>
      </c>
      <c r="Q133" s="66" t="str">
        <f t="shared" si="42"/>
        <v/>
      </c>
      <c r="R133" s="3"/>
    </row>
    <row r="134" spans="1:19" ht="29.25" customHeight="1">
      <c r="A134" s="60">
        <v>1</v>
      </c>
      <c r="B134" s="61" t="s">
        <v>355</v>
      </c>
      <c r="C134" s="32" t="s">
        <v>33</v>
      </c>
      <c r="D134" s="67" t="s">
        <v>358</v>
      </c>
      <c r="E134" s="88">
        <f>D135-E135</f>
        <v>3.1799999999999997</v>
      </c>
      <c r="F134" s="88">
        <v>3</v>
      </c>
      <c r="G134" s="88">
        <f>E134</f>
        <v>3.1799999999999997</v>
      </c>
      <c r="H134" s="67"/>
      <c r="I134" s="67">
        <v>2.14</v>
      </c>
      <c r="J134" s="88">
        <v>3</v>
      </c>
      <c r="K134" s="88"/>
      <c r="L134" s="88">
        <v>3</v>
      </c>
      <c r="M134" s="58">
        <f t="shared" si="38"/>
        <v>67.29559748427674</v>
      </c>
      <c r="N134" s="58">
        <f t="shared" si="39"/>
        <v>71.333333333333343</v>
      </c>
      <c r="O134" s="58">
        <f t="shared" si="40"/>
        <v>140.18691588785046</v>
      </c>
      <c r="P134" s="58">
        <f t="shared" si="41"/>
        <v>94.33962264150945</v>
      </c>
      <c r="Q134" s="58">
        <f t="shared" si="42"/>
        <v>100</v>
      </c>
      <c r="R134" s="3"/>
    </row>
    <row r="135" spans="1:19" ht="21" customHeight="1">
      <c r="A135" s="60">
        <v>2</v>
      </c>
      <c r="B135" s="61" t="s">
        <v>395</v>
      </c>
      <c r="C135" s="32" t="s">
        <v>33</v>
      </c>
      <c r="D135" s="80">
        <v>17.32</v>
      </c>
      <c r="E135" s="80">
        <v>14.14</v>
      </c>
      <c r="F135" s="80">
        <f>E135-3</f>
        <v>11.14</v>
      </c>
      <c r="G135" s="80">
        <f>E135</f>
        <v>14.14</v>
      </c>
      <c r="H135" s="80"/>
      <c r="I135" s="80">
        <f>E135-I134</f>
        <v>12</v>
      </c>
      <c r="J135" s="80">
        <f>I135-J134</f>
        <v>9</v>
      </c>
      <c r="K135" s="80"/>
      <c r="L135" s="80">
        <f>J135</f>
        <v>9</v>
      </c>
      <c r="M135" s="58">
        <f t="shared" si="38"/>
        <v>84.865629420084872</v>
      </c>
      <c r="N135" s="58">
        <f t="shared" si="39"/>
        <v>107.71992818671454</v>
      </c>
      <c r="O135" s="58">
        <f t="shared" si="40"/>
        <v>75</v>
      </c>
      <c r="P135" s="58">
        <f t="shared" si="41"/>
        <v>63.649222065063647</v>
      </c>
      <c r="Q135" s="58">
        <f t="shared" si="42"/>
        <v>100</v>
      </c>
      <c r="R135" s="3"/>
      <c r="S135" s="89"/>
    </row>
    <row r="136" spans="1:19" s="18" customFormat="1" ht="20.25" customHeight="1">
      <c r="A136" s="11" t="s">
        <v>48</v>
      </c>
      <c r="B136" s="15" t="s">
        <v>6</v>
      </c>
      <c r="C136" s="11"/>
      <c r="D136" s="149"/>
      <c r="E136" s="149"/>
      <c r="F136" s="149"/>
      <c r="G136" s="149"/>
      <c r="H136" s="149"/>
      <c r="I136" s="149"/>
      <c r="J136" s="149"/>
      <c r="K136" s="149"/>
      <c r="L136" s="149"/>
      <c r="M136" s="66" t="str">
        <f t="shared" si="38"/>
        <v/>
      </c>
      <c r="N136" s="66" t="str">
        <f t="shared" si="39"/>
        <v/>
      </c>
      <c r="O136" s="66" t="str">
        <f t="shared" si="40"/>
        <v/>
      </c>
      <c r="P136" s="66" t="str">
        <f t="shared" si="41"/>
        <v/>
      </c>
      <c r="Q136" s="66" t="str">
        <f t="shared" si="42"/>
        <v/>
      </c>
      <c r="R136" s="83"/>
    </row>
    <row r="137" spans="1:19" ht="23.25" customHeight="1">
      <c r="A137" s="32">
        <v>1</v>
      </c>
      <c r="B137" s="20" t="s">
        <v>389</v>
      </c>
      <c r="C137" s="32" t="s">
        <v>8</v>
      </c>
      <c r="D137" s="29">
        <f>SUM(D138:D146)</f>
        <v>13999</v>
      </c>
      <c r="E137" s="29">
        <f>SUM(E138:E146)</f>
        <v>14102</v>
      </c>
      <c r="F137" s="29">
        <f t="shared" ref="F137:L137" si="49">F138+F143+F144+F146</f>
        <v>14530</v>
      </c>
      <c r="G137" s="29">
        <f t="shared" si="49"/>
        <v>14547</v>
      </c>
      <c r="H137" s="29">
        <f t="shared" si="49"/>
        <v>14536</v>
      </c>
      <c r="I137" s="29">
        <f t="shared" si="49"/>
        <v>14495</v>
      </c>
      <c r="J137" s="29">
        <f t="shared" si="49"/>
        <v>15222</v>
      </c>
      <c r="K137" s="29">
        <f t="shared" si="49"/>
        <v>0</v>
      </c>
      <c r="L137" s="29">
        <f t="shared" si="49"/>
        <v>14813</v>
      </c>
      <c r="M137" s="58">
        <f t="shared" si="38"/>
        <v>102.78683874627711</v>
      </c>
      <c r="N137" s="58">
        <f t="shared" si="39"/>
        <v>99.759119064005503</v>
      </c>
      <c r="O137" s="58">
        <f t="shared" si="40"/>
        <v>105.01552259399794</v>
      </c>
      <c r="P137" s="58">
        <f t="shared" si="41"/>
        <v>101.82855571595518</v>
      </c>
      <c r="Q137" s="58">
        <f t="shared" si="42"/>
        <v>97.31309946130601</v>
      </c>
      <c r="R137" s="3"/>
    </row>
    <row r="138" spans="1:19" ht="21" customHeight="1">
      <c r="A138" s="32" t="s">
        <v>34</v>
      </c>
      <c r="B138" s="20" t="s">
        <v>188</v>
      </c>
      <c r="C138" s="32" t="s">
        <v>8</v>
      </c>
      <c r="D138" s="151">
        <v>4325</v>
      </c>
      <c r="E138" s="151">
        <v>4401</v>
      </c>
      <c r="F138" s="151">
        <f>F139+F141</f>
        <v>4430</v>
      </c>
      <c r="G138" s="151">
        <f t="shared" ref="G138:L138" si="50">G139+G141</f>
        <v>4490</v>
      </c>
      <c r="H138" s="151">
        <f t="shared" si="50"/>
        <v>4480</v>
      </c>
      <c r="I138" s="151">
        <f t="shared" si="50"/>
        <v>4476</v>
      </c>
      <c r="J138" s="151">
        <f t="shared" si="50"/>
        <v>4570</v>
      </c>
      <c r="K138" s="151">
        <f t="shared" si="50"/>
        <v>0</v>
      </c>
      <c r="L138" s="151">
        <f t="shared" si="50"/>
        <v>4376</v>
      </c>
      <c r="M138" s="58">
        <f t="shared" ref="M138:M193" si="51">IFERROR(I138/E138%,"")</f>
        <v>101.70415814587594</v>
      </c>
      <c r="N138" s="58">
        <f t="shared" ref="N138:N193" si="52">IFERROR(I138/F138%,"")</f>
        <v>101.03837471783297</v>
      </c>
      <c r="O138" s="58">
        <f t="shared" ref="O138:O144" si="53">IFERROR(J138/I138%,"")</f>
        <v>102.10008936550491</v>
      </c>
      <c r="P138" s="58">
        <f t="shared" ref="P138:P144" si="54">IFERROR(L138/G138%,"")</f>
        <v>97.461024498886417</v>
      </c>
      <c r="Q138" s="58">
        <f t="shared" ref="Q138:Q144" si="55">IFERROR(L138/J138%,"")</f>
        <v>95.754923413566729</v>
      </c>
      <c r="R138" s="3"/>
      <c r="S138" s="81"/>
    </row>
    <row r="139" spans="1:19" s="42" customFormat="1" ht="21" customHeight="1">
      <c r="A139" s="39" t="s">
        <v>557</v>
      </c>
      <c r="B139" s="20" t="s">
        <v>189</v>
      </c>
      <c r="C139" s="32" t="s">
        <v>12</v>
      </c>
      <c r="D139" s="152"/>
      <c r="E139" s="151"/>
      <c r="F139" s="151">
        <v>450</v>
      </c>
      <c r="G139" s="151">
        <v>526</v>
      </c>
      <c r="H139" s="151">
        <v>516</v>
      </c>
      <c r="I139" s="151">
        <v>516</v>
      </c>
      <c r="J139" s="151">
        <v>520</v>
      </c>
      <c r="K139" s="151"/>
      <c r="L139" s="151">
        <v>496</v>
      </c>
      <c r="M139" s="58" t="str">
        <f t="shared" si="51"/>
        <v/>
      </c>
      <c r="N139" s="58">
        <f t="shared" si="52"/>
        <v>114.66666666666667</v>
      </c>
      <c r="O139" s="58">
        <f t="shared" si="53"/>
        <v>100.77519379844961</v>
      </c>
      <c r="P139" s="58">
        <f t="shared" si="54"/>
        <v>94.296577946768068</v>
      </c>
      <c r="Q139" s="58">
        <f t="shared" si="55"/>
        <v>95.384615384615387</v>
      </c>
      <c r="R139" s="84"/>
      <c r="S139" s="82"/>
    </row>
    <row r="140" spans="1:19" s="42" customFormat="1" ht="21" customHeight="1">
      <c r="A140" s="39"/>
      <c r="B140" s="62" t="s">
        <v>849</v>
      </c>
      <c r="C140" s="32" t="s">
        <v>12</v>
      </c>
      <c r="D140" s="152"/>
      <c r="E140" s="151"/>
      <c r="F140" s="151">
        <v>350</v>
      </c>
      <c r="G140" s="151">
        <v>371</v>
      </c>
      <c r="H140" s="151">
        <v>365</v>
      </c>
      <c r="I140" s="151">
        <v>365</v>
      </c>
      <c r="J140" s="151">
        <v>361</v>
      </c>
      <c r="K140" s="151"/>
      <c r="L140" s="151"/>
      <c r="M140" s="58" t="str">
        <f t="shared" si="51"/>
        <v/>
      </c>
      <c r="N140" s="58">
        <f t="shared" si="52"/>
        <v>104.28571428571429</v>
      </c>
      <c r="O140" s="58">
        <f t="shared" si="53"/>
        <v>98.904109589041099</v>
      </c>
      <c r="P140" s="58">
        <f t="shared" si="54"/>
        <v>0</v>
      </c>
      <c r="Q140" s="58">
        <f t="shared" si="55"/>
        <v>0</v>
      </c>
      <c r="R140" s="84"/>
      <c r="S140" s="82"/>
    </row>
    <row r="141" spans="1:19" s="42" customFormat="1" ht="21" customHeight="1">
      <c r="A141" s="32" t="s">
        <v>557</v>
      </c>
      <c r="B141" s="20" t="s">
        <v>190</v>
      </c>
      <c r="C141" s="32" t="s">
        <v>12</v>
      </c>
      <c r="D141" s="152"/>
      <c r="E141" s="151"/>
      <c r="F141" s="151">
        <v>3980</v>
      </c>
      <c r="G141" s="151">
        <v>3964</v>
      </c>
      <c r="H141" s="151">
        <v>3964</v>
      </c>
      <c r="I141" s="151">
        <v>3960</v>
      </c>
      <c r="J141" s="151">
        <v>4050</v>
      </c>
      <c r="K141" s="151"/>
      <c r="L141" s="151">
        <v>3880</v>
      </c>
      <c r="M141" s="58" t="str">
        <f t="shared" si="51"/>
        <v/>
      </c>
      <c r="N141" s="58">
        <f t="shared" si="52"/>
        <v>99.497487437185939</v>
      </c>
      <c r="O141" s="58">
        <f t="shared" si="53"/>
        <v>102.27272727272727</v>
      </c>
      <c r="P141" s="58">
        <f t="shared" si="54"/>
        <v>97.880928355196772</v>
      </c>
      <c r="Q141" s="58">
        <f t="shared" si="55"/>
        <v>95.802469135802468</v>
      </c>
      <c r="R141" s="84"/>
      <c r="S141" s="82"/>
    </row>
    <row r="142" spans="1:19" s="42" customFormat="1" ht="21" customHeight="1">
      <c r="A142" s="32"/>
      <c r="B142" s="62" t="s">
        <v>849</v>
      </c>
      <c r="C142" s="32" t="s">
        <v>12</v>
      </c>
      <c r="D142" s="152"/>
      <c r="E142" s="151"/>
      <c r="F142" s="151"/>
      <c r="G142" s="151">
        <f>G141</f>
        <v>3964</v>
      </c>
      <c r="H142" s="151"/>
      <c r="I142" s="151"/>
      <c r="J142" s="151">
        <f>J141</f>
        <v>4050</v>
      </c>
      <c r="K142" s="151"/>
      <c r="L142" s="151"/>
      <c r="M142" s="58" t="str">
        <f t="shared" si="51"/>
        <v/>
      </c>
      <c r="N142" s="58" t="str">
        <f t="shared" si="52"/>
        <v/>
      </c>
      <c r="O142" s="58" t="str">
        <f t="shared" si="53"/>
        <v/>
      </c>
      <c r="P142" s="58">
        <f t="shared" si="54"/>
        <v>0</v>
      </c>
      <c r="Q142" s="58">
        <f t="shared" si="55"/>
        <v>0</v>
      </c>
      <c r="R142" s="84"/>
      <c r="S142" s="82"/>
    </row>
    <row r="143" spans="1:19" ht="21" customHeight="1">
      <c r="A143" s="32" t="s">
        <v>35</v>
      </c>
      <c r="B143" s="20" t="s">
        <v>272</v>
      </c>
      <c r="C143" s="32" t="s">
        <v>8</v>
      </c>
      <c r="D143" s="151">
        <v>5412</v>
      </c>
      <c r="E143" s="151">
        <v>5400</v>
      </c>
      <c r="F143" s="151">
        <v>5700</v>
      </c>
      <c r="G143" s="90">
        <v>5692</v>
      </c>
      <c r="H143" s="151">
        <v>5691</v>
      </c>
      <c r="I143" s="151">
        <v>5682</v>
      </c>
      <c r="J143" s="151">
        <v>6079</v>
      </c>
      <c r="K143" s="151"/>
      <c r="L143" s="151">
        <v>6027</v>
      </c>
      <c r="M143" s="58">
        <f t="shared" si="51"/>
        <v>105.22222222222223</v>
      </c>
      <c r="N143" s="58">
        <f t="shared" si="52"/>
        <v>99.684210526315795</v>
      </c>
      <c r="O143" s="58">
        <f t="shared" si="53"/>
        <v>106.98697641675466</v>
      </c>
      <c r="P143" s="58">
        <f t="shared" si="54"/>
        <v>105.8854532677442</v>
      </c>
      <c r="Q143" s="58">
        <f t="shared" si="55"/>
        <v>99.144596150682673</v>
      </c>
      <c r="R143" s="3"/>
      <c r="S143" s="81"/>
    </row>
    <row r="144" spans="1:19" ht="21" customHeight="1">
      <c r="A144" s="32" t="s">
        <v>36</v>
      </c>
      <c r="B144" s="20" t="s">
        <v>273</v>
      </c>
      <c r="C144" s="32" t="s">
        <v>8</v>
      </c>
      <c r="D144" s="151">
        <v>3521</v>
      </c>
      <c r="E144" s="151">
        <v>3560</v>
      </c>
      <c r="F144" s="151">
        <v>3570</v>
      </c>
      <c r="G144" s="151">
        <v>3558</v>
      </c>
      <c r="H144" s="151">
        <v>3558</v>
      </c>
      <c r="I144" s="151">
        <f>3457+73</f>
        <v>3530</v>
      </c>
      <c r="J144" s="151">
        <v>3653</v>
      </c>
      <c r="K144" s="151"/>
      <c r="L144" s="151">
        <v>3601</v>
      </c>
      <c r="M144" s="58">
        <f t="shared" si="51"/>
        <v>99.157303370786508</v>
      </c>
      <c r="N144" s="58">
        <f t="shared" si="52"/>
        <v>98.879551820728281</v>
      </c>
      <c r="O144" s="58">
        <f t="shared" si="53"/>
        <v>103.4844192634561</v>
      </c>
      <c r="P144" s="58">
        <f t="shared" si="54"/>
        <v>101.20854412591343</v>
      </c>
      <c r="Q144" s="58">
        <f t="shared" si="55"/>
        <v>98.57651245551601</v>
      </c>
      <c r="R144" s="3"/>
    </row>
    <row r="145" spans="1:19" ht="21" customHeight="1">
      <c r="A145" s="32"/>
      <c r="B145" s="62" t="s">
        <v>850</v>
      </c>
      <c r="C145" s="32"/>
      <c r="D145" s="151"/>
      <c r="E145" s="151"/>
      <c r="F145" s="151"/>
      <c r="G145" s="151"/>
      <c r="H145" s="151"/>
      <c r="I145" s="151"/>
      <c r="J145" s="151">
        <v>3593</v>
      </c>
      <c r="K145" s="151"/>
      <c r="L145" s="151"/>
      <c r="M145" s="58"/>
      <c r="N145" s="58"/>
      <c r="O145" s="58"/>
      <c r="P145" s="58"/>
      <c r="Q145" s="58"/>
      <c r="R145" s="3"/>
      <c r="S145" s="81"/>
    </row>
    <row r="146" spans="1:19" ht="21" customHeight="1">
      <c r="A146" s="32" t="s">
        <v>53</v>
      </c>
      <c r="B146" s="20" t="s">
        <v>342</v>
      </c>
      <c r="C146" s="32" t="s">
        <v>8</v>
      </c>
      <c r="D146" s="151">
        <v>741</v>
      </c>
      <c r="E146" s="151">
        <v>741</v>
      </c>
      <c r="F146" s="151">
        <v>830</v>
      </c>
      <c r="G146" s="151">
        <v>807</v>
      </c>
      <c r="H146" s="151">
        <v>807</v>
      </c>
      <c r="I146" s="151">
        <v>807</v>
      </c>
      <c r="J146" s="151">
        <v>920</v>
      </c>
      <c r="K146" s="151"/>
      <c r="L146" s="151">
        <v>809</v>
      </c>
      <c r="M146" s="58">
        <f t="shared" si="51"/>
        <v>108.90688259109312</v>
      </c>
      <c r="N146" s="58">
        <f t="shared" si="52"/>
        <v>97.228915662650593</v>
      </c>
      <c r="O146" s="58">
        <f t="shared" ref="O146:O193" si="56">IFERROR(J146/I146%,"")</f>
        <v>114.00247831474597</v>
      </c>
      <c r="P146" s="58">
        <f t="shared" ref="P146:P193" si="57">IFERROR(L146/G146%,"")</f>
        <v>100.24783147459728</v>
      </c>
      <c r="Q146" s="58">
        <f t="shared" ref="Q146:Q193" si="58">IFERROR(L146/J146%,"")</f>
        <v>87.934782608695656</v>
      </c>
      <c r="R146" s="3"/>
      <c r="S146" s="81"/>
    </row>
    <row r="147" spans="1:19" ht="22.5" hidden="1" customHeight="1" outlineLevel="1">
      <c r="A147" s="32"/>
      <c r="B147" s="15" t="s">
        <v>398</v>
      </c>
      <c r="C147" s="32"/>
      <c r="D147" s="13">
        <f t="shared" ref="D147:J147" si="59">SUM(D149:D153)</f>
        <v>37</v>
      </c>
      <c r="E147" s="13">
        <f t="shared" si="59"/>
        <v>38</v>
      </c>
      <c r="F147" s="13">
        <f t="shared" si="59"/>
        <v>38</v>
      </c>
      <c r="G147" s="13">
        <f t="shared" si="59"/>
        <v>38</v>
      </c>
      <c r="H147" s="13">
        <f t="shared" si="59"/>
        <v>38</v>
      </c>
      <c r="I147" s="13">
        <f t="shared" si="59"/>
        <v>38</v>
      </c>
      <c r="J147" s="13">
        <f t="shared" si="59"/>
        <v>38</v>
      </c>
      <c r="K147" s="13">
        <f>SUM(K149:K153)</f>
        <v>38</v>
      </c>
      <c r="L147" s="13">
        <f>SUM(L149:L153)</f>
        <v>38</v>
      </c>
      <c r="M147" s="58">
        <f t="shared" si="51"/>
        <v>100</v>
      </c>
      <c r="N147" s="58">
        <f t="shared" si="52"/>
        <v>100</v>
      </c>
      <c r="O147" s="58">
        <f t="shared" si="56"/>
        <v>100</v>
      </c>
      <c r="P147" s="58">
        <f t="shared" si="57"/>
        <v>100</v>
      </c>
      <c r="Q147" s="58">
        <f t="shared" si="58"/>
        <v>100</v>
      </c>
      <c r="R147" s="3"/>
    </row>
    <row r="148" spans="1:19" ht="22.5" hidden="1" customHeight="1" outlineLevel="1">
      <c r="A148" s="32"/>
      <c r="B148" s="62" t="s">
        <v>341</v>
      </c>
      <c r="C148" s="32"/>
      <c r="D148" s="13"/>
      <c r="E148" s="13"/>
      <c r="F148" s="13"/>
      <c r="G148" s="13"/>
      <c r="H148" s="13"/>
      <c r="I148" s="13"/>
      <c r="J148" s="13"/>
      <c r="K148" s="13"/>
      <c r="L148" s="13"/>
      <c r="M148" s="58" t="str">
        <f t="shared" si="51"/>
        <v/>
      </c>
      <c r="N148" s="58" t="str">
        <f t="shared" si="52"/>
        <v/>
      </c>
      <c r="O148" s="58" t="str">
        <f t="shared" si="56"/>
        <v/>
      </c>
      <c r="P148" s="58" t="str">
        <f t="shared" si="57"/>
        <v/>
      </c>
      <c r="Q148" s="58" t="str">
        <f t="shared" si="58"/>
        <v/>
      </c>
      <c r="R148" s="3"/>
    </row>
    <row r="149" spans="1:19" ht="22.5" hidden="1" customHeight="1" outlineLevel="1">
      <c r="A149" s="32"/>
      <c r="B149" s="20" t="s">
        <v>343</v>
      </c>
      <c r="C149" s="32" t="s">
        <v>143</v>
      </c>
      <c r="D149" s="13">
        <v>13</v>
      </c>
      <c r="E149" s="13">
        <v>13</v>
      </c>
      <c r="F149" s="13">
        <f t="shared" ref="F149:I153" si="60">E149</f>
        <v>13</v>
      </c>
      <c r="G149" s="13">
        <v>13</v>
      </c>
      <c r="H149" s="13">
        <f>F149</f>
        <v>13</v>
      </c>
      <c r="I149" s="13">
        <f t="shared" si="60"/>
        <v>13</v>
      </c>
      <c r="J149" s="13">
        <v>13</v>
      </c>
      <c r="K149" s="13">
        <v>13</v>
      </c>
      <c r="L149" s="13">
        <f>F149</f>
        <v>13</v>
      </c>
      <c r="M149" s="58">
        <f t="shared" si="51"/>
        <v>100</v>
      </c>
      <c r="N149" s="58">
        <f t="shared" si="52"/>
        <v>100</v>
      </c>
      <c r="O149" s="58">
        <f t="shared" si="56"/>
        <v>100</v>
      </c>
      <c r="P149" s="58">
        <f t="shared" si="57"/>
        <v>100</v>
      </c>
      <c r="Q149" s="58">
        <f t="shared" si="58"/>
        <v>100</v>
      </c>
      <c r="R149" s="3"/>
    </row>
    <row r="150" spans="1:19" ht="22.5" hidden="1" customHeight="1" outlineLevel="1">
      <c r="A150" s="32"/>
      <c r="B150" s="20" t="s">
        <v>344</v>
      </c>
      <c r="C150" s="32" t="s">
        <v>143</v>
      </c>
      <c r="D150" s="13">
        <v>13</v>
      </c>
      <c r="E150" s="13">
        <v>14</v>
      </c>
      <c r="F150" s="13">
        <f t="shared" si="60"/>
        <v>14</v>
      </c>
      <c r="G150" s="13">
        <v>14</v>
      </c>
      <c r="H150" s="13">
        <f>F150</f>
        <v>14</v>
      </c>
      <c r="I150" s="13">
        <f t="shared" si="60"/>
        <v>14</v>
      </c>
      <c r="J150" s="13">
        <v>14</v>
      </c>
      <c r="K150" s="13">
        <v>14</v>
      </c>
      <c r="L150" s="13">
        <f>F150</f>
        <v>14</v>
      </c>
      <c r="M150" s="58">
        <f t="shared" si="51"/>
        <v>99.999999999999986</v>
      </c>
      <c r="N150" s="58">
        <f t="shared" si="52"/>
        <v>99.999999999999986</v>
      </c>
      <c r="O150" s="58">
        <f t="shared" si="56"/>
        <v>99.999999999999986</v>
      </c>
      <c r="P150" s="58">
        <f t="shared" si="57"/>
        <v>99.999999999999986</v>
      </c>
      <c r="Q150" s="58">
        <f t="shared" si="58"/>
        <v>99.999999999999986</v>
      </c>
      <c r="R150" s="3"/>
    </row>
    <row r="151" spans="1:19" ht="22.5" hidden="1" customHeight="1" outlineLevel="1">
      <c r="A151" s="32"/>
      <c r="B151" s="20" t="s">
        <v>345</v>
      </c>
      <c r="C151" s="32" t="s">
        <v>143</v>
      </c>
      <c r="D151" s="13">
        <v>9</v>
      </c>
      <c r="E151" s="13">
        <v>9</v>
      </c>
      <c r="F151" s="13">
        <f t="shared" si="60"/>
        <v>9</v>
      </c>
      <c r="G151" s="13">
        <v>9</v>
      </c>
      <c r="H151" s="13">
        <f>F151</f>
        <v>9</v>
      </c>
      <c r="I151" s="13">
        <f t="shared" si="60"/>
        <v>9</v>
      </c>
      <c r="J151" s="13">
        <v>9</v>
      </c>
      <c r="K151" s="13">
        <v>9</v>
      </c>
      <c r="L151" s="13">
        <f>F151</f>
        <v>9</v>
      </c>
      <c r="M151" s="58">
        <f t="shared" si="51"/>
        <v>100</v>
      </c>
      <c r="N151" s="58">
        <f t="shared" si="52"/>
        <v>100</v>
      </c>
      <c r="O151" s="58">
        <f t="shared" si="56"/>
        <v>100</v>
      </c>
      <c r="P151" s="58">
        <f t="shared" si="57"/>
        <v>100</v>
      </c>
      <c r="Q151" s="58">
        <f t="shared" si="58"/>
        <v>100</v>
      </c>
      <c r="R151" s="3"/>
    </row>
    <row r="152" spans="1:19" ht="22.5" hidden="1" customHeight="1" outlineLevel="1">
      <c r="A152" s="32"/>
      <c r="B152" s="20" t="s">
        <v>346</v>
      </c>
      <c r="C152" s="32" t="s">
        <v>143</v>
      </c>
      <c r="D152" s="13">
        <v>1</v>
      </c>
      <c r="E152" s="13">
        <v>1</v>
      </c>
      <c r="F152" s="13">
        <f t="shared" si="60"/>
        <v>1</v>
      </c>
      <c r="G152" s="13">
        <v>1</v>
      </c>
      <c r="H152" s="13">
        <f>F152</f>
        <v>1</v>
      </c>
      <c r="I152" s="13">
        <f t="shared" si="60"/>
        <v>1</v>
      </c>
      <c r="J152" s="13">
        <v>1</v>
      </c>
      <c r="K152" s="13">
        <v>1</v>
      </c>
      <c r="L152" s="13">
        <f>F152</f>
        <v>1</v>
      </c>
      <c r="M152" s="58">
        <f t="shared" si="51"/>
        <v>100</v>
      </c>
      <c r="N152" s="58">
        <f t="shared" si="52"/>
        <v>100</v>
      </c>
      <c r="O152" s="58">
        <f t="shared" si="56"/>
        <v>100</v>
      </c>
      <c r="P152" s="58">
        <f t="shared" si="57"/>
        <v>100</v>
      </c>
      <c r="Q152" s="58">
        <f t="shared" si="58"/>
        <v>100</v>
      </c>
      <c r="R152" s="3"/>
    </row>
    <row r="153" spans="1:19" ht="22.5" hidden="1" customHeight="1" outlineLevel="1">
      <c r="A153" s="32"/>
      <c r="B153" s="20" t="s">
        <v>347</v>
      </c>
      <c r="C153" s="32" t="s">
        <v>143</v>
      </c>
      <c r="D153" s="13">
        <v>1</v>
      </c>
      <c r="E153" s="13">
        <v>1</v>
      </c>
      <c r="F153" s="13">
        <f t="shared" si="60"/>
        <v>1</v>
      </c>
      <c r="G153" s="13">
        <v>1</v>
      </c>
      <c r="H153" s="13">
        <f>F153</f>
        <v>1</v>
      </c>
      <c r="I153" s="13">
        <f t="shared" si="60"/>
        <v>1</v>
      </c>
      <c r="J153" s="13">
        <v>1</v>
      </c>
      <c r="K153" s="13">
        <v>1</v>
      </c>
      <c r="L153" s="13">
        <f>F153</f>
        <v>1</v>
      </c>
      <c r="M153" s="58">
        <f t="shared" si="51"/>
        <v>100</v>
      </c>
      <c r="N153" s="58">
        <f t="shared" si="52"/>
        <v>100</v>
      </c>
      <c r="O153" s="58">
        <f t="shared" si="56"/>
        <v>100</v>
      </c>
      <c r="P153" s="58">
        <f t="shared" si="57"/>
        <v>100</v>
      </c>
      <c r="Q153" s="58">
        <f t="shared" si="58"/>
        <v>100</v>
      </c>
      <c r="R153" s="3"/>
    </row>
    <row r="154" spans="1:19" ht="22.5" hidden="1" customHeight="1" outlineLevel="1">
      <c r="A154" s="32"/>
      <c r="B154" s="15" t="s">
        <v>348</v>
      </c>
      <c r="C154" s="32" t="s">
        <v>143</v>
      </c>
      <c r="D154" s="13">
        <f t="shared" ref="D154:L154" si="61">SUM(D156:D160)</f>
        <v>20</v>
      </c>
      <c r="E154" s="13">
        <f t="shared" si="61"/>
        <v>21</v>
      </c>
      <c r="F154" s="13">
        <f t="shared" si="61"/>
        <v>25</v>
      </c>
      <c r="G154" s="13">
        <f t="shared" si="61"/>
        <v>21</v>
      </c>
      <c r="H154" s="13">
        <f t="shared" si="61"/>
        <v>21</v>
      </c>
      <c r="I154" s="13">
        <f t="shared" si="61"/>
        <v>21</v>
      </c>
      <c r="J154" s="13">
        <f t="shared" si="61"/>
        <v>24</v>
      </c>
      <c r="K154" s="13">
        <f t="shared" si="61"/>
        <v>25</v>
      </c>
      <c r="L154" s="13">
        <f t="shared" si="61"/>
        <v>25</v>
      </c>
      <c r="M154" s="58">
        <f t="shared" si="51"/>
        <v>100</v>
      </c>
      <c r="N154" s="58">
        <f t="shared" si="52"/>
        <v>84</v>
      </c>
      <c r="O154" s="58">
        <f t="shared" si="56"/>
        <v>114.28571428571429</v>
      </c>
      <c r="P154" s="58">
        <f t="shared" si="57"/>
        <v>119.04761904761905</v>
      </c>
      <c r="Q154" s="58">
        <f t="shared" si="58"/>
        <v>104.16666666666667</v>
      </c>
      <c r="R154" s="3"/>
    </row>
    <row r="155" spans="1:19" ht="22.5" hidden="1" customHeight="1" outlineLevel="1">
      <c r="A155" s="32"/>
      <c r="B155" s="62" t="s">
        <v>341</v>
      </c>
      <c r="C155" s="32"/>
      <c r="D155" s="13"/>
      <c r="E155" s="13"/>
      <c r="F155" s="13"/>
      <c r="G155" s="13"/>
      <c r="H155" s="13"/>
      <c r="I155" s="13"/>
      <c r="J155" s="13"/>
      <c r="K155" s="13"/>
      <c r="L155" s="13"/>
      <c r="M155" s="58" t="str">
        <f t="shared" si="51"/>
        <v/>
      </c>
      <c r="N155" s="58" t="str">
        <f t="shared" si="52"/>
        <v/>
      </c>
      <c r="O155" s="58" t="str">
        <f t="shared" si="56"/>
        <v/>
      </c>
      <c r="P155" s="58" t="str">
        <f t="shared" si="57"/>
        <v/>
      </c>
      <c r="Q155" s="58" t="str">
        <f t="shared" si="58"/>
        <v/>
      </c>
      <c r="R155" s="3"/>
    </row>
    <row r="156" spans="1:19" ht="22.5" hidden="1" customHeight="1" outlineLevel="1">
      <c r="A156" s="32"/>
      <c r="B156" s="20" t="s">
        <v>343</v>
      </c>
      <c r="C156" s="32" t="s">
        <v>143</v>
      </c>
      <c r="D156" s="13">
        <v>5</v>
      </c>
      <c r="E156" s="13">
        <v>6</v>
      </c>
      <c r="F156" s="13">
        <v>8</v>
      </c>
      <c r="G156" s="13">
        <v>6</v>
      </c>
      <c r="H156" s="13">
        <v>6</v>
      </c>
      <c r="I156" s="13">
        <v>6</v>
      </c>
      <c r="J156" s="13">
        <v>7</v>
      </c>
      <c r="K156" s="13">
        <v>6</v>
      </c>
      <c r="L156" s="13">
        <v>6</v>
      </c>
      <c r="M156" s="58">
        <f t="shared" si="51"/>
        <v>100</v>
      </c>
      <c r="N156" s="58">
        <f t="shared" si="52"/>
        <v>75</v>
      </c>
      <c r="O156" s="58">
        <f t="shared" si="56"/>
        <v>116.66666666666667</v>
      </c>
      <c r="P156" s="58">
        <f t="shared" si="57"/>
        <v>100</v>
      </c>
      <c r="Q156" s="58">
        <f t="shared" si="58"/>
        <v>85.714285714285708</v>
      </c>
      <c r="R156" s="3"/>
    </row>
    <row r="157" spans="1:19" ht="22.5" hidden="1" customHeight="1" outlineLevel="1">
      <c r="A157" s="32"/>
      <c r="B157" s="20" t="s">
        <v>344</v>
      </c>
      <c r="C157" s="32" t="s">
        <v>143</v>
      </c>
      <c r="D157" s="13">
        <v>9</v>
      </c>
      <c r="E157" s="13">
        <v>9</v>
      </c>
      <c r="F157" s="13">
        <v>10</v>
      </c>
      <c r="G157" s="13">
        <v>9</v>
      </c>
      <c r="H157" s="13">
        <v>9</v>
      </c>
      <c r="I157" s="13">
        <v>9</v>
      </c>
      <c r="J157" s="13">
        <v>10</v>
      </c>
      <c r="K157" s="13">
        <v>12</v>
      </c>
      <c r="L157" s="13">
        <v>12</v>
      </c>
      <c r="M157" s="58">
        <f t="shared" si="51"/>
        <v>100</v>
      </c>
      <c r="N157" s="58">
        <f t="shared" si="52"/>
        <v>90</v>
      </c>
      <c r="O157" s="58">
        <f t="shared" si="56"/>
        <v>111.11111111111111</v>
      </c>
      <c r="P157" s="58">
        <f t="shared" si="57"/>
        <v>133.33333333333334</v>
      </c>
      <c r="Q157" s="58">
        <f t="shared" si="58"/>
        <v>120</v>
      </c>
      <c r="R157" s="3"/>
    </row>
    <row r="158" spans="1:19" ht="22.5" hidden="1" customHeight="1" outlineLevel="1">
      <c r="A158" s="32"/>
      <c r="B158" s="20" t="s">
        <v>345</v>
      </c>
      <c r="C158" s="32" t="s">
        <v>143</v>
      </c>
      <c r="D158" s="13">
        <v>4</v>
      </c>
      <c r="E158" s="13">
        <v>4</v>
      </c>
      <c r="F158" s="13">
        <v>5</v>
      </c>
      <c r="G158" s="13">
        <v>4</v>
      </c>
      <c r="H158" s="13">
        <v>4</v>
      </c>
      <c r="I158" s="13">
        <v>4</v>
      </c>
      <c r="J158" s="13">
        <v>5</v>
      </c>
      <c r="K158" s="13">
        <v>5</v>
      </c>
      <c r="L158" s="13">
        <v>5</v>
      </c>
      <c r="M158" s="58">
        <f t="shared" si="51"/>
        <v>100</v>
      </c>
      <c r="N158" s="58">
        <f t="shared" si="52"/>
        <v>80</v>
      </c>
      <c r="O158" s="58">
        <f t="shared" si="56"/>
        <v>125</v>
      </c>
      <c r="P158" s="58">
        <f t="shared" si="57"/>
        <v>125</v>
      </c>
      <c r="Q158" s="58">
        <f t="shared" si="58"/>
        <v>100</v>
      </c>
      <c r="R158" s="3"/>
    </row>
    <row r="159" spans="1:19" ht="22.5" hidden="1" customHeight="1" outlineLevel="1">
      <c r="A159" s="32"/>
      <c r="B159" s="20" t="s">
        <v>346</v>
      </c>
      <c r="C159" s="32" t="s">
        <v>143</v>
      </c>
      <c r="D159" s="13">
        <v>1</v>
      </c>
      <c r="E159" s="13">
        <v>1</v>
      </c>
      <c r="F159" s="13">
        <v>1</v>
      </c>
      <c r="G159" s="13">
        <v>1</v>
      </c>
      <c r="H159" s="13">
        <v>1</v>
      </c>
      <c r="I159" s="13">
        <v>1</v>
      </c>
      <c r="J159" s="13">
        <v>1</v>
      </c>
      <c r="K159" s="13">
        <v>1</v>
      </c>
      <c r="L159" s="13">
        <v>1</v>
      </c>
      <c r="M159" s="58">
        <f t="shared" si="51"/>
        <v>100</v>
      </c>
      <c r="N159" s="58">
        <f t="shared" si="52"/>
        <v>100</v>
      </c>
      <c r="O159" s="58">
        <f t="shared" si="56"/>
        <v>100</v>
      </c>
      <c r="P159" s="58">
        <f t="shared" si="57"/>
        <v>100</v>
      </c>
      <c r="Q159" s="58">
        <f t="shared" si="58"/>
        <v>100</v>
      </c>
      <c r="R159" s="3"/>
    </row>
    <row r="160" spans="1:19" ht="22.5" hidden="1" customHeight="1" outlineLevel="1">
      <c r="A160" s="32"/>
      <c r="B160" s="20" t="s">
        <v>347</v>
      </c>
      <c r="C160" s="32" t="s">
        <v>143</v>
      </c>
      <c r="D160" s="13">
        <v>1</v>
      </c>
      <c r="E160" s="13">
        <v>1</v>
      </c>
      <c r="F160" s="13">
        <v>1</v>
      </c>
      <c r="G160" s="13">
        <v>1</v>
      </c>
      <c r="H160" s="13">
        <v>1</v>
      </c>
      <c r="I160" s="13">
        <v>1</v>
      </c>
      <c r="J160" s="13">
        <v>1</v>
      </c>
      <c r="K160" s="13">
        <v>1</v>
      </c>
      <c r="L160" s="13">
        <v>1</v>
      </c>
      <c r="M160" s="58">
        <f t="shared" si="51"/>
        <v>100</v>
      </c>
      <c r="N160" s="58">
        <f t="shared" si="52"/>
        <v>100</v>
      </c>
      <c r="O160" s="58">
        <f t="shared" si="56"/>
        <v>100</v>
      </c>
      <c r="P160" s="58">
        <f t="shared" si="57"/>
        <v>100</v>
      </c>
      <c r="Q160" s="58">
        <f t="shared" si="58"/>
        <v>100</v>
      </c>
      <c r="R160" s="3"/>
    </row>
    <row r="161" spans="1:18" ht="22.5" customHeight="1" collapsed="1">
      <c r="A161" s="32">
        <v>2</v>
      </c>
      <c r="B161" s="20" t="s">
        <v>144</v>
      </c>
      <c r="C161" s="32" t="s">
        <v>33</v>
      </c>
      <c r="D161" s="74">
        <f t="shared" ref="D161:I161" si="62">D154/D147%</f>
        <v>54.054054054054056</v>
      </c>
      <c r="E161" s="55">
        <f t="shared" si="62"/>
        <v>55.263157894736842</v>
      </c>
      <c r="F161" s="55">
        <f t="shared" si="62"/>
        <v>65.78947368421052</v>
      </c>
      <c r="G161" s="55">
        <f>G154/G147%</f>
        <v>55.263157894736842</v>
      </c>
      <c r="H161" s="55">
        <f t="shared" si="62"/>
        <v>55.263157894736842</v>
      </c>
      <c r="I161" s="55">
        <f t="shared" si="62"/>
        <v>55.263157894736842</v>
      </c>
      <c r="J161" s="55">
        <f>J154/J147%</f>
        <v>63.157894736842103</v>
      </c>
      <c r="K161" s="55">
        <f>K154/K147%</f>
        <v>65.78947368421052</v>
      </c>
      <c r="L161" s="55">
        <f>L154/L147%</f>
        <v>65.78947368421052</v>
      </c>
      <c r="M161" s="58">
        <f t="shared" si="51"/>
        <v>99.999999999999986</v>
      </c>
      <c r="N161" s="58">
        <f t="shared" si="52"/>
        <v>84.000000000000014</v>
      </c>
      <c r="O161" s="58">
        <f t="shared" si="56"/>
        <v>114.28571428571426</v>
      </c>
      <c r="P161" s="58">
        <f t="shared" si="57"/>
        <v>119.04761904761902</v>
      </c>
      <c r="Q161" s="58">
        <f t="shared" si="58"/>
        <v>104.16666666666666</v>
      </c>
      <c r="R161" s="3"/>
    </row>
    <row r="162" spans="1:18" ht="22.5" hidden="1" customHeight="1" outlineLevel="1">
      <c r="A162" s="32"/>
      <c r="B162" s="62" t="s">
        <v>341</v>
      </c>
      <c r="C162" s="32"/>
      <c r="D162" s="55"/>
      <c r="E162" s="55"/>
      <c r="F162" s="55"/>
      <c r="G162" s="55"/>
      <c r="H162" s="55"/>
      <c r="I162" s="55"/>
      <c r="J162" s="55"/>
      <c r="K162" s="55"/>
      <c r="L162" s="55"/>
      <c r="M162" s="58" t="str">
        <f t="shared" si="51"/>
        <v/>
      </c>
      <c r="N162" s="58" t="str">
        <f t="shared" si="52"/>
        <v/>
      </c>
      <c r="O162" s="58" t="str">
        <f t="shared" si="56"/>
        <v/>
      </c>
      <c r="P162" s="58" t="str">
        <f t="shared" si="57"/>
        <v/>
      </c>
      <c r="Q162" s="58" t="str">
        <f t="shared" si="58"/>
        <v/>
      </c>
      <c r="R162" s="3"/>
    </row>
    <row r="163" spans="1:18" ht="22.5" hidden="1" customHeight="1" outlineLevel="1">
      <c r="A163" s="32"/>
      <c r="B163" s="20" t="s">
        <v>343</v>
      </c>
      <c r="C163" s="32" t="s">
        <v>33</v>
      </c>
      <c r="D163" s="55">
        <f t="shared" ref="D163:J167" si="63">D156/D149%</f>
        <v>38.46153846153846</v>
      </c>
      <c r="E163" s="55">
        <f t="shared" si="63"/>
        <v>46.153846153846153</v>
      </c>
      <c r="F163" s="55">
        <f t="shared" si="63"/>
        <v>61.538461538461533</v>
      </c>
      <c r="G163" s="55"/>
      <c r="H163" s="55">
        <f t="shared" ref="H163:I167" si="64">H156/H149%</f>
        <v>46.153846153846153</v>
      </c>
      <c r="I163" s="55">
        <f t="shared" si="64"/>
        <v>46.153846153846153</v>
      </c>
      <c r="J163" s="55">
        <f t="shared" si="63"/>
        <v>53.846153846153847</v>
      </c>
      <c r="K163" s="55"/>
      <c r="L163" s="55"/>
      <c r="M163" s="58">
        <f t="shared" si="51"/>
        <v>100</v>
      </c>
      <c r="N163" s="58">
        <f t="shared" si="52"/>
        <v>75.000000000000014</v>
      </c>
      <c r="O163" s="58">
        <f t="shared" si="56"/>
        <v>116.66666666666667</v>
      </c>
      <c r="P163" s="58" t="str">
        <f t="shared" si="57"/>
        <v/>
      </c>
      <c r="Q163" s="58">
        <f t="shared" si="58"/>
        <v>0</v>
      </c>
      <c r="R163" s="3"/>
    </row>
    <row r="164" spans="1:18" ht="22.5" hidden="1" customHeight="1" outlineLevel="1">
      <c r="A164" s="32"/>
      <c r="B164" s="20" t="s">
        <v>344</v>
      </c>
      <c r="C164" s="32" t="s">
        <v>33</v>
      </c>
      <c r="D164" s="55">
        <f t="shared" si="63"/>
        <v>69.230769230769226</v>
      </c>
      <c r="E164" s="55">
        <f t="shared" si="63"/>
        <v>64.285714285714278</v>
      </c>
      <c r="F164" s="55">
        <f t="shared" si="63"/>
        <v>71.428571428571416</v>
      </c>
      <c r="G164" s="55"/>
      <c r="H164" s="55">
        <f t="shared" si="64"/>
        <v>64.285714285714278</v>
      </c>
      <c r="I164" s="55">
        <f t="shared" si="64"/>
        <v>64.285714285714278</v>
      </c>
      <c r="J164" s="55">
        <f t="shared" si="63"/>
        <v>71.428571428571416</v>
      </c>
      <c r="K164" s="55"/>
      <c r="L164" s="55"/>
      <c r="M164" s="58">
        <f t="shared" si="51"/>
        <v>100</v>
      </c>
      <c r="N164" s="58">
        <f t="shared" si="52"/>
        <v>90</v>
      </c>
      <c r="O164" s="58">
        <f t="shared" si="56"/>
        <v>111.1111111111111</v>
      </c>
      <c r="P164" s="58" t="str">
        <f t="shared" si="57"/>
        <v/>
      </c>
      <c r="Q164" s="58">
        <f t="shared" si="58"/>
        <v>0</v>
      </c>
      <c r="R164" s="3"/>
    </row>
    <row r="165" spans="1:18" ht="22.5" hidden="1" customHeight="1" outlineLevel="1">
      <c r="A165" s="32"/>
      <c r="B165" s="20" t="s">
        <v>345</v>
      </c>
      <c r="C165" s="32" t="s">
        <v>33</v>
      </c>
      <c r="D165" s="55">
        <f t="shared" si="63"/>
        <v>44.444444444444443</v>
      </c>
      <c r="E165" s="55">
        <f t="shared" si="63"/>
        <v>44.444444444444443</v>
      </c>
      <c r="F165" s="55">
        <f t="shared" si="63"/>
        <v>55.555555555555557</v>
      </c>
      <c r="G165" s="55"/>
      <c r="H165" s="55">
        <f t="shared" si="64"/>
        <v>44.444444444444443</v>
      </c>
      <c r="I165" s="55">
        <f t="shared" si="64"/>
        <v>44.444444444444443</v>
      </c>
      <c r="J165" s="55">
        <f t="shared" si="63"/>
        <v>55.555555555555557</v>
      </c>
      <c r="K165" s="55"/>
      <c r="L165" s="55"/>
      <c r="M165" s="58">
        <f t="shared" si="51"/>
        <v>100</v>
      </c>
      <c r="N165" s="58">
        <f t="shared" si="52"/>
        <v>80</v>
      </c>
      <c r="O165" s="58">
        <f t="shared" si="56"/>
        <v>125.00000000000001</v>
      </c>
      <c r="P165" s="58" t="str">
        <f t="shared" si="57"/>
        <v/>
      </c>
      <c r="Q165" s="58">
        <f t="shared" si="58"/>
        <v>0</v>
      </c>
      <c r="R165" s="3"/>
    </row>
    <row r="166" spans="1:18" ht="22.5" hidden="1" customHeight="1" outlineLevel="1">
      <c r="A166" s="32"/>
      <c r="B166" s="20" t="s">
        <v>346</v>
      </c>
      <c r="C166" s="32" t="s">
        <v>33</v>
      </c>
      <c r="D166" s="55">
        <f t="shared" si="63"/>
        <v>100</v>
      </c>
      <c r="E166" s="55">
        <f t="shared" si="63"/>
        <v>100</v>
      </c>
      <c r="F166" s="55">
        <f t="shared" si="63"/>
        <v>100</v>
      </c>
      <c r="G166" s="55"/>
      <c r="H166" s="55">
        <f t="shared" si="64"/>
        <v>100</v>
      </c>
      <c r="I166" s="55">
        <f t="shared" si="64"/>
        <v>100</v>
      </c>
      <c r="J166" s="55">
        <f t="shared" si="63"/>
        <v>100</v>
      </c>
      <c r="K166" s="55"/>
      <c r="L166" s="55"/>
      <c r="M166" s="58">
        <f t="shared" si="51"/>
        <v>100</v>
      </c>
      <c r="N166" s="58">
        <f t="shared" si="52"/>
        <v>100</v>
      </c>
      <c r="O166" s="58">
        <f t="shared" si="56"/>
        <v>100</v>
      </c>
      <c r="P166" s="58" t="str">
        <f t="shared" si="57"/>
        <v/>
      </c>
      <c r="Q166" s="58">
        <f t="shared" si="58"/>
        <v>0</v>
      </c>
      <c r="R166" s="3"/>
    </row>
    <row r="167" spans="1:18" ht="22.5" hidden="1" customHeight="1" outlineLevel="1">
      <c r="A167" s="32"/>
      <c r="B167" s="20" t="s">
        <v>347</v>
      </c>
      <c r="C167" s="32" t="s">
        <v>33</v>
      </c>
      <c r="D167" s="55">
        <f t="shared" si="63"/>
        <v>100</v>
      </c>
      <c r="E167" s="55">
        <f t="shared" si="63"/>
        <v>100</v>
      </c>
      <c r="F167" s="55">
        <f t="shared" si="63"/>
        <v>100</v>
      </c>
      <c r="G167" s="55"/>
      <c r="H167" s="55">
        <f t="shared" si="64"/>
        <v>100</v>
      </c>
      <c r="I167" s="55">
        <f t="shared" si="64"/>
        <v>100</v>
      </c>
      <c r="J167" s="55">
        <f t="shared" si="63"/>
        <v>100</v>
      </c>
      <c r="K167" s="55"/>
      <c r="L167" s="55"/>
      <c r="M167" s="58">
        <f t="shared" si="51"/>
        <v>100</v>
      </c>
      <c r="N167" s="58">
        <f t="shared" si="52"/>
        <v>100</v>
      </c>
      <c r="O167" s="58">
        <f t="shared" si="56"/>
        <v>100</v>
      </c>
      <c r="P167" s="58" t="str">
        <f t="shared" si="57"/>
        <v/>
      </c>
      <c r="Q167" s="58">
        <f t="shared" si="58"/>
        <v>0</v>
      </c>
      <c r="R167" s="3"/>
    </row>
    <row r="168" spans="1:18" ht="22.5" customHeight="1" collapsed="1">
      <c r="A168" s="32">
        <v>3</v>
      </c>
      <c r="B168" s="48" t="s">
        <v>390</v>
      </c>
      <c r="C168" s="32"/>
      <c r="D168" s="13"/>
      <c r="E168" s="13"/>
      <c r="F168" s="13"/>
      <c r="G168" s="13"/>
      <c r="H168" s="13"/>
      <c r="I168" s="13"/>
      <c r="J168" s="13"/>
      <c r="K168" s="13"/>
      <c r="L168" s="13"/>
      <c r="M168" s="58" t="str">
        <f t="shared" si="51"/>
        <v/>
      </c>
      <c r="N168" s="58" t="str">
        <f t="shared" si="52"/>
        <v/>
      </c>
      <c r="O168" s="58" t="str">
        <f t="shared" si="56"/>
        <v/>
      </c>
      <c r="P168" s="58" t="str">
        <f t="shared" si="57"/>
        <v/>
      </c>
      <c r="Q168" s="58" t="str">
        <f t="shared" si="58"/>
        <v/>
      </c>
      <c r="R168" s="3"/>
    </row>
    <row r="169" spans="1:18" ht="22.5" customHeight="1">
      <c r="A169" s="73" t="s">
        <v>34</v>
      </c>
      <c r="B169" s="68" t="s">
        <v>188</v>
      </c>
      <c r="C169" s="32" t="s">
        <v>33</v>
      </c>
      <c r="D169" s="153"/>
      <c r="E169" s="153"/>
      <c r="F169" s="153"/>
      <c r="G169" s="153"/>
      <c r="H169" s="153"/>
      <c r="I169" s="153"/>
      <c r="J169" s="153"/>
      <c r="K169" s="153"/>
      <c r="L169" s="153"/>
      <c r="M169" s="58" t="str">
        <f t="shared" si="51"/>
        <v/>
      </c>
      <c r="N169" s="58" t="str">
        <f t="shared" si="52"/>
        <v/>
      </c>
      <c r="O169" s="58" t="str">
        <f t="shared" si="56"/>
        <v/>
      </c>
      <c r="P169" s="58" t="str">
        <f t="shared" si="57"/>
        <v/>
      </c>
      <c r="Q169" s="58" t="str">
        <f t="shared" si="58"/>
        <v/>
      </c>
      <c r="R169" s="3"/>
    </row>
    <row r="170" spans="1:18" ht="22.5" customHeight="1">
      <c r="A170" s="73"/>
      <c r="B170" s="70" t="s">
        <v>189</v>
      </c>
      <c r="C170" s="32" t="s">
        <v>33</v>
      </c>
      <c r="D170" s="153">
        <v>11.7</v>
      </c>
      <c r="E170" s="153">
        <v>12.1</v>
      </c>
      <c r="F170" s="153">
        <v>12.5</v>
      </c>
      <c r="G170" s="153">
        <v>12.1</v>
      </c>
      <c r="H170" s="153">
        <v>17.34</v>
      </c>
      <c r="I170" s="153">
        <v>17.34</v>
      </c>
      <c r="J170" s="153">
        <v>17.5</v>
      </c>
      <c r="K170" s="153">
        <v>18.100000000000001</v>
      </c>
      <c r="L170" s="153">
        <v>18.100000000000001</v>
      </c>
      <c r="M170" s="58">
        <f t="shared" si="51"/>
        <v>143.30578512396696</v>
      </c>
      <c r="N170" s="58">
        <f t="shared" si="52"/>
        <v>138.72</v>
      </c>
      <c r="O170" s="58">
        <f t="shared" si="56"/>
        <v>100.92272202998846</v>
      </c>
      <c r="P170" s="58">
        <f t="shared" si="57"/>
        <v>149.58677685950414</v>
      </c>
      <c r="Q170" s="58">
        <f t="shared" si="58"/>
        <v>103.42857142857144</v>
      </c>
      <c r="R170" s="3"/>
    </row>
    <row r="171" spans="1:18" ht="22.5" customHeight="1">
      <c r="A171" s="73"/>
      <c r="B171" s="70" t="s">
        <v>190</v>
      </c>
      <c r="C171" s="32" t="s">
        <v>33</v>
      </c>
      <c r="D171" s="153">
        <v>97.9</v>
      </c>
      <c r="E171" s="153">
        <v>97.2</v>
      </c>
      <c r="F171" s="153">
        <v>98</v>
      </c>
      <c r="G171" s="153">
        <v>97.9</v>
      </c>
      <c r="H171" s="153">
        <v>97.6</v>
      </c>
      <c r="I171" s="153">
        <v>97.6</v>
      </c>
      <c r="J171" s="153">
        <v>98</v>
      </c>
      <c r="K171" s="153">
        <v>97.4</v>
      </c>
      <c r="L171" s="153">
        <v>97.4</v>
      </c>
      <c r="M171" s="58">
        <f t="shared" si="51"/>
        <v>100.41152263374485</v>
      </c>
      <c r="N171" s="58">
        <f t="shared" si="52"/>
        <v>99.591836734693871</v>
      </c>
      <c r="O171" s="58">
        <f t="shared" si="56"/>
        <v>100.40983606557377</v>
      </c>
      <c r="P171" s="58">
        <f t="shared" si="57"/>
        <v>99.489274770173637</v>
      </c>
      <c r="Q171" s="58">
        <f t="shared" si="58"/>
        <v>99.387755102040828</v>
      </c>
      <c r="R171" s="3"/>
    </row>
    <row r="172" spans="1:18" ht="22.5" customHeight="1">
      <c r="A172" s="73" t="s">
        <v>35</v>
      </c>
      <c r="B172" s="68" t="s">
        <v>272</v>
      </c>
      <c r="C172" s="32" t="s">
        <v>33</v>
      </c>
      <c r="D172" s="153">
        <v>99.9</v>
      </c>
      <c r="E172" s="153">
        <v>100</v>
      </c>
      <c r="F172" s="153">
        <v>100</v>
      </c>
      <c r="G172" s="153">
        <v>99.9</v>
      </c>
      <c r="H172" s="153">
        <v>100</v>
      </c>
      <c r="I172" s="153">
        <v>100</v>
      </c>
      <c r="J172" s="153">
        <v>100</v>
      </c>
      <c r="K172" s="153">
        <v>100</v>
      </c>
      <c r="L172" s="153">
        <v>100</v>
      </c>
      <c r="M172" s="58">
        <f t="shared" si="51"/>
        <v>100</v>
      </c>
      <c r="N172" s="58">
        <f t="shared" si="52"/>
        <v>100</v>
      </c>
      <c r="O172" s="58">
        <f t="shared" si="56"/>
        <v>100</v>
      </c>
      <c r="P172" s="58">
        <f t="shared" si="57"/>
        <v>100.10010010010009</v>
      </c>
      <c r="Q172" s="58">
        <f t="shared" si="58"/>
        <v>100</v>
      </c>
      <c r="R172" s="3"/>
    </row>
    <row r="173" spans="1:18" ht="22.5" customHeight="1">
      <c r="A173" s="73" t="s">
        <v>36</v>
      </c>
      <c r="B173" s="68" t="s">
        <v>391</v>
      </c>
      <c r="C173" s="32" t="s">
        <v>33</v>
      </c>
      <c r="D173" s="153">
        <v>96.2</v>
      </c>
      <c r="E173" s="153">
        <v>99.8</v>
      </c>
      <c r="F173" s="153">
        <v>100</v>
      </c>
      <c r="G173" s="153">
        <v>99.8</v>
      </c>
      <c r="H173" s="153">
        <v>99.8</v>
      </c>
      <c r="I173" s="153">
        <v>99.9</v>
      </c>
      <c r="J173" s="153">
        <v>99.9</v>
      </c>
      <c r="K173" s="153">
        <v>99</v>
      </c>
      <c r="L173" s="153">
        <v>99</v>
      </c>
      <c r="M173" s="58">
        <f t="shared" si="51"/>
        <v>100.10020040080161</v>
      </c>
      <c r="N173" s="58">
        <f t="shared" si="52"/>
        <v>99.9</v>
      </c>
      <c r="O173" s="58">
        <f t="shared" si="56"/>
        <v>100</v>
      </c>
      <c r="P173" s="58">
        <f t="shared" si="57"/>
        <v>99.198396793587179</v>
      </c>
      <c r="Q173" s="58">
        <f t="shared" si="58"/>
        <v>99.099099099099092</v>
      </c>
      <c r="R173" s="3"/>
    </row>
    <row r="174" spans="1:18" ht="22.5" customHeight="1">
      <c r="A174" s="11" t="s">
        <v>50</v>
      </c>
      <c r="B174" s="15" t="s">
        <v>350</v>
      </c>
      <c r="C174" s="32"/>
      <c r="D174" s="13"/>
      <c r="E174" s="13"/>
      <c r="F174" s="13"/>
      <c r="G174" s="13"/>
      <c r="H174" s="13"/>
      <c r="I174" s="13"/>
      <c r="J174" s="13"/>
      <c r="K174" s="13"/>
      <c r="L174" s="13"/>
      <c r="M174" s="66" t="str">
        <f t="shared" si="51"/>
        <v/>
      </c>
      <c r="N174" s="66" t="str">
        <f t="shared" si="52"/>
        <v/>
      </c>
      <c r="O174" s="66" t="str">
        <f t="shared" si="56"/>
        <v/>
      </c>
      <c r="P174" s="66" t="str">
        <f t="shared" si="57"/>
        <v/>
      </c>
      <c r="Q174" s="66" t="str">
        <f t="shared" si="58"/>
        <v/>
      </c>
      <c r="R174" s="3"/>
    </row>
    <row r="175" spans="1:18" ht="22.5" customHeight="1">
      <c r="A175" s="32">
        <v>1</v>
      </c>
      <c r="B175" s="20" t="s">
        <v>351</v>
      </c>
      <c r="C175" s="32" t="s">
        <v>145</v>
      </c>
      <c r="D175" s="13">
        <f>D176+D177</f>
        <v>130</v>
      </c>
      <c r="E175" s="13">
        <f t="shared" ref="E175:J175" si="65">E176+E177</f>
        <v>130</v>
      </c>
      <c r="F175" s="13">
        <f t="shared" si="65"/>
        <v>130</v>
      </c>
      <c r="G175" s="13">
        <v>130</v>
      </c>
      <c r="H175" s="13">
        <f t="shared" si="65"/>
        <v>130</v>
      </c>
      <c r="I175" s="13">
        <f t="shared" si="65"/>
        <v>130</v>
      </c>
      <c r="J175" s="13">
        <f t="shared" si="65"/>
        <v>175</v>
      </c>
      <c r="K175" s="13"/>
      <c r="L175" s="13">
        <v>130</v>
      </c>
      <c r="M175" s="58">
        <f t="shared" si="51"/>
        <v>100</v>
      </c>
      <c r="N175" s="58">
        <f t="shared" si="52"/>
        <v>100</v>
      </c>
      <c r="O175" s="58">
        <f t="shared" si="56"/>
        <v>134.61538461538461</v>
      </c>
      <c r="P175" s="58">
        <f t="shared" si="57"/>
        <v>100</v>
      </c>
      <c r="Q175" s="58">
        <f t="shared" si="58"/>
        <v>74.285714285714292</v>
      </c>
      <c r="R175" s="3"/>
    </row>
    <row r="176" spans="1:18" ht="22.5" customHeight="1">
      <c r="A176" s="32"/>
      <c r="B176" s="20" t="s">
        <v>851</v>
      </c>
      <c r="C176" s="32" t="s">
        <v>145</v>
      </c>
      <c r="D176" s="13">
        <v>85</v>
      </c>
      <c r="E176" s="13">
        <v>85</v>
      </c>
      <c r="F176" s="13">
        <v>85</v>
      </c>
      <c r="G176" s="13"/>
      <c r="H176" s="13">
        <v>85</v>
      </c>
      <c r="I176" s="13">
        <v>85</v>
      </c>
      <c r="J176" s="13">
        <v>130</v>
      </c>
      <c r="K176" s="13"/>
      <c r="L176" s="13"/>
      <c r="M176" s="58">
        <f t="shared" si="51"/>
        <v>100</v>
      </c>
      <c r="N176" s="58">
        <f t="shared" si="52"/>
        <v>100</v>
      </c>
      <c r="O176" s="58">
        <f t="shared" si="56"/>
        <v>152.94117647058823</v>
      </c>
      <c r="P176" s="58" t="str">
        <f t="shared" si="57"/>
        <v/>
      </c>
      <c r="Q176" s="58">
        <f t="shared" si="58"/>
        <v>0</v>
      </c>
      <c r="R176" s="3"/>
    </row>
    <row r="177" spans="1:19" ht="22.5" customHeight="1">
      <c r="A177" s="32"/>
      <c r="B177" s="20" t="s">
        <v>852</v>
      </c>
      <c r="C177" s="32" t="s">
        <v>145</v>
      </c>
      <c r="D177" s="13">
        <v>45</v>
      </c>
      <c r="E177" s="13">
        <v>45</v>
      </c>
      <c r="F177" s="13">
        <v>45</v>
      </c>
      <c r="G177" s="13"/>
      <c r="H177" s="13">
        <v>45</v>
      </c>
      <c r="I177" s="13">
        <v>45</v>
      </c>
      <c r="J177" s="13">
        <v>45</v>
      </c>
      <c r="K177" s="13"/>
      <c r="L177" s="13"/>
      <c r="M177" s="58">
        <f t="shared" si="51"/>
        <v>100</v>
      </c>
      <c r="N177" s="58">
        <f t="shared" si="52"/>
        <v>100</v>
      </c>
      <c r="O177" s="58">
        <f t="shared" si="56"/>
        <v>100</v>
      </c>
      <c r="P177" s="58" t="str">
        <f t="shared" si="57"/>
        <v/>
      </c>
      <c r="Q177" s="58">
        <f t="shared" si="58"/>
        <v>0</v>
      </c>
      <c r="R177" s="3"/>
    </row>
    <row r="178" spans="1:19" ht="24" customHeight="1">
      <c r="A178" s="32">
        <v>2</v>
      </c>
      <c r="B178" s="20" t="s">
        <v>451</v>
      </c>
      <c r="C178" s="32" t="s">
        <v>349</v>
      </c>
      <c r="D178" s="13">
        <v>2</v>
      </c>
      <c r="E178" s="13">
        <v>4</v>
      </c>
      <c r="F178" s="13">
        <v>7</v>
      </c>
      <c r="G178" s="13">
        <v>4</v>
      </c>
      <c r="H178" s="13">
        <v>4</v>
      </c>
      <c r="I178" s="13">
        <v>7</v>
      </c>
      <c r="J178" s="13">
        <v>7</v>
      </c>
      <c r="K178" s="13"/>
      <c r="L178" s="13">
        <v>7</v>
      </c>
      <c r="M178" s="58">
        <f t="shared" si="51"/>
        <v>175</v>
      </c>
      <c r="N178" s="58">
        <f t="shared" si="52"/>
        <v>99.999999999999986</v>
      </c>
      <c r="O178" s="58">
        <f t="shared" si="56"/>
        <v>99.999999999999986</v>
      </c>
      <c r="P178" s="58">
        <f t="shared" si="57"/>
        <v>175</v>
      </c>
      <c r="Q178" s="58">
        <f t="shared" si="58"/>
        <v>99.999999999999986</v>
      </c>
      <c r="R178" s="3"/>
    </row>
    <row r="179" spans="1:19" ht="21" customHeight="1">
      <c r="A179" s="32"/>
      <c r="B179" s="47" t="s">
        <v>452</v>
      </c>
      <c r="C179" s="32" t="s">
        <v>33</v>
      </c>
      <c r="D179" s="55">
        <f t="shared" ref="D179:L179" si="66">D178/9%</f>
        <v>22.222222222222221</v>
      </c>
      <c r="E179" s="55">
        <f t="shared" si="66"/>
        <v>44.444444444444443</v>
      </c>
      <c r="F179" s="55">
        <f t="shared" si="66"/>
        <v>77.777777777777786</v>
      </c>
      <c r="G179" s="55">
        <f t="shared" si="66"/>
        <v>44.444444444444443</v>
      </c>
      <c r="H179" s="55">
        <f t="shared" si="66"/>
        <v>44.444444444444443</v>
      </c>
      <c r="I179" s="55">
        <f t="shared" si="66"/>
        <v>77.777777777777786</v>
      </c>
      <c r="J179" s="55">
        <f t="shared" si="66"/>
        <v>77.777777777777786</v>
      </c>
      <c r="K179" s="55">
        <f t="shared" si="66"/>
        <v>0</v>
      </c>
      <c r="L179" s="55">
        <f t="shared" si="66"/>
        <v>77.777777777777786</v>
      </c>
      <c r="M179" s="58">
        <f t="shared" si="51"/>
        <v>175.00000000000003</v>
      </c>
      <c r="N179" s="58">
        <f t="shared" si="52"/>
        <v>100</v>
      </c>
      <c r="O179" s="58">
        <f t="shared" si="56"/>
        <v>100</v>
      </c>
      <c r="P179" s="58">
        <f t="shared" si="57"/>
        <v>175.00000000000003</v>
      </c>
      <c r="Q179" s="58">
        <f t="shared" si="58"/>
        <v>100</v>
      </c>
      <c r="R179" s="3"/>
    </row>
    <row r="180" spans="1:19" ht="21.75" customHeight="1">
      <c r="A180" s="32">
        <v>3</v>
      </c>
      <c r="B180" s="46" t="s">
        <v>187</v>
      </c>
      <c r="C180" s="32" t="s">
        <v>33</v>
      </c>
      <c r="D180" s="55">
        <v>83.5</v>
      </c>
      <c r="E180" s="55">
        <v>85</v>
      </c>
      <c r="F180" s="55">
        <v>90</v>
      </c>
      <c r="G180" s="55">
        <v>86</v>
      </c>
      <c r="H180" s="55"/>
      <c r="I180" s="55">
        <v>86</v>
      </c>
      <c r="J180" s="55">
        <v>91</v>
      </c>
      <c r="K180" s="55"/>
      <c r="L180" s="55">
        <v>87</v>
      </c>
      <c r="M180" s="58">
        <f t="shared" si="51"/>
        <v>101.17647058823529</v>
      </c>
      <c r="N180" s="58">
        <f t="shared" si="52"/>
        <v>95.555555555555557</v>
      </c>
      <c r="O180" s="58">
        <f t="shared" si="56"/>
        <v>105.81395348837209</v>
      </c>
      <c r="P180" s="58">
        <f t="shared" si="57"/>
        <v>101.16279069767442</v>
      </c>
      <c r="Q180" s="58">
        <f t="shared" si="58"/>
        <v>95.604395604395606</v>
      </c>
      <c r="R180" s="3"/>
    </row>
    <row r="181" spans="1:19" ht="31.5">
      <c r="A181" s="32">
        <v>4</v>
      </c>
      <c r="B181" s="46" t="s">
        <v>412</v>
      </c>
      <c r="C181" s="32" t="s">
        <v>33</v>
      </c>
      <c r="D181" s="74">
        <v>33.1</v>
      </c>
      <c r="E181" s="55">
        <v>31.8</v>
      </c>
      <c r="F181" s="55">
        <v>31.3</v>
      </c>
      <c r="G181" s="55"/>
      <c r="H181" s="55"/>
      <c r="I181" s="55">
        <f>F181</f>
        <v>31.3</v>
      </c>
      <c r="J181" s="55">
        <v>31</v>
      </c>
      <c r="K181" s="55"/>
      <c r="L181" s="55"/>
      <c r="M181" s="58">
        <f t="shared" si="51"/>
        <v>98.427672955974842</v>
      </c>
      <c r="N181" s="58">
        <f t="shared" si="52"/>
        <v>100</v>
      </c>
      <c r="O181" s="58">
        <f t="shared" si="56"/>
        <v>99.04153354632588</v>
      </c>
      <c r="P181" s="58" t="str">
        <f t="shared" si="57"/>
        <v/>
      </c>
      <c r="Q181" s="58">
        <f t="shared" si="58"/>
        <v>0</v>
      </c>
      <c r="R181" s="3"/>
    </row>
    <row r="182" spans="1:19" ht="31.5">
      <c r="A182" s="32">
        <v>5</v>
      </c>
      <c r="B182" s="46" t="s">
        <v>413</v>
      </c>
      <c r="C182" s="32" t="s">
        <v>33</v>
      </c>
      <c r="D182" s="74">
        <v>20.6</v>
      </c>
      <c r="E182" s="55">
        <v>20</v>
      </c>
      <c r="F182" s="55">
        <v>19.5</v>
      </c>
      <c r="G182" s="55"/>
      <c r="H182" s="55"/>
      <c r="I182" s="55">
        <f>F182</f>
        <v>19.5</v>
      </c>
      <c r="J182" s="55">
        <v>19</v>
      </c>
      <c r="K182" s="55"/>
      <c r="L182" s="55">
        <v>18.600000000000001</v>
      </c>
      <c r="M182" s="58">
        <f t="shared" si="51"/>
        <v>97.5</v>
      </c>
      <c r="N182" s="58">
        <f t="shared" si="52"/>
        <v>100</v>
      </c>
      <c r="O182" s="58">
        <f t="shared" si="56"/>
        <v>97.435897435897431</v>
      </c>
      <c r="P182" s="58" t="str">
        <f t="shared" si="57"/>
        <v/>
      </c>
      <c r="Q182" s="58">
        <f t="shared" si="58"/>
        <v>97.894736842105274</v>
      </c>
      <c r="R182" s="3"/>
    </row>
    <row r="183" spans="1:19" ht="31.5">
      <c r="A183" s="11" t="s">
        <v>51</v>
      </c>
      <c r="B183" s="142" t="s">
        <v>192</v>
      </c>
      <c r="C183" s="12"/>
      <c r="D183" s="13"/>
      <c r="E183" s="13"/>
      <c r="F183" s="13"/>
      <c r="G183" s="13"/>
      <c r="H183" s="13"/>
      <c r="I183" s="13"/>
      <c r="J183" s="13"/>
      <c r="K183" s="13"/>
      <c r="L183" s="13"/>
      <c r="M183" s="66" t="str">
        <f t="shared" si="51"/>
        <v/>
      </c>
      <c r="N183" s="66" t="str">
        <f t="shared" si="52"/>
        <v/>
      </c>
      <c r="O183" s="66" t="str">
        <f t="shared" si="56"/>
        <v/>
      </c>
      <c r="P183" s="66" t="str">
        <f t="shared" si="57"/>
        <v/>
      </c>
      <c r="Q183" s="66" t="str">
        <f t="shared" si="58"/>
        <v/>
      </c>
      <c r="R183" s="3"/>
    </row>
    <row r="184" spans="1:19" ht="22.5" customHeight="1">
      <c r="A184" s="11">
        <v>1</v>
      </c>
      <c r="B184" s="63" t="s">
        <v>193</v>
      </c>
      <c r="C184" s="12"/>
      <c r="D184" s="13"/>
      <c r="E184" s="13"/>
      <c r="F184" s="13"/>
      <c r="G184" s="13"/>
      <c r="H184" s="13"/>
      <c r="I184" s="13"/>
      <c r="J184" s="13"/>
      <c r="K184" s="13"/>
      <c r="L184" s="13"/>
      <c r="M184" s="66" t="str">
        <f t="shared" si="51"/>
        <v/>
      </c>
      <c r="N184" s="66" t="str">
        <f t="shared" si="52"/>
        <v/>
      </c>
      <c r="O184" s="66" t="str">
        <f t="shared" si="56"/>
        <v/>
      </c>
      <c r="P184" s="66" t="str">
        <f t="shared" si="57"/>
        <v/>
      </c>
      <c r="Q184" s="66" t="str">
        <f t="shared" si="58"/>
        <v/>
      </c>
      <c r="R184" s="3"/>
    </row>
    <row r="185" spans="1:19" ht="22.5" customHeight="1">
      <c r="A185" s="19"/>
      <c r="B185" s="48" t="s">
        <v>194</v>
      </c>
      <c r="C185" s="21" t="s">
        <v>16</v>
      </c>
      <c r="D185" s="59">
        <v>1560</v>
      </c>
      <c r="E185" s="59">
        <v>1560</v>
      </c>
      <c r="F185" s="59">
        <f>E185</f>
        <v>1560</v>
      </c>
      <c r="G185" s="59">
        <v>780</v>
      </c>
      <c r="H185" s="59">
        <v>1248</v>
      </c>
      <c r="I185" s="59">
        <f>F185</f>
        <v>1560</v>
      </c>
      <c r="J185" s="59">
        <f>I185</f>
        <v>1560</v>
      </c>
      <c r="K185" s="59"/>
      <c r="L185" s="59">
        <f>J185/2</f>
        <v>780</v>
      </c>
      <c r="M185" s="58">
        <f t="shared" si="51"/>
        <v>100</v>
      </c>
      <c r="N185" s="58">
        <f t="shared" si="52"/>
        <v>100</v>
      </c>
      <c r="O185" s="58">
        <f t="shared" si="56"/>
        <v>100</v>
      </c>
      <c r="P185" s="58">
        <f t="shared" si="57"/>
        <v>100</v>
      </c>
      <c r="Q185" s="58">
        <f t="shared" si="58"/>
        <v>50</v>
      </c>
      <c r="R185" s="3"/>
    </row>
    <row r="186" spans="1:19" ht="22.5" customHeight="1">
      <c r="A186" s="19"/>
      <c r="B186" s="48" t="s">
        <v>195</v>
      </c>
      <c r="C186" s="21" t="s">
        <v>16</v>
      </c>
      <c r="D186" s="59">
        <v>21800</v>
      </c>
      <c r="E186" s="59">
        <v>21800</v>
      </c>
      <c r="F186" s="59">
        <f>E186</f>
        <v>21800</v>
      </c>
      <c r="G186" s="59">
        <v>10900</v>
      </c>
      <c r="H186" s="59">
        <v>16320</v>
      </c>
      <c r="I186" s="59">
        <f>F186</f>
        <v>21800</v>
      </c>
      <c r="J186" s="59">
        <f>I186</f>
        <v>21800</v>
      </c>
      <c r="K186" s="59"/>
      <c r="L186" s="59">
        <f>J186/2</f>
        <v>10900</v>
      </c>
      <c r="M186" s="58">
        <f t="shared" si="51"/>
        <v>100</v>
      </c>
      <c r="N186" s="58">
        <f t="shared" si="52"/>
        <v>100</v>
      </c>
      <c r="O186" s="58">
        <f t="shared" si="56"/>
        <v>100</v>
      </c>
      <c r="P186" s="58">
        <f t="shared" si="57"/>
        <v>100</v>
      </c>
      <c r="Q186" s="58">
        <f t="shared" si="58"/>
        <v>50</v>
      </c>
      <c r="R186" s="3"/>
      <c r="S186" s="77"/>
    </row>
    <row r="187" spans="1:19" ht="22.5" customHeight="1">
      <c r="A187" s="11">
        <v>2</v>
      </c>
      <c r="B187" s="63" t="s">
        <v>196</v>
      </c>
      <c r="C187" s="21"/>
      <c r="D187" s="59"/>
      <c r="E187" s="59"/>
      <c r="F187" s="59"/>
      <c r="G187" s="59"/>
      <c r="H187" s="59"/>
      <c r="I187" s="59"/>
      <c r="J187" s="59"/>
      <c r="K187" s="59"/>
      <c r="L187" s="59"/>
      <c r="M187" s="66" t="str">
        <f t="shared" si="51"/>
        <v/>
      </c>
      <c r="N187" s="66" t="str">
        <f t="shared" si="52"/>
        <v/>
      </c>
      <c r="O187" s="66" t="str">
        <f t="shared" si="56"/>
        <v/>
      </c>
      <c r="P187" s="66" t="str">
        <f t="shared" si="57"/>
        <v/>
      </c>
      <c r="Q187" s="66" t="str">
        <f t="shared" si="58"/>
        <v/>
      </c>
      <c r="R187" s="3"/>
    </row>
    <row r="188" spans="1:19" ht="22.5" hidden="1" customHeight="1" outlineLevel="1">
      <c r="A188" s="32"/>
      <c r="B188" s="48" t="s">
        <v>198</v>
      </c>
      <c r="C188" s="21" t="s">
        <v>199</v>
      </c>
      <c r="D188" s="59">
        <v>9233</v>
      </c>
      <c r="E188" s="59">
        <f>E123*E189%</f>
        <v>9781.42</v>
      </c>
      <c r="F188" s="59">
        <f>F123*F189%</f>
        <v>10744.2</v>
      </c>
      <c r="G188" s="59"/>
      <c r="H188" s="59">
        <f>H123*H189%</f>
        <v>0</v>
      </c>
      <c r="I188" s="59">
        <f>I123*I189%</f>
        <v>10215</v>
      </c>
      <c r="J188" s="59">
        <f>J123*J189%</f>
        <v>10485</v>
      </c>
      <c r="K188" s="59"/>
      <c r="L188" s="59"/>
      <c r="M188" s="58">
        <f t="shared" si="51"/>
        <v>104.43268973216568</v>
      </c>
      <c r="N188" s="58">
        <f t="shared" si="52"/>
        <v>95.074551851231362</v>
      </c>
      <c r="O188" s="58">
        <f t="shared" si="56"/>
        <v>102.6431718061674</v>
      </c>
      <c r="P188" s="58" t="str">
        <f t="shared" si="57"/>
        <v/>
      </c>
      <c r="Q188" s="58">
        <f t="shared" si="58"/>
        <v>0</v>
      </c>
      <c r="R188" s="3"/>
    </row>
    <row r="189" spans="1:19" ht="22.5" customHeight="1" collapsed="1">
      <c r="A189" s="32" t="s">
        <v>197</v>
      </c>
      <c r="B189" s="48" t="s">
        <v>200</v>
      </c>
      <c r="C189" s="41" t="s">
        <v>33</v>
      </c>
      <c r="D189" s="59">
        <v>85.6</v>
      </c>
      <c r="E189" s="58">
        <v>86.5</v>
      </c>
      <c r="F189" s="58">
        <v>90</v>
      </c>
      <c r="G189" s="58"/>
      <c r="H189" s="58"/>
      <c r="I189" s="58">
        <f>F189</f>
        <v>90</v>
      </c>
      <c r="J189" s="58">
        <v>90</v>
      </c>
      <c r="K189" s="58"/>
      <c r="L189" s="58"/>
      <c r="M189" s="58">
        <f t="shared" si="51"/>
        <v>104.04624277456648</v>
      </c>
      <c r="N189" s="58">
        <f t="shared" si="52"/>
        <v>100</v>
      </c>
      <c r="O189" s="58">
        <f t="shared" si="56"/>
        <v>100</v>
      </c>
      <c r="P189" s="58" t="str">
        <f t="shared" si="57"/>
        <v/>
      </c>
      <c r="Q189" s="58">
        <f t="shared" si="58"/>
        <v>0</v>
      </c>
      <c r="R189" s="3"/>
    </row>
    <row r="190" spans="1:19" ht="22.5" hidden="1" customHeight="1" outlineLevel="1">
      <c r="A190" s="32"/>
      <c r="B190" s="48" t="s">
        <v>202</v>
      </c>
      <c r="C190" s="21" t="s">
        <v>203</v>
      </c>
      <c r="D190" s="59">
        <v>58</v>
      </c>
      <c r="E190" s="58">
        <f>67*E191%</f>
        <v>57.954999999999998</v>
      </c>
      <c r="F190" s="58">
        <f>67*F191%</f>
        <v>60.97</v>
      </c>
      <c r="G190" s="58"/>
      <c r="H190" s="58">
        <f>67*H191%</f>
        <v>0</v>
      </c>
      <c r="I190" s="58">
        <f>67*I191%</f>
        <v>60.97</v>
      </c>
      <c r="J190" s="59">
        <v>61</v>
      </c>
      <c r="K190" s="59"/>
      <c r="L190" s="59"/>
      <c r="M190" s="58">
        <f t="shared" si="51"/>
        <v>105.20231213872832</v>
      </c>
      <c r="N190" s="58">
        <f t="shared" si="52"/>
        <v>100</v>
      </c>
      <c r="O190" s="58">
        <f t="shared" si="56"/>
        <v>100.04920452681647</v>
      </c>
      <c r="P190" s="58" t="str">
        <f t="shared" si="57"/>
        <v/>
      </c>
      <c r="Q190" s="58">
        <f t="shared" si="58"/>
        <v>0</v>
      </c>
      <c r="R190" s="3"/>
    </row>
    <row r="191" spans="1:19" ht="22.5" customHeight="1" collapsed="1">
      <c r="A191" s="32" t="s">
        <v>201</v>
      </c>
      <c r="B191" s="48" t="s">
        <v>171</v>
      </c>
      <c r="C191" s="41" t="s">
        <v>33</v>
      </c>
      <c r="D191" s="59">
        <f>D190/67%</f>
        <v>86.567164179104466</v>
      </c>
      <c r="E191" s="58">
        <v>86.5</v>
      </c>
      <c r="F191" s="58">
        <v>91</v>
      </c>
      <c r="G191" s="58"/>
      <c r="H191" s="58"/>
      <c r="I191" s="58">
        <v>91</v>
      </c>
      <c r="J191" s="58">
        <v>91</v>
      </c>
      <c r="K191" s="58"/>
      <c r="L191" s="58"/>
      <c r="M191" s="58">
        <f t="shared" si="51"/>
        <v>105.20231213872833</v>
      </c>
      <c r="N191" s="58">
        <f t="shared" si="52"/>
        <v>100</v>
      </c>
      <c r="O191" s="58">
        <f t="shared" si="56"/>
        <v>100</v>
      </c>
      <c r="P191" s="58" t="str">
        <f t="shared" si="57"/>
        <v/>
      </c>
      <c r="Q191" s="58">
        <f t="shared" si="58"/>
        <v>0</v>
      </c>
      <c r="R191" s="3"/>
    </row>
    <row r="192" spans="1:19" ht="22.5" customHeight="1">
      <c r="A192" s="32" t="s">
        <v>204</v>
      </c>
      <c r="B192" s="48" t="s">
        <v>205</v>
      </c>
      <c r="C192" s="21" t="s">
        <v>206</v>
      </c>
      <c r="D192" s="59">
        <v>88</v>
      </c>
      <c r="E192" s="59">
        <v>90</v>
      </c>
      <c r="F192" s="59">
        <v>90</v>
      </c>
      <c r="G192" s="59"/>
      <c r="H192" s="59">
        <v>88</v>
      </c>
      <c r="I192" s="59">
        <f>F192</f>
        <v>90</v>
      </c>
      <c r="J192" s="59">
        <v>90</v>
      </c>
      <c r="K192" s="59"/>
      <c r="L192" s="59"/>
      <c r="M192" s="58">
        <f t="shared" si="51"/>
        <v>100</v>
      </c>
      <c r="N192" s="58">
        <f t="shared" si="52"/>
        <v>100</v>
      </c>
      <c r="O192" s="58">
        <f t="shared" si="56"/>
        <v>100</v>
      </c>
      <c r="P192" s="58" t="str">
        <f t="shared" si="57"/>
        <v/>
      </c>
      <c r="Q192" s="58">
        <f t="shared" si="58"/>
        <v>0</v>
      </c>
      <c r="R192" s="3"/>
    </row>
    <row r="193" spans="1:18" ht="22.5" customHeight="1">
      <c r="A193" s="32" t="s">
        <v>354</v>
      </c>
      <c r="B193" s="20" t="s">
        <v>356</v>
      </c>
      <c r="C193" s="32" t="s">
        <v>61</v>
      </c>
      <c r="D193" s="59">
        <v>4</v>
      </c>
      <c r="E193" s="59">
        <v>4</v>
      </c>
      <c r="F193" s="59">
        <v>4</v>
      </c>
      <c r="G193" s="59">
        <v>4</v>
      </c>
      <c r="H193" s="59">
        <v>4</v>
      </c>
      <c r="I193" s="59">
        <v>4</v>
      </c>
      <c r="J193" s="59">
        <v>5</v>
      </c>
      <c r="K193" s="59"/>
      <c r="L193" s="59">
        <v>5</v>
      </c>
      <c r="M193" s="58">
        <f t="shared" si="51"/>
        <v>100</v>
      </c>
      <c r="N193" s="58">
        <f t="shared" si="52"/>
        <v>100</v>
      </c>
      <c r="O193" s="58">
        <f t="shared" si="56"/>
        <v>125</v>
      </c>
      <c r="P193" s="58">
        <f t="shared" si="57"/>
        <v>125</v>
      </c>
      <c r="Q193" s="58">
        <f t="shared" si="58"/>
        <v>100</v>
      </c>
      <c r="R193" s="3"/>
    </row>
    <row r="194" spans="1:18" ht="10.5" customHeight="1">
      <c r="A194" s="4"/>
      <c r="B194" s="64"/>
      <c r="C194" s="4"/>
      <c r="D194" s="64"/>
      <c r="E194" s="64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64"/>
    </row>
  </sheetData>
  <mergeCells count="12">
    <mergeCell ref="M5:Q5"/>
    <mergeCell ref="R5:R6"/>
    <mergeCell ref="A1:R1"/>
    <mergeCell ref="A2:R2"/>
    <mergeCell ref="A3:R3"/>
    <mergeCell ref="A5:A6"/>
    <mergeCell ref="B5:B6"/>
    <mergeCell ref="C5:C6"/>
    <mergeCell ref="D5:D6"/>
    <mergeCell ref="E5:E6"/>
    <mergeCell ref="G5:G6"/>
    <mergeCell ref="J5:L5"/>
  </mergeCells>
  <pageMargins left="0.47244094488188981" right="0.39370078740157483" top="0.78740157480314965" bottom="0.47244094488188981" header="0.31496062992125984" footer="0.31496062992125984"/>
  <pageSetup paperSize="9" scale="91" fitToHeight="0" orientation="landscape" r:id="rId1"/>
  <headerFooter>
    <oddFooter>&amp;R&amp;"Times New Roman,Regular"&amp;14&amp;P/&amp;N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2"/>
  <sheetViews>
    <sheetView zoomScale="85" zoomScaleNormal="85" zoomScaleSheetLayoutView="100" workbookViewId="0">
      <pane xSplit="2" ySplit="8" topLeftCell="C47" activePane="bottomRight" state="frozen"/>
      <selection activeCell="J122" sqref="J122"/>
      <selection pane="topRight" activeCell="J122" sqref="J122"/>
      <selection pane="bottomLeft" activeCell="J122" sqref="J122"/>
      <selection pane="bottomRight" activeCell="J122" sqref="J122"/>
    </sheetView>
  </sheetViews>
  <sheetFormatPr defaultColWidth="9.140625" defaultRowHeight="15.75" outlineLevelRow="2" outlineLevelCol="1"/>
  <cols>
    <col min="1" max="1" width="5.5703125" style="65" customWidth="1"/>
    <col min="2" max="2" width="39.140625" style="5" customWidth="1"/>
    <col min="3" max="3" width="12.140625" style="65" customWidth="1"/>
    <col min="4" max="7" width="12.140625" style="5" hidden="1" customWidth="1" outlineLevel="1"/>
    <col min="8" max="8" width="12.140625" style="5" hidden="1" customWidth="1" outlineLevel="1" collapsed="1"/>
    <col min="9" max="9" width="12.28515625" style="5" customWidth="1" collapsed="1"/>
    <col min="10" max="11" width="12.28515625" style="5" customWidth="1"/>
    <col min="12" max="14" width="11.5703125" style="5" customWidth="1"/>
    <col min="15" max="15" width="10.5703125" style="5" bestFit="1" customWidth="1"/>
    <col min="16" max="16" width="13.7109375" style="5" hidden="1" customWidth="1" outlineLevel="1"/>
    <col min="17" max="17" width="9.140625" style="5" collapsed="1"/>
    <col min="18" max="16384" width="9.140625" style="5"/>
  </cols>
  <sheetData>
    <row r="1" spans="1:16" ht="18.75" outlineLevel="1">
      <c r="A1" s="768" t="s">
        <v>166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</row>
    <row r="2" spans="1:16" ht="18.75" outlineLevel="1">
      <c r="A2" s="769" t="s">
        <v>926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</row>
    <row r="3" spans="1:16" ht="18.75" outlineLevel="1">
      <c r="A3" s="770" t="s">
        <v>920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</row>
    <row r="4" spans="1:16" outlineLevel="1">
      <c r="A4" s="7"/>
      <c r="B4" s="2"/>
      <c r="C4" s="8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" ht="16.5" customHeight="1">
      <c r="A5" s="771" t="s">
        <v>55</v>
      </c>
      <c r="B5" s="772" t="s">
        <v>69</v>
      </c>
      <c r="C5" s="772" t="s">
        <v>18</v>
      </c>
      <c r="D5" s="772" t="s">
        <v>361</v>
      </c>
      <c r="E5" s="772" t="s">
        <v>415</v>
      </c>
      <c r="F5" s="772" t="s">
        <v>514</v>
      </c>
      <c r="G5" s="772"/>
      <c r="H5" s="772"/>
      <c r="I5" s="766" t="s">
        <v>927</v>
      </c>
      <c r="J5" s="797" t="s">
        <v>516</v>
      </c>
      <c r="K5" s="766" t="s">
        <v>928</v>
      </c>
      <c r="L5" s="797" t="s">
        <v>475</v>
      </c>
      <c r="M5" s="812"/>
      <c r="N5" s="766" t="s">
        <v>75</v>
      </c>
    </row>
    <row r="6" spans="1:16" ht="31.5">
      <c r="A6" s="771"/>
      <c r="B6" s="772"/>
      <c r="C6" s="771"/>
      <c r="D6" s="772"/>
      <c r="E6" s="771"/>
      <c r="F6" s="629" t="s">
        <v>470</v>
      </c>
      <c r="G6" s="629" t="s">
        <v>832</v>
      </c>
      <c r="H6" s="629" t="s">
        <v>838</v>
      </c>
      <c r="I6" s="767"/>
      <c r="J6" s="798"/>
      <c r="K6" s="767"/>
      <c r="L6" s="628" t="s">
        <v>470</v>
      </c>
      <c r="M6" s="628" t="s">
        <v>471</v>
      </c>
      <c r="N6" s="767"/>
    </row>
    <row r="7" spans="1:16">
      <c r="A7" s="630">
        <v>1</v>
      </c>
      <c r="B7" s="630">
        <v>2</v>
      </c>
      <c r="C7" s="630">
        <v>3</v>
      </c>
      <c r="D7" s="630"/>
      <c r="E7" s="630">
        <v>4</v>
      </c>
      <c r="F7" s="630">
        <v>5</v>
      </c>
      <c r="G7" s="630"/>
      <c r="H7" s="630">
        <v>6</v>
      </c>
      <c r="I7" s="630">
        <v>4</v>
      </c>
      <c r="J7" s="630">
        <v>5</v>
      </c>
      <c r="K7" s="630">
        <v>6</v>
      </c>
      <c r="L7" s="631" t="s">
        <v>731</v>
      </c>
      <c r="M7" s="631" t="s">
        <v>833</v>
      </c>
      <c r="N7" s="630">
        <v>9</v>
      </c>
    </row>
    <row r="8" spans="1:16" ht="20.25" customHeight="1">
      <c r="A8" s="118"/>
      <c r="B8" s="119" t="s">
        <v>167</v>
      </c>
      <c r="C8" s="118"/>
      <c r="D8" s="120"/>
      <c r="E8" s="118"/>
      <c r="F8" s="118"/>
      <c r="G8" s="118"/>
      <c r="H8" s="118"/>
      <c r="I8" s="118"/>
      <c r="J8" s="118"/>
      <c r="K8" s="118"/>
      <c r="L8" s="118"/>
      <c r="M8" s="121"/>
      <c r="N8" s="632"/>
    </row>
    <row r="9" spans="1:16" ht="19.5" customHeight="1" collapsed="1">
      <c r="A9" s="161" t="s">
        <v>40</v>
      </c>
      <c r="B9" s="633" t="s">
        <v>332</v>
      </c>
      <c r="C9" s="122"/>
      <c r="D9" s="634"/>
      <c r="E9" s="634"/>
      <c r="F9" s="634"/>
      <c r="G9" s="634"/>
      <c r="H9" s="634"/>
      <c r="I9" s="634"/>
      <c r="J9" s="634"/>
      <c r="K9" s="634"/>
      <c r="L9" s="634"/>
      <c r="M9" s="123"/>
      <c r="N9" s="123"/>
      <c r="O9" s="14"/>
    </row>
    <row r="10" spans="1:16" s="18" customFormat="1" ht="19.5" customHeight="1">
      <c r="A10" s="161" t="s">
        <v>38</v>
      </c>
      <c r="B10" s="162" t="s">
        <v>172</v>
      </c>
      <c r="C10" s="122" t="s">
        <v>130</v>
      </c>
      <c r="D10" s="635">
        <v>347871</v>
      </c>
      <c r="E10" s="635">
        <v>313038</v>
      </c>
      <c r="F10" s="635">
        <v>277205</v>
      </c>
      <c r="G10" s="635">
        <v>239423</v>
      </c>
      <c r="H10" s="635">
        <v>360655</v>
      </c>
      <c r="I10" s="635">
        <v>113499</v>
      </c>
      <c r="J10" s="635">
        <v>312703</v>
      </c>
      <c r="K10" s="635">
        <v>115746</v>
      </c>
      <c r="L10" s="123">
        <f t="shared" ref="L10:L18" si="0">IFERROR(K10/J10%,"")</f>
        <v>37.01467526694659</v>
      </c>
      <c r="M10" s="123">
        <f t="shared" ref="M10:M18" si="1">IFERROR(K10/I10%,"")</f>
        <v>101.9797531255782</v>
      </c>
      <c r="N10" s="164"/>
      <c r="O10" s="17"/>
      <c r="P10" s="358">
        <v>313722</v>
      </c>
    </row>
    <row r="11" spans="1:16" ht="19.5" customHeight="1">
      <c r="A11" s="636" t="s">
        <v>155</v>
      </c>
      <c r="B11" s="101" t="s">
        <v>173</v>
      </c>
      <c r="C11" s="637" t="s">
        <v>130</v>
      </c>
      <c r="D11" s="638">
        <v>90496</v>
      </c>
      <c r="E11" s="638">
        <v>104622</v>
      </c>
      <c r="F11" s="638">
        <v>82860</v>
      </c>
      <c r="G11" s="638">
        <v>98907</v>
      </c>
      <c r="H11" s="638">
        <v>111075</v>
      </c>
      <c r="I11" s="638">
        <v>41395</v>
      </c>
      <c r="J11" s="638">
        <v>98770</v>
      </c>
      <c r="K11" s="638">
        <v>31865</v>
      </c>
      <c r="L11" s="103">
        <f t="shared" si="0"/>
        <v>32.261820390806925</v>
      </c>
      <c r="M11" s="103">
        <f t="shared" si="1"/>
        <v>76.977895881145074</v>
      </c>
      <c r="N11" s="129"/>
      <c r="O11" s="14"/>
      <c r="P11" s="359">
        <v>98700</v>
      </c>
    </row>
    <row r="12" spans="1:16" s="42" customFormat="1" ht="19.5" customHeight="1">
      <c r="A12" s="639"/>
      <c r="B12" s="105" t="s">
        <v>455</v>
      </c>
      <c r="C12" s="640" t="s">
        <v>130</v>
      </c>
      <c r="D12" s="641">
        <v>84999</v>
      </c>
      <c r="E12" s="641">
        <v>71796</v>
      </c>
      <c r="F12" s="641">
        <v>70788</v>
      </c>
      <c r="G12" s="641">
        <v>79682.86</v>
      </c>
      <c r="H12" s="641">
        <v>89040.21</v>
      </c>
      <c r="I12" s="641">
        <v>33040</v>
      </c>
      <c r="J12" s="641">
        <v>80858</v>
      </c>
      <c r="K12" s="641">
        <v>26589</v>
      </c>
      <c r="L12" s="642">
        <f t="shared" si="0"/>
        <v>32.883573672363895</v>
      </c>
      <c r="M12" s="642">
        <f t="shared" si="1"/>
        <v>80.47518159806296</v>
      </c>
      <c r="N12" s="643"/>
      <c r="O12" s="14"/>
      <c r="P12" s="359">
        <v>80858</v>
      </c>
    </row>
    <row r="13" spans="1:16" s="18" customFormat="1" ht="18.75" customHeight="1">
      <c r="A13" s="161" t="s">
        <v>39</v>
      </c>
      <c r="B13" s="162" t="s">
        <v>174</v>
      </c>
      <c r="C13" s="122" t="s">
        <v>130</v>
      </c>
      <c r="D13" s="635">
        <v>308217</v>
      </c>
      <c r="E13" s="635">
        <v>300633</v>
      </c>
      <c r="F13" s="635">
        <v>265133</v>
      </c>
      <c r="G13" s="635">
        <v>205352</v>
      </c>
      <c r="H13" s="635">
        <v>300789</v>
      </c>
      <c r="I13" s="635">
        <v>78741</v>
      </c>
      <c r="J13" s="635">
        <v>294791</v>
      </c>
      <c r="K13" s="635">
        <v>89757</v>
      </c>
      <c r="L13" s="123">
        <f t="shared" si="0"/>
        <v>30.447673097211247</v>
      </c>
      <c r="M13" s="123">
        <f t="shared" si="1"/>
        <v>113.99017030517774</v>
      </c>
      <c r="N13" s="164"/>
      <c r="O13" s="17"/>
      <c r="P13" s="358">
        <v>295880</v>
      </c>
    </row>
    <row r="14" spans="1:16" ht="20.25" customHeight="1">
      <c r="A14" s="636" t="s">
        <v>155</v>
      </c>
      <c r="B14" s="101" t="s">
        <v>175</v>
      </c>
      <c r="C14" s="637" t="s">
        <v>130</v>
      </c>
      <c r="D14" s="638">
        <v>239615</v>
      </c>
      <c r="E14" s="638">
        <v>264543</v>
      </c>
      <c r="F14" s="638">
        <v>232779</v>
      </c>
      <c r="G14" s="638">
        <v>177506</v>
      </c>
      <c r="H14" s="638">
        <v>252381</v>
      </c>
      <c r="I14" s="638">
        <v>65827</v>
      </c>
      <c r="J14" s="638">
        <v>245608</v>
      </c>
      <c r="K14" s="638">
        <v>87802</v>
      </c>
      <c r="L14" s="103">
        <f t="shared" si="0"/>
        <v>35.748835542816195</v>
      </c>
      <c r="M14" s="103">
        <f t="shared" si="1"/>
        <v>133.38295836055116</v>
      </c>
      <c r="N14" s="129"/>
      <c r="O14" s="14"/>
      <c r="P14" s="359">
        <v>245608</v>
      </c>
    </row>
    <row r="15" spans="1:16" ht="20.25" customHeight="1">
      <c r="A15" s="11"/>
      <c r="B15" s="30" t="s">
        <v>177</v>
      </c>
      <c r="C15" s="24"/>
      <c r="D15" s="25"/>
      <c r="E15" s="25"/>
      <c r="F15" s="25"/>
      <c r="G15" s="25"/>
      <c r="H15" s="25"/>
      <c r="I15" s="25"/>
      <c r="J15" s="25"/>
      <c r="K15" s="25"/>
      <c r="L15" s="66" t="str">
        <f t="shared" si="0"/>
        <v/>
      </c>
      <c r="M15" s="66" t="str">
        <f t="shared" si="1"/>
        <v/>
      </c>
      <c r="N15" s="66"/>
    </row>
    <row r="16" spans="1:16" ht="20.25" customHeight="1">
      <c r="A16" s="32" t="s">
        <v>56</v>
      </c>
      <c r="B16" s="35" t="s">
        <v>401</v>
      </c>
      <c r="C16" s="32" t="s">
        <v>37</v>
      </c>
      <c r="D16" s="29">
        <f t="shared" ref="D16:K16" si="2">D17+D67</f>
        <v>10546.03</v>
      </c>
      <c r="E16" s="29">
        <f t="shared" si="2"/>
        <v>10828.300000000001</v>
      </c>
      <c r="F16" s="29">
        <f t="shared" si="2"/>
        <v>10869.1</v>
      </c>
      <c r="G16" s="29">
        <f t="shared" si="2"/>
        <v>11169.87</v>
      </c>
      <c r="H16" s="29">
        <f t="shared" si="2"/>
        <v>11215.070000000002</v>
      </c>
      <c r="I16" s="29">
        <f t="shared" si="2"/>
        <v>10766.000000000002</v>
      </c>
      <c r="J16" s="29">
        <f t="shared" si="2"/>
        <v>11169.2</v>
      </c>
      <c r="K16" s="29">
        <f t="shared" si="2"/>
        <v>11115.5</v>
      </c>
      <c r="L16" s="58">
        <f t="shared" si="0"/>
        <v>99.519213551552482</v>
      </c>
      <c r="M16" s="58">
        <f t="shared" si="1"/>
        <v>103.24633104216977</v>
      </c>
      <c r="N16" s="3"/>
    </row>
    <row r="17" spans="1:14" ht="17.25" customHeight="1">
      <c r="A17" s="11" t="s">
        <v>38</v>
      </c>
      <c r="B17" s="30" t="s">
        <v>439</v>
      </c>
      <c r="C17" s="11" t="s">
        <v>37</v>
      </c>
      <c r="D17" s="27">
        <f>D18+D47+D54+D50+D63</f>
        <v>732.03</v>
      </c>
      <c r="E17" s="27">
        <f>E18+E47+E54+E50+E63</f>
        <v>756.7</v>
      </c>
      <c r="F17" s="27">
        <f>F18+F47+F54+F50+F63</f>
        <v>747</v>
      </c>
      <c r="G17" s="27">
        <f>G18+G47+G54+G50+G63</f>
        <v>751.17000000000007</v>
      </c>
      <c r="H17" s="27">
        <f>H18+H47+H54+H50+H63</f>
        <v>751.17000000000007</v>
      </c>
      <c r="I17" s="27">
        <f>I18+I54+I50+I63</f>
        <v>746.7</v>
      </c>
      <c r="J17" s="27">
        <f>J18+J54+J50+J63</f>
        <v>738</v>
      </c>
      <c r="K17" s="27">
        <f>K18+K54+K50+K63</f>
        <v>741.80000000000007</v>
      </c>
      <c r="L17" s="66">
        <f t="shared" si="0"/>
        <v>100.5149051490515</v>
      </c>
      <c r="M17" s="66">
        <f t="shared" si="1"/>
        <v>99.34377929556716</v>
      </c>
      <c r="N17" s="3"/>
    </row>
    <row r="18" spans="1:14" s="18" customFormat="1" ht="17.25" customHeight="1">
      <c r="A18" s="11">
        <v>1</v>
      </c>
      <c r="B18" s="30" t="s">
        <v>22</v>
      </c>
      <c r="C18" s="11" t="s">
        <v>37</v>
      </c>
      <c r="D18" s="27">
        <f t="shared" ref="D18:K18" si="3">D23+D38</f>
        <v>625.53</v>
      </c>
      <c r="E18" s="27">
        <f t="shared" si="3"/>
        <v>609.20000000000005</v>
      </c>
      <c r="F18" s="27">
        <f t="shared" si="3"/>
        <v>594</v>
      </c>
      <c r="G18" s="27">
        <f t="shared" si="3"/>
        <v>599.07000000000005</v>
      </c>
      <c r="H18" s="27">
        <f t="shared" si="3"/>
        <v>599.07000000000005</v>
      </c>
      <c r="I18" s="27">
        <f t="shared" si="3"/>
        <v>599.1</v>
      </c>
      <c r="J18" s="27">
        <f t="shared" si="3"/>
        <v>593</v>
      </c>
      <c r="K18" s="27">
        <f t="shared" si="3"/>
        <v>595.70000000000005</v>
      </c>
      <c r="L18" s="66">
        <f t="shared" si="0"/>
        <v>100.45531197301857</v>
      </c>
      <c r="M18" s="66">
        <f t="shared" si="1"/>
        <v>99.432482056417953</v>
      </c>
      <c r="N18" s="83"/>
    </row>
    <row r="19" spans="1:14" ht="17.25" hidden="1" customHeight="1" outlineLevel="1">
      <c r="A19" s="32"/>
      <c r="B19" s="35"/>
      <c r="C19" s="34"/>
      <c r="D19" s="29"/>
      <c r="E19" s="29"/>
      <c r="F19" s="29"/>
      <c r="G19" s="29"/>
      <c r="H19" s="29"/>
      <c r="I19" s="29"/>
      <c r="J19" s="29"/>
      <c r="K19" s="29"/>
      <c r="L19" s="58"/>
      <c r="M19" s="58"/>
      <c r="N19" s="3"/>
    </row>
    <row r="20" spans="1:14" ht="17.25" hidden="1" customHeight="1" outlineLevel="1">
      <c r="A20" s="32"/>
      <c r="B20" s="33"/>
      <c r="C20" s="34"/>
      <c r="D20" s="29"/>
      <c r="E20" s="29"/>
      <c r="F20" s="29"/>
      <c r="G20" s="29"/>
      <c r="H20" s="29"/>
      <c r="I20" s="29"/>
      <c r="J20" s="29"/>
      <c r="K20" s="29"/>
      <c r="L20" s="58"/>
      <c r="M20" s="58"/>
      <c r="N20" s="3"/>
    </row>
    <row r="21" spans="1:14" ht="17.25" hidden="1" customHeight="1" outlineLevel="1">
      <c r="A21" s="32"/>
      <c r="B21" s="35"/>
      <c r="C21" s="34"/>
      <c r="D21" s="29"/>
      <c r="E21" s="29"/>
      <c r="F21" s="29"/>
      <c r="G21" s="29"/>
      <c r="H21" s="29"/>
      <c r="I21" s="29"/>
      <c r="J21" s="29"/>
      <c r="K21" s="29"/>
      <c r="L21" s="58"/>
      <c r="M21" s="58"/>
      <c r="N21" s="3"/>
    </row>
    <row r="22" spans="1:14" ht="17.25" hidden="1" customHeight="1" outlineLevel="1">
      <c r="A22" s="32"/>
      <c r="B22" s="35"/>
      <c r="C22" s="32"/>
      <c r="D22" s="29"/>
      <c r="E22" s="29"/>
      <c r="F22" s="29"/>
      <c r="G22" s="29"/>
      <c r="H22" s="29"/>
      <c r="I22" s="29"/>
      <c r="J22" s="29"/>
      <c r="K22" s="29"/>
      <c r="L22" s="58"/>
      <c r="M22" s="58"/>
      <c r="N22" s="3"/>
    </row>
    <row r="23" spans="1:14" s="18" customFormat="1" ht="17.25" hidden="1" customHeight="1" outlineLevel="1">
      <c r="A23" s="11" t="s">
        <v>34</v>
      </c>
      <c r="B23" s="44" t="s">
        <v>440</v>
      </c>
      <c r="C23" s="11" t="s">
        <v>37</v>
      </c>
      <c r="D23" s="16">
        <f t="shared" ref="D23:K23" si="4">D26+D29</f>
        <v>597.30999999999995</v>
      </c>
      <c r="E23" s="16">
        <f t="shared" si="4"/>
        <v>570.5</v>
      </c>
      <c r="F23" s="16">
        <f t="shared" si="4"/>
        <v>571</v>
      </c>
      <c r="G23" s="16">
        <f t="shared" si="4"/>
        <v>573.87</v>
      </c>
      <c r="H23" s="16">
        <f t="shared" si="4"/>
        <v>573.87</v>
      </c>
      <c r="I23" s="16">
        <f t="shared" si="4"/>
        <v>573.9</v>
      </c>
      <c r="J23" s="16">
        <f t="shared" si="4"/>
        <v>571</v>
      </c>
      <c r="K23" s="16">
        <f t="shared" si="4"/>
        <v>573.20000000000005</v>
      </c>
      <c r="L23" s="66">
        <f>IFERROR(K23/J23%,"")</f>
        <v>100.38528896672506</v>
      </c>
      <c r="M23" s="66">
        <f>IFERROR(K23/I23%,"")</f>
        <v>99.878027530928748</v>
      </c>
      <c r="N23" s="83"/>
    </row>
    <row r="24" spans="1:14" ht="17.25" hidden="1" customHeight="1" outlineLevel="1">
      <c r="A24" s="32"/>
      <c r="B24" s="37" t="s">
        <v>27</v>
      </c>
      <c r="C24" s="34" t="s">
        <v>21</v>
      </c>
      <c r="D24" s="38">
        <f t="shared" ref="D24:K24" si="5">D25/D23*10</f>
        <v>0</v>
      </c>
      <c r="E24" s="38">
        <f t="shared" si="5"/>
        <v>0</v>
      </c>
      <c r="F24" s="38">
        <f t="shared" si="5"/>
        <v>0</v>
      </c>
      <c r="G24" s="38">
        <f t="shared" si="5"/>
        <v>0</v>
      </c>
      <c r="H24" s="38">
        <f t="shared" si="5"/>
        <v>0</v>
      </c>
      <c r="I24" s="38">
        <f t="shared" si="5"/>
        <v>47.08</v>
      </c>
      <c r="J24" s="38">
        <f t="shared" si="5"/>
        <v>47.26</v>
      </c>
      <c r="K24" s="38">
        <f t="shared" si="5"/>
        <v>47.3</v>
      </c>
      <c r="L24" s="58">
        <f>IFERROR(K24/J24%,"")</f>
        <v>100.08463817181548</v>
      </c>
      <c r="M24" s="58">
        <f>IFERROR(K24/I24%,"")</f>
        <v>100.46728971962617</v>
      </c>
      <c r="N24" s="3"/>
    </row>
    <row r="25" spans="1:14" ht="17.25" hidden="1" customHeight="1" outlineLevel="1">
      <c r="A25" s="32"/>
      <c r="B25" s="37" t="s">
        <v>28</v>
      </c>
      <c r="C25" s="34" t="s">
        <v>76</v>
      </c>
      <c r="D25" s="22">
        <f t="shared" ref="D25:K25" si="6">D28+D31</f>
        <v>0</v>
      </c>
      <c r="E25" s="22">
        <f t="shared" si="6"/>
        <v>0</v>
      </c>
      <c r="F25" s="22">
        <f t="shared" si="6"/>
        <v>0</v>
      </c>
      <c r="G25" s="22">
        <f t="shared" si="6"/>
        <v>0</v>
      </c>
      <c r="H25" s="22">
        <f t="shared" si="6"/>
        <v>0</v>
      </c>
      <c r="I25" s="22">
        <f t="shared" si="6"/>
        <v>2701.9211999999998</v>
      </c>
      <c r="J25" s="22">
        <f t="shared" si="6"/>
        <v>2698.5459999999998</v>
      </c>
      <c r="K25" s="22">
        <f t="shared" si="6"/>
        <v>2711.2359999999999</v>
      </c>
      <c r="L25" s="58">
        <f>IFERROR(K25/J25%,"")</f>
        <v>100.47025324007816</v>
      </c>
      <c r="M25" s="58">
        <f>IFERROR(K25/I25%,"")</f>
        <v>100.34474728574617</v>
      </c>
      <c r="N25" s="3"/>
    </row>
    <row r="26" spans="1:14" ht="17.25" customHeight="1" collapsed="1">
      <c r="A26" s="32"/>
      <c r="B26" s="611" t="s">
        <v>441</v>
      </c>
      <c r="C26" s="32" t="s">
        <v>37</v>
      </c>
      <c r="D26" s="22">
        <v>597.30999999999995</v>
      </c>
      <c r="E26" s="137">
        <v>570.5</v>
      </c>
      <c r="F26" s="59">
        <v>571</v>
      </c>
      <c r="G26" s="59">
        <v>573.87</v>
      </c>
      <c r="H26" s="59">
        <v>573.87</v>
      </c>
      <c r="I26" s="59">
        <f>QI.2018!H26</f>
        <v>573.9</v>
      </c>
      <c r="J26" s="59">
        <v>571</v>
      </c>
      <c r="K26" s="59">
        <v>573.20000000000005</v>
      </c>
      <c r="L26" s="58">
        <f>IFERROR(K26/J26%,"")</f>
        <v>100.38528896672506</v>
      </c>
      <c r="M26" s="58">
        <f>IFERROR(K26/I26%,"")</f>
        <v>99.878027530928748</v>
      </c>
      <c r="N26" s="3"/>
    </row>
    <row r="27" spans="1:14" ht="17.25" customHeight="1">
      <c r="A27" s="32"/>
      <c r="B27" s="116" t="s">
        <v>27</v>
      </c>
      <c r="C27" s="34" t="s">
        <v>21</v>
      </c>
      <c r="D27" s="25"/>
      <c r="E27" s="38"/>
      <c r="F27" s="58"/>
      <c r="G27" s="58"/>
      <c r="H27" s="58"/>
      <c r="I27" s="58">
        <v>47.08</v>
      </c>
      <c r="J27" s="58">
        <v>47.26</v>
      </c>
      <c r="K27" s="58">
        <v>47.3</v>
      </c>
      <c r="L27" s="58">
        <f t="shared" ref="L27:L40" si="7">IFERROR(K27/J27%,"")</f>
        <v>100.08463817181548</v>
      </c>
      <c r="M27" s="58">
        <f t="shared" ref="M27:M40" si="8">IFERROR(K27/I27%,"")</f>
        <v>100.46728971962617</v>
      </c>
      <c r="N27" s="3"/>
    </row>
    <row r="28" spans="1:14" ht="17.25" customHeight="1">
      <c r="A28" s="32"/>
      <c r="B28" s="117" t="s">
        <v>28</v>
      </c>
      <c r="C28" s="34" t="s">
        <v>76</v>
      </c>
      <c r="D28" s="22"/>
      <c r="E28" s="22"/>
      <c r="F28" s="22"/>
      <c r="G28" s="22"/>
      <c r="H28" s="22"/>
      <c r="I28" s="22">
        <f>I26*I27/10</f>
        <v>2701.9211999999998</v>
      </c>
      <c r="J28" s="22">
        <f>J26*J27/10</f>
        <v>2698.5459999999998</v>
      </c>
      <c r="K28" s="22">
        <f>K26*K27/10</f>
        <v>2711.2359999999999</v>
      </c>
      <c r="L28" s="58">
        <f t="shared" si="7"/>
        <v>100.47025324007816</v>
      </c>
      <c r="M28" s="58">
        <f t="shared" si="8"/>
        <v>100.34474728574617</v>
      </c>
      <c r="N28" s="3"/>
    </row>
    <row r="29" spans="1:14" ht="17.25" hidden="1" customHeight="1" outlineLevel="1">
      <c r="A29" s="32"/>
      <c r="B29" s="609"/>
      <c r="C29" s="32"/>
      <c r="D29" s="22"/>
      <c r="E29" s="29"/>
      <c r="F29" s="29"/>
      <c r="G29" s="29"/>
      <c r="H29" s="29"/>
      <c r="I29" s="29"/>
      <c r="J29" s="29"/>
      <c r="K29" s="29"/>
      <c r="L29" s="58" t="str">
        <f t="shared" si="7"/>
        <v/>
      </c>
      <c r="M29" s="58" t="str">
        <f t="shared" si="8"/>
        <v/>
      </c>
      <c r="N29" s="3"/>
    </row>
    <row r="30" spans="1:14" ht="17.25" hidden="1" customHeight="1" outlineLevel="1">
      <c r="A30" s="32"/>
      <c r="B30" s="117"/>
      <c r="C30" s="34"/>
      <c r="D30" s="38"/>
      <c r="E30" s="28"/>
      <c r="F30" s="28"/>
      <c r="G30" s="28"/>
      <c r="H30" s="28"/>
      <c r="I30" s="28"/>
      <c r="J30" s="28"/>
      <c r="K30" s="28"/>
      <c r="L30" s="58" t="str">
        <f t="shared" si="7"/>
        <v/>
      </c>
      <c r="M30" s="58" t="str">
        <f t="shared" si="8"/>
        <v/>
      </c>
      <c r="N30" s="3"/>
    </row>
    <row r="31" spans="1:14" ht="17.25" hidden="1" customHeight="1" outlineLevel="1">
      <c r="A31" s="32"/>
      <c r="B31" s="117"/>
      <c r="C31" s="34"/>
      <c r="D31" s="22"/>
      <c r="E31" s="29"/>
      <c r="F31" s="29"/>
      <c r="G31" s="29"/>
      <c r="H31" s="29"/>
      <c r="I31" s="29"/>
      <c r="J31" s="29"/>
      <c r="K31" s="29"/>
      <c r="L31" s="58" t="str">
        <f t="shared" si="7"/>
        <v/>
      </c>
      <c r="M31" s="58" t="str">
        <f t="shared" si="8"/>
        <v/>
      </c>
      <c r="N31" s="3"/>
    </row>
    <row r="32" spans="1:14" ht="17.25" hidden="1" customHeight="1" outlineLevel="1">
      <c r="A32" s="32"/>
      <c r="B32" s="610"/>
      <c r="C32" s="32"/>
      <c r="D32" s="22"/>
      <c r="E32" s="38"/>
      <c r="F32" s="22"/>
      <c r="G32" s="22"/>
      <c r="H32" s="22"/>
      <c r="I32" s="22"/>
      <c r="J32" s="22"/>
      <c r="K32" s="22"/>
      <c r="L32" s="58" t="str">
        <f t="shared" si="7"/>
        <v/>
      </c>
      <c r="M32" s="58" t="str">
        <f t="shared" si="8"/>
        <v/>
      </c>
      <c r="N32" s="3"/>
    </row>
    <row r="33" spans="1:14" ht="17.25" hidden="1" customHeight="1" outlineLevel="1">
      <c r="A33" s="32"/>
      <c r="B33" s="115"/>
      <c r="C33" s="34"/>
      <c r="D33" s="25"/>
      <c r="E33" s="38"/>
      <c r="F33" s="38"/>
      <c r="G33" s="38"/>
      <c r="H33" s="38"/>
      <c r="I33" s="38"/>
      <c r="J33" s="38"/>
      <c r="K33" s="38"/>
      <c r="L33" s="58" t="str">
        <f t="shared" si="7"/>
        <v/>
      </c>
      <c r="M33" s="58" t="str">
        <f t="shared" si="8"/>
        <v/>
      </c>
      <c r="N33" s="3"/>
    </row>
    <row r="34" spans="1:14" ht="17.25" hidden="1" customHeight="1" outlineLevel="1">
      <c r="A34" s="32"/>
      <c r="B34" s="115"/>
      <c r="C34" s="34"/>
      <c r="D34" s="22"/>
      <c r="E34" s="22"/>
      <c r="F34" s="22"/>
      <c r="G34" s="22"/>
      <c r="H34" s="22"/>
      <c r="I34" s="22"/>
      <c r="J34" s="22"/>
      <c r="K34" s="22"/>
      <c r="L34" s="58" t="str">
        <f t="shared" si="7"/>
        <v/>
      </c>
      <c r="M34" s="58" t="str">
        <f t="shared" si="8"/>
        <v/>
      </c>
      <c r="N34" s="3"/>
    </row>
    <row r="35" spans="1:14" ht="17.25" hidden="1" customHeight="1" outlineLevel="1">
      <c r="A35" s="32"/>
      <c r="B35" s="610"/>
      <c r="C35" s="32"/>
      <c r="D35" s="22"/>
      <c r="E35" s="22"/>
      <c r="F35" s="22"/>
      <c r="G35" s="22"/>
      <c r="H35" s="22"/>
      <c r="I35" s="22"/>
      <c r="J35" s="22"/>
      <c r="K35" s="22"/>
      <c r="L35" s="58" t="str">
        <f t="shared" si="7"/>
        <v/>
      </c>
      <c r="M35" s="58" t="str">
        <f t="shared" si="8"/>
        <v/>
      </c>
      <c r="N35" s="3"/>
    </row>
    <row r="36" spans="1:14" ht="17.25" hidden="1" customHeight="1" outlineLevel="1">
      <c r="A36" s="32"/>
      <c r="B36" s="115"/>
      <c r="C36" s="34"/>
      <c r="D36" s="38"/>
      <c r="E36" s="38"/>
      <c r="F36" s="38"/>
      <c r="G36" s="38"/>
      <c r="H36" s="38"/>
      <c r="I36" s="38"/>
      <c r="J36" s="38"/>
      <c r="K36" s="38"/>
      <c r="L36" s="58" t="str">
        <f t="shared" si="7"/>
        <v/>
      </c>
      <c r="M36" s="58" t="str">
        <f t="shared" si="8"/>
        <v/>
      </c>
      <c r="N36" s="3"/>
    </row>
    <row r="37" spans="1:14" ht="17.25" hidden="1" customHeight="1" outlineLevel="1">
      <c r="A37" s="32"/>
      <c r="B37" s="115"/>
      <c r="C37" s="34"/>
      <c r="D37" s="22"/>
      <c r="E37" s="22"/>
      <c r="F37" s="22"/>
      <c r="G37" s="22"/>
      <c r="H37" s="22"/>
      <c r="I37" s="22"/>
      <c r="J37" s="22"/>
      <c r="K37" s="22"/>
      <c r="L37" s="58" t="str">
        <f t="shared" si="7"/>
        <v/>
      </c>
      <c r="M37" s="58" t="str">
        <f t="shared" si="8"/>
        <v/>
      </c>
      <c r="N37" s="3"/>
    </row>
    <row r="38" spans="1:14" s="18" customFormat="1" ht="17.25" hidden="1" customHeight="1" outlineLevel="1">
      <c r="A38" s="11" t="s">
        <v>35</v>
      </c>
      <c r="B38" s="44" t="s">
        <v>444</v>
      </c>
      <c r="C38" s="11" t="s">
        <v>37</v>
      </c>
      <c r="D38" s="16">
        <f t="shared" ref="D38:K38" si="9">D41+D44</f>
        <v>28.22</v>
      </c>
      <c r="E38" s="16">
        <f t="shared" si="9"/>
        <v>38.700000000000003</v>
      </c>
      <c r="F38" s="16">
        <f t="shared" si="9"/>
        <v>23</v>
      </c>
      <c r="G38" s="16">
        <f t="shared" si="9"/>
        <v>25.2</v>
      </c>
      <c r="H38" s="16">
        <f t="shared" si="9"/>
        <v>25.2</v>
      </c>
      <c r="I38" s="16">
        <f t="shared" si="9"/>
        <v>25.2</v>
      </c>
      <c r="J38" s="16">
        <f t="shared" si="9"/>
        <v>22</v>
      </c>
      <c r="K38" s="16">
        <f t="shared" si="9"/>
        <v>22.5</v>
      </c>
      <c r="L38" s="58">
        <f t="shared" si="7"/>
        <v>102.27272727272727</v>
      </c>
      <c r="M38" s="58">
        <f t="shared" si="8"/>
        <v>89.285714285714292</v>
      </c>
      <c r="N38" s="83"/>
    </row>
    <row r="39" spans="1:14" ht="17.25" hidden="1" customHeight="1" outlineLevel="1">
      <c r="A39" s="32"/>
      <c r="B39" s="37" t="s">
        <v>27</v>
      </c>
      <c r="C39" s="34" t="s">
        <v>21</v>
      </c>
      <c r="D39" s="38">
        <f t="shared" ref="D39:K39" si="10">D40/D38*10</f>
        <v>0</v>
      </c>
      <c r="E39" s="38">
        <f t="shared" si="10"/>
        <v>0</v>
      </c>
      <c r="F39" s="38">
        <f t="shared" si="10"/>
        <v>0</v>
      </c>
      <c r="G39" s="38">
        <f t="shared" si="10"/>
        <v>0</v>
      </c>
      <c r="H39" s="38">
        <f t="shared" si="10"/>
        <v>0</v>
      </c>
      <c r="I39" s="38">
        <f t="shared" si="10"/>
        <v>44.499999999999993</v>
      </c>
      <c r="J39" s="38">
        <f t="shared" si="10"/>
        <v>50</v>
      </c>
      <c r="K39" s="38">
        <f t="shared" si="10"/>
        <v>54.5</v>
      </c>
      <c r="L39" s="58">
        <f t="shared" si="7"/>
        <v>109</v>
      </c>
      <c r="M39" s="58">
        <f t="shared" si="8"/>
        <v>122.47191011235957</v>
      </c>
      <c r="N39" s="3"/>
    </row>
    <row r="40" spans="1:14" ht="17.25" hidden="1" customHeight="1" outlineLevel="1">
      <c r="A40" s="32"/>
      <c r="B40" s="37" t="s">
        <v>28</v>
      </c>
      <c r="C40" s="34" t="s">
        <v>76</v>
      </c>
      <c r="D40" s="22">
        <f t="shared" ref="D40:K40" si="11">D43+D46</f>
        <v>0</v>
      </c>
      <c r="E40" s="22">
        <f t="shared" si="11"/>
        <v>0</v>
      </c>
      <c r="F40" s="22">
        <f t="shared" si="11"/>
        <v>0</v>
      </c>
      <c r="G40" s="22">
        <f t="shared" si="11"/>
        <v>0</v>
      </c>
      <c r="H40" s="22">
        <f t="shared" si="11"/>
        <v>0</v>
      </c>
      <c r="I40" s="22">
        <f t="shared" si="11"/>
        <v>112.13999999999999</v>
      </c>
      <c r="J40" s="22">
        <f t="shared" si="11"/>
        <v>110</v>
      </c>
      <c r="K40" s="22">
        <f t="shared" si="11"/>
        <v>122.625</v>
      </c>
      <c r="L40" s="58">
        <f t="shared" si="7"/>
        <v>111.47727272727272</v>
      </c>
      <c r="M40" s="58">
        <f t="shared" si="8"/>
        <v>109.34991974317818</v>
      </c>
      <c r="N40" s="3"/>
    </row>
    <row r="41" spans="1:14" ht="17.25" customHeight="1" collapsed="1">
      <c r="A41" s="32"/>
      <c r="B41" s="611" t="s">
        <v>457</v>
      </c>
      <c r="C41" s="32" t="s">
        <v>37</v>
      </c>
      <c r="D41" s="29">
        <v>28.22</v>
      </c>
      <c r="E41" s="29">
        <v>38.700000000000003</v>
      </c>
      <c r="F41" s="29">
        <v>23</v>
      </c>
      <c r="G41" s="29">
        <v>25.2</v>
      </c>
      <c r="H41" s="29">
        <v>25.2</v>
      </c>
      <c r="I41" s="29">
        <f>'Thang 4'!G41</f>
        <v>25.2</v>
      </c>
      <c r="J41" s="29">
        <v>22</v>
      </c>
      <c r="K41" s="29">
        <v>22.5</v>
      </c>
      <c r="L41" s="58">
        <f>IFERROR(K41/J41%,"")</f>
        <v>102.27272727272727</v>
      </c>
      <c r="M41" s="58">
        <f>IFERROR(K41/I41%,"")</f>
        <v>89.285714285714292</v>
      </c>
      <c r="N41" s="3"/>
    </row>
    <row r="42" spans="1:14" ht="17.25" customHeight="1">
      <c r="A42" s="32"/>
      <c r="B42" s="116" t="s">
        <v>27</v>
      </c>
      <c r="C42" s="34" t="s">
        <v>21</v>
      </c>
      <c r="D42" s="28"/>
      <c r="E42" s="28"/>
      <c r="F42" s="28"/>
      <c r="G42" s="28"/>
      <c r="H42" s="28"/>
      <c r="I42" s="28">
        <f>'Thang 4'!G42</f>
        <v>44.5</v>
      </c>
      <c r="J42" s="28">
        <v>50</v>
      </c>
      <c r="K42" s="28">
        <v>54.5</v>
      </c>
      <c r="L42" s="58">
        <f>IFERROR(K42/J42%,"")</f>
        <v>109</v>
      </c>
      <c r="M42" s="58">
        <f>IFERROR(K42/I42%,"")</f>
        <v>122.47191011235955</v>
      </c>
      <c r="N42" s="3"/>
    </row>
    <row r="43" spans="1:14" ht="17.25" customHeight="1">
      <c r="A43" s="32"/>
      <c r="B43" s="117" t="s">
        <v>28</v>
      </c>
      <c r="C43" s="34" t="s">
        <v>76</v>
      </c>
      <c r="D43" s="29"/>
      <c r="E43" s="29"/>
      <c r="F43" s="29"/>
      <c r="G43" s="29"/>
      <c r="H43" s="29"/>
      <c r="I43" s="29">
        <f>I42*I41/10</f>
        <v>112.13999999999999</v>
      </c>
      <c r="J43" s="29">
        <f>J42*J41/10</f>
        <v>110</v>
      </c>
      <c r="K43" s="29">
        <f>K42*K41/10</f>
        <v>122.625</v>
      </c>
      <c r="L43" s="58">
        <f>IFERROR(K43/J43%,"")</f>
        <v>111.47727272727272</v>
      </c>
      <c r="M43" s="58">
        <f>IFERROR(K43/I43%,"")</f>
        <v>109.34991974317818</v>
      </c>
      <c r="N43" s="3"/>
    </row>
    <row r="44" spans="1:14" ht="17.25" hidden="1" customHeight="1" outlineLevel="1">
      <c r="A44" s="32"/>
      <c r="B44" s="611"/>
      <c r="C44" s="32"/>
      <c r="D44" s="29"/>
      <c r="E44" s="29"/>
      <c r="F44" s="29"/>
      <c r="G44" s="29"/>
      <c r="H44" s="29"/>
      <c r="I44" s="29"/>
      <c r="J44" s="29"/>
      <c r="K44" s="29"/>
      <c r="L44" s="58" t="str">
        <f t="shared" ref="L44:L49" si="12">IFERROR(K44/J44%,"")</f>
        <v/>
      </c>
      <c r="M44" s="58" t="str">
        <f t="shared" ref="M44:M49" si="13">IFERROR(K44/I44%,"")</f>
        <v/>
      </c>
      <c r="N44" s="3"/>
    </row>
    <row r="45" spans="1:14" ht="17.25" hidden="1" customHeight="1" outlineLevel="1">
      <c r="A45" s="32"/>
      <c r="B45" s="116"/>
      <c r="C45" s="34"/>
      <c r="D45" s="28"/>
      <c r="E45" s="28"/>
      <c r="F45" s="28"/>
      <c r="G45" s="28"/>
      <c r="H45" s="28"/>
      <c r="I45" s="28"/>
      <c r="J45" s="28"/>
      <c r="K45" s="28"/>
      <c r="L45" s="58" t="str">
        <f t="shared" si="12"/>
        <v/>
      </c>
      <c r="M45" s="58" t="str">
        <f t="shared" si="13"/>
        <v/>
      </c>
      <c r="N45" s="3"/>
    </row>
    <row r="46" spans="1:14" ht="17.25" hidden="1" customHeight="1" outlineLevel="1">
      <c r="A46" s="32"/>
      <c r="B46" s="117"/>
      <c r="C46" s="34"/>
      <c r="D46" s="29"/>
      <c r="E46" s="29"/>
      <c r="F46" s="29"/>
      <c r="G46" s="29"/>
      <c r="H46" s="29"/>
      <c r="I46" s="29"/>
      <c r="J46" s="29"/>
      <c r="K46" s="29"/>
      <c r="L46" s="58" t="str">
        <f t="shared" si="12"/>
        <v/>
      </c>
      <c r="M46" s="58" t="str">
        <f t="shared" si="13"/>
        <v/>
      </c>
      <c r="N46" s="3"/>
    </row>
    <row r="47" spans="1:14" ht="19.5" customHeight="1" collapsed="1">
      <c r="A47" s="11">
        <v>2</v>
      </c>
      <c r="B47" s="30" t="s">
        <v>508</v>
      </c>
      <c r="C47" s="32" t="s">
        <v>37</v>
      </c>
      <c r="D47" s="27"/>
      <c r="E47" s="27"/>
      <c r="F47" s="27"/>
      <c r="G47" s="27"/>
      <c r="H47" s="27"/>
      <c r="I47" s="27">
        <v>3000</v>
      </c>
      <c r="J47" s="27">
        <v>6000</v>
      </c>
      <c r="K47" s="27">
        <v>790</v>
      </c>
      <c r="L47" s="58">
        <f t="shared" si="12"/>
        <v>13.166666666666666</v>
      </c>
      <c r="M47" s="58">
        <f t="shared" si="13"/>
        <v>26.333333333333332</v>
      </c>
      <c r="N47" s="3"/>
    </row>
    <row r="48" spans="1:14" ht="19.5" customHeight="1">
      <c r="A48" s="39"/>
      <c r="B48" s="37" t="s">
        <v>27</v>
      </c>
      <c r="C48" s="34" t="s">
        <v>21</v>
      </c>
      <c r="D48" s="28"/>
      <c r="E48" s="28"/>
      <c r="F48" s="28"/>
      <c r="G48" s="28"/>
      <c r="H48" s="28"/>
      <c r="I48" s="28"/>
      <c r="J48" s="28">
        <v>145</v>
      </c>
      <c r="K48" s="28"/>
      <c r="L48" s="58">
        <f t="shared" si="12"/>
        <v>0</v>
      </c>
      <c r="M48" s="58" t="str">
        <f t="shared" si="13"/>
        <v/>
      </c>
      <c r="N48" s="3"/>
    </row>
    <row r="49" spans="1:14" ht="19.5" customHeight="1">
      <c r="A49" s="39"/>
      <c r="B49" s="37" t="s">
        <v>28</v>
      </c>
      <c r="C49" s="34" t="s">
        <v>76</v>
      </c>
      <c r="D49" s="29"/>
      <c r="E49" s="29"/>
      <c r="F49" s="29"/>
      <c r="G49" s="29"/>
      <c r="H49" s="29"/>
      <c r="I49" s="29"/>
      <c r="J49" s="29">
        <f>J48*J47/10</f>
        <v>87000</v>
      </c>
      <c r="K49" s="29"/>
      <c r="L49" s="58">
        <f t="shared" si="12"/>
        <v>0</v>
      </c>
      <c r="M49" s="58" t="str">
        <f t="shared" si="13"/>
        <v/>
      </c>
      <c r="N49" s="3"/>
    </row>
    <row r="50" spans="1:14" ht="19.5" customHeight="1">
      <c r="A50" s="32">
        <v>3</v>
      </c>
      <c r="B50" s="35" t="s">
        <v>317</v>
      </c>
      <c r="C50" s="32" t="s">
        <v>37</v>
      </c>
      <c r="D50" s="29">
        <v>9.1999999999999993</v>
      </c>
      <c r="E50" s="29">
        <v>10.5</v>
      </c>
      <c r="F50" s="29">
        <v>30</v>
      </c>
      <c r="G50" s="29">
        <v>29.1</v>
      </c>
      <c r="H50" s="29">
        <v>29.1</v>
      </c>
      <c r="I50" s="29">
        <f>QI.2018!H50</f>
        <v>29.1</v>
      </c>
      <c r="J50" s="29">
        <v>30</v>
      </c>
      <c r="K50" s="29">
        <v>29.1</v>
      </c>
      <c r="L50" s="58">
        <f>IFERROR(K50/J50%,"")</f>
        <v>97.000000000000014</v>
      </c>
      <c r="M50" s="58">
        <f>IFERROR(K50/I50%,"")</f>
        <v>99.999999999999986</v>
      </c>
      <c r="N50" s="3"/>
    </row>
    <row r="51" spans="1:14" ht="19.5" hidden="1" customHeight="1" outlineLevel="1">
      <c r="A51" s="32"/>
      <c r="B51" s="33"/>
      <c r="C51" s="32"/>
      <c r="D51" s="29"/>
      <c r="E51" s="29"/>
      <c r="F51" s="29"/>
      <c r="G51" s="29"/>
      <c r="H51" s="29"/>
      <c r="I51" s="29"/>
      <c r="J51" s="29"/>
      <c r="K51" s="29"/>
      <c r="L51" s="58"/>
      <c r="M51" s="58"/>
      <c r="N51" s="3"/>
    </row>
    <row r="52" spans="1:14" ht="19.5" hidden="1" customHeight="1" outlineLevel="1">
      <c r="A52" s="39"/>
      <c r="B52" s="37"/>
      <c r="C52" s="34"/>
      <c r="D52" s="28"/>
      <c r="E52" s="28"/>
      <c r="F52" s="28"/>
      <c r="G52" s="28"/>
      <c r="H52" s="28"/>
      <c r="I52" s="28"/>
      <c r="J52" s="28"/>
      <c r="K52" s="28"/>
      <c r="L52" s="58"/>
      <c r="M52" s="58"/>
      <c r="N52" s="3"/>
    </row>
    <row r="53" spans="1:14" ht="19.5" hidden="1" customHeight="1" outlineLevel="1">
      <c r="A53" s="39"/>
      <c r="B53" s="37"/>
      <c r="C53" s="34"/>
      <c r="D53" s="29"/>
      <c r="E53" s="29"/>
      <c r="F53" s="29"/>
      <c r="G53" s="29"/>
      <c r="H53" s="29"/>
      <c r="I53" s="29"/>
      <c r="J53" s="29"/>
      <c r="K53" s="29"/>
      <c r="L53" s="58"/>
      <c r="M53" s="58"/>
      <c r="N53" s="3"/>
    </row>
    <row r="54" spans="1:14" ht="19.5" customHeight="1" collapsed="1">
      <c r="A54" s="32">
        <v>4</v>
      </c>
      <c r="B54" s="35" t="s">
        <v>136</v>
      </c>
      <c r="C54" s="32" t="s">
        <v>37</v>
      </c>
      <c r="D54" s="29">
        <f t="shared" ref="D54:K54" si="14">D57+D60</f>
        <v>97.3</v>
      </c>
      <c r="E54" s="29">
        <f t="shared" si="14"/>
        <v>137</v>
      </c>
      <c r="F54" s="29">
        <f t="shared" si="14"/>
        <v>123</v>
      </c>
      <c r="G54" s="29">
        <f t="shared" si="14"/>
        <v>123</v>
      </c>
      <c r="H54" s="29">
        <f t="shared" si="14"/>
        <v>123</v>
      </c>
      <c r="I54" s="29">
        <f t="shared" si="14"/>
        <v>118.5</v>
      </c>
      <c r="J54" s="29">
        <f t="shared" si="14"/>
        <v>115</v>
      </c>
      <c r="K54" s="29">
        <f t="shared" si="14"/>
        <v>117</v>
      </c>
      <c r="L54" s="58">
        <f>IFERROR(K54/J54%,"")</f>
        <v>101.73913043478262</v>
      </c>
      <c r="M54" s="58">
        <f>IFERROR(K54/I54%,"")</f>
        <v>98.734177215189874</v>
      </c>
      <c r="N54" s="3"/>
    </row>
    <row r="55" spans="1:14" ht="19.5" hidden="1" customHeight="1" outlineLevel="1">
      <c r="A55" s="39"/>
      <c r="B55" s="37" t="s">
        <v>27</v>
      </c>
      <c r="C55" s="34" t="s">
        <v>21</v>
      </c>
      <c r="D55" s="28">
        <f t="shared" ref="D55:K55" si="15">D56/D54*10</f>
        <v>0</v>
      </c>
      <c r="E55" s="28">
        <f t="shared" si="15"/>
        <v>0</v>
      </c>
      <c r="F55" s="28">
        <f t="shared" si="15"/>
        <v>0</v>
      </c>
      <c r="G55" s="28">
        <f t="shared" si="15"/>
        <v>0</v>
      </c>
      <c r="H55" s="28">
        <f t="shared" si="15"/>
        <v>0</v>
      </c>
      <c r="I55" s="28">
        <f t="shared" si="15"/>
        <v>0</v>
      </c>
      <c r="J55" s="28">
        <f t="shared" si="15"/>
        <v>0</v>
      </c>
      <c r="K55" s="28">
        <f t="shared" si="15"/>
        <v>0</v>
      </c>
      <c r="L55" s="58" t="str">
        <f>IFERROR(K55/J55%,"")</f>
        <v/>
      </c>
      <c r="M55" s="58" t="str">
        <f>IFERROR(K55/I55%,"")</f>
        <v/>
      </c>
      <c r="N55" s="3"/>
    </row>
    <row r="56" spans="1:14" ht="19.5" hidden="1" customHeight="1" outlineLevel="1">
      <c r="A56" s="39"/>
      <c r="B56" s="37" t="s">
        <v>28</v>
      </c>
      <c r="C56" s="34" t="s">
        <v>76</v>
      </c>
      <c r="D56" s="29">
        <f t="shared" ref="D56:K56" si="16">D59+D62</f>
        <v>0</v>
      </c>
      <c r="E56" s="29">
        <f t="shared" si="16"/>
        <v>0</v>
      </c>
      <c r="F56" s="29">
        <f t="shared" si="16"/>
        <v>0</v>
      </c>
      <c r="G56" s="29">
        <f t="shared" si="16"/>
        <v>0</v>
      </c>
      <c r="H56" s="29">
        <f t="shared" si="16"/>
        <v>0</v>
      </c>
      <c r="I56" s="29">
        <f t="shared" si="16"/>
        <v>0</v>
      </c>
      <c r="J56" s="29">
        <f t="shared" si="16"/>
        <v>0</v>
      </c>
      <c r="K56" s="29">
        <f t="shared" si="16"/>
        <v>0</v>
      </c>
      <c r="L56" s="58" t="str">
        <f>IFERROR(K56/J56%,"")</f>
        <v/>
      </c>
      <c r="M56" s="58" t="str">
        <f>IFERROR(K56/I56%,"")</f>
        <v/>
      </c>
      <c r="N56" s="3"/>
    </row>
    <row r="57" spans="1:14" ht="19.5" customHeight="1" collapsed="1">
      <c r="A57" s="32"/>
      <c r="B57" s="612" t="s">
        <v>459</v>
      </c>
      <c r="C57" s="21" t="s">
        <v>37</v>
      </c>
      <c r="D57" s="22">
        <v>97.3</v>
      </c>
      <c r="E57" s="22">
        <v>137</v>
      </c>
      <c r="F57" s="22">
        <v>123</v>
      </c>
      <c r="G57" s="22">
        <v>123</v>
      </c>
      <c r="H57" s="22">
        <v>123</v>
      </c>
      <c r="I57" s="22">
        <v>118.5</v>
      </c>
      <c r="J57" s="22">
        <v>115</v>
      </c>
      <c r="K57" s="22">
        <v>117</v>
      </c>
      <c r="L57" s="58">
        <f>IFERROR(K57/J57%,"")</f>
        <v>101.73913043478262</v>
      </c>
      <c r="M57" s="58">
        <f>IFERROR(K57/I57%,"")</f>
        <v>98.734177215189874</v>
      </c>
      <c r="N57" s="3"/>
    </row>
    <row r="58" spans="1:14" ht="19.5" hidden="1" customHeight="1" outlineLevel="1">
      <c r="A58" s="32"/>
      <c r="B58" s="136"/>
      <c r="C58" s="21"/>
      <c r="D58" s="38"/>
      <c r="E58" s="38"/>
      <c r="F58" s="38"/>
      <c r="G58" s="38"/>
      <c r="H58" s="38"/>
      <c r="I58" s="38"/>
      <c r="J58" s="38"/>
      <c r="K58" s="38"/>
      <c r="L58" s="58"/>
      <c r="M58" s="58"/>
      <c r="N58" s="3"/>
    </row>
    <row r="59" spans="1:14" ht="19.5" hidden="1" customHeight="1" outlineLevel="1">
      <c r="A59" s="32"/>
      <c r="B59" s="136"/>
      <c r="C59" s="21"/>
      <c r="D59" s="22"/>
      <c r="E59" s="22"/>
      <c r="F59" s="22"/>
      <c r="G59" s="22"/>
      <c r="H59" s="22"/>
      <c r="I59" s="22"/>
      <c r="J59" s="22"/>
      <c r="K59" s="22"/>
      <c r="L59" s="58"/>
      <c r="M59" s="58"/>
      <c r="N59" s="3"/>
    </row>
    <row r="60" spans="1:14" ht="19.5" hidden="1" customHeight="1" outlineLevel="1">
      <c r="A60" s="32"/>
      <c r="B60" s="612"/>
      <c r="C60" s="21"/>
      <c r="D60" s="22"/>
      <c r="E60" s="22"/>
      <c r="F60" s="22"/>
      <c r="G60" s="22"/>
      <c r="H60" s="22"/>
      <c r="I60" s="22"/>
      <c r="J60" s="22"/>
      <c r="K60" s="22"/>
      <c r="L60" s="58"/>
      <c r="M60" s="58"/>
      <c r="N60" s="3"/>
    </row>
    <row r="61" spans="1:14" ht="19.5" hidden="1" customHeight="1" outlineLevel="1">
      <c r="A61" s="32"/>
      <c r="B61" s="136"/>
      <c r="C61" s="21"/>
      <c r="D61" s="38"/>
      <c r="E61" s="38"/>
      <c r="F61" s="38"/>
      <c r="G61" s="38"/>
      <c r="H61" s="38"/>
      <c r="I61" s="38"/>
      <c r="J61" s="38"/>
      <c r="K61" s="38"/>
      <c r="L61" s="58"/>
      <c r="M61" s="58"/>
      <c r="N61" s="3"/>
    </row>
    <row r="62" spans="1:14" ht="19.5" hidden="1" customHeight="1" outlineLevel="1">
      <c r="A62" s="32"/>
      <c r="B62" s="136"/>
      <c r="C62" s="21"/>
      <c r="D62" s="22"/>
      <c r="E62" s="22"/>
      <c r="F62" s="22"/>
      <c r="G62" s="22"/>
      <c r="H62" s="22"/>
      <c r="I62" s="22"/>
      <c r="J62" s="22"/>
      <c r="K62" s="22"/>
      <c r="L62" s="58"/>
      <c r="M62" s="58"/>
      <c r="N62" s="3"/>
    </row>
    <row r="63" spans="1:14" s="18" customFormat="1" hidden="1" outlineLevel="1">
      <c r="A63" s="11"/>
      <c r="B63" s="30"/>
      <c r="C63" s="11"/>
      <c r="D63" s="36"/>
      <c r="E63" s="36"/>
      <c r="F63" s="36"/>
      <c r="G63" s="36"/>
      <c r="H63" s="36"/>
      <c r="I63" s="36"/>
      <c r="J63" s="36"/>
      <c r="K63" s="36"/>
      <c r="L63" s="66"/>
      <c r="M63" s="66"/>
      <c r="N63" s="83"/>
    </row>
    <row r="64" spans="1:14" ht="19.5" hidden="1" customHeight="1" outlineLevel="1">
      <c r="A64" s="32"/>
      <c r="B64" s="35"/>
      <c r="C64" s="32"/>
      <c r="D64" s="28"/>
      <c r="E64" s="28"/>
      <c r="F64" s="28"/>
      <c r="G64" s="28"/>
      <c r="H64" s="28"/>
      <c r="I64" s="28"/>
      <c r="J64" s="28"/>
      <c r="K64" s="28"/>
      <c r="L64" s="58"/>
      <c r="M64" s="58"/>
      <c r="N64" s="3"/>
    </row>
    <row r="65" spans="1:15" ht="19.5" hidden="1" customHeight="1" outlineLevel="1">
      <c r="A65" s="32"/>
      <c r="B65" s="35"/>
      <c r="C65" s="32"/>
      <c r="D65" s="28"/>
      <c r="E65" s="28"/>
      <c r="F65" s="28"/>
      <c r="G65" s="28"/>
      <c r="H65" s="28"/>
      <c r="I65" s="28"/>
      <c r="J65" s="28"/>
      <c r="K65" s="28"/>
      <c r="L65" s="58"/>
      <c r="M65" s="58"/>
      <c r="N65" s="3"/>
    </row>
    <row r="66" spans="1:15" ht="19.5" hidden="1" customHeight="1" outlineLevel="1">
      <c r="A66" s="32"/>
      <c r="B66" s="35"/>
      <c r="C66" s="32"/>
      <c r="D66" s="28"/>
      <c r="E66" s="28"/>
      <c r="F66" s="28"/>
      <c r="G66" s="28"/>
      <c r="H66" s="28"/>
      <c r="I66" s="28"/>
      <c r="J66" s="28"/>
      <c r="K66" s="28"/>
      <c r="L66" s="58"/>
      <c r="M66" s="58"/>
      <c r="N66" s="3"/>
    </row>
    <row r="67" spans="1:15" ht="17.25" customHeight="1" collapsed="1">
      <c r="A67" s="24" t="s">
        <v>39</v>
      </c>
      <c r="B67" s="30" t="s">
        <v>122</v>
      </c>
      <c r="C67" s="11" t="s">
        <v>37</v>
      </c>
      <c r="D67" s="27">
        <f t="shared" ref="D67:K67" si="17">D68+D81+D82</f>
        <v>9814</v>
      </c>
      <c r="E67" s="27">
        <f t="shared" si="17"/>
        <v>10071.6</v>
      </c>
      <c r="F67" s="27">
        <f t="shared" si="17"/>
        <v>10122.1</v>
      </c>
      <c r="G67" s="27">
        <f t="shared" si="17"/>
        <v>10418.700000000001</v>
      </c>
      <c r="H67" s="27">
        <f>H68+H81+H82</f>
        <v>10463.900000000001</v>
      </c>
      <c r="I67" s="27">
        <f>I68+I81+I82</f>
        <v>10019.300000000001</v>
      </c>
      <c r="J67" s="27">
        <f t="shared" si="17"/>
        <v>10431.200000000001</v>
      </c>
      <c r="K67" s="27">
        <f t="shared" si="17"/>
        <v>10373.700000000001</v>
      </c>
      <c r="L67" s="66">
        <f>IFERROR(K67/J67%,"")</f>
        <v>99.448769077383233</v>
      </c>
      <c r="M67" s="66">
        <f>IFERROR(K67/I67%,"")</f>
        <v>103.53717325561665</v>
      </c>
      <c r="N67" s="3"/>
    </row>
    <row r="68" spans="1:15" s="18" customFormat="1" ht="17.25" customHeight="1">
      <c r="A68" s="24">
        <v>1</v>
      </c>
      <c r="B68" s="23" t="s">
        <v>448</v>
      </c>
      <c r="C68" s="11" t="s">
        <v>37</v>
      </c>
      <c r="D68" s="27">
        <f t="shared" ref="D68:K68" si="18">D69+D75</f>
        <v>9537.2999999999993</v>
      </c>
      <c r="E68" s="27">
        <f t="shared" si="18"/>
        <v>9722.1</v>
      </c>
      <c r="F68" s="27">
        <f t="shared" si="18"/>
        <v>9772.1</v>
      </c>
      <c r="G68" s="27">
        <f t="shared" si="18"/>
        <v>10029.6</v>
      </c>
      <c r="H68" s="27">
        <f t="shared" si="18"/>
        <v>10029.6</v>
      </c>
      <c r="I68" s="27">
        <f t="shared" si="18"/>
        <v>9677.2000000000007</v>
      </c>
      <c r="J68" s="27">
        <f t="shared" si="18"/>
        <v>10079.6</v>
      </c>
      <c r="K68" s="27">
        <f t="shared" si="18"/>
        <v>10029.6</v>
      </c>
      <c r="L68" s="66">
        <f>IFERROR(K68/J68%,"")</f>
        <v>99.503948569387674</v>
      </c>
      <c r="M68" s="66">
        <f>IFERROR(K68/I68%,"")</f>
        <v>103.64154920844872</v>
      </c>
      <c r="N68" s="83"/>
    </row>
    <row r="69" spans="1:15" s="18" customFormat="1" ht="17.25" customHeight="1">
      <c r="A69" s="11" t="s">
        <v>34</v>
      </c>
      <c r="B69" s="30" t="s">
        <v>445</v>
      </c>
      <c r="C69" s="11" t="s">
        <v>37</v>
      </c>
      <c r="D69" s="16">
        <v>1743.8</v>
      </c>
      <c r="E69" s="16">
        <f>D69+E70</f>
        <v>1919.5</v>
      </c>
      <c r="F69" s="16">
        <f>E69+F70-F71</f>
        <v>1969.5</v>
      </c>
      <c r="G69" s="16">
        <f>E69+G70-G71</f>
        <v>2299.5</v>
      </c>
      <c r="H69" s="16">
        <f>E69+H70-H71</f>
        <v>2299.5</v>
      </c>
      <c r="I69" s="16">
        <f>E69+I70</f>
        <v>1919.5</v>
      </c>
      <c r="J69" s="16">
        <f>H69+J70</f>
        <v>2349.5</v>
      </c>
      <c r="K69" s="16">
        <f>H69+K70</f>
        <v>2299.5</v>
      </c>
      <c r="L69" s="66">
        <f>IFERROR(K69/J69%,"")</f>
        <v>97.871887635667164</v>
      </c>
      <c r="M69" s="66">
        <f>IFERROR(K69/I69%,"")</f>
        <v>119.79682208908569</v>
      </c>
      <c r="N69" s="83"/>
    </row>
    <row r="70" spans="1:15" ht="17.25" hidden="1" customHeight="1" outlineLevel="1">
      <c r="A70" s="32"/>
      <c r="B70" s="35" t="s">
        <v>123</v>
      </c>
      <c r="C70" s="32" t="s">
        <v>37</v>
      </c>
      <c r="D70" s="38">
        <v>185.9</v>
      </c>
      <c r="E70" s="38">
        <v>175.7</v>
      </c>
      <c r="F70" s="38">
        <v>50</v>
      </c>
      <c r="G70" s="38">
        <v>381</v>
      </c>
      <c r="H70" s="38">
        <v>381</v>
      </c>
      <c r="I70" s="38"/>
      <c r="J70" s="38">
        <v>50</v>
      </c>
      <c r="K70" s="38"/>
      <c r="L70" s="58">
        <f>IFERROR(K70/J70%,"")</f>
        <v>0</v>
      </c>
      <c r="M70" s="58" t="str">
        <f>IFERROR(K70/I70%,"")</f>
        <v/>
      </c>
      <c r="N70" s="3"/>
    </row>
    <row r="71" spans="1:15" ht="17.25" hidden="1" customHeight="1" outlineLevel="1">
      <c r="A71" s="32"/>
      <c r="B71" s="35" t="s">
        <v>321</v>
      </c>
      <c r="C71" s="32" t="s">
        <v>37</v>
      </c>
      <c r="D71" s="38"/>
      <c r="E71" s="38"/>
      <c r="F71" s="38"/>
      <c r="G71" s="38">
        <v>1</v>
      </c>
      <c r="H71" s="38">
        <v>1</v>
      </c>
      <c r="I71" s="38"/>
      <c r="J71" s="38"/>
      <c r="K71" s="38"/>
      <c r="L71" s="58"/>
      <c r="M71" s="58"/>
      <c r="N71" s="3"/>
    </row>
    <row r="72" spans="1:15" ht="17.25" hidden="1" customHeight="1" outlineLevel="1">
      <c r="A72" s="32"/>
      <c r="B72" s="35" t="s">
        <v>124</v>
      </c>
      <c r="C72" s="32" t="s">
        <v>37</v>
      </c>
      <c r="D72" s="22">
        <v>1246</v>
      </c>
      <c r="E72" s="22">
        <v>1384</v>
      </c>
      <c r="F72" s="22">
        <v>1559</v>
      </c>
      <c r="G72" s="22">
        <v>1558</v>
      </c>
      <c r="H72" s="22">
        <v>1558</v>
      </c>
      <c r="I72" s="22">
        <v>1745</v>
      </c>
      <c r="J72" s="22">
        <v>1745</v>
      </c>
      <c r="K72" s="22">
        <v>1745</v>
      </c>
      <c r="L72" s="58">
        <f t="shared" ref="L72:L105" si="19">IFERROR(K72/J72%,"")</f>
        <v>100</v>
      </c>
      <c r="M72" s="58">
        <f t="shared" ref="M72:M105" si="20">IFERROR(K72/I72%,"")</f>
        <v>100</v>
      </c>
      <c r="N72" s="3"/>
      <c r="O72" s="81"/>
    </row>
    <row r="73" spans="1:15" ht="17.25" hidden="1" customHeight="1" outlineLevel="1">
      <c r="A73" s="32"/>
      <c r="B73" s="35" t="s">
        <v>125</v>
      </c>
      <c r="C73" s="32" t="s">
        <v>21</v>
      </c>
      <c r="D73" s="38">
        <v>31.73</v>
      </c>
      <c r="E73" s="38">
        <v>35.65</v>
      </c>
      <c r="F73" s="38">
        <v>35</v>
      </c>
      <c r="G73" s="38"/>
      <c r="H73" s="38">
        <v>35</v>
      </c>
      <c r="I73" s="38">
        <v>35</v>
      </c>
      <c r="J73" s="38">
        <v>35</v>
      </c>
      <c r="K73" s="38">
        <v>35</v>
      </c>
      <c r="L73" s="58">
        <f t="shared" si="19"/>
        <v>100</v>
      </c>
      <c r="M73" s="58">
        <f t="shared" si="20"/>
        <v>100</v>
      </c>
      <c r="N73" s="3"/>
    </row>
    <row r="74" spans="1:15" ht="17.25" hidden="1" customHeight="1" outlineLevel="1">
      <c r="A74" s="32"/>
      <c r="B74" s="35" t="s">
        <v>320</v>
      </c>
      <c r="C74" s="32" t="s">
        <v>76</v>
      </c>
      <c r="D74" s="22">
        <f t="shared" ref="D74:K74" si="21">D72*D73/10</f>
        <v>3953.558</v>
      </c>
      <c r="E74" s="22">
        <f t="shared" si="21"/>
        <v>4933.96</v>
      </c>
      <c r="F74" s="22">
        <f t="shared" si="21"/>
        <v>5456.5</v>
      </c>
      <c r="G74" s="22">
        <f t="shared" si="21"/>
        <v>0</v>
      </c>
      <c r="H74" s="22">
        <f t="shared" si="21"/>
        <v>5453</v>
      </c>
      <c r="I74" s="22">
        <f t="shared" si="21"/>
        <v>6107.5</v>
      </c>
      <c r="J74" s="22">
        <f t="shared" si="21"/>
        <v>6107.5</v>
      </c>
      <c r="K74" s="22">
        <f t="shared" si="21"/>
        <v>6107.5</v>
      </c>
      <c r="L74" s="58">
        <f t="shared" si="19"/>
        <v>100</v>
      </c>
      <c r="M74" s="58">
        <f t="shared" si="20"/>
        <v>100</v>
      </c>
      <c r="N74" s="3"/>
    </row>
    <row r="75" spans="1:15" s="18" customFormat="1" ht="17.25" customHeight="1" collapsed="1">
      <c r="A75" s="11" t="s">
        <v>35</v>
      </c>
      <c r="B75" s="30" t="s">
        <v>446</v>
      </c>
      <c r="C75" s="11" t="s">
        <v>37</v>
      </c>
      <c r="D75" s="16">
        <v>7793.5</v>
      </c>
      <c r="E75" s="16">
        <f>D75+E76-E77</f>
        <v>7802.6</v>
      </c>
      <c r="F75" s="16">
        <f>E75+F76-F77</f>
        <v>7802.6</v>
      </c>
      <c r="G75" s="16">
        <f>E75+G76-G77</f>
        <v>7730.1</v>
      </c>
      <c r="H75" s="16">
        <f>E75+H76-H77</f>
        <v>7730.1</v>
      </c>
      <c r="I75" s="16">
        <f>E75+I76-I77</f>
        <v>7757.7000000000007</v>
      </c>
      <c r="J75" s="16">
        <f>H75+J76-J77</f>
        <v>7730.1</v>
      </c>
      <c r="K75" s="16">
        <f>H75+K76-K77</f>
        <v>7730.1</v>
      </c>
      <c r="L75" s="66">
        <f t="shared" si="19"/>
        <v>100</v>
      </c>
      <c r="M75" s="66">
        <f t="shared" si="20"/>
        <v>99.644224447967815</v>
      </c>
      <c r="N75" s="83"/>
    </row>
    <row r="76" spans="1:15" ht="17.25" customHeight="1">
      <c r="A76" s="32"/>
      <c r="B76" s="35" t="s">
        <v>123</v>
      </c>
      <c r="C76" s="32" t="s">
        <v>37</v>
      </c>
      <c r="D76" s="43">
        <v>0</v>
      </c>
      <c r="E76" s="28">
        <v>24.6</v>
      </c>
      <c r="F76" s="43"/>
      <c r="G76" s="43">
        <v>38.299999999999997</v>
      </c>
      <c r="H76" s="43">
        <v>38.299999999999997</v>
      </c>
      <c r="I76" s="43"/>
      <c r="J76" s="43"/>
      <c r="K76" s="43"/>
      <c r="L76" s="58" t="str">
        <f t="shared" si="19"/>
        <v/>
      </c>
      <c r="M76" s="58" t="str">
        <f t="shared" si="20"/>
        <v/>
      </c>
      <c r="N76" s="3"/>
    </row>
    <row r="77" spans="1:15" ht="17.25" customHeight="1">
      <c r="A77" s="32"/>
      <c r="B77" s="35" t="s">
        <v>321</v>
      </c>
      <c r="C77" s="32" t="s">
        <v>37</v>
      </c>
      <c r="D77" s="28">
        <v>81.5</v>
      </c>
      <c r="E77" s="28">
        <v>15.5</v>
      </c>
      <c r="F77" s="43"/>
      <c r="G77" s="43">
        <v>110.8</v>
      </c>
      <c r="H77" s="43">
        <v>110.8</v>
      </c>
      <c r="I77" s="43">
        <f>'Thang 4'!G76</f>
        <v>44.9</v>
      </c>
      <c r="J77" s="43"/>
      <c r="K77" s="43"/>
      <c r="L77" s="58" t="str">
        <f t="shared" si="19"/>
        <v/>
      </c>
      <c r="M77" s="58">
        <f t="shared" si="20"/>
        <v>0</v>
      </c>
      <c r="N77" s="3"/>
    </row>
    <row r="78" spans="1:15" ht="17.25" hidden="1" customHeight="1" outlineLevel="1">
      <c r="A78" s="32"/>
      <c r="B78" s="35" t="s">
        <v>124</v>
      </c>
      <c r="C78" s="32" t="s">
        <v>37</v>
      </c>
      <c r="D78" s="22">
        <v>4821</v>
      </c>
      <c r="E78" s="22">
        <v>5385</v>
      </c>
      <c r="F78" s="22">
        <v>5755</v>
      </c>
      <c r="G78" s="22">
        <v>5723.7</v>
      </c>
      <c r="H78" s="22">
        <v>5723.7</v>
      </c>
      <c r="I78" s="22">
        <v>6190</v>
      </c>
      <c r="J78" s="22">
        <v>6190</v>
      </c>
      <c r="K78" s="22">
        <v>6190</v>
      </c>
      <c r="L78" s="58">
        <f t="shared" si="19"/>
        <v>100</v>
      </c>
      <c r="M78" s="58">
        <f t="shared" si="20"/>
        <v>100</v>
      </c>
      <c r="N78" s="3"/>
    </row>
    <row r="79" spans="1:15" ht="17.25" hidden="1" customHeight="1" outlineLevel="1">
      <c r="A79" s="32"/>
      <c r="B79" s="35" t="s">
        <v>126</v>
      </c>
      <c r="C79" s="32" t="s">
        <v>21</v>
      </c>
      <c r="D79" s="38">
        <v>12.33</v>
      </c>
      <c r="E79" s="38">
        <v>12.35</v>
      </c>
      <c r="F79" s="38">
        <v>12.5</v>
      </c>
      <c r="G79" s="38">
        <v>12.5</v>
      </c>
      <c r="H79" s="38">
        <v>12.5</v>
      </c>
      <c r="I79" s="38">
        <v>12.5</v>
      </c>
      <c r="J79" s="38">
        <v>12.5</v>
      </c>
      <c r="K79" s="38">
        <v>12.5</v>
      </c>
      <c r="L79" s="58">
        <f t="shared" si="19"/>
        <v>100</v>
      </c>
      <c r="M79" s="58">
        <f t="shared" si="20"/>
        <v>100</v>
      </c>
      <c r="N79" s="3"/>
    </row>
    <row r="80" spans="1:15" ht="17.25" hidden="1" customHeight="1" outlineLevel="1">
      <c r="A80" s="32"/>
      <c r="B80" s="35" t="s">
        <v>474</v>
      </c>
      <c r="C80" s="32" t="s">
        <v>76</v>
      </c>
      <c r="D80" s="22">
        <f t="shared" ref="D80:K80" si="22">D78*D79/10</f>
        <v>5944.2929999999997</v>
      </c>
      <c r="E80" s="22">
        <f t="shared" si="22"/>
        <v>6650.4750000000004</v>
      </c>
      <c r="F80" s="22">
        <f t="shared" si="22"/>
        <v>7193.75</v>
      </c>
      <c r="G80" s="22">
        <f t="shared" si="22"/>
        <v>7154.625</v>
      </c>
      <c r="H80" s="22">
        <f t="shared" si="22"/>
        <v>7154.625</v>
      </c>
      <c r="I80" s="22">
        <f t="shared" si="22"/>
        <v>7737.5</v>
      </c>
      <c r="J80" s="22">
        <f t="shared" si="22"/>
        <v>7737.5</v>
      </c>
      <c r="K80" s="22">
        <f t="shared" si="22"/>
        <v>7737.5</v>
      </c>
      <c r="L80" s="58">
        <f t="shared" si="19"/>
        <v>100</v>
      </c>
      <c r="M80" s="58">
        <f t="shared" si="20"/>
        <v>100</v>
      </c>
      <c r="N80" s="3"/>
    </row>
    <row r="81" spans="1:15" s="18" customFormat="1" ht="17.25" hidden="1" customHeight="1" outlineLevel="1" collapsed="1">
      <c r="A81" s="11">
        <v>2</v>
      </c>
      <c r="B81" s="30" t="s">
        <v>181</v>
      </c>
      <c r="C81" s="11" t="s">
        <v>37</v>
      </c>
      <c r="D81" s="16">
        <v>155.19999999999999</v>
      </c>
      <c r="E81" s="16">
        <v>218.9</v>
      </c>
      <c r="F81" s="16">
        <v>220</v>
      </c>
      <c r="G81" s="16">
        <v>266</v>
      </c>
      <c r="H81" s="16">
        <v>302.70000000000005</v>
      </c>
      <c r="I81" s="16">
        <v>219</v>
      </c>
      <c r="J81" s="16">
        <v>220</v>
      </c>
      <c r="K81" s="16">
        <v>221</v>
      </c>
      <c r="L81" s="66">
        <f t="shared" si="19"/>
        <v>100.45454545454545</v>
      </c>
      <c r="M81" s="66">
        <f t="shared" si="20"/>
        <v>100.91324200913242</v>
      </c>
      <c r="N81" s="83"/>
    </row>
    <row r="82" spans="1:15" s="18" customFormat="1" ht="31.5" hidden="1" outlineLevel="1">
      <c r="A82" s="11">
        <v>3</v>
      </c>
      <c r="B82" s="30" t="s">
        <v>410</v>
      </c>
      <c r="C82" s="11" t="s">
        <v>37</v>
      </c>
      <c r="D82" s="16">
        <f t="shared" ref="D82:J82" si="23">SUM(D83:D87)</f>
        <v>121.5</v>
      </c>
      <c r="E82" s="16">
        <f t="shared" si="23"/>
        <v>130.60000000000002</v>
      </c>
      <c r="F82" s="16">
        <f t="shared" si="23"/>
        <v>130</v>
      </c>
      <c r="G82" s="16">
        <f t="shared" si="23"/>
        <v>123.10000000000001</v>
      </c>
      <c r="H82" s="16">
        <f t="shared" si="23"/>
        <v>131.60000000000002</v>
      </c>
      <c r="I82" s="16">
        <f>SUM(I83:I87)</f>
        <v>123.10000000000001</v>
      </c>
      <c r="J82" s="16">
        <f t="shared" si="23"/>
        <v>131.60000000000002</v>
      </c>
      <c r="K82" s="16">
        <f>SUM(K83:K87)</f>
        <v>123.10000000000001</v>
      </c>
      <c r="L82" s="66">
        <f t="shared" si="19"/>
        <v>93.541033434650444</v>
      </c>
      <c r="M82" s="66">
        <f t="shared" si="20"/>
        <v>100</v>
      </c>
      <c r="N82" s="83"/>
      <c r="O82" s="87"/>
    </row>
    <row r="83" spans="1:15" ht="17.25" hidden="1" customHeight="1" outlineLevel="1">
      <c r="A83" s="32"/>
      <c r="B83" s="35" t="s">
        <v>405</v>
      </c>
      <c r="C83" s="32" t="s">
        <v>37</v>
      </c>
      <c r="D83" s="38">
        <v>18.5</v>
      </c>
      <c r="E83" s="38">
        <v>17</v>
      </c>
      <c r="F83" s="38">
        <v>17</v>
      </c>
      <c r="G83" s="38">
        <v>14</v>
      </c>
      <c r="H83" s="38">
        <v>22.5</v>
      </c>
      <c r="I83" s="38">
        <f t="shared" ref="I83:K87" si="24">G83</f>
        <v>14</v>
      </c>
      <c r="J83" s="38">
        <f t="shared" si="24"/>
        <v>22.5</v>
      </c>
      <c r="K83" s="38">
        <f t="shared" si="24"/>
        <v>14</v>
      </c>
      <c r="L83" s="58">
        <f t="shared" si="19"/>
        <v>62.222222222222221</v>
      </c>
      <c r="M83" s="58">
        <f t="shared" si="20"/>
        <v>99.999999999999986</v>
      </c>
      <c r="N83" s="3"/>
    </row>
    <row r="84" spans="1:15" ht="17.25" hidden="1" customHeight="1" outlineLevel="1">
      <c r="A84" s="32"/>
      <c r="B84" s="35" t="s">
        <v>406</v>
      </c>
      <c r="C84" s="32" t="s">
        <v>37</v>
      </c>
      <c r="D84" s="38">
        <v>54.6</v>
      </c>
      <c r="E84" s="38">
        <v>61.9</v>
      </c>
      <c r="F84" s="38">
        <v>62</v>
      </c>
      <c r="G84" s="38">
        <v>62.4</v>
      </c>
      <c r="H84" s="38">
        <v>62.4</v>
      </c>
      <c r="I84" s="38">
        <f t="shared" si="24"/>
        <v>62.4</v>
      </c>
      <c r="J84" s="38">
        <f t="shared" si="24"/>
        <v>62.4</v>
      </c>
      <c r="K84" s="38">
        <f t="shared" si="24"/>
        <v>62.4</v>
      </c>
      <c r="L84" s="58">
        <f t="shared" si="19"/>
        <v>100</v>
      </c>
      <c r="M84" s="58">
        <f t="shared" si="20"/>
        <v>100</v>
      </c>
      <c r="N84" s="3"/>
    </row>
    <row r="85" spans="1:15" ht="17.25" hidden="1" customHeight="1" outlineLevel="1">
      <c r="A85" s="32"/>
      <c r="B85" s="35" t="s">
        <v>407</v>
      </c>
      <c r="C85" s="32" t="s">
        <v>37</v>
      </c>
      <c r="D85" s="38">
        <v>2</v>
      </c>
      <c r="E85" s="38">
        <v>2</v>
      </c>
      <c r="F85" s="38">
        <v>2</v>
      </c>
      <c r="G85" s="38">
        <f>F85</f>
        <v>2</v>
      </c>
      <c r="H85" s="38">
        <f>G85</f>
        <v>2</v>
      </c>
      <c r="I85" s="38">
        <f t="shared" si="24"/>
        <v>2</v>
      </c>
      <c r="J85" s="38">
        <f t="shared" si="24"/>
        <v>2</v>
      </c>
      <c r="K85" s="38">
        <f t="shared" si="24"/>
        <v>2</v>
      </c>
      <c r="L85" s="58">
        <f t="shared" si="19"/>
        <v>100</v>
      </c>
      <c r="M85" s="58">
        <f t="shared" si="20"/>
        <v>100</v>
      </c>
      <c r="N85" s="3"/>
    </row>
    <row r="86" spans="1:15" ht="17.25" hidden="1" customHeight="1" outlineLevel="1">
      <c r="A86" s="32"/>
      <c r="B86" s="35" t="s">
        <v>408</v>
      </c>
      <c r="C86" s="32" t="s">
        <v>37</v>
      </c>
      <c r="D86" s="38">
        <v>46.4</v>
      </c>
      <c r="E86" s="38">
        <v>30.4</v>
      </c>
      <c r="F86" s="38">
        <v>30</v>
      </c>
      <c r="G86" s="38">
        <v>28.9</v>
      </c>
      <c r="H86" s="38">
        <v>28.9</v>
      </c>
      <c r="I86" s="38">
        <f t="shared" si="24"/>
        <v>28.9</v>
      </c>
      <c r="J86" s="38">
        <f t="shared" si="24"/>
        <v>28.9</v>
      </c>
      <c r="K86" s="38">
        <f t="shared" si="24"/>
        <v>28.9</v>
      </c>
      <c r="L86" s="58">
        <f t="shared" si="19"/>
        <v>100</v>
      </c>
      <c r="M86" s="58">
        <f t="shared" si="20"/>
        <v>100</v>
      </c>
      <c r="N86" s="3"/>
    </row>
    <row r="87" spans="1:15" ht="17.25" hidden="1" customHeight="1" outlineLevel="1">
      <c r="A87" s="32"/>
      <c r="B87" s="35" t="s">
        <v>409</v>
      </c>
      <c r="C87" s="32" t="s">
        <v>37</v>
      </c>
      <c r="D87" s="38"/>
      <c r="E87" s="38">
        <v>19.3</v>
      </c>
      <c r="F87" s="38">
        <v>19</v>
      </c>
      <c r="G87" s="38">
        <v>15.8</v>
      </c>
      <c r="H87" s="38">
        <v>15.8</v>
      </c>
      <c r="I87" s="38">
        <f t="shared" si="24"/>
        <v>15.8</v>
      </c>
      <c r="J87" s="38">
        <f t="shared" si="24"/>
        <v>15.8</v>
      </c>
      <c r="K87" s="38">
        <f t="shared" si="24"/>
        <v>15.8</v>
      </c>
      <c r="L87" s="58">
        <f t="shared" si="19"/>
        <v>100</v>
      </c>
      <c r="M87" s="58">
        <f t="shared" si="20"/>
        <v>100</v>
      </c>
      <c r="N87" s="3"/>
    </row>
    <row r="88" spans="1:15" ht="18.75" customHeight="1" collapsed="1">
      <c r="A88" s="11" t="s">
        <v>47</v>
      </c>
      <c r="B88" s="30" t="s">
        <v>96</v>
      </c>
      <c r="C88" s="32"/>
      <c r="D88" s="28"/>
      <c r="E88" s="38"/>
      <c r="F88" s="38"/>
      <c r="G88" s="38"/>
      <c r="H88" s="38"/>
      <c r="I88" s="38"/>
      <c r="J88" s="38"/>
      <c r="K88" s="38"/>
      <c r="L88" s="66" t="str">
        <f t="shared" si="19"/>
        <v/>
      </c>
      <c r="M88" s="66" t="str">
        <f t="shared" si="20"/>
        <v/>
      </c>
      <c r="N88" s="3"/>
    </row>
    <row r="89" spans="1:15" ht="18.75" customHeight="1">
      <c r="A89" s="11">
        <v>1</v>
      </c>
      <c r="B89" s="30" t="s">
        <v>447</v>
      </c>
      <c r="C89" s="11" t="s">
        <v>54</v>
      </c>
      <c r="D89" s="27">
        <f>SUM(D90:D92)</f>
        <v>20219</v>
      </c>
      <c r="E89" s="27">
        <f t="shared" ref="E89:K89" si="25">SUM(E90:E92)</f>
        <v>18350</v>
      </c>
      <c r="F89" s="27">
        <f t="shared" si="25"/>
        <v>20650</v>
      </c>
      <c r="G89" s="27">
        <f t="shared" si="25"/>
        <v>20174</v>
      </c>
      <c r="H89" s="27">
        <f t="shared" si="25"/>
        <v>20238</v>
      </c>
      <c r="I89" s="27">
        <f t="shared" si="25"/>
        <v>19653</v>
      </c>
      <c r="J89" s="27">
        <f t="shared" si="25"/>
        <v>20900</v>
      </c>
      <c r="K89" s="27">
        <f t="shared" si="25"/>
        <v>17503</v>
      </c>
      <c r="L89" s="66">
        <f t="shared" si="19"/>
        <v>83.746411483253596</v>
      </c>
      <c r="M89" s="66">
        <f t="shared" si="20"/>
        <v>89.060194372360456</v>
      </c>
      <c r="N89" s="83"/>
    </row>
    <row r="90" spans="1:15" ht="18.75" customHeight="1">
      <c r="A90" s="32"/>
      <c r="B90" s="35" t="s">
        <v>322</v>
      </c>
      <c r="C90" s="32" t="s">
        <v>54</v>
      </c>
      <c r="D90" s="29">
        <v>2461</v>
      </c>
      <c r="E90" s="29">
        <v>2550</v>
      </c>
      <c r="F90" s="29">
        <v>2650</v>
      </c>
      <c r="G90" s="29">
        <v>2536</v>
      </c>
      <c r="H90" s="29">
        <v>2600</v>
      </c>
      <c r="I90" s="29">
        <v>2510</v>
      </c>
      <c r="J90" s="29">
        <v>2700</v>
      </c>
      <c r="K90" s="29">
        <v>2557</v>
      </c>
      <c r="L90" s="58">
        <f t="shared" si="19"/>
        <v>94.703703703703709</v>
      </c>
      <c r="M90" s="58">
        <f t="shared" si="20"/>
        <v>101.87250996015936</v>
      </c>
      <c r="N90" s="3"/>
    </row>
    <row r="91" spans="1:15" ht="18.75" customHeight="1">
      <c r="A91" s="32"/>
      <c r="B91" s="35" t="s">
        <v>323</v>
      </c>
      <c r="C91" s="32" t="s">
        <v>54</v>
      </c>
      <c r="D91" s="29">
        <v>4034</v>
      </c>
      <c r="E91" s="29">
        <v>4800</v>
      </c>
      <c r="F91" s="29">
        <v>5000</v>
      </c>
      <c r="G91" s="29">
        <v>5087</v>
      </c>
      <c r="H91" s="29">
        <v>5087</v>
      </c>
      <c r="I91" s="29">
        <v>4761</v>
      </c>
      <c r="J91" s="29">
        <v>5200</v>
      </c>
      <c r="K91" s="29">
        <v>4801</v>
      </c>
      <c r="L91" s="58">
        <f t="shared" si="19"/>
        <v>92.32692307692308</v>
      </c>
      <c r="M91" s="58">
        <f t="shared" si="20"/>
        <v>100.84015963032977</v>
      </c>
      <c r="N91" s="3"/>
    </row>
    <row r="92" spans="1:15" ht="18.75" customHeight="1">
      <c r="A92" s="32"/>
      <c r="B92" s="35" t="s">
        <v>324</v>
      </c>
      <c r="C92" s="32" t="s">
        <v>54</v>
      </c>
      <c r="D92" s="29">
        <v>13724</v>
      </c>
      <c r="E92" s="29">
        <v>11000</v>
      </c>
      <c r="F92" s="29">
        <v>13000</v>
      </c>
      <c r="G92" s="29">
        <v>12551</v>
      </c>
      <c r="H92" s="29">
        <v>12551</v>
      </c>
      <c r="I92" s="29">
        <v>12382</v>
      </c>
      <c r="J92" s="29">
        <v>13000</v>
      </c>
      <c r="K92" s="29">
        <v>10145</v>
      </c>
      <c r="L92" s="58">
        <f t="shared" si="19"/>
        <v>78.038461538461533</v>
      </c>
      <c r="M92" s="58">
        <f t="shared" si="20"/>
        <v>81.933451784848984</v>
      </c>
      <c r="N92" s="3"/>
    </row>
    <row r="93" spans="1:15" ht="18.75" customHeight="1">
      <c r="A93" s="11">
        <v>2</v>
      </c>
      <c r="B93" s="44" t="s">
        <v>31</v>
      </c>
      <c r="C93" s="11" t="s">
        <v>54</v>
      </c>
      <c r="D93" s="27">
        <v>77894</v>
      </c>
      <c r="E93" s="27">
        <v>87000</v>
      </c>
      <c r="F93" s="27">
        <v>87000</v>
      </c>
      <c r="G93" s="27">
        <v>78000</v>
      </c>
      <c r="H93" s="27">
        <v>78000</v>
      </c>
      <c r="I93" s="27">
        <v>74830</v>
      </c>
      <c r="J93" s="27">
        <v>80000</v>
      </c>
      <c r="K93" s="27">
        <v>74910</v>
      </c>
      <c r="L93" s="66">
        <f t="shared" si="19"/>
        <v>93.637500000000003</v>
      </c>
      <c r="M93" s="66">
        <f t="shared" si="20"/>
        <v>100.1069089937191</v>
      </c>
      <c r="N93" s="83"/>
    </row>
    <row r="94" spans="1:15" s="18" customFormat="1" ht="18.75" customHeight="1">
      <c r="A94" s="11" t="s">
        <v>48</v>
      </c>
      <c r="B94" s="45" t="s">
        <v>325</v>
      </c>
      <c r="C94" s="11"/>
      <c r="D94" s="27"/>
      <c r="E94" s="27"/>
      <c r="F94" s="27"/>
      <c r="G94" s="27"/>
      <c r="H94" s="27"/>
      <c r="I94" s="27"/>
      <c r="J94" s="27"/>
      <c r="K94" s="27"/>
      <c r="L94" s="66" t="str">
        <f t="shared" si="19"/>
        <v/>
      </c>
      <c r="M94" s="66" t="str">
        <f t="shared" si="20"/>
        <v/>
      </c>
      <c r="N94" s="83"/>
    </row>
    <row r="95" spans="1:15" ht="18.75" customHeight="1">
      <c r="A95" s="32">
        <v>1</v>
      </c>
      <c r="B95" s="46" t="s">
        <v>326</v>
      </c>
      <c r="C95" s="32" t="s">
        <v>37</v>
      </c>
      <c r="D95" s="28">
        <v>85</v>
      </c>
      <c r="E95" s="28">
        <v>85.5</v>
      </c>
      <c r="F95" s="28">
        <v>85.5</v>
      </c>
      <c r="G95" s="28">
        <v>89.100000000000009</v>
      </c>
      <c r="H95" s="28">
        <v>89.100000000000009</v>
      </c>
      <c r="I95" s="28">
        <f>'Thang 4'!G94</f>
        <v>86.1</v>
      </c>
      <c r="J95" s="28">
        <v>89.100000000000009</v>
      </c>
      <c r="K95" s="28">
        <v>90.9</v>
      </c>
      <c r="L95" s="58">
        <f t="shared" si="19"/>
        <v>102.02020202020201</v>
      </c>
      <c r="M95" s="58">
        <f t="shared" si="20"/>
        <v>105.57491289198607</v>
      </c>
      <c r="N95" s="3"/>
    </row>
    <row r="96" spans="1:15" ht="18.75" customHeight="1">
      <c r="A96" s="32">
        <v>2</v>
      </c>
      <c r="B96" s="46" t="s">
        <v>327</v>
      </c>
      <c r="C96" s="32" t="s">
        <v>76</v>
      </c>
      <c r="D96" s="29">
        <f t="shared" ref="D96:K96" si="26">D97+D98</f>
        <v>427.4</v>
      </c>
      <c r="E96" s="29">
        <f t="shared" si="26"/>
        <v>320</v>
      </c>
      <c r="F96" s="29">
        <f t="shared" si="26"/>
        <v>335</v>
      </c>
      <c r="G96" s="29">
        <f t="shared" si="26"/>
        <v>124</v>
      </c>
      <c r="H96" s="29">
        <f t="shared" si="26"/>
        <v>207</v>
      </c>
      <c r="I96" s="29">
        <f t="shared" si="26"/>
        <v>63</v>
      </c>
      <c r="J96" s="29">
        <f t="shared" si="26"/>
        <v>305</v>
      </c>
      <c r="K96" s="29">
        <f t="shared" si="26"/>
        <v>72.7</v>
      </c>
      <c r="L96" s="58">
        <f t="shared" si="19"/>
        <v>23.836065573770494</v>
      </c>
      <c r="M96" s="58">
        <f t="shared" si="20"/>
        <v>115.39682539682541</v>
      </c>
      <c r="N96" s="3"/>
    </row>
    <row r="97" spans="1:15" ht="18.75" customHeight="1">
      <c r="A97" s="32"/>
      <c r="B97" s="48" t="s">
        <v>328</v>
      </c>
      <c r="C97" s="32" t="s">
        <v>76</v>
      </c>
      <c r="D97" s="29">
        <v>211.9</v>
      </c>
      <c r="E97" s="29">
        <v>210</v>
      </c>
      <c r="F97" s="29">
        <v>210</v>
      </c>
      <c r="G97" s="29">
        <v>86.5</v>
      </c>
      <c r="H97" s="29">
        <v>137</v>
      </c>
      <c r="I97" s="29">
        <f>'Thang 4'!G96</f>
        <v>47</v>
      </c>
      <c r="J97" s="29">
        <v>195</v>
      </c>
      <c r="K97" s="29">
        <v>49.2</v>
      </c>
      <c r="L97" s="58">
        <f t="shared" si="19"/>
        <v>25.230769230769234</v>
      </c>
      <c r="M97" s="58">
        <f t="shared" si="20"/>
        <v>104.68085106382981</v>
      </c>
      <c r="N97" s="3"/>
    </row>
    <row r="98" spans="1:15" ht="18.75" customHeight="1">
      <c r="A98" s="32"/>
      <c r="B98" s="48" t="s">
        <v>329</v>
      </c>
      <c r="C98" s="32" t="s">
        <v>76</v>
      </c>
      <c r="D98" s="29">
        <v>215.5</v>
      </c>
      <c r="E98" s="29">
        <v>110</v>
      </c>
      <c r="F98" s="29">
        <v>125</v>
      </c>
      <c r="G98" s="29">
        <v>37.5</v>
      </c>
      <c r="H98" s="29">
        <v>70</v>
      </c>
      <c r="I98" s="29">
        <f>'Thang 4'!G97</f>
        <v>16</v>
      </c>
      <c r="J98" s="29">
        <v>110</v>
      </c>
      <c r="K98" s="29">
        <v>23.5</v>
      </c>
      <c r="L98" s="58">
        <f t="shared" si="19"/>
        <v>21.363636363636363</v>
      </c>
      <c r="M98" s="58">
        <f t="shared" si="20"/>
        <v>146.875</v>
      </c>
      <c r="N98" s="3"/>
    </row>
    <row r="99" spans="1:15" hidden="1" outlineLevel="1">
      <c r="A99" s="145" t="s">
        <v>50</v>
      </c>
      <c r="B99" s="146" t="s">
        <v>104</v>
      </c>
      <c r="C99" s="145"/>
      <c r="D99" s="13"/>
      <c r="E99" s="13"/>
      <c r="F99" s="13"/>
      <c r="G99" s="13"/>
      <c r="H99" s="13"/>
      <c r="I99" s="13"/>
      <c r="J99" s="13"/>
      <c r="K99" s="13"/>
      <c r="L99" s="66" t="str">
        <f t="shared" si="19"/>
        <v/>
      </c>
      <c r="M99" s="66" t="str">
        <f t="shared" si="20"/>
        <v/>
      </c>
      <c r="N99" s="3"/>
    </row>
    <row r="100" spans="1:15" ht="19.5" hidden="1" customHeight="1" outlineLevel="1">
      <c r="A100" s="147"/>
      <c r="B100" s="148" t="s">
        <v>330</v>
      </c>
      <c r="C100" s="32" t="s">
        <v>37</v>
      </c>
      <c r="D100" s="53">
        <v>500.3</v>
      </c>
      <c r="E100" s="53">
        <v>4</v>
      </c>
      <c r="F100" s="53"/>
      <c r="G100" s="53"/>
      <c r="H100" s="53">
        <v>27</v>
      </c>
      <c r="I100" s="53"/>
      <c r="J100" s="53"/>
      <c r="K100" s="53"/>
      <c r="L100" s="58" t="str">
        <f t="shared" si="19"/>
        <v/>
      </c>
      <c r="M100" s="58" t="str">
        <f t="shared" si="20"/>
        <v/>
      </c>
      <c r="N100" s="3"/>
    </row>
    <row r="101" spans="1:15" ht="19.5" hidden="1" customHeight="1" outlineLevel="1">
      <c r="A101" s="147"/>
      <c r="B101" s="46" t="s">
        <v>712</v>
      </c>
      <c r="C101" s="32" t="s">
        <v>37</v>
      </c>
      <c r="D101" s="53">
        <v>50870.31</v>
      </c>
      <c r="E101" s="53">
        <v>50870.31</v>
      </c>
      <c r="F101" s="53">
        <v>50870.31</v>
      </c>
      <c r="G101" s="53">
        <v>50870.31</v>
      </c>
      <c r="H101" s="53">
        <v>50870.31</v>
      </c>
      <c r="I101" s="53"/>
      <c r="J101" s="53">
        <v>50870.31</v>
      </c>
      <c r="K101" s="53"/>
      <c r="L101" s="58">
        <f t="shared" si="19"/>
        <v>0</v>
      </c>
      <c r="M101" s="58" t="str">
        <f t="shared" si="20"/>
        <v/>
      </c>
      <c r="N101" s="3"/>
    </row>
    <row r="102" spans="1:15" ht="19.5" hidden="1" customHeight="1" outlineLevel="1">
      <c r="A102" s="147"/>
      <c r="B102" s="46" t="s">
        <v>713</v>
      </c>
      <c r="C102" s="32" t="s">
        <v>37</v>
      </c>
      <c r="D102" s="53"/>
      <c r="E102" s="53">
        <v>15886.3</v>
      </c>
      <c r="F102" s="53">
        <v>15886</v>
      </c>
      <c r="G102" s="53">
        <v>15886</v>
      </c>
      <c r="H102" s="53">
        <v>15886</v>
      </c>
      <c r="I102" s="53"/>
      <c r="J102" s="53">
        <v>15886</v>
      </c>
      <c r="K102" s="53"/>
      <c r="L102" s="58">
        <f t="shared" si="19"/>
        <v>0</v>
      </c>
      <c r="M102" s="58" t="str">
        <f t="shared" si="20"/>
        <v/>
      </c>
      <c r="N102" s="3"/>
    </row>
    <row r="103" spans="1:15" ht="19.5" hidden="1" customHeight="1" outlineLevel="1">
      <c r="A103" s="147"/>
      <c r="B103" s="148" t="s">
        <v>711</v>
      </c>
      <c r="C103" s="32" t="s">
        <v>33</v>
      </c>
      <c r="D103" s="269">
        <v>31.37</v>
      </c>
      <c r="E103" s="288">
        <f>E102/50640%</f>
        <v>31.37105055292259</v>
      </c>
      <c r="F103" s="288">
        <f>F102/50640%</f>
        <v>31.370458135860982</v>
      </c>
      <c r="G103" s="288">
        <f>G102/50640%</f>
        <v>31.370458135860982</v>
      </c>
      <c r="H103" s="288">
        <f>H102/50640%</f>
        <v>31.370458135860982</v>
      </c>
      <c r="I103" s="288"/>
      <c r="J103" s="288">
        <f>J102/50640%</f>
        <v>31.370458135860982</v>
      </c>
      <c r="K103" s="288"/>
      <c r="L103" s="58">
        <f t="shared" si="19"/>
        <v>0</v>
      </c>
      <c r="M103" s="58" t="str">
        <f t="shared" si="20"/>
        <v/>
      </c>
      <c r="N103" s="3"/>
    </row>
    <row r="104" spans="1:15" ht="17.25" hidden="1" customHeight="1" outlineLevel="1">
      <c r="A104" s="32">
        <v>1</v>
      </c>
      <c r="B104" s="35" t="s">
        <v>30</v>
      </c>
      <c r="C104" s="32" t="s">
        <v>37</v>
      </c>
      <c r="D104" s="22">
        <v>1646</v>
      </c>
      <c r="E104" s="22">
        <f>D104+E105</f>
        <v>1675</v>
      </c>
      <c r="F104" s="22">
        <f>E104+F105</f>
        <v>1710</v>
      </c>
      <c r="G104" s="22">
        <f>E104+G105</f>
        <v>1710</v>
      </c>
      <c r="H104" s="22">
        <f>E104+H105-H106</f>
        <v>1725</v>
      </c>
      <c r="I104" s="22"/>
      <c r="J104" s="22">
        <f>H104+J105</f>
        <v>1725</v>
      </c>
      <c r="K104" s="22"/>
      <c r="L104" s="58">
        <f t="shared" si="19"/>
        <v>0</v>
      </c>
      <c r="M104" s="58" t="str">
        <f t="shared" si="20"/>
        <v/>
      </c>
      <c r="N104" s="3"/>
      <c r="O104" s="81"/>
    </row>
    <row r="105" spans="1:15" ht="17.25" hidden="1" customHeight="1" outlineLevel="2">
      <c r="A105" s="32"/>
      <c r="B105" s="35" t="s">
        <v>123</v>
      </c>
      <c r="C105" s="32" t="s">
        <v>37</v>
      </c>
      <c r="D105" s="22">
        <v>57.2</v>
      </c>
      <c r="E105" s="22">
        <v>29</v>
      </c>
      <c r="F105" s="22">
        <v>35</v>
      </c>
      <c r="G105" s="22">
        <f>F105</f>
        <v>35</v>
      </c>
      <c r="H105" s="22">
        <v>54</v>
      </c>
      <c r="I105" s="22"/>
      <c r="J105" s="22"/>
      <c r="K105" s="22"/>
      <c r="L105" s="58" t="str">
        <f t="shared" si="19"/>
        <v/>
      </c>
      <c r="M105" s="58" t="str">
        <f t="shared" si="20"/>
        <v/>
      </c>
      <c r="N105" s="3"/>
    </row>
    <row r="106" spans="1:15" ht="17.25" hidden="1" customHeight="1" outlineLevel="2">
      <c r="A106" s="32"/>
      <c r="B106" s="35" t="s">
        <v>721</v>
      </c>
      <c r="C106" s="32" t="s">
        <v>37</v>
      </c>
      <c r="D106" s="22"/>
      <c r="E106" s="22"/>
      <c r="F106" s="22"/>
      <c r="G106" s="22"/>
      <c r="H106" s="22">
        <v>4</v>
      </c>
      <c r="I106" s="22"/>
      <c r="J106" s="22"/>
      <c r="K106" s="22"/>
      <c r="L106" s="58"/>
      <c r="M106" s="58"/>
      <c r="N106" s="3"/>
    </row>
    <row r="107" spans="1:15" s="18" customFormat="1" collapsed="1">
      <c r="A107" s="11" t="s">
        <v>176</v>
      </c>
      <c r="B107" s="54" t="s">
        <v>183</v>
      </c>
      <c r="C107" s="11"/>
      <c r="D107" s="149"/>
      <c r="E107" s="149"/>
      <c r="F107" s="149"/>
      <c r="G107" s="149"/>
      <c r="H107" s="149"/>
      <c r="I107" s="149"/>
      <c r="J107" s="149"/>
      <c r="K107" s="149"/>
      <c r="L107" s="66" t="str">
        <f t="shared" ref="L107:L142" si="27">IFERROR(K107/J107%,"")</f>
        <v/>
      </c>
      <c r="M107" s="66" t="str">
        <f t="shared" ref="M107:M142" si="28">IFERROR(K107/I107%,"")</f>
        <v/>
      </c>
      <c r="N107" s="66"/>
    </row>
    <row r="108" spans="1:15" ht="22.5" customHeight="1">
      <c r="A108" s="11">
        <v>1</v>
      </c>
      <c r="B108" s="54" t="s">
        <v>449</v>
      </c>
      <c r="C108" s="11" t="s">
        <v>331</v>
      </c>
      <c r="D108" s="27">
        <v>676693</v>
      </c>
      <c r="E108" s="27">
        <v>708000</v>
      </c>
      <c r="F108" s="27">
        <v>722000</v>
      </c>
      <c r="G108" s="27">
        <v>435000</v>
      </c>
      <c r="H108" s="27">
        <v>730000</v>
      </c>
      <c r="I108" s="27">
        <f>190200+64000</f>
        <v>254200</v>
      </c>
      <c r="J108" s="27">
        <v>750000</v>
      </c>
      <c r="K108" s="27">
        <f>197000+67000</f>
        <v>264000</v>
      </c>
      <c r="L108" s="66">
        <f t="shared" si="27"/>
        <v>35.200000000000003</v>
      </c>
      <c r="M108" s="66">
        <f t="shared" si="28"/>
        <v>103.85523210070811</v>
      </c>
      <c r="N108" s="83"/>
    </row>
    <row r="109" spans="1:15" ht="20.25" customHeight="1">
      <c r="A109" s="32">
        <v>2</v>
      </c>
      <c r="B109" s="20" t="s">
        <v>333</v>
      </c>
      <c r="C109" s="32"/>
      <c r="D109" s="13"/>
      <c r="E109" s="13"/>
      <c r="F109" s="13"/>
      <c r="G109" s="149"/>
      <c r="H109" s="13"/>
      <c r="I109" s="13"/>
      <c r="J109" s="13"/>
      <c r="K109" s="13"/>
      <c r="L109" s="58" t="str">
        <f t="shared" si="27"/>
        <v/>
      </c>
      <c r="M109" s="58" t="str">
        <f t="shared" si="28"/>
        <v/>
      </c>
      <c r="N109" s="3"/>
    </row>
    <row r="110" spans="1:15" ht="20.25" customHeight="1">
      <c r="A110" s="32"/>
      <c r="B110" s="20" t="s">
        <v>334</v>
      </c>
      <c r="C110" s="32" t="s">
        <v>65</v>
      </c>
      <c r="D110" s="29">
        <v>40</v>
      </c>
      <c r="E110" s="29">
        <v>42</v>
      </c>
      <c r="F110" s="29">
        <v>40</v>
      </c>
      <c r="G110" s="29">
        <v>30</v>
      </c>
      <c r="H110" s="29">
        <v>38</v>
      </c>
      <c r="I110" s="29"/>
      <c r="J110" s="29">
        <v>45</v>
      </c>
      <c r="K110" s="29"/>
      <c r="L110" s="58">
        <f t="shared" si="27"/>
        <v>0</v>
      </c>
      <c r="M110" s="58" t="str">
        <f t="shared" si="28"/>
        <v/>
      </c>
      <c r="N110" s="3"/>
    </row>
    <row r="111" spans="1:15" ht="20.25" customHeight="1">
      <c r="A111" s="32"/>
      <c r="B111" s="20" t="s">
        <v>340</v>
      </c>
      <c r="C111" s="32" t="s">
        <v>65</v>
      </c>
      <c r="D111" s="29">
        <v>35</v>
      </c>
      <c r="E111" s="29">
        <v>30</v>
      </c>
      <c r="F111" s="29">
        <v>40</v>
      </c>
      <c r="G111" s="29">
        <v>32</v>
      </c>
      <c r="H111" s="29">
        <v>40</v>
      </c>
      <c r="I111" s="29"/>
      <c r="J111" s="29">
        <v>45</v>
      </c>
      <c r="K111" s="29"/>
      <c r="L111" s="58">
        <f t="shared" si="27"/>
        <v>0</v>
      </c>
      <c r="M111" s="58" t="str">
        <f t="shared" si="28"/>
        <v/>
      </c>
      <c r="N111" s="3"/>
    </row>
    <row r="112" spans="1:15" ht="20.25" customHeight="1">
      <c r="A112" s="32"/>
      <c r="B112" s="20" t="s">
        <v>335</v>
      </c>
      <c r="C112" s="32" t="s">
        <v>76</v>
      </c>
      <c r="D112" s="29">
        <v>57219</v>
      </c>
      <c r="E112" s="29">
        <v>60000</v>
      </c>
      <c r="F112" s="29">
        <v>55000</v>
      </c>
      <c r="G112" s="29">
        <v>31000</v>
      </c>
      <c r="H112" s="29">
        <v>55300</v>
      </c>
      <c r="I112" s="29"/>
      <c r="J112" s="29">
        <v>55000</v>
      </c>
      <c r="K112" s="29"/>
      <c r="L112" s="58">
        <f t="shared" si="27"/>
        <v>0</v>
      </c>
      <c r="M112" s="58" t="str">
        <f t="shared" si="28"/>
        <v/>
      </c>
      <c r="N112" s="3"/>
    </row>
    <row r="113" spans="1:17" ht="20.25" customHeight="1">
      <c r="A113" s="32"/>
      <c r="B113" s="20" t="s">
        <v>336</v>
      </c>
      <c r="C113" s="32" t="s">
        <v>76</v>
      </c>
      <c r="D113" s="29">
        <v>12363</v>
      </c>
      <c r="E113" s="29">
        <v>13000</v>
      </c>
      <c r="F113" s="29">
        <v>12000</v>
      </c>
      <c r="G113" s="29">
        <v>4950</v>
      </c>
      <c r="H113" s="29">
        <v>12125</v>
      </c>
      <c r="I113" s="29"/>
      <c r="J113" s="29">
        <v>12000</v>
      </c>
      <c r="K113" s="29"/>
      <c r="L113" s="58">
        <f t="shared" si="27"/>
        <v>0</v>
      </c>
      <c r="M113" s="58" t="str">
        <f t="shared" si="28"/>
        <v/>
      </c>
      <c r="N113" s="3"/>
    </row>
    <row r="114" spans="1:17" ht="20.25" customHeight="1">
      <c r="A114" s="32"/>
      <c r="B114" s="20" t="s">
        <v>337</v>
      </c>
      <c r="C114" s="32" t="s">
        <v>466</v>
      </c>
      <c r="D114" s="29">
        <v>39713</v>
      </c>
      <c r="E114" s="29">
        <v>41000</v>
      </c>
      <c r="F114" s="29">
        <v>60000</v>
      </c>
      <c r="G114" s="29">
        <v>47180</v>
      </c>
      <c r="H114" s="29">
        <v>67350</v>
      </c>
      <c r="I114" s="29"/>
      <c r="J114" s="29">
        <v>80000</v>
      </c>
      <c r="K114" s="29"/>
      <c r="L114" s="58">
        <f t="shared" si="27"/>
        <v>0</v>
      </c>
      <c r="M114" s="58" t="str">
        <f t="shared" si="28"/>
        <v/>
      </c>
      <c r="N114" s="3"/>
    </row>
    <row r="115" spans="1:17" ht="20.25" customHeight="1">
      <c r="A115" s="32"/>
      <c r="B115" s="20" t="s">
        <v>338</v>
      </c>
      <c r="C115" s="32" t="s">
        <v>466</v>
      </c>
      <c r="D115" s="29">
        <v>34500</v>
      </c>
      <c r="E115" s="29">
        <v>35000</v>
      </c>
      <c r="F115" s="29">
        <v>54000</v>
      </c>
      <c r="G115" s="29">
        <v>30850</v>
      </c>
      <c r="H115" s="29">
        <v>37000</v>
      </c>
      <c r="I115" s="29"/>
      <c r="J115" s="29">
        <v>70000</v>
      </c>
      <c r="K115" s="29"/>
      <c r="L115" s="58">
        <f t="shared" si="27"/>
        <v>0</v>
      </c>
      <c r="M115" s="58" t="str">
        <f t="shared" si="28"/>
        <v/>
      </c>
      <c r="N115" s="3"/>
    </row>
    <row r="116" spans="1:17" s="18" customFormat="1" ht="17.25" customHeight="1">
      <c r="A116" s="11" t="s">
        <v>182</v>
      </c>
      <c r="B116" s="15" t="s">
        <v>450</v>
      </c>
      <c r="C116" s="11"/>
      <c r="D116" s="29"/>
      <c r="E116" s="29"/>
      <c r="F116" s="29"/>
      <c r="G116" s="29"/>
      <c r="H116" s="29"/>
      <c r="I116" s="29"/>
      <c r="J116" s="29"/>
      <c r="K116" s="29"/>
      <c r="L116" s="66" t="str">
        <f t="shared" si="27"/>
        <v/>
      </c>
      <c r="M116" s="66" t="str">
        <f t="shared" si="28"/>
        <v/>
      </c>
      <c r="N116" s="66"/>
    </row>
    <row r="117" spans="1:17" ht="22.5" customHeight="1">
      <c r="A117" s="32">
        <v>1</v>
      </c>
      <c r="B117" s="20" t="s">
        <v>184</v>
      </c>
      <c r="C117" s="32" t="s">
        <v>331</v>
      </c>
      <c r="D117" s="29">
        <v>560310</v>
      </c>
      <c r="E117" s="29">
        <v>595000</v>
      </c>
      <c r="F117" s="29">
        <v>696000</v>
      </c>
      <c r="G117" s="29">
        <v>450000</v>
      </c>
      <c r="H117" s="29">
        <v>698000</v>
      </c>
      <c r="I117" s="29">
        <f>149000+49000</f>
        <v>198000</v>
      </c>
      <c r="J117" s="29">
        <v>730000</v>
      </c>
      <c r="K117" s="29">
        <f>160000+54000</f>
        <v>214000</v>
      </c>
      <c r="L117" s="58">
        <f t="shared" si="27"/>
        <v>29.315068493150687</v>
      </c>
      <c r="M117" s="58">
        <f t="shared" si="28"/>
        <v>108.08080808080808</v>
      </c>
      <c r="N117" s="3"/>
      <c r="O117" s="77"/>
    </row>
    <row r="118" spans="1:17" ht="19.5" customHeight="1">
      <c r="A118" s="32"/>
      <c r="B118" s="12" t="s">
        <v>454</v>
      </c>
      <c r="C118" s="32"/>
      <c r="D118" s="13"/>
      <c r="E118" s="13"/>
      <c r="F118" s="13"/>
      <c r="G118" s="13"/>
      <c r="H118" s="13"/>
      <c r="I118" s="13"/>
      <c r="J118" s="13"/>
      <c r="K118" s="13"/>
      <c r="L118" s="66" t="str">
        <f t="shared" si="27"/>
        <v/>
      </c>
      <c r="M118" s="66" t="str">
        <f t="shared" si="28"/>
        <v/>
      </c>
      <c r="N118" s="3"/>
    </row>
    <row r="119" spans="1:17" s="18" customFormat="1" ht="22.5" customHeight="1">
      <c r="A119" s="11" t="s">
        <v>38</v>
      </c>
      <c r="B119" s="15" t="s">
        <v>352</v>
      </c>
      <c r="C119" s="11"/>
      <c r="D119" s="149"/>
      <c r="E119" s="149"/>
      <c r="F119" s="149"/>
      <c r="G119" s="149"/>
      <c r="H119" s="149"/>
      <c r="I119" s="149"/>
      <c r="J119" s="149"/>
      <c r="K119" s="149"/>
      <c r="L119" s="66" t="str">
        <f t="shared" si="27"/>
        <v/>
      </c>
      <c r="M119" s="66" t="str">
        <f t="shared" si="28"/>
        <v/>
      </c>
      <c r="N119" s="83"/>
    </row>
    <row r="120" spans="1:17" ht="22.5" hidden="1" customHeight="1" outlineLevel="1">
      <c r="A120" s="613">
        <v>1</v>
      </c>
      <c r="B120" s="462" t="s">
        <v>353</v>
      </c>
      <c r="C120" s="613" t="s">
        <v>62</v>
      </c>
      <c r="D120" s="614">
        <v>10520</v>
      </c>
      <c r="E120" s="614">
        <f>D121</f>
        <v>10685</v>
      </c>
      <c r="F120" s="614">
        <f>E121</f>
        <v>11308</v>
      </c>
      <c r="G120" s="614">
        <f>E121</f>
        <v>11308</v>
      </c>
      <c r="H120" s="614">
        <f>F120</f>
        <v>11308</v>
      </c>
      <c r="I120" s="614"/>
      <c r="J120" s="614">
        <f>H121</f>
        <v>11350</v>
      </c>
      <c r="K120" s="614"/>
      <c r="L120" s="445">
        <f t="shared" si="27"/>
        <v>0</v>
      </c>
      <c r="M120" s="445" t="str">
        <f t="shared" si="28"/>
        <v/>
      </c>
      <c r="N120" s="615"/>
      <c r="O120" s="77"/>
    </row>
    <row r="121" spans="1:17" ht="22.5" hidden="1" customHeight="1" outlineLevel="1">
      <c r="A121" s="613">
        <v>2</v>
      </c>
      <c r="B121" s="462" t="s">
        <v>207</v>
      </c>
      <c r="C121" s="613" t="s">
        <v>62</v>
      </c>
      <c r="D121" s="614">
        <v>10685</v>
      </c>
      <c r="E121" s="614">
        <v>11308</v>
      </c>
      <c r="F121" s="614">
        <f>F120+630</f>
        <v>11938</v>
      </c>
      <c r="G121" s="614">
        <f>G120+420</f>
        <v>11728</v>
      </c>
      <c r="H121" s="614">
        <v>11350</v>
      </c>
      <c r="I121" s="614"/>
      <c r="J121" s="614">
        <v>11650</v>
      </c>
      <c r="K121" s="614"/>
      <c r="L121" s="445">
        <f t="shared" si="27"/>
        <v>0</v>
      </c>
      <c r="M121" s="445" t="str">
        <f t="shared" si="28"/>
        <v/>
      </c>
      <c r="N121" s="615"/>
      <c r="O121" s="77"/>
    </row>
    <row r="122" spans="1:17" ht="22.5" customHeight="1" collapsed="1">
      <c r="A122" s="32">
        <v>1</v>
      </c>
      <c r="B122" s="20" t="s">
        <v>131</v>
      </c>
      <c r="C122" s="32" t="s">
        <v>73</v>
      </c>
      <c r="D122" s="29">
        <v>44006</v>
      </c>
      <c r="E122" s="29">
        <f>D123</f>
        <v>45290</v>
      </c>
      <c r="F122" s="29">
        <f>E123</f>
        <v>46365</v>
      </c>
      <c r="G122" s="29">
        <f>E123</f>
        <v>46365</v>
      </c>
      <c r="H122" s="29">
        <f>E123</f>
        <v>46365</v>
      </c>
      <c r="I122" s="29"/>
      <c r="J122" s="29">
        <f>H123</f>
        <v>47571</v>
      </c>
      <c r="K122" s="29"/>
      <c r="L122" s="58">
        <f t="shared" si="27"/>
        <v>0</v>
      </c>
      <c r="M122" s="58" t="str">
        <f t="shared" si="28"/>
        <v/>
      </c>
      <c r="N122" s="3"/>
      <c r="O122" s="77"/>
    </row>
    <row r="123" spans="1:17" ht="22.5" customHeight="1">
      <c r="A123" s="32">
        <v>2</v>
      </c>
      <c r="B123" s="20" t="s">
        <v>132</v>
      </c>
      <c r="C123" s="32" t="s">
        <v>73</v>
      </c>
      <c r="D123" s="29">
        <v>45290</v>
      </c>
      <c r="E123" s="29">
        <v>46365</v>
      </c>
      <c r="F123" s="29">
        <v>47500</v>
      </c>
      <c r="G123" s="29">
        <f>G122+757</f>
        <v>47122</v>
      </c>
      <c r="H123" s="29">
        <v>47571</v>
      </c>
      <c r="I123" s="29"/>
      <c r="J123" s="29">
        <v>48828.800000000003</v>
      </c>
      <c r="K123" s="29"/>
      <c r="L123" s="58">
        <f t="shared" si="27"/>
        <v>0</v>
      </c>
      <c r="M123" s="58" t="str">
        <f t="shared" si="28"/>
        <v/>
      </c>
      <c r="N123" s="3"/>
      <c r="O123" s="77"/>
      <c r="Q123" s="616"/>
    </row>
    <row r="124" spans="1:17" ht="22.5" customHeight="1">
      <c r="A124" s="32">
        <v>3</v>
      </c>
      <c r="B124" s="20" t="s">
        <v>339</v>
      </c>
      <c r="C124" s="32" t="s">
        <v>73</v>
      </c>
      <c r="D124" s="29">
        <f t="shared" ref="D124:J124" si="29">(D122+D123)/2</f>
        <v>44648</v>
      </c>
      <c r="E124" s="29">
        <f t="shared" si="29"/>
        <v>45827.5</v>
      </c>
      <c r="F124" s="29">
        <f t="shared" si="29"/>
        <v>46932.5</v>
      </c>
      <c r="G124" s="29">
        <f t="shared" si="29"/>
        <v>46743.5</v>
      </c>
      <c r="H124" s="29">
        <f t="shared" si="29"/>
        <v>46968</v>
      </c>
      <c r="I124" s="29"/>
      <c r="J124" s="29">
        <f t="shared" si="29"/>
        <v>48199.9</v>
      </c>
      <c r="K124" s="29"/>
      <c r="L124" s="58">
        <f t="shared" si="27"/>
        <v>0</v>
      </c>
      <c r="M124" s="58" t="str">
        <f t="shared" si="28"/>
        <v/>
      </c>
      <c r="N124" s="3"/>
      <c r="O124" s="77"/>
    </row>
    <row r="125" spans="1:17" ht="22.5" customHeight="1">
      <c r="A125" s="32">
        <v>4</v>
      </c>
      <c r="B125" s="48" t="s">
        <v>392</v>
      </c>
      <c r="C125" s="21" t="s">
        <v>170</v>
      </c>
      <c r="D125" s="74">
        <v>22.62</v>
      </c>
      <c r="E125" s="74">
        <v>22.92</v>
      </c>
      <c r="F125" s="74">
        <v>22</v>
      </c>
      <c r="G125" s="74">
        <v>22</v>
      </c>
      <c r="H125" s="74">
        <v>22</v>
      </c>
      <c r="I125" s="74"/>
      <c r="J125" s="74">
        <f>'B05'!E21*10</f>
        <v>22.134283492043473</v>
      </c>
      <c r="K125" s="74"/>
      <c r="L125" s="58">
        <f t="shared" si="27"/>
        <v>0</v>
      </c>
      <c r="M125" s="58" t="str">
        <f t="shared" si="28"/>
        <v/>
      </c>
      <c r="N125" s="3"/>
    </row>
    <row r="126" spans="1:17" s="18" customFormat="1" ht="21" customHeight="1">
      <c r="A126" s="11" t="s">
        <v>39</v>
      </c>
      <c r="B126" s="15" t="s">
        <v>163</v>
      </c>
      <c r="C126" s="11"/>
      <c r="D126" s="57"/>
      <c r="E126" s="57"/>
      <c r="F126" s="57"/>
      <c r="G126" s="57"/>
      <c r="H126" s="57"/>
      <c r="I126" s="57"/>
      <c r="J126" s="57"/>
      <c r="K126" s="57"/>
      <c r="L126" s="66" t="str">
        <f t="shared" si="27"/>
        <v/>
      </c>
      <c r="M126" s="66" t="str">
        <f t="shared" si="28"/>
        <v/>
      </c>
      <c r="N126" s="83"/>
    </row>
    <row r="127" spans="1:17" ht="21" customHeight="1">
      <c r="A127" s="32">
        <v>1</v>
      </c>
      <c r="B127" s="20" t="s">
        <v>393</v>
      </c>
      <c r="C127" s="32" t="s">
        <v>33</v>
      </c>
      <c r="D127" s="58">
        <v>42.86</v>
      </c>
      <c r="E127" s="58">
        <v>43</v>
      </c>
      <c r="F127" s="58">
        <v>44</v>
      </c>
      <c r="G127" s="58">
        <v>43</v>
      </c>
      <c r="H127" s="58">
        <f>F127</f>
        <v>44</v>
      </c>
      <c r="I127" s="58"/>
      <c r="J127" s="58">
        <v>44.5</v>
      </c>
      <c r="K127" s="58"/>
      <c r="L127" s="58">
        <f t="shared" si="27"/>
        <v>0</v>
      </c>
      <c r="M127" s="58" t="str">
        <f t="shared" si="28"/>
        <v/>
      </c>
      <c r="N127" s="3"/>
    </row>
    <row r="128" spans="1:17" ht="21" customHeight="1">
      <c r="A128" s="32"/>
      <c r="B128" s="20" t="s">
        <v>394</v>
      </c>
      <c r="C128" s="32" t="s">
        <v>33</v>
      </c>
      <c r="D128" s="58">
        <v>32</v>
      </c>
      <c r="E128" s="58">
        <v>35</v>
      </c>
      <c r="F128" s="58">
        <v>36</v>
      </c>
      <c r="G128" s="58">
        <v>35</v>
      </c>
      <c r="H128" s="58">
        <f>F128</f>
        <v>36</v>
      </c>
      <c r="I128" s="58"/>
      <c r="J128" s="58">
        <v>36.5</v>
      </c>
      <c r="K128" s="58"/>
      <c r="L128" s="58">
        <f t="shared" si="27"/>
        <v>0</v>
      </c>
      <c r="M128" s="58" t="str">
        <f t="shared" si="28"/>
        <v/>
      </c>
      <c r="N128" s="3"/>
    </row>
    <row r="129" spans="1:15" ht="47.25">
      <c r="A129" s="32">
        <v>2</v>
      </c>
      <c r="B129" s="20" t="s">
        <v>357</v>
      </c>
      <c r="C129" s="32" t="s">
        <v>120</v>
      </c>
      <c r="D129" s="59">
        <f>174+50</f>
        <v>224</v>
      </c>
      <c r="E129" s="59">
        <v>175</v>
      </c>
      <c r="F129" s="59">
        <v>250</v>
      </c>
      <c r="G129" s="59">
        <v>305</v>
      </c>
      <c r="H129" s="59">
        <v>290</v>
      </c>
      <c r="I129" s="59"/>
      <c r="J129" s="59">
        <v>250</v>
      </c>
      <c r="K129" s="59"/>
      <c r="L129" s="58">
        <f t="shared" si="27"/>
        <v>0</v>
      </c>
      <c r="M129" s="58" t="str">
        <f t="shared" si="28"/>
        <v/>
      </c>
      <c r="N129" s="3"/>
    </row>
    <row r="130" spans="1:15" ht="30.75" customHeight="1">
      <c r="A130" s="32"/>
      <c r="B130" s="20" t="s">
        <v>396</v>
      </c>
      <c r="C130" s="32" t="s">
        <v>397</v>
      </c>
      <c r="D130" s="20">
        <v>111</v>
      </c>
      <c r="E130" s="20">
        <v>115</v>
      </c>
      <c r="F130" s="20">
        <v>120</v>
      </c>
      <c r="G130" s="20">
        <v>115</v>
      </c>
      <c r="H130" s="59">
        <f>F130</f>
        <v>120</v>
      </c>
      <c r="I130" s="59"/>
      <c r="J130" s="20">
        <v>120</v>
      </c>
      <c r="K130" s="20"/>
      <c r="L130" s="58">
        <f t="shared" si="27"/>
        <v>0</v>
      </c>
      <c r="M130" s="58" t="str">
        <f t="shared" si="28"/>
        <v/>
      </c>
      <c r="N130" s="3"/>
    </row>
    <row r="131" spans="1:15" ht="21" customHeight="1">
      <c r="A131" s="11" t="s">
        <v>47</v>
      </c>
      <c r="B131" s="15" t="s">
        <v>288</v>
      </c>
      <c r="C131" s="32"/>
      <c r="D131" s="59"/>
      <c r="E131" s="59"/>
      <c r="F131" s="59"/>
      <c r="G131" s="59"/>
      <c r="H131" s="59"/>
      <c r="I131" s="59"/>
      <c r="J131" s="59"/>
      <c r="K131" s="59"/>
      <c r="L131" s="66" t="str">
        <f t="shared" si="27"/>
        <v/>
      </c>
      <c r="M131" s="66" t="str">
        <f t="shared" si="28"/>
        <v/>
      </c>
      <c r="N131" s="3"/>
    </row>
    <row r="132" spans="1:15" ht="29.25" customHeight="1">
      <c r="A132" s="60">
        <v>1</v>
      </c>
      <c r="B132" s="61" t="s">
        <v>355</v>
      </c>
      <c r="C132" s="32" t="s">
        <v>33</v>
      </c>
      <c r="D132" s="67" t="s">
        <v>358</v>
      </c>
      <c r="E132" s="88">
        <f>D133-E133</f>
        <v>3.1799999999999997</v>
      </c>
      <c r="F132" s="88">
        <v>3</v>
      </c>
      <c r="G132" s="67"/>
      <c r="H132" s="67">
        <v>2.14</v>
      </c>
      <c r="I132" s="67"/>
      <c r="J132" s="88">
        <v>3</v>
      </c>
      <c r="K132" s="88"/>
      <c r="L132" s="58">
        <f t="shared" si="27"/>
        <v>0</v>
      </c>
      <c r="M132" s="58" t="str">
        <f t="shared" si="28"/>
        <v/>
      </c>
      <c r="N132" s="3"/>
    </row>
    <row r="133" spans="1:15" ht="21" customHeight="1">
      <c r="A133" s="60">
        <v>2</v>
      </c>
      <c r="B133" s="61" t="s">
        <v>395</v>
      </c>
      <c r="C133" s="32" t="s">
        <v>33</v>
      </c>
      <c r="D133" s="80">
        <v>17.32</v>
      </c>
      <c r="E133" s="80">
        <v>14.14</v>
      </c>
      <c r="F133" s="80">
        <f>E133-3</f>
        <v>11.14</v>
      </c>
      <c r="G133" s="80"/>
      <c r="H133" s="80">
        <f>E133-H132</f>
        <v>12</v>
      </c>
      <c r="I133" s="80"/>
      <c r="J133" s="80">
        <f>H133-J132</f>
        <v>9</v>
      </c>
      <c r="K133" s="80"/>
      <c r="L133" s="58">
        <f t="shared" si="27"/>
        <v>0</v>
      </c>
      <c r="M133" s="58" t="str">
        <f t="shared" si="28"/>
        <v/>
      </c>
      <c r="N133" s="3"/>
      <c r="O133" s="89"/>
    </row>
    <row r="134" spans="1:15" s="18" customFormat="1" ht="20.25" customHeight="1">
      <c r="A134" s="11" t="s">
        <v>48</v>
      </c>
      <c r="B134" s="15" t="s">
        <v>6</v>
      </c>
      <c r="C134" s="11"/>
      <c r="D134" s="149"/>
      <c r="E134" s="149"/>
      <c r="F134" s="149"/>
      <c r="G134" s="149"/>
      <c r="H134" s="149"/>
      <c r="I134" s="149"/>
      <c r="J134" s="149"/>
      <c r="K134" s="149"/>
      <c r="L134" s="66" t="str">
        <f t="shared" si="27"/>
        <v/>
      </c>
      <c r="M134" s="66" t="str">
        <f t="shared" si="28"/>
        <v/>
      </c>
      <c r="N134" s="83"/>
    </row>
    <row r="135" spans="1:15" ht="23.25" customHeight="1">
      <c r="A135" s="32">
        <v>1</v>
      </c>
      <c r="B135" s="20" t="s">
        <v>389</v>
      </c>
      <c r="C135" s="32" t="s">
        <v>8</v>
      </c>
      <c r="D135" s="29">
        <f>SUM(D136:D144)</f>
        <v>13999</v>
      </c>
      <c r="E135" s="29">
        <f>SUM(E136:E144)</f>
        <v>14102</v>
      </c>
      <c r="F135" s="29">
        <f>F136+F141+F142+F144</f>
        <v>14530</v>
      </c>
      <c r="G135" s="29">
        <f>G136+G141+G142+G144</f>
        <v>14536</v>
      </c>
      <c r="H135" s="29">
        <f>H136+H141+H142+H144</f>
        <v>14495</v>
      </c>
      <c r="I135" s="29">
        <f>QI.2018!H130</f>
        <v>14407</v>
      </c>
      <c r="J135" s="29">
        <f>J136+J141+J142+J144</f>
        <v>15222</v>
      </c>
      <c r="K135" s="29">
        <f>K136+K141+K142+K144</f>
        <v>14912</v>
      </c>
      <c r="L135" s="58">
        <f t="shared" si="27"/>
        <v>97.963473919327285</v>
      </c>
      <c r="M135" s="58">
        <f t="shared" si="28"/>
        <v>103.50524050808635</v>
      </c>
      <c r="N135" s="3"/>
    </row>
    <row r="136" spans="1:15" ht="21" hidden="1" customHeight="1" outlineLevel="1">
      <c r="A136" s="32" t="s">
        <v>34</v>
      </c>
      <c r="B136" s="20" t="s">
        <v>188</v>
      </c>
      <c r="C136" s="32" t="s">
        <v>8</v>
      </c>
      <c r="D136" s="151">
        <v>4325</v>
      </c>
      <c r="E136" s="151">
        <v>4401</v>
      </c>
      <c r="F136" s="151">
        <f>F137+F139</f>
        <v>4430</v>
      </c>
      <c r="G136" s="151">
        <f>G137+G139</f>
        <v>4480</v>
      </c>
      <c r="H136" s="151">
        <f>H137+H139</f>
        <v>4476</v>
      </c>
      <c r="I136" s="151"/>
      <c r="J136" s="151">
        <f>J137+J139</f>
        <v>4570</v>
      </c>
      <c r="K136" s="151">
        <f>K137+K139</f>
        <v>4376</v>
      </c>
      <c r="L136" s="58">
        <f t="shared" si="27"/>
        <v>95.754923413566729</v>
      </c>
      <c r="M136" s="58" t="str">
        <f t="shared" si="28"/>
        <v/>
      </c>
      <c r="N136" s="3"/>
      <c r="O136" s="81"/>
    </row>
    <row r="137" spans="1:15" s="42" customFormat="1" ht="21" hidden="1" customHeight="1" outlineLevel="1">
      <c r="A137" s="39" t="s">
        <v>557</v>
      </c>
      <c r="B137" s="20" t="s">
        <v>189</v>
      </c>
      <c r="C137" s="32" t="s">
        <v>12</v>
      </c>
      <c r="D137" s="152"/>
      <c r="E137" s="151"/>
      <c r="F137" s="151">
        <v>450</v>
      </c>
      <c r="G137" s="151">
        <v>516</v>
      </c>
      <c r="H137" s="151">
        <v>516</v>
      </c>
      <c r="I137" s="151"/>
      <c r="J137" s="151">
        <v>520</v>
      </c>
      <c r="K137" s="151">
        <v>496</v>
      </c>
      <c r="L137" s="58">
        <f t="shared" si="27"/>
        <v>95.384615384615387</v>
      </c>
      <c r="M137" s="58" t="str">
        <f t="shared" si="28"/>
        <v/>
      </c>
      <c r="N137" s="84"/>
      <c r="O137" s="82"/>
    </row>
    <row r="138" spans="1:15" s="42" customFormat="1" ht="21" hidden="1" customHeight="1" outlineLevel="1">
      <c r="A138" s="39"/>
      <c r="B138" s="62" t="s">
        <v>849</v>
      </c>
      <c r="C138" s="32" t="s">
        <v>12</v>
      </c>
      <c r="D138" s="152"/>
      <c r="E138" s="151"/>
      <c r="F138" s="151">
        <v>350</v>
      </c>
      <c r="G138" s="151">
        <v>365</v>
      </c>
      <c r="H138" s="151">
        <v>365</v>
      </c>
      <c r="I138" s="151"/>
      <c r="J138" s="151">
        <v>361</v>
      </c>
      <c r="K138" s="151"/>
      <c r="L138" s="58">
        <f t="shared" si="27"/>
        <v>0</v>
      </c>
      <c r="M138" s="58" t="str">
        <f t="shared" si="28"/>
        <v/>
      </c>
      <c r="N138" s="84"/>
      <c r="O138" s="82"/>
    </row>
    <row r="139" spans="1:15" s="42" customFormat="1" ht="21" hidden="1" customHeight="1" outlineLevel="1">
      <c r="A139" s="32" t="s">
        <v>557</v>
      </c>
      <c r="B139" s="20" t="s">
        <v>190</v>
      </c>
      <c r="C139" s="32" t="s">
        <v>12</v>
      </c>
      <c r="D139" s="152"/>
      <c r="E139" s="151"/>
      <c r="F139" s="151">
        <v>3980</v>
      </c>
      <c r="G139" s="151">
        <v>3964</v>
      </c>
      <c r="H139" s="151">
        <v>3960</v>
      </c>
      <c r="I139" s="151"/>
      <c r="J139" s="151">
        <v>4050</v>
      </c>
      <c r="K139" s="151">
        <v>3880</v>
      </c>
      <c r="L139" s="58">
        <f t="shared" si="27"/>
        <v>95.802469135802468</v>
      </c>
      <c r="M139" s="58" t="str">
        <f t="shared" si="28"/>
        <v/>
      </c>
      <c r="N139" s="84"/>
      <c r="O139" s="82"/>
    </row>
    <row r="140" spans="1:15" s="42" customFormat="1" ht="21" hidden="1" customHeight="1" outlineLevel="1">
      <c r="A140" s="32"/>
      <c r="B140" s="62" t="s">
        <v>849</v>
      </c>
      <c r="C140" s="32" t="s">
        <v>12</v>
      </c>
      <c r="D140" s="152"/>
      <c r="E140" s="151"/>
      <c r="F140" s="151"/>
      <c r="G140" s="151"/>
      <c r="H140" s="151"/>
      <c r="I140" s="151"/>
      <c r="J140" s="151">
        <f>J139</f>
        <v>4050</v>
      </c>
      <c r="K140" s="151"/>
      <c r="L140" s="58">
        <f t="shared" si="27"/>
        <v>0</v>
      </c>
      <c r="M140" s="58" t="str">
        <f t="shared" si="28"/>
        <v/>
      </c>
      <c r="N140" s="84"/>
      <c r="O140" s="82"/>
    </row>
    <row r="141" spans="1:15" ht="21" hidden="1" customHeight="1" outlineLevel="1">
      <c r="A141" s="32" t="s">
        <v>35</v>
      </c>
      <c r="B141" s="20" t="s">
        <v>272</v>
      </c>
      <c r="C141" s="32" t="s">
        <v>8</v>
      </c>
      <c r="D141" s="151">
        <v>5412</v>
      </c>
      <c r="E141" s="151">
        <v>5400</v>
      </c>
      <c r="F141" s="151">
        <v>5700</v>
      </c>
      <c r="G141" s="151">
        <v>5691</v>
      </c>
      <c r="H141" s="151">
        <v>5682</v>
      </c>
      <c r="I141" s="151"/>
      <c r="J141" s="151">
        <v>6079</v>
      </c>
      <c r="K141" s="151">
        <v>6027</v>
      </c>
      <c r="L141" s="58">
        <f t="shared" si="27"/>
        <v>99.144596150682673</v>
      </c>
      <c r="M141" s="58" t="str">
        <f t="shared" si="28"/>
        <v/>
      </c>
      <c r="N141" s="3"/>
      <c r="O141" s="81"/>
    </row>
    <row r="142" spans="1:15" ht="21" hidden="1" customHeight="1" outlineLevel="1">
      <c r="A142" s="32" t="s">
        <v>36</v>
      </c>
      <c r="B142" s="20" t="s">
        <v>273</v>
      </c>
      <c r="C142" s="32" t="s">
        <v>8</v>
      </c>
      <c r="D142" s="151">
        <v>3521</v>
      </c>
      <c r="E142" s="151">
        <v>3560</v>
      </c>
      <c r="F142" s="151">
        <v>3570</v>
      </c>
      <c r="G142" s="151">
        <v>3558</v>
      </c>
      <c r="H142" s="151">
        <f>3457+73</f>
        <v>3530</v>
      </c>
      <c r="I142" s="151"/>
      <c r="J142" s="151">
        <v>3653</v>
      </c>
      <c r="K142" s="151">
        <v>3616</v>
      </c>
      <c r="L142" s="58">
        <f t="shared" si="27"/>
        <v>98.987133862578702</v>
      </c>
      <c r="M142" s="58" t="str">
        <f t="shared" si="28"/>
        <v/>
      </c>
      <c r="N142" s="3"/>
    </row>
    <row r="143" spans="1:15" ht="21" hidden="1" customHeight="1" outlineLevel="1">
      <c r="A143" s="32"/>
      <c r="B143" s="62" t="s">
        <v>850</v>
      </c>
      <c r="C143" s="32"/>
      <c r="D143" s="151"/>
      <c r="E143" s="151"/>
      <c r="F143" s="151"/>
      <c r="G143" s="151"/>
      <c r="H143" s="151"/>
      <c r="I143" s="151"/>
      <c r="J143" s="151">
        <v>3593</v>
      </c>
      <c r="K143" s="151"/>
      <c r="L143" s="58"/>
      <c r="M143" s="58"/>
      <c r="N143" s="3"/>
      <c r="O143" s="81"/>
    </row>
    <row r="144" spans="1:15" ht="21" hidden="1" customHeight="1" outlineLevel="1">
      <c r="A144" s="32" t="s">
        <v>53</v>
      </c>
      <c r="B144" s="20" t="s">
        <v>342</v>
      </c>
      <c r="C144" s="32" t="s">
        <v>8</v>
      </c>
      <c r="D144" s="151">
        <v>741</v>
      </c>
      <c r="E144" s="151">
        <v>741</v>
      </c>
      <c r="F144" s="151">
        <v>830</v>
      </c>
      <c r="G144" s="151">
        <v>807</v>
      </c>
      <c r="H144" s="151">
        <v>807</v>
      </c>
      <c r="I144" s="151"/>
      <c r="J144" s="151">
        <v>920</v>
      </c>
      <c r="K144" s="151">
        <v>893</v>
      </c>
      <c r="L144" s="58">
        <f t="shared" ref="L144:L191" si="30">IFERROR(K144/J144%,"")</f>
        <v>97.065217391304358</v>
      </c>
      <c r="M144" s="58" t="str">
        <f t="shared" ref="M144:M191" si="31">IFERROR(K144/I144%,"")</f>
        <v/>
      </c>
      <c r="N144" s="3"/>
      <c r="O144" s="81"/>
    </row>
    <row r="145" spans="1:14" ht="22.5" hidden="1" customHeight="1" outlineLevel="1">
      <c r="A145" s="32"/>
      <c r="B145" s="20" t="s">
        <v>398</v>
      </c>
      <c r="C145" s="32"/>
      <c r="D145" s="13">
        <f t="shared" ref="D145:J145" si="32">SUM(D147:D151)</f>
        <v>37</v>
      </c>
      <c r="E145" s="13">
        <f t="shared" si="32"/>
        <v>38</v>
      </c>
      <c r="F145" s="13">
        <f t="shared" si="32"/>
        <v>38</v>
      </c>
      <c r="G145" s="13">
        <f t="shared" si="32"/>
        <v>38</v>
      </c>
      <c r="H145" s="13">
        <f t="shared" si="32"/>
        <v>38</v>
      </c>
      <c r="I145" s="13"/>
      <c r="J145" s="13">
        <f t="shared" si="32"/>
        <v>38</v>
      </c>
      <c r="K145" s="13"/>
      <c r="L145" s="58">
        <f t="shared" si="30"/>
        <v>0</v>
      </c>
      <c r="M145" s="58" t="str">
        <f t="shared" si="31"/>
        <v/>
      </c>
      <c r="N145" s="3"/>
    </row>
    <row r="146" spans="1:14" ht="22.5" hidden="1" customHeight="1" outlineLevel="1">
      <c r="A146" s="32"/>
      <c r="B146" s="62" t="s">
        <v>341</v>
      </c>
      <c r="C146" s="32"/>
      <c r="D146" s="13"/>
      <c r="E146" s="13"/>
      <c r="F146" s="13"/>
      <c r="G146" s="13"/>
      <c r="H146" s="13"/>
      <c r="I146" s="13"/>
      <c r="J146" s="13"/>
      <c r="K146" s="13"/>
      <c r="L146" s="58" t="str">
        <f t="shared" si="30"/>
        <v/>
      </c>
      <c r="M146" s="58" t="str">
        <f t="shared" si="31"/>
        <v/>
      </c>
      <c r="N146" s="3"/>
    </row>
    <row r="147" spans="1:14" ht="22.5" hidden="1" customHeight="1" outlineLevel="1">
      <c r="A147" s="32"/>
      <c r="B147" s="20" t="s">
        <v>343</v>
      </c>
      <c r="C147" s="32" t="s">
        <v>143</v>
      </c>
      <c r="D147" s="13">
        <v>13</v>
      </c>
      <c r="E147" s="13">
        <v>13</v>
      </c>
      <c r="F147" s="13">
        <f t="shared" ref="F147:H151" si="33">E147</f>
        <v>13</v>
      </c>
      <c r="G147" s="13">
        <f t="shared" si="33"/>
        <v>13</v>
      </c>
      <c r="H147" s="13">
        <f t="shared" si="33"/>
        <v>13</v>
      </c>
      <c r="I147" s="13"/>
      <c r="J147" s="13">
        <f>E147</f>
        <v>13</v>
      </c>
      <c r="K147" s="13"/>
      <c r="L147" s="58">
        <f t="shared" si="30"/>
        <v>0</v>
      </c>
      <c r="M147" s="58" t="str">
        <f t="shared" si="31"/>
        <v/>
      </c>
      <c r="N147" s="3"/>
    </row>
    <row r="148" spans="1:14" ht="22.5" hidden="1" customHeight="1" outlineLevel="1">
      <c r="A148" s="32"/>
      <c r="B148" s="20" t="s">
        <v>344</v>
      </c>
      <c r="C148" s="32" t="s">
        <v>143</v>
      </c>
      <c r="D148" s="13">
        <v>13</v>
      </c>
      <c r="E148" s="13">
        <v>14</v>
      </c>
      <c r="F148" s="13">
        <f t="shared" si="33"/>
        <v>14</v>
      </c>
      <c r="G148" s="13">
        <f t="shared" si="33"/>
        <v>14</v>
      </c>
      <c r="H148" s="13">
        <f t="shared" si="33"/>
        <v>14</v>
      </c>
      <c r="I148" s="13"/>
      <c r="J148" s="13">
        <f>E148</f>
        <v>14</v>
      </c>
      <c r="K148" s="13"/>
      <c r="L148" s="58">
        <f t="shared" si="30"/>
        <v>0</v>
      </c>
      <c r="M148" s="58" t="str">
        <f t="shared" si="31"/>
        <v/>
      </c>
      <c r="N148" s="3"/>
    </row>
    <row r="149" spans="1:14" ht="22.5" hidden="1" customHeight="1" outlineLevel="1">
      <c r="A149" s="32"/>
      <c r="B149" s="20" t="s">
        <v>345</v>
      </c>
      <c r="C149" s="32" t="s">
        <v>143</v>
      </c>
      <c r="D149" s="13">
        <v>9</v>
      </c>
      <c r="E149" s="13">
        <v>9</v>
      </c>
      <c r="F149" s="13">
        <f t="shared" si="33"/>
        <v>9</v>
      </c>
      <c r="G149" s="13">
        <f t="shared" si="33"/>
        <v>9</v>
      </c>
      <c r="H149" s="13">
        <f t="shared" si="33"/>
        <v>9</v>
      </c>
      <c r="I149" s="13"/>
      <c r="J149" s="13">
        <f>E149</f>
        <v>9</v>
      </c>
      <c r="K149" s="13"/>
      <c r="L149" s="58">
        <f t="shared" si="30"/>
        <v>0</v>
      </c>
      <c r="M149" s="58" t="str">
        <f t="shared" si="31"/>
        <v/>
      </c>
      <c r="N149" s="3"/>
    </row>
    <row r="150" spans="1:14" ht="22.5" hidden="1" customHeight="1" outlineLevel="1">
      <c r="A150" s="32"/>
      <c r="B150" s="20" t="s">
        <v>346</v>
      </c>
      <c r="C150" s="32" t="s">
        <v>143</v>
      </c>
      <c r="D150" s="13">
        <v>1</v>
      </c>
      <c r="E150" s="13">
        <v>1</v>
      </c>
      <c r="F150" s="13">
        <f t="shared" si="33"/>
        <v>1</v>
      </c>
      <c r="G150" s="13">
        <f t="shared" si="33"/>
        <v>1</v>
      </c>
      <c r="H150" s="13">
        <f t="shared" si="33"/>
        <v>1</v>
      </c>
      <c r="I150" s="13"/>
      <c r="J150" s="13">
        <f>E150</f>
        <v>1</v>
      </c>
      <c r="K150" s="13"/>
      <c r="L150" s="58">
        <f t="shared" si="30"/>
        <v>0</v>
      </c>
      <c r="M150" s="58" t="str">
        <f t="shared" si="31"/>
        <v/>
      </c>
      <c r="N150" s="3"/>
    </row>
    <row r="151" spans="1:14" ht="22.5" hidden="1" customHeight="1" outlineLevel="1">
      <c r="A151" s="32"/>
      <c r="B151" s="20" t="s">
        <v>347</v>
      </c>
      <c r="C151" s="32" t="s">
        <v>143</v>
      </c>
      <c r="D151" s="13">
        <v>1</v>
      </c>
      <c r="E151" s="13">
        <v>1</v>
      </c>
      <c r="F151" s="13">
        <f t="shared" si="33"/>
        <v>1</v>
      </c>
      <c r="G151" s="13">
        <f t="shared" si="33"/>
        <v>1</v>
      </c>
      <c r="H151" s="13">
        <f t="shared" si="33"/>
        <v>1</v>
      </c>
      <c r="I151" s="13"/>
      <c r="J151" s="13">
        <f>E151</f>
        <v>1</v>
      </c>
      <c r="K151" s="13"/>
      <c r="L151" s="58">
        <f t="shared" si="30"/>
        <v>0</v>
      </c>
      <c r="M151" s="58" t="str">
        <f t="shared" si="31"/>
        <v/>
      </c>
      <c r="N151" s="3"/>
    </row>
    <row r="152" spans="1:14" ht="22.5" hidden="1" customHeight="1" outlineLevel="1">
      <c r="A152" s="32"/>
      <c r="B152" s="20" t="s">
        <v>348</v>
      </c>
      <c r="C152" s="32" t="s">
        <v>143</v>
      </c>
      <c r="D152" s="13">
        <f t="shared" ref="D152:J152" si="34">SUM(D154:D158)</f>
        <v>20</v>
      </c>
      <c r="E152" s="13">
        <f t="shared" si="34"/>
        <v>21</v>
      </c>
      <c r="F152" s="13">
        <f t="shared" si="34"/>
        <v>25</v>
      </c>
      <c r="G152" s="13">
        <f t="shared" si="34"/>
        <v>21</v>
      </c>
      <c r="H152" s="13">
        <f t="shared" si="34"/>
        <v>21</v>
      </c>
      <c r="I152" s="13"/>
      <c r="J152" s="13">
        <f t="shared" si="34"/>
        <v>24</v>
      </c>
      <c r="K152" s="13"/>
      <c r="L152" s="58">
        <f t="shared" si="30"/>
        <v>0</v>
      </c>
      <c r="M152" s="58" t="str">
        <f t="shared" si="31"/>
        <v/>
      </c>
      <c r="N152" s="3"/>
    </row>
    <row r="153" spans="1:14" ht="22.5" hidden="1" customHeight="1" outlineLevel="1">
      <c r="A153" s="32"/>
      <c r="B153" s="62" t="s">
        <v>341</v>
      </c>
      <c r="C153" s="32"/>
      <c r="D153" s="13"/>
      <c r="E153" s="13"/>
      <c r="F153" s="13"/>
      <c r="G153" s="13"/>
      <c r="H153" s="13"/>
      <c r="I153" s="13"/>
      <c r="J153" s="13"/>
      <c r="K153" s="13"/>
      <c r="L153" s="58" t="str">
        <f t="shared" si="30"/>
        <v/>
      </c>
      <c r="M153" s="58" t="str">
        <f t="shared" si="31"/>
        <v/>
      </c>
      <c r="N153" s="3"/>
    </row>
    <row r="154" spans="1:14" ht="22.5" hidden="1" customHeight="1" outlineLevel="1">
      <c r="A154" s="32"/>
      <c r="B154" s="20" t="s">
        <v>343</v>
      </c>
      <c r="C154" s="32" t="s">
        <v>143</v>
      </c>
      <c r="D154" s="13">
        <v>5</v>
      </c>
      <c r="E154" s="13">
        <v>6</v>
      </c>
      <c r="F154" s="13">
        <v>8</v>
      </c>
      <c r="G154" s="13">
        <v>6</v>
      </c>
      <c r="H154" s="13">
        <v>6</v>
      </c>
      <c r="I154" s="13"/>
      <c r="J154" s="13">
        <v>7</v>
      </c>
      <c r="K154" s="13"/>
      <c r="L154" s="58">
        <f t="shared" si="30"/>
        <v>0</v>
      </c>
      <c r="M154" s="58" t="str">
        <f t="shared" si="31"/>
        <v/>
      </c>
      <c r="N154" s="3"/>
    </row>
    <row r="155" spans="1:14" ht="22.5" hidden="1" customHeight="1" outlineLevel="1">
      <c r="A155" s="32"/>
      <c r="B155" s="20" t="s">
        <v>344</v>
      </c>
      <c r="C155" s="32" t="s">
        <v>143</v>
      </c>
      <c r="D155" s="13">
        <v>9</v>
      </c>
      <c r="E155" s="13">
        <v>9</v>
      </c>
      <c r="F155" s="13">
        <v>10</v>
      </c>
      <c r="G155" s="13">
        <v>9</v>
      </c>
      <c r="H155" s="13">
        <v>9</v>
      </c>
      <c r="I155" s="13"/>
      <c r="J155" s="13">
        <v>10</v>
      </c>
      <c r="K155" s="13"/>
      <c r="L155" s="58">
        <f t="shared" si="30"/>
        <v>0</v>
      </c>
      <c r="M155" s="58" t="str">
        <f t="shared" si="31"/>
        <v/>
      </c>
      <c r="N155" s="3"/>
    </row>
    <row r="156" spans="1:14" ht="22.5" hidden="1" customHeight="1" outlineLevel="1">
      <c r="A156" s="32"/>
      <c r="B156" s="20" t="s">
        <v>345</v>
      </c>
      <c r="C156" s="32" t="s">
        <v>143</v>
      </c>
      <c r="D156" s="13">
        <v>4</v>
      </c>
      <c r="E156" s="13">
        <v>4</v>
      </c>
      <c r="F156" s="13">
        <v>5</v>
      </c>
      <c r="G156" s="13">
        <v>4</v>
      </c>
      <c r="H156" s="13">
        <v>4</v>
      </c>
      <c r="I156" s="13"/>
      <c r="J156" s="13">
        <v>5</v>
      </c>
      <c r="K156" s="13"/>
      <c r="L156" s="58">
        <f t="shared" si="30"/>
        <v>0</v>
      </c>
      <c r="M156" s="58" t="str">
        <f t="shared" si="31"/>
        <v/>
      </c>
      <c r="N156" s="3"/>
    </row>
    <row r="157" spans="1:14" ht="22.5" hidden="1" customHeight="1" outlineLevel="1">
      <c r="A157" s="32"/>
      <c r="B157" s="20" t="s">
        <v>346</v>
      </c>
      <c r="C157" s="32" t="s">
        <v>143</v>
      </c>
      <c r="D157" s="13">
        <v>1</v>
      </c>
      <c r="E157" s="13">
        <v>1</v>
      </c>
      <c r="F157" s="13">
        <v>1</v>
      </c>
      <c r="G157" s="13">
        <v>1</v>
      </c>
      <c r="H157" s="13">
        <v>1</v>
      </c>
      <c r="I157" s="13"/>
      <c r="J157" s="13">
        <v>1</v>
      </c>
      <c r="K157" s="13"/>
      <c r="L157" s="58">
        <f t="shared" si="30"/>
        <v>0</v>
      </c>
      <c r="M157" s="58" t="str">
        <f t="shared" si="31"/>
        <v/>
      </c>
      <c r="N157" s="3"/>
    </row>
    <row r="158" spans="1:14" ht="22.5" hidden="1" customHeight="1" outlineLevel="1">
      <c r="A158" s="32"/>
      <c r="B158" s="20" t="s">
        <v>347</v>
      </c>
      <c r="C158" s="32" t="s">
        <v>143</v>
      </c>
      <c r="D158" s="13">
        <v>1</v>
      </c>
      <c r="E158" s="13">
        <v>1</v>
      </c>
      <c r="F158" s="13">
        <v>1</v>
      </c>
      <c r="G158" s="13">
        <v>1</v>
      </c>
      <c r="H158" s="13">
        <v>1</v>
      </c>
      <c r="I158" s="13"/>
      <c r="J158" s="13">
        <v>1</v>
      </c>
      <c r="K158" s="13"/>
      <c r="L158" s="58">
        <f t="shared" si="30"/>
        <v>0</v>
      </c>
      <c r="M158" s="58" t="str">
        <f t="shared" si="31"/>
        <v/>
      </c>
      <c r="N158" s="3"/>
    </row>
    <row r="159" spans="1:14" ht="22.5" customHeight="1" collapsed="1">
      <c r="A159" s="32">
        <v>2</v>
      </c>
      <c r="B159" s="20" t="s">
        <v>144</v>
      </c>
      <c r="C159" s="32" t="s">
        <v>33</v>
      </c>
      <c r="D159" s="74">
        <f t="shared" ref="D159:J159" si="35">D152/D145%</f>
        <v>54.054054054054056</v>
      </c>
      <c r="E159" s="55">
        <f t="shared" si="35"/>
        <v>55.263157894736842</v>
      </c>
      <c r="F159" s="55">
        <f t="shared" si="35"/>
        <v>65.78947368421052</v>
      </c>
      <c r="G159" s="55">
        <f t="shared" si="35"/>
        <v>55.263157894736842</v>
      </c>
      <c r="H159" s="55">
        <f t="shared" si="35"/>
        <v>55.263157894736842</v>
      </c>
      <c r="I159" s="55">
        <f>QI.2018!H168</f>
        <v>44.444444444444443</v>
      </c>
      <c r="J159" s="55">
        <f t="shared" si="35"/>
        <v>63.157894736842103</v>
      </c>
      <c r="K159" s="55">
        <f>H159</f>
        <v>55.263157894736842</v>
      </c>
      <c r="L159" s="58">
        <f t="shared" si="30"/>
        <v>87.5</v>
      </c>
      <c r="M159" s="58">
        <f t="shared" si="31"/>
        <v>124.3421052631579</v>
      </c>
      <c r="N159" s="3"/>
    </row>
    <row r="160" spans="1:14" ht="22.5" hidden="1" customHeight="1" outlineLevel="1">
      <c r="A160" s="32"/>
      <c r="B160" s="62" t="s">
        <v>341</v>
      </c>
      <c r="C160" s="32"/>
      <c r="D160" s="55"/>
      <c r="E160" s="55"/>
      <c r="F160" s="55"/>
      <c r="G160" s="55"/>
      <c r="H160" s="55"/>
      <c r="I160" s="55"/>
      <c r="J160" s="55"/>
      <c r="K160" s="55"/>
      <c r="L160" s="58" t="str">
        <f t="shared" si="30"/>
        <v/>
      </c>
      <c r="M160" s="58" t="str">
        <f t="shared" si="31"/>
        <v/>
      </c>
      <c r="N160" s="3"/>
    </row>
    <row r="161" spans="1:14" ht="22.5" hidden="1" customHeight="1" outlineLevel="1">
      <c r="A161" s="32"/>
      <c r="B161" s="20" t="s">
        <v>343</v>
      </c>
      <c r="C161" s="32" t="s">
        <v>33</v>
      </c>
      <c r="D161" s="55">
        <f t="shared" ref="D161:J165" si="36">D154/D147%</f>
        <v>38.46153846153846</v>
      </c>
      <c r="E161" s="55">
        <f t="shared" si="36"/>
        <v>46.153846153846153</v>
      </c>
      <c r="F161" s="55">
        <f t="shared" si="36"/>
        <v>61.538461538461533</v>
      </c>
      <c r="G161" s="55">
        <f t="shared" si="36"/>
        <v>46.153846153846153</v>
      </c>
      <c r="H161" s="55">
        <f t="shared" si="36"/>
        <v>46.153846153846153</v>
      </c>
      <c r="I161" s="55"/>
      <c r="J161" s="55">
        <f t="shared" si="36"/>
        <v>53.846153846153847</v>
      </c>
      <c r="K161" s="55"/>
      <c r="L161" s="58">
        <f t="shared" si="30"/>
        <v>0</v>
      </c>
      <c r="M161" s="58" t="str">
        <f t="shared" si="31"/>
        <v/>
      </c>
      <c r="N161" s="3"/>
    </row>
    <row r="162" spans="1:14" ht="22.5" hidden="1" customHeight="1" outlineLevel="1">
      <c r="A162" s="32"/>
      <c r="B162" s="20" t="s">
        <v>344</v>
      </c>
      <c r="C162" s="32" t="s">
        <v>33</v>
      </c>
      <c r="D162" s="55">
        <f t="shared" si="36"/>
        <v>69.230769230769226</v>
      </c>
      <c r="E162" s="55">
        <f t="shared" si="36"/>
        <v>64.285714285714278</v>
      </c>
      <c r="F162" s="55">
        <f t="shared" si="36"/>
        <v>71.428571428571416</v>
      </c>
      <c r="G162" s="55">
        <f t="shared" si="36"/>
        <v>64.285714285714278</v>
      </c>
      <c r="H162" s="55">
        <f t="shared" si="36"/>
        <v>64.285714285714278</v>
      </c>
      <c r="I162" s="55"/>
      <c r="J162" s="55">
        <f t="shared" si="36"/>
        <v>71.428571428571416</v>
      </c>
      <c r="K162" s="55"/>
      <c r="L162" s="58">
        <f t="shared" si="30"/>
        <v>0</v>
      </c>
      <c r="M162" s="58" t="str">
        <f t="shared" si="31"/>
        <v/>
      </c>
      <c r="N162" s="3"/>
    </row>
    <row r="163" spans="1:14" ht="22.5" hidden="1" customHeight="1" outlineLevel="1">
      <c r="A163" s="32"/>
      <c r="B163" s="20" t="s">
        <v>345</v>
      </c>
      <c r="C163" s="32" t="s">
        <v>33</v>
      </c>
      <c r="D163" s="55">
        <f t="shared" si="36"/>
        <v>44.444444444444443</v>
      </c>
      <c r="E163" s="55">
        <f t="shared" si="36"/>
        <v>44.444444444444443</v>
      </c>
      <c r="F163" s="55">
        <f t="shared" si="36"/>
        <v>55.555555555555557</v>
      </c>
      <c r="G163" s="55">
        <f t="shared" si="36"/>
        <v>44.444444444444443</v>
      </c>
      <c r="H163" s="55">
        <f t="shared" si="36"/>
        <v>44.444444444444443</v>
      </c>
      <c r="I163" s="55"/>
      <c r="J163" s="55">
        <f t="shared" si="36"/>
        <v>55.555555555555557</v>
      </c>
      <c r="K163" s="55"/>
      <c r="L163" s="58">
        <f t="shared" si="30"/>
        <v>0</v>
      </c>
      <c r="M163" s="58" t="str">
        <f t="shared" si="31"/>
        <v/>
      </c>
      <c r="N163" s="3"/>
    </row>
    <row r="164" spans="1:14" ht="22.5" hidden="1" customHeight="1" outlineLevel="1">
      <c r="A164" s="32"/>
      <c r="B164" s="20" t="s">
        <v>346</v>
      </c>
      <c r="C164" s="32" t="s">
        <v>33</v>
      </c>
      <c r="D164" s="55">
        <f t="shared" si="36"/>
        <v>100</v>
      </c>
      <c r="E164" s="55">
        <f t="shared" si="36"/>
        <v>100</v>
      </c>
      <c r="F164" s="55">
        <f t="shared" si="36"/>
        <v>100</v>
      </c>
      <c r="G164" s="55">
        <f t="shared" si="36"/>
        <v>100</v>
      </c>
      <c r="H164" s="55">
        <f t="shared" si="36"/>
        <v>100</v>
      </c>
      <c r="I164" s="55"/>
      <c r="J164" s="55">
        <f t="shared" si="36"/>
        <v>100</v>
      </c>
      <c r="K164" s="55"/>
      <c r="L164" s="58">
        <f t="shared" si="30"/>
        <v>0</v>
      </c>
      <c r="M164" s="58" t="str">
        <f t="shared" si="31"/>
        <v/>
      </c>
      <c r="N164" s="3"/>
    </row>
    <row r="165" spans="1:14" ht="22.5" hidden="1" customHeight="1" outlineLevel="1">
      <c r="A165" s="32"/>
      <c r="B165" s="20" t="s">
        <v>347</v>
      </c>
      <c r="C165" s="32" t="s">
        <v>33</v>
      </c>
      <c r="D165" s="55">
        <f t="shared" si="36"/>
        <v>100</v>
      </c>
      <c r="E165" s="55">
        <f t="shared" si="36"/>
        <v>100</v>
      </c>
      <c r="F165" s="55">
        <f t="shared" si="36"/>
        <v>100</v>
      </c>
      <c r="G165" s="55">
        <f t="shared" si="36"/>
        <v>100</v>
      </c>
      <c r="H165" s="55">
        <f t="shared" si="36"/>
        <v>100</v>
      </c>
      <c r="I165" s="55"/>
      <c r="J165" s="55">
        <f t="shared" si="36"/>
        <v>100</v>
      </c>
      <c r="K165" s="55"/>
      <c r="L165" s="58">
        <f t="shared" si="30"/>
        <v>0</v>
      </c>
      <c r="M165" s="58" t="str">
        <f t="shared" si="31"/>
        <v/>
      </c>
      <c r="N165" s="3"/>
    </row>
    <row r="166" spans="1:14" ht="22.5" hidden="1" customHeight="1" outlineLevel="1" collapsed="1">
      <c r="A166" s="32">
        <v>3</v>
      </c>
      <c r="B166" s="48" t="s">
        <v>390</v>
      </c>
      <c r="C166" s="32"/>
      <c r="D166" s="13"/>
      <c r="E166" s="13"/>
      <c r="F166" s="13"/>
      <c r="G166" s="13"/>
      <c r="H166" s="13"/>
      <c r="I166" s="13"/>
      <c r="J166" s="13"/>
      <c r="K166" s="13"/>
      <c r="L166" s="58" t="str">
        <f t="shared" si="30"/>
        <v/>
      </c>
      <c r="M166" s="58" t="str">
        <f t="shared" si="31"/>
        <v/>
      </c>
      <c r="N166" s="3"/>
    </row>
    <row r="167" spans="1:14" ht="22.5" hidden="1" customHeight="1" outlineLevel="1">
      <c r="A167" s="73" t="s">
        <v>34</v>
      </c>
      <c r="B167" s="68" t="s">
        <v>188</v>
      </c>
      <c r="C167" s="32" t="s">
        <v>33</v>
      </c>
      <c r="D167" s="153"/>
      <c r="E167" s="153"/>
      <c r="F167" s="153"/>
      <c r="G167" s="153"/>
      <c r="H167" s="153"/>
      <c r="I167" s="153"/>
      <c r="J167" s="153"/>
      <c r="K167" s="153"/>
      <c r="L167" s="58" t="str">
        <f t="shared" si="30"/>
        <v/>
      </c>
      <c r="M167" s="58" t="str">
        <f t="shared" si="31"/>
        <v/>
      </c>
      <c r="N167" s="3"/>
    </row>
    <row r="168" spans="1:14" ht="22.5" hidden="1" customHeight="1" outlineLevel="1">
      <c r="A168" s="73"/>
      <c r="B168" s="70" t="s">
        <v>189</v>
      </c>
      <c r="C168" s="32" t="s">
        <v>33</v>
      </c>
      <c r="D168" s="153">
        <v>11.7</v>
      </c>
      <c r="E168" s="153">
        <v>12.1</v>
      </c>
      <c r="F168" s="153">
        <v>12.5</v>
      </c>
      <c r="G168" s="153">
        <v>17.34</v>
      </c>
      <c r="H168" s="153">
        <v>17.34</v>
      </c>
      <c r="I168" s="153"/>
      <c r="J168" s="153">
        <v>17.5</v>
      </c>
      <c r="K168" s="153"/>
      <c r="L168" s="58">
        <f t="shared" si="30"/>
        <v>0</v>
      </c>
      <c r="M168" s="58" t="str">
        <f t="shared" si="31"/>
        <v/>
      </c>
      <c r="N168" s="3"/>
    </row>
    <row r="169" spans="1:14" ht="22.5" hidden="1" customHeight="1" outlineLevel="1">
      <c r="A169" s="73"/>
      <c r="B169" s="70" t="s">
        <v>190</v>
      </c>
      <c r="C169" s="32" t="s">
        <v>33</v>
      </c>
      <c r="D169" s="153">
        <v>97.9</v>
      </c>
      <c r="E169" s="153">
        <v>97.2</v>
      </c>
      <c r="F169" s="153">
        <v>98</v>
      </c>
      <c r="G169" s="153">
        <v>97.6</v>
      </c>
      <c r="H169" s="153">
        <v>97.6</v>
      </c>
      <c r="I169" s="153"/>
      <c r="J169" s="153">
        <v>98</v>
      </c>
      <c r="K169" s="153"/>
      <c r="L169" s="58">
        <f t="shared" si="30"/>
        <v>0</v>
      </c>
      <c r="M169" s="58" t="str">
        <f t="shared" si="31"/>
        <v/>
      </c>
      <c r="N169" s="3"/>
    </row>
    <row r="170" spans="1:14" ht="22.5" hidden="1" customHeight="1" outlineLevel="1">
      <c r="A170" s="73" t="s">
        <v>35</v>
      </c>
      <c r="B170" s="68" t="s">
        <v>272</v>
      </c>
      <c r="C170" s="32" t="s">
        <v>33</v>
      </c>
      <c r="D170" s="153">
        <v>99.9</v>
      </c>
      <c r="E170" s="153">
        <v>100</v>
      </c>
      <c r="F170" s="153">
        <v>100</v>
      </c>
      <c r="G170" s="153">
        <v>100</v>
      </c>
      <c r="H170" s="153">
        <v>100</v>
      </c>
      <c r="I170" s="153"/>
      <c r="J170" s="153">
        <v>100</v>
      </c>
      <c r="K170" s="153"/>
      <c r="L170" s="58">
        <f t="shared" si="30"/>
        <v>0</v>
      </c>
      <c r="M170" s="58" t="str">
        <f t="shared" si="31"/>
        <v/>
      </c>
      <c r="N170" s="3"/>
    </row>
    <row r="171" spans="1:14" ht="22.5" hidden="1" customHeight="1" outlineLevel="1">
      <c r="A171" s="73" t="s">
        <v>36</v>
      </c>
      <c r="B171" s="68" t="s">
        <v>391</v>
      </c>
      <c r="C171" s="32" t="s">
        <v>33</v>
      </c>
      <c r="D171" s="153">
        <v>96.2</v>
      </c>
      <c r="E171" s="153">
        <v>99.8</v>
      </c>
      <c r="F171" s="153">
        <v>100</v>
      </c>
      <c r="G171" s="153">
        <v>99.8</v>
      </c>
      <c r="H171" s="153">
        <v>99.9</v>
      </c>
      <c r="I171" s="153"/>
      <c r="J171" s="153">
        <v>99.9</v>
      </c>
      <c r="K171" s="153"/>
      <c r="L171" s="58">
        <f t="shared" si="30"/>
        <v>0</v>
      </c>
      <c r="M171" s="58" t="str">
        <f t="shared" si="31"/>
        <v/>
      </c>
      <c r="N171" s="3"/>
    </row>
    <row r="172" spans="1:14" ht="22.5" customHeight="1" collapsed="1">
      <c r="A172" s="11" t="s">
        <v>50</v>
      </c>
      <c r="B172" s="15" t="s">
        <v>350</v>
      </c>
      <c r="C172" s="32"/>
      <c r="D172" s="13"/>
      <c r="E172" s="13"/>
      <c r="F172" s="13"/>
      <c r="G172" s="13"/>
      <c r="H172" s="13"/>
      <c r="I172" s="13"/>
      <c r="J172" s="13"/>
      <c r="K172" s="13"/>
      <c r="L172" s="66" t="str">
        <f t="shared" si="30"/>
        <v/>
      </c>
      <c r="M172" s="66" t="str">
        <f t="shared" si="31"/>
        <v/>
      </c>
      <c r="N172" s="3"/>
    </row>
    <row r="173" spans="1:14" ht="22.5" customHeight="1">
      <c r="A173" s="32">
        <v>1</v>
      </c>
      <c r="B173" s="20" t="s">
        <v>351</v>
      </c>
      <c r="C173" s="32" t="s">
        <v>145</v>
      </c>
      <c r="D173" s="13">
        <f>D174+D175</f>
        <v>130</v>
      </c>
      <c r="E173" s="13">
        <f t="shared" ref="E173:J173" si="37">E174+E175</f>
        <v>130</v>
      </c>
      <c r="F173" s="13">
        <f t="shared" si="37"/>
        <v>130</v>
      </c>
      <c r="G173" s="13">
        <f t="shared" si="37"/>
        <v>130</v>
      </c>
      <c r="H173" s="13">
        <f t="shared" si="37"/>
        <v>130</v>
      </c>
      <c r="I173" s="13">
        <v>135</v>
      </c>
      <c r="J173" s="13">
        <f t="shared" si="37"/>
        <v>175</v>
      </c>
      <c r="K173" s="13">
        <v>135</v>
      </c>
      <c r="L173" s="58">
        <f t="shared" si="30"/>
        <v>77.142857142857139</v>
      </c>
      <c r="M173" s="58">
        <f t="shared" si="31"/>
        <v>100</v>
      </c>
      <c r="N173" s="3"/>
    </row>
    <row r="174" spans="1:14" ht="22.5" hidden="1" customHeight="1" outlineLevel="1">
      <c r="A174" s="32"/>
      <c r="B174" s="20" t="s">
        <v>851</v>
      </c>
      <c r="C174" s="32" t="s">
        <v>145</v>
      </c>
      <c r="D174" s="13">
        <v>85</v>
      </c>
      <c r="E174" s="13">
        <v>85</v>
      </c>
      <c r="F174" s="13">
        <v>85</v>
      </c>
      <c r="G174" s="13">
        <v>85</v>
      </c>
      <c r="H174" s="13">
        <v>85</v>
      </c>
      <c r="I174" s="13"/>
      <c r="J174" s="13">
        <v>130</v>
      </c>
      <c r="K174" s="13"/>
      <c r="L174" s="58">
        <f t="shared" si="30"/>
        <v>0</v>
      </c>
      <c r="M174" s="58" t="str">
        <f t="shared" si="31"/>
        <v/>
      </c>
      <c r="N174" s="3"/>
    </row>
    <row r="175" spans="1:14" ht="22.5" hidden="1" customHeight="1" outlineLevel="1">
      <c r="A175" s="32"/>
      <c r="B175" s="20" t="s">
        <v>852</v>
      </c>
      <c r="C175" s="32" t="s">
        <v>145</v>
      </c>
      <c r="D175" s="13">
        <v>45</v>
      </c>
      <c r="E175" s="13">
        <v>45</v>
      </c>
      <c r="F175" s="13">
        <v>45</v>
      </c>
      <c r="G175" s="13">
        <v>45</v>
      </c>
      <c r="H175" s="13">
        <v>45</v>
      </c>
      <c r="I175" s="13"/>
      <c r="J175" s="13">
        <v>45</v>
      </c>
      <c r="K175" s="13"/>
      <c r="L175" s="58">
        <f t="shared" si="30"/>
        <v>0</v>
      </c>
      <c r="M175" s="58" t="str">
        <f t="shared" si="31"/>
        <v/>
      </c>
      <c r="N175" s="3"/>
    </row>
    <row r="176" spans="1:14" ht="24" customHeight="1" collapsed="1">
      <c r="A176" s="32">
        <v>2</v>
      </c>
      <c r="B176" s="20" t="s">
        <v>451</v>
      </c>
      <c r="C176" s="32" t="s">
        <v>349</v>
      </c>
      <c r="D176" s="13">
        <v>2</v>
      </c>
      <c r="E176" s="13">
        <v>4</v>
      </c>
      <c r="F176" s="13">
        <v>7</v>
      </c>
      <c r="G176" s="13">
        <v>4</v>
      </c>
      <c r="H176" s="13">
        <v>7</v>
      </c>
      <c r="I176" s="13">
        <v>4</v>
      </c>
      <c r="J176" s="13">
        <v>7</v>
      </c>
      <c r="K176" s="13">
        <v>4</v>
      </c>
      <c r="L176" s="58">
        <f t="shared" si="30"/>
        <v>57.142857142857139</v>
      </c>
      <c r="M176" s="58">
        <f t="shared" si="31"/>
        <v>100</v>
      </c>
      <c r="N176" s="3"/>
    </row>
    <row r="177" spans="1:15" ht="21" customHeight="1">
      <c r="A177" s="32"/>
      <c r="B177" s="47" t="s">
        <v>452</v>
      </c>
      <c r="C177" s="32" t="s">
        <v>33</v>
      </c>
      <c r="D177" s="55">
        <f t="shared" ref="D177:K177" si="38">D176/9%</f>
        <v>22.222222222222221</v>
      </c>
      <c r="E177" s="55">
        <f t="shared" si="38"/>
        <v>44.444444444444443</v>
      </c>
      <c r="F177" s="55">
        <f t="shared" si="38"/>
        <v>77.777777777777786</v>
      </c>
      <c r="G177" s="55">
        <f t="shared" si="38"/>
        <v>44.444444444444443</v>
      </c>
      <c r="H177" s="55">
        <f t="shared" si="38"/>
        <v>77.777777777777786</v>
      </c>
      <c r="I177" s="55">
        <f t="shared" si="38"/>
        <v>44.444444444444443</v>
      </c>
      <c r="J177" s="55">
        <f t="shared" si="38"/>
        <v>77.777777777777786</v>
      </c>
      <c r="K177" s="55">
        <f t="shared" si="38"/>
        <v>44.444444444444443</v>
      </c>
      <c r="L177" s="58">
        <f t="shared" si="30"/>
        <v>57.142857142857132</v>
      </c>
      <c r="M177" s="58">
        <f t="shared" si="31"/>
        <v>100</v>
      </c>
      <c r="N177" s="3"/>
    </row>
    <row r="178" spans="1:15" ht="21.75" hidden="1" customHeight="1" outlineLevel="1">
      <c r="A178" s="32">
        <v>3</v>
      </c>
      <c r="B178" s="46" t="s">
        <v>187</v>
      </c>
      <c r="C178" s="32" t="s">
        <v>33</v>
      </c>
      <c r="D178" s="55">
        <v>83.5</v>
      </c>
      <c r="E178" s="55">
        <v>85</v>
      </c>
      <c r="F178" s="55">
        <v>90</v>
      </c>
      <c r="G178" s="55"/>
      <c r="H178" s="55">
        <v>86</v>
      </c>
      <c r="I178" s="55"/>
      <c r="J178" s="55">
        <v>91</v>
      </c>
      <c r="K178" s="55"/>
      <c r="L178" s="58">
        <f t="shared" si="30"/>
        <v>0</v>
      </c>
      <c r="M178" s="58" t="str">
        <f t="shared" si="31"/>
        <v/>
      </c>
      <c r="N178" s="3"/>
    </row>
    <row r="179" spans="1:15" ht="31.5" hidden="1" outlineLevel="1">
      <c r="A179" s="32">
        <v>4</v>
      </c>
      <c r="B179" s="46" t="s">
        <v>412</v>
      </c>
      <c r="C179" s="32" t="s">
        <v>33</v>
      </c>
      <c r="D179" s="74">
        <v>33.1</v>
      </c>
      <c r="E179" s="55">
        <v>31.8</v>
      </c>
      <c r="F179" s="55">
        <v>31.3</v>
      </c>
      <c r="G179" s="55"/>
      <c r="H179" s="55">
        <f>F179</f>
        <v>31.3</v>
      </c>
      <c r="I179" s="55"/>
      <c r="J179" s="55">
        <v>31</v>
      </c>
      <c r="K179" s="55"/>
      <c r="L179" s="58">
        <f t="shared" si="30"/>
        <v>0</v>
      </c>
      <c r="M179" s="58" t="str">
        <f t="shared" si="31"/>
        <v/>
      </c>
      <c r="N179" s="3"/>
    </row>
    <row r="180" spans="1:15" ht="31.5" hidden="1" outlineLevel="1">
      <c r="A180" s="32">
        <v>5</v>
      </c>
      <c r="B180" s="46" t="s">
        <v>413</v>
      </c>
      <c r="C180" s="32" t="s">
        <v>33</v>
      </c>
      <c r="D180" s="74">
        <v>20.6</v>
      </c>
      <c r="E180" s="55">
        <v>20</v>
      </c>
      <c r="F180" s="55">
        <v>19.5</v>
      </c>
      <c r="G180" s="55"/>
      <c r="H180" s="55">
        <f>F180</f>
        <v>19.5</v>
      </c>
      <c r="I180" s="55"/>
      <c r="J180" s="55">
        <v>19</v>
      </c>
      <c r="K180" s="55"/>
      <c r="L180" s="58">
        <f t="shared" si="30"/>
        <v>0</v>
      </c>
      <c r="M180" s="58" t="str">
        <f t="shared" si="31"/>
        <v/>
      </c>
      <c r="N180" s="3"/>
    </row>
    <row r="181" spans="1:15" ht="31.5" collapsed="1">
      <c r="A181" s="11" t="s">
        <v>51</v>
      </c>
      <c r="B181" s="142" t="s">
        <v>192</v>
      </c>
      <c r="C181" s="12"/>
      <c r="D181" s="13"/>
      <c r="E181" s="13"/>
      <c r="F181" s="13"/>
      <c r="G181" s="13"/>
      <c r="H181" s="13"/>
      <c r="I181" s="13"/>
      <c r="J181" s="13"/>
      <c r="K181" s="13"/>
      <c r="L181" s="66" t="str">
        <f t="shared" si="30"/>
        <v/>
      </c>
      <c r="M181" s="66" t="str">
        <f t="shared" si="31"/>
        <v/>
      </c>
      <c r="N181" s="3"/>
    </row>
    <row r="182" spans="1:15" ht="22.5" customHeight="1">
      <c r="A182" s="11">
        <v>1</v>
      </c>
      <c r="B182" s="63" t="s">
        <v>193</v>
      </c>
      <c r="C182" s="12"/>
      <c r="D182" s="13"/>
      <c r="E182" s="13"/>
      <c r="F182" s="13"/>
      <c r="G182" s="13"/>
      <c r="H182" s="13"/>
      <c r="I182" s="13"/>
      <c r="J182" s="13"/>
      <c r="K182" s="13"/>
      <c r="L182" s="66" t="str">
        <f t="shared" si="30"/>
        <v/>
      </c>
      <c r="M182" s="66" t="str">
        <f t="shared" si="31"/>
        <v/>
      </c>
      <c r="N182" s="3"/>
    </row>
    <row r="183" spans="1:15" ht="22.5" customHeight="1">
      <c r="A183" s="19"/>
      <c r="B183" s="48" t="s">
        <v>194</v>
      </c>
      <c r="C183" s="21" t="s">
        <v>16</v>
      </c>
      <c r="D183" s="59">
        <v>1560</v>
      </c>
      <c r="E183" s="59">
        <v>1560</v>
      </c>
      <c r="F183" s="59">
        <f>E183</f>
        <v>1560</v>
      </c>
      <c r="G183" s="59">
        <v>1248</v>
      </c>
      <c r="H183" s="59">
        <f>F183</f>
        <v>1560</v>
      </c>
      <c r="I183" s="59">
        <v>390</v>
      </c>
      <c r="J183" s="59">
        <f>H183</f>
        <v>1560</v>
      </c>
      <c r="K183" s="59">
        <v>390</v>
      </c>
      <c r="L183" s="58">
        <f t="shared" si="30"/>
        <v>25</v>
      </c>
      <c r="M183" s="58">
        <f t="shared" si="31"/>
        <v>100</v>
      </c>
      <c r="N183" s="3"/>
    </row>
    <row r="184" spans="1:15" ht="22.5" customHeight="1">
      <c r="A184" s="19"/>
      <c r="B184" s="48" t="s">
        <v>195</v>
      </c>
      <c r="C184" s="21" t="s">
        <v>16</v>
      </c>
      <c r="D184" s="59">
        <v>21800</v>
      </c>
      <c r="E184" s="59">
        <v>21800</v>
      </c>
      <c r="F184" s="59">
        <f>E184</f>
        <v>21800</v>
      </c>
      <c r="G184" s="59">
        <v>16320</v>
      </c>
      <c r="H184" s="59">
        <f>F184</f>
        <v>21800</v>
      </c>
      <c r="I184" s="59">
        <v>5400</v>
      </c>
      <c r="J184" s="59">
        <f>H184</f>
        <v>21800</v>
      </c>
      <c r="K184" s="59">
        <v>5400</v>
      </c>
      <c r="L184" s="58">
        <f t="shared" si="30"/>
        <v>24.770642201834864</v>
      </c>
      <c r="M184" s="58">
        <f t="shared" si="31"/>
        <v>100</v>
      </c>
      <c r="N184" s="3"/>
      <c r="O184" s="77"/>
    </row>
    <row r="185" spans="1:15" ht="22.5" hidden="1" customHeight="1" outlineLevel="1">
      <c r="A185" s="11">
        <v>2</v>
      </c>
      <c r="B185" s="63" t="s">
        <v>196</v>
      </c>
      <c r="C185" s="21"/>
      <c r="D185" s="59"/>
      <c r="E185" s="59"/>
      <c r="F185" s="59"/>
      <c r="G185" s="59"/>
      <c r="H185" s="59"/>
      <c r="I185" s="59"/>
      <c r="J185" s="59"/>
      <c r="K185" s="59"/>
      <c r="L185" s="66" t="str">
        <f t="shared" si="30"/>
        <v/>
      </c>
      <c r="M185" s="66" t="str">
        <f t="shared" si="31"/>
        <v/>
      </c>
      <c r="N185" s="3"/>
    </row>
    <row r="186" spans="1:15" ht="22.5" hidden="1" customHeight="1" outlineLevel="2">
      <c r="A186" s="32"/>
      <c r="B186" s="48" t="s">
        <v>198</v>
      </c>
      <c r="C186" s="21" t="s">
        <v>199</v>
      </c>
      <c r="D186" s="59">
        <v>9233</v>
      </c>
      <c r="E186" s="59">
        <f>E121*E187%</f>
        <v>9781.42</v>
      </c>
      <c r="F186" s="59">
        <f>F121*F187%</f>
        <v>10744.2</v>
      </c>
      <c r="G186" s="59">
        <f>G121*G187%</f>
        <v>0</v>
      </c>
      <c r="H186" s="59">
        <f>H121*H187%</f>
        <v>10215</v>
      </c>
      <c r="I186" s="59"/>
      <c r="J186" s="59">
        <f>J121*J187%</f>
        <v>10485</v>
      </c>
      <c r="K186" s="59"/>
      <c r="L186" s="58">
        <f t="shared" si="30"/>
        <v>0</v>
      </c>
      <c r="M186" s="58" t="str">
        <f t="shared" si="31"/>
        <v/>
      </c>
      <c r="N186" s="3"/>
    </row>
    <row r="187" spans="1:15" ht="22.5" hidden="1" customHeight="1" outlineLevel="1" collapsed="1">
      <c r="A187" s="32" t="s">
        <v>197</v>
      </c>
      <c r="B187" s="48" t="s">
        <v>200</v>
      </c>
      <c r="C187" s="41" t="s">
        <v>33</v>
      </c>
      <c r="D187" s="59">
        <v>85.6</v>
      </c>
      <c r="E187" s="58">
        <v>86.5</v>
      </c>
      <c r="F187" s="58">
        <v>90</v>
      </c>
      <c r="G187" s="58"/>
      <c r="H187" s="58">
        <f>F187</f>
        <v>90</v>
      </c>
      <c r="I187" s="58"/>
      <c r="J187" s="58">
        <v>90</v>
      </c>
      <c r="K187" s="58"/>
      <c r="L187" s="58">
        <f t="shared" si="30"/>
        <v>0</v>
      </c>
      <c r="M187" s="58" t="str">
        <f t="shared" si="31"/>
        <v/>
      </c>
      <c r="N187" s="3"/>
    </row>
    <row r="188" spans="1:15" ht="22.5" hidden="1" customHeight="1" outlineLevel="2">
      <c r="A188" s="32"/>
      <c r="B188" s="48" t="s">
        <v>202</v>
      </c>
      <c r="C188" s="21" t="s">
        <v>203</v>
      </c>
      <c r="D188" s="59">
        <v>58</v>
      </c>
      <c r="E188" s="58">
        <f>67*E189%</f>
        <v>57.954999999999998</v>
      </c>
      <c r="F188" s="58">
        <f>67*F189%</f>
        <v>60.97</v>
      </c>
      <c r="G188" s="58">
        <f>67*G189%</f>
        <v>0</v>
      </c>
      <c r="H188" s="58">
        <f>67*H189%</f>
        <v>60.97</v>
      </c>
      <c r="I188" s="58"/>
      <c r="J188" s="59">
        <v>61</v>
      </c>
      <c r="K188" s="59"/>
      <c r="L188" s="58">
        <f t="shared" si="30"/>
        <v>0</v>
      </c>
      <c r="M188" s="58" t="str">
        <f t="shared" si="31"/>
        <v/>
      </c>
      <c r="N188" s="3"/>
    </row>
    <row r="189" spans="1:15" ht="22.5" hidden="1" customHeight="1" outlineLevel="1" collapsed="1">
      <c r="A189" s="32" t="s">
        <v>201</v>
      </c>
      <c r="B189" s="48" t="s">
        <v>171</v>
      </c>
      <c r="C189" s="41" t="s">
        <v>33</v>
      </c>
      <c r="D189" s="59">
        <f>D188/67%</f>
        <v>86.567164179104466</v>
      </c>
      <c r="E189" s="58">
        <v>86.5</v>
      </c>
      <c r="F189" s="58">
        <v>91</v>
      </c>
      <c r="G189" s="58"/>
      <c r="H189" s="58">
        <v>91</v>
      </c>
      <c r="I189" s="58"/>
      <c r="J189" s="58">
        <v>91</v>
      </c>
      <c r="K189" s="58"/>
      <c r="L189" s="58">
        <f t="shared" si="30"/>
        <v>0</v>
      </c>
      <c r="M189" s="58" t="str">
        <f t="shared" si="31"/>
        <v/>
      </c>
      <c r="N189" s="3"/>
    </row>
    <row r="190" spans="1:15" ht="22.5" hidden="1" customHeight="1" outlineLevel="1">
      <c r="A190" s="32" t="s">
        <v>204</v>
      </c>
      <c r="B190" s="48" t="s">
        <v>205</v>
      </c>
      <c r="C190" s="21" t="s">
        <v>206</v>
      </c>
      <c r="D190" s="59">
        <v>88</v>
      </c>
      <c r="E190" s="59">
        <v>90</v>
      </c>
      <c r="F190" s="59">
        <v>90</v>
      </c>
      <c r="G190" s="59">
        <v>88</v>
      </c>
      <c r="H190" s="59">
        <f>F190</f>
        <v>90</v>
      </c>
      <c r="I190" s="59"/>
      <c r="J190" s="59">
        <v>90</v>
      </c>
      <c r="K190" s="59"/>
      <c r="L190" s="58">
        <f t="shared" si="30"/>
        <v>0</v>
      </c>
      <c r="M190" s="58" t="str">
        <f t="shared" si="31"/>
        <v/>
      </c>
      <c r="N190" s="3"/>
    </row>
    <row r="191" spans="1:15" ht="22.5" hidden="1" customHeight="1" outlineLevel="1">
      <c r="A191" s="32" t="s">
        <v>354</v>
      </c>
      <c r="B191" s="20" t="s">
        <v>356</v>
      </c>
      <c r="C191" s="32" t="s">
        <v>61</v>
      </c>
      <c r="D191" s="59">
        <v>4</v>
      </c>
      <c r="E191" s="59">
        <v>4</v>
      </c>
      <c r="F191" s="59">
        <v>4</v>
      </c>
      <c r="G191" s="59">
        <v>4</v>
      </c>
      <c r="H191" s="59">
        <v>4</v>
      </c>
      <c r="I191" s="59"/>
      <c r="J191" s="59">
        <v>5</v>
      </c>
      <c r="K191" s="59"/>
      <c r="L191" s="58">
        <f t="shared" si="30"/>
        <v>0</v>
      </c>
      <c r="M191" s="58" t="str">
        <f t="shared" si="31"/>
        <v/>
      </c>
      <c r="N191" s="3"/>
    </row>
    <row r="192" spans="1:15" ht="10.5" customHeight="1" collapsed="1">
      <c r="A192" s="4"/>
      <c r="B192" s="64"/>
      <c r="C192" s="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</row>
  </sheetData>
  <mergeCells count="14">
    <mergeCell ref="J5:J6"/>
    <mergeCell ref="K5:K6"/>
    <mergeCell ref="L5:M5"/>
    <mergeCell ref="N5:N6"/>
    <mergeCell ref="A1:N1"/>
    <mergeCell ref="A2:N2"/>
    <mergeCell ref="A3:N3"/>
    <mergeCell ref="A5:A6"/>
    <mergeCell ref="B5:B6"/>
    <mergeCell ref="C5:C6"/>
    <mergeCell ref="D5:D6"/>
    <mergeCell ref="E5:E6"/>
    <mergeCell ref="F5:H5"/>
    <mergeCell ref="I5:I6"/>
  </mergeCells>
  <pageMargins left="0.47244094488188981" right="0.39370078740157483" top="0.78740157480314965" bottom="0.47244094488188981" header="0.31496062992125984" footer="0.31496062992125984"/>
  <pageSetup paperSize="9" scale="76" fitToHeight="0" orientation="portrait" r:id="rId1"/>
  <headerFooter>
    <oddFooter>&amp;R&amp;"Times New Roman,Regular"&amp;14&amp;P/&amp;N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2"/>
  <sheetViews>
    <sheetView zoomScale="85" zoomScaleNormal="85" zoomScaleSheetLayoutView="100" workbookViewId="0">
      <pane xSplit="2" ySplit="8" topLeftCell="C9" activePane="bottomRight" state="frozen"/>
      <selection activeCell="B19" sqref="B19"/>
      <selection pane="topRight" activeCell="B19" sqref="B19"/>
      <selection pane="bottomLeft" activeCell="B19" sqref="B19"/>
      <selection pane="bottomRight" activeCell="K17" sqref="K17"/>
    </sheetView>
  </sheetViews>
  <sheetFormatPr defaultColWidth="9.140625" defaultRowHeight="15.75" outlineLevelRow="2" outlineLevelCol="1"/>
  <cols>
    <col min="1" max="1" width="5.5703125" style="65" customWidth="1"/>
    <col min="2" max="2" width="39.140625" style="5" customWidth="1"/>
    <col min="3" max="3" width="12.140625" style="65" customWidth="1"/>
    <col min="4" max="7" width="12.140625" style="5" hidden="1" customWidth="1" outlineLevel="1"/>
    <col min="8" max="8" width="12.140625" style="5" hidden="1" customWidth="1" outlineLevel="1" collapsed="1"/>
    <col min="9" max="9" width="11.5703125" style="5" customWidth="1" collapsed="1"/>
    <col min="10" max="14" width="11.5703125" style="5" customWidth="1"/>
    <col min="15" max="15" width="10.5703125" style="5" bestFit="1" customWidth="1"/>
    <col min="16" max="16" width="13.7109375" style="5" hidden="1" customWidth="1" outlineLevel="1"/>
    <col min="17" max="17" width="9.140625" style="5" collapsed="1"/>
    <col min="18" max="16384" width="9.140625" style="5"/>
  </cols>
  <sheetData>
    <row r="1" spans="1:16" ht="18.75" hidden="1" outlineLevel="1">
      <c r="A1" s="768" t="s">
        <v>166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  <c r="M1" s="768"/>
      <c r="N1" s="768"/>
    </row>
    <row r="2" spans="1:16" ht="18.75" hidden="1" outlineLevel="1">
      <c r="A2" s="769" t="s">
        <v>925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  <c r="M2" s="769"/>
      <c r="N2" s="769"/>
    </row>
    <row r="3" spans="1:16" ht="18.75" hidden="1" outlineLevel="1">
      <c r="A3" s="770" t="s">
        <v>920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  <c r="M3" s="770"/>
      <c r="N3" s="770"/>
    </row>
    <row r="4" spans="1:16" hidden="1" outlineLevel="1">
      <c r="A4" s="7"/>
      <c r="B4" s="2"/>
      <c r="C4" s="8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6" ht="16.5" customHeight="1" collapsed="1">
      <c r="A5" s="771" t="s">
        <v>55</v>
      </c>
      <c r="B5" s="772" t="s">
        <v>69</v>
      </c>
      <c r="C5" s="772" t="s">
        <v>18</v>
      </c>
      <c r="D5" s="772" t="s">
        <v>361</v>
      </c>
      <c r="E5" s="772" t="s">
        <v>415</v>
      </c>
      <c r="F5" s="772" t="s">
        <v>514</v>
      </c>
      <c r="G5" s="772"/>
      <c r="H5" s="772"/>
      <c r="I5" s="766" t="s">
        <v>923</v>
      </c>
      <c r="J5" s="797" t="s">
        <v>516</v>
      </c>
      <c r="K5" s="766" t="s">
        <v>924</v>
      </c>
      <c r="L5" s="797" t="s">
        <v>475</v>
      </c>
      <c r="M5" s="812"/>
      <c r="N5" s="766" t="s">
        <v>75</v>
      </c>
    </row>
    <row r="6" spans="1:16" ht="45" customHeight="1">
      <c r="A6" s="771"/>
      <c r="B6" s="772"/>
      <c r="C6" s="771"/>
      <c r="D6" s="772"/>
      <c r="E6" s="771"/>
      <c r="F6" s="625" t="s">
        <v>470</v>
      </c>
      <c r="G6" s="625" t="s">
        <v>832</v>
      </c>
      <c r="H6" s="625" t="s">
        <v>838</v>
      </c>
      <c r="I6" s="767"/>
      <c r="J6" s="798"/>
      <c r="K6" s="767"/>
      <c r="L6" s="624" t="s">
        <v>470</v>
      </c>
      <c r="M6" s="624" t="s">
        <v>471</v>
      </c>
      <c r="N6" s="767"/>
    </row>
    <row r="7" spans="1:16">
      <c r="A7" s="626">
        <v>1</v>
      </c>
      <c r="B7" s="626">
        <v>2</v>
      </c>
      <c r="C7" s="626">
        <v>3</v>
      </c>
      <c r="D7" s="626"/>
      <c r="E7" s="626">
        <v>4</v>
      </c>
      <c r="F7" s="626">
        <v>5</v>
      </c>
      <c r="G7" s="626"/>
      <c r="H7" s="626">
        <v>6</v>
      </c>
      <c r="I7" s="626">
        <v>4</v>
      </c>
      <c r="J7" s="626">
        <v>5</v>
      </c>
      <c r="K7" s="626">
        <v>6</v>
      </c>
      <c r="L7" s="627" t="s">
        <v>731</v>
      </c>
      <c r="M7" s="627" t="s">
        <v>833</v>
      </c>
      <c r="N7" s="626">
        <v>9</v>
      </c>
    </row>
    <row r="8" spans="1:16" ht="20.25" customHeight="1">
      <c r="A8" s="301"/>
      <c r="B8" s="302" t="s">
        <v>167</v>
      </c>
      <c r="C8" s="301"/>
      <c r="D8" s="303"/>
      <c r="E8" s="301"/>
      <c r="F8" s="301"/>
      <c r="G8" s="301"/>
      <c r="H8" s="301"/>
      <c r="I8" s="301"/>
      <c r="J8" s="301"/>
      <c r="K8" s="301"/>
      <c r="L8" s="301"/>
      <c r="M8" s="321"/>
      <c r="N8" s="128"/>
    </row>
    <row r="9" spans="1:16" ht="19.5" customHeight="1" collapsed="1">
      <c r="A9" s="11" t="s">
        <v>40</v>
      </c>
      <c r="B9" s="142" t="s">
        <v>332</v>
      </c>
      <c r="C9" s="12"/>
      <c r="D9" s="143"/>
      <c r="E9" s="143"/>
      <c r="F9" s="143"/>
      <c r="G9" s="143"/>
      <c r="H9" s="143"/>
      <c r="I9" s="143"/>
      <c r="J9" s="143"/>
      <c r="K9" s="143"/>
      <c r="L9" s="143"/>
      <c r="M9" s="66"/>
      <c r="N9" s="66"/>
      <c r="O9" s="14"/>
    </row>
    <row r="10" spans="1:16" s="18" customFormat="1" ht="19.5" customHeight="1">
      <c r="A10" s="11" t="s">
        <v>38</v>
      </c>
      <c r="B10" s="15" t="s">
        <v>172</v>
      </c>
      <c r="C10" s="12" t="s">
        <v>130</v>
      </c>
      <c r="D10" s="16">
        <v>347871</v>
      </c>
      <c r="E10" s="16">
        <v>313038</v>
      </c>
      <c r="F10" s="16">
        <v>277205</v>
      </c>
      <c r="G10" s="16">
        <v>239423</v>
      </c>
      <c r="H10" s="16">
        <v>360655</v>
      </c>
      <c r="I10" s="16">
        <v>100990</v>
      </c>
      <c r="J10" s="16">
        <v>312703</v>
      </c>
      <c r="K10" s="16">
        <v>107808</v>
      </c>
      <c r="L10" s="66">
        <f t="shared" ref="L10:L41" si="0">IFERROR(K10/J10%,"")</f>
        <v>34.476164283681321</v>
      </c>
      <c r="M10" s="66">
        <f t="shared" ref="M10:M41" si="1">IFERROR(K10/I10%,"")</f>
        <v>106.75116348153283</v>
      </c>
      <c r="N10" s="83"/>
      <c r="O10" s="17"/>
      <c r="P10" s="358">
        <v>313722</v>
      </c>
    </row>
    <row r="11" spans="1:16" ht="19.5" customHeight="1">
      <c r="A11" s="19" t="s">
        <v>155</v>
      </c>
      <c r="B11" s="20" t="s">
        <v>173</v>
      </c>
      <c r="C11" s="21" t="s">
        <v>130</v>
      </c>
      <c r="D11" s="22">
        <v>90496</v>
      </c>
      <c r="E11" s="22">
        <v>104622</v>
      </c>
      <c r="F11" s="22">
        <v>82860</v>
      </c>
      <c r="G11" s="22">
        <v>98907</v>
      </c>
      <c r="H11" s="22">
        <v>111075</v>
      </c>
      <c r="I11" s="22">
        <v>29601</v>
      </c>
      <c r="J11" s="22">
        <v>98770</v>
      </c>
      <c r="K11" s="22">
        <v>25384</v>
      </c>
      <c r="L11" s="58">
        <f t="shared" si="0"/>
        <v>25.700111369849143</v>
      </c>
      <c r="M11" s="58">
        <f t="shared" si="1"/>
        <v>85.753859666903153</v>
      </c>
      <c r="N11" s="3"/>
      <c r="O11" s="14"/>
      <c r="P11" s="359">
        <v>98700</v>
      </c>
    </row>
    <row r="12" spans="1:16" s="42" customFormat="1" ht="19.5" customHeight="1">
      <c r="A12" s="71"/>
      <c r="B12" s="62" t="s">
        <v>455</v>
      </c>
      <c r="C12" s="41" t="s">
        <v>130</v>
      </c>
      <c r="D12" s="72">
        <v>84999</v>
      </c>
      <c r="E12" s="72">
        <v>71796</v>
      </c>
      <c r="F12" s="72">
        <v>70788</v>
      </c>
      <c r="G12" s="72">
        <v>79682.86</v>
      </c>
      <c r="H12" s="72">
        <v>89040.21</v>
      </c>
      <c r="I12" s="72">
        <v>23624</v>
      </c>
      <c r="J12" s="72">
        <v>80858</v>
      </c>
      <c r="K12" s="72">
        <v>20774</v>
      </c>
      <c r="L12" s="85">
        <f t="shared" si="0"/>
        <v>25.691953795542801</v>
      </c>
      <c r="M12" s="85">
        <f t="shared" si="1"/>
        <v>87.935997290890612</v>
      </c>
      <c r="N12" s="84"/>
      <c r="O12" s="14"/>
      <c r="P12" s="359">
        <v>80858</v>
      </c>
    </row>
    <row r="13" spans="1:16" s="18" customFormat="1" ht="18.75" customHeight="1">
      <c r="A13" s="11" t="s">
        <v>39</v>
      </c>
      <c r="B13" s="15" t="s">
        <v>174</v>
      </c>
      <c r="C13" s="12" t="s">
        <v>130</v>
      </c>
      <c r="D13" s="16">
        <v>308217</v>
      </c>
      <c r="E13" s="16">
        <v>300633</v>
      </c>
      <c r="F13" s="16">
        <v>265133</v>
      </c>
      <c r="G13" s="16">
        <v>205352</v>
      </c>
      <c r="H13" s="16">
        <v>300789</v>
      </c>
      <c r="I13" s="16">
        <v>57166</v>
      </c>
      <c r="J13" s="16">
        <v>294791</v>
      </c>
      <c r="K13" s="16">
        <v>64990</v>
      </c>
      <c r="L13" s="66">
        <f t="shared" si="0"/>
        <v>22.046127595482904</v>
      </c>
      <c r="M13" s="66">
        <f t="shared" si="1"/>
        <v>113.68645698492111</v>
      </c>
      <c r="N13" s="83"/>
      <c r="O13" s="17"/>
      <c r="P13" s="358">
        <v>295880</v>
      </c>
    </row>
    <row r="14" spans="1:16" ht="20.25" customHeight="1">
      <c r="A14" s="19" t="s">
        <v>155</v>
      </c>
      <c r="B14" s="20" t="s">
        <v>175</v>
      </c>
      <c r="C14" s="21" t="s">
        <v>130</v>
      </c>
      <c r="D14" s="22">
        <v>239615</v>
      </c>
      <c r="E14" s="22">
        <v>264543</v>
      </c>
      <c r="F14" s="22">
        <v>232779</v>
      </c>
      <c r="G14" s="22">
        <v>177506</v>
      </c>
      <c r="H14" s="22">
        <v>252381</v>
      </c>
      <c r="I14" s="22">
        <v>56857</v>
      </c>
      <c r="J14" s="22">
        <v>245608</v>
      </c>
      <c r="K14" s="22">
        <v>63035</v>
      </c>
      <c r="L14" s="58">
        <f t="shared" si="0"/>
        <v>25.664880622781016</v>
      </c>
      <c r="M14" s="58">
        <f t="shared" si="1"/>
        <v>110.86585644687548</v>
      </c>
      <c r="N14" s="3"/>
      <c r="O14" s="14"/>
      <c r="P14" s="359">
        <v>245608</v>
      </c>
    </row>
    <row r="15" spans="1:16" ht="20.25" customHeight="1">
      <c r="A15" s="11"/>
      <c r="B15" s="30" t="s">
        <v>177</v>
      </c>
      <c r="C15" s="24"/>
      <c r="D15" s="25"/>
      <c r="E15" s="25"/>
      <c r="F15" s="25"/>
      <c r="G15" s="25"/>
      <c r="H15" s="25"/>
      <c r="I15" s="25"/>
      <c r="J15" s="25"/>
      <c r="K15" s="25"/>
      <c r="L15" s="66" t="str">
        <f t="shared" si="0"/>
        <v/>
      </c>
      <c r="M15" s="66" t="str">
        <f t="shared" si="1"/>
        <v/>
      </c>
      <c r="N15" s="66"/>
    </row>
    <row r="16" spans="1:16" ht="20.25" customHeight="1">
      <c r="A16" s="32" t="s">
        <v>56</v>
      </c>
      <c r="B16" s="35" t="s">
        <v>401</v>
      </c>
      <c r="C16" s="32" t="s">
        <v>37</v>
      </c>
      <c r="D16" s="29">
        <f t="shared" ref="D16:K16" si="2">D17+D67</f>
        <v>10546.03</v>
      </c>
      <c r="E16" s="29">
        <f t="shared" si="2"/>
        <v>10828.300000000001</v>
      </c>
      <c r="F16" s="29">
        <f t="shared" si="2"/>
        <v>10869.1</v>
      </c>
      <c r="G16" s="29">
        <f t="shared" si="2"/>
        <v>11169.87</v>
      </c>
      <c r="H16" s="29">
        <f t="shared" si="2"/>
        <v>11215.070000000002</v>
      </c>
      <c r="I16" s="29">
        <f t="shared" si="2"/>
        <v>10789.1</v>
      </c>
      <c r="J16" s="29">
        <f t="shared" si="2"/>
        <v>11169.2</v>
      </c>
      <c r="K16" s="29">
        <f t="shared" si="2"/>
        <v>11110.800000000001</v>
      </c>
      <c r="L16" s="58">
        <f t="shared" si="0"/>
        <v>99.47713354582244</v>
      </c>
      <c r="M16" s="58">
        <f t="shared" si="1"/>
        <v>102.98171302518283</v>
      </c>
      <c r="N16" s="3"/>
    </row>
    <row r="17" spans="1:14" ht="17.25" customHeight="1">
      <c r="A17" s="11" t="s">
        <v>38</v>
      </c>
      <c r="B17" s="30" t="s">
        <v>439</v>
      </c>
      <c r="C17" s="11" t="s">
        <v>37</v>
      </c>
      <c r="D17" s="27">
        <f t="shared" ref="D17:K17" si="3">D18+D47+D54+D50+D63</f>
        <v>732.03</v>
      </c>
      <c r="E17" s="27">
        <f t="shared" si="3"/>
        <v>756.7</v>
      </c>
      <c r="F17" s="27">
        <f t="shared" si="3"/>
        <v>747</v>
      </c>
      <c r="G17" s="27">
        <f t="shared" si="3"/>
        <v>751.17000000000007</v>
      </c>
      <c r="H17" s="27">
        <f t="shared" si="3"/>
        <v>751.17000000000007</v>
      </c>
      <c r="I17" s="27">
        <f t="shared" si="3"/>
        <v>740.9</v>
      </c>
      <c r="J17" s="27">
        <f t="shared" si="3"/>
        <v>738</v>
      </c>
      <c r="K17" s="27">
        <f t="shared" si="3"/>
        <v>737.1</v>
      </c>
      <c r="L17" s="66">
        <f t="shared" si="0"/>
        <v>99.878048780487816</v>
      </c>
      <c r="M17" s="66">
        <f t="shared" si="1"/>
        <v>99.487110271291684</v>
      </c>
      <c r="N17" s="3"/>
    </row>
    <row r="18" spans="1:14" s="18" customFormat="1" ht="17.25" customHeight="1">
      <c r="A18" s="11">
        <v>1</v>
      </c>
      <c r="B18" s="30" t="s">
        <v>22</v>
      </c>
      <c r="C18" s="11" t="s">
        <v>37</v>
      </c>
      <c r="D18" s="27">
        <f t="shared" ref="D18:K18" si="4">D23+D38</f>
        <v>625.53</v>
      </c>
      <c r="E18" s="27">
        <f t="shared" si="4"/>
        <v>609.20000000000005</v>
      </c>
      <c r="F18" s="27">
        <f t="shared" si="4"/>
        <v>594</v>
      </c>
      <c r="G18" s="27">
        <f t="shared" si="4"/>
        <v>599.07000000000005</v>
      </c>
      <c r="H18" s="27">
        <f t="shared" si="4"/>
        <v>599.07000000000005</v>
      </c>
      <c r="I18" s="27">
        <f t="shared" si="4"/>
        <v>599.1</v>
      </c>
      <c r="J18" s="27">
        <f t="shared" si="4"/>
        <v>593</v>
      </c>
      <c r="K18" s="27">
        <f t="shared" si="4"/>
        <v>593</v>
      </c>
      <c r="L18" s="66">
        <f t="shared" si="0"/>
        <v>100</v>
      </c>
      <c r="M18" s="66">
        <f t="shared" si="1"/>
        <v>98.981806042396926</v>
      </c>
      <c r="N18" s="83"/>
    </row>
    <row r="19" spans="1:14" ht="17.25" hidden="1" customHeight="1" outlineLevel="1">
      <c r="A19" s="32"/>
      <c r="B19" s="35"/>
      <c r="C19" s="34"/>
      <c r="D19" s="29"/>
      <c r="E19" s="29"/>
      <c r="F19" s="29"/>
      <c r="G19" s="29"/>
      <c r="H19" s="29"/>
      <c r="I19" s="29"/>
      <c r="J19" s="29"/>
      <c r="K19" s="29"/>
      <c r="L19" s="58"/>
      <c r="M19" s="58"/>
      <c r="N19" s="3"/>
    </row>
    <row r="20" spans="1:14" ht="17.25" hidden="1" customHeight="1" outlineLevel="1">
      <c r="A20" s="32"/>
      <c r="B20" s="33"/>
      <c r="C20" s="34"/>
      <c r="D20" s="29"/>
      <c r="E20" s="29"/>
      <c r="F20" s="29"/>
      <c r="G20" s="29"/>
      <c r="H20" s="29"/>
      <c r="I20" s="29"/>
      <c r="J20" s="29"/>
      <c r="K20" s="29"/>
      <c r="L20" s="58"/>
      <c r="M20" s="58"/>
      <c r="N20" s="3"/>
    </row>
    <row r="21" spans="1:14" ht="17.25" hidden="1" customHeight="1" outlineLevel="1">
      <c r="A21" s="32"/>
      <c r="B21" s="35"/>
      <c r="C21" s="34"/>
      <c r="D21" s="29"/>
      <c r="E21" s="29"/>
      <c r="F21" s="29"/>
      <c r="G21" s="29"/>
      <c r="H21" s="29"/>
      <c r="I21" s="29"/>
      <c r="J21" s="29"/>
      <c r="K21" s="29"/>
      <c r="L21" s="58"/>
      <c r="M21" s="58"/>
      <c r="N21" s="3"/>
    </row>
    <row r="22" spans="1:14" ht="17.25" hidden="1" customHeight="1" outlineLevel="1">
      <c r="A22" s="32"/>
      <c r="B22" s="35"/>
      <c r="C22" s="32"/>
      <c r="D22" s="29"/>
      <c r="E22" s="29"/>
      <c r="F22" s="29"/>
      <c r="G22" s="29"/>
      <c r="H22" s="29"/>
      <c r="I22" s="29"/>
      <c r="J22" s="29"/>
      <c r="K22" s="29"/>
      <c r="L22" s="58"/>
      <c r="M22" s="58"/>
      <c r="N22" s="3"/>
    </row>
    <row r="23" spans="1:14" s="18" customFormat="1" ht="17.25" hidden="1" customHeight="1" outlineLevel="1">
      <c r="A23" s="11" t="s">
        <v>34</v>
      </c>
      <c r="B23" s="44" t="s">
        <v>440</v>
      </c>
      <c r="C23" s="11" t="s">
        <v>37</v>
      </c>
      <c r="D23" s="16">
        <f t="shared" ref="D23:K23" si="5">D26+D29</f>
        <v>597.30999999999995</v>
      </c>
      <c r="E23" s="16">
        <f t="shared" si="5"/>
        <v>570.5</v>
      </c>
      <c r="F23" s="16">
        <f t="shared" si="5"/>
        <v>571</v>
      </c>
      <c r="G23" s="16">
        <f t="shared" si="5"/>
        <v>573.87</v>
      </c>
      <c r="H23" s="16">
        <f t="shared" si="5"/>
        <v>573.87</v>
      </c>
      <c r="I23" s="16">
        <f t="shared" si="5"/>
        <v>573.9</v>
      </c>
      <c r="J23" s="16">
        <f t="shared" si="5"/>
        <v>571</v>
      </c>
      <c r="K23" s="16">
        <f t="shared" si="5"/>
        <v>578</v>
      </c>
      <c r="L23" s="66">
        <f t="shared" si="0"/>
        <v>101.22591943957968</v>
      </c>
      <c r="M23" s="66">
        <f t="shared" si="1"/>
        <v>100.71441017598885</v>
      </c>
      <c r="N23" s="83"/>
    </row>
    <row r="24" spans="1:14" ht="17.25" hidden="1" customHeight="1" outlineLevel="1">
      <c r="A24" s="32"/>
      <c r="B24" s="37" t="s">
        <v>27</v>
      </c>
      <c r="C24" s="34" t="s">
        <v>21</v>
      </c>
      <c r="D24" s="38">
        <f t="shared" ref="D24:J24" si="6">D25/D23*10</f>
        <v>0</v>
      </c>
      <c r="E24" s="38">
        <f t="shared" si="6"/>
        <v>0</v>
      </c>
      <c r="F24" s="38">
        <f t="shared" si="6"/>
        <v>0</v>
      </c>
      <c r="G24" s="38">
        <f t="shared" si="6"/>
        <v>0</v>
      </c>
      <c r="H24" s="38">
        <f t="shared" si="6"/>
        <v>0</v>
      </c>
      <c r="I24" s="38">
        <f>I25/I23*10</f>
        <v>0</v>
      </c>
      <c r="J24" s="38">
        <f t="shared" si="6"/>
        <v>0</v>
      </c>
      <c r="K24" s="38">
        <f>K25/K23*10</f>
        <v>0</v>
      </c>
      <c r="L24" s="58" t="str">
        <f t="shared" si="0"/>
        <v/>
      </c>
      <c r="M24" s="58" t="str">
        <f t="shared" si="1"/>
        <v/>
      </c>
      <c r="N24" s="3"/>
    </row>
    <row r="25" spans="1:14" ht="17.25" hidden="1" customHeight="1" outlineLevel="1">
      <c r="A25" s="32"/>
      <c r="B25" s="37" t="s">
        <v>28</v>
      </c>
      <c r="C25" s="34" t="s">
        <v>76</v>
      </c>
      <c r="D25" s="22">
        <f t="shared" ref="D25:K25" si="7">D28+D31</f>
        <v>0</v>
      </c>
      <c r="E25" s="22">
        <f t="shared" si="7"/>
        <v>0</v>
      </c>
      <c r="F25" s="22">
        <f t="shared" si="7"/>
        <v>0</v>
      </c>
      <c r="G25" s="22">
        <f t="shared" si="7"/>
        <v>0</v>
      </c>
      <c r="H25" s="22">
        <f t="shared" si="7"/>
        <v>0</v>
      </c>
      <c r="I25" s="22">
        <f t="shared" si="7"/>
        <v>0</v>
      </c>
      <c r="J25" s="22">
        <f t="shared" si="7"/>
        <v>0</v>
      </c>
      <c r="K25" s="22">
        <f t="shared" si="7"/>
        <v>0</v>
      </c>
      <c r="L25" s="58" t="str">
        <f t="shared" si="0"/>
        <v/>
      </c>
      <c r="M25" s="58" t="str">
        <f t="shared" si="1"/>
        <v/>
      </c>
      <c r="N25" s="3"/>
    </row>
    <row r="26" spans="1:14" ht="17.25" customHeight="1" collapsed="1">
      <c r="A26" s="32"/>
      <c r="B26" s="116" t="s">
        <v>441</v>
      </c>
      <c r="C26" s="32" t="s">
        <v>37</v>
      </c>
      <c r="D26" s="22">
        <v>597.30999999999995</v>
      </c>
      <c r="E26" s="137">
        <v>570.5</v>
      </c>
      <c r="F26" s="59">
        <v>571</v>
      </c>
      <c r="G26" s="59">
        <v>573.87</v>
      </c>
      <c r="H26" s="59">
        <v>573.87</v>
      </c>
      <c r="I26" s="59">
        <f>QI.2018!H26</f>
        <v>573.9</v>
      </c>
      <c r="J26" s="59">
        <v>571</v>
      </c>
      <c r="K26" s="59">
        <v>578</v>
      </c>
      <c r="L26" s="58">
        <f t="shared" si="0"/>
        <v>101.22591943957968</v>
      </c>
      <c r="M26" s="58">
        <f t="shared" si="1"/>
        <v>100.71441017598885</v>
      </c>
      <c r="N26" s="3"/>
    </row>
    <row r="27" spans="1:14" ht="17.25" hidden="1" customHeight="1" outlineLevel="1">
      <c r="A27" s="32"/>
      <c r="B27" s="116"/>
      <c r="C27" s="34"/>
      <c r="D27" s="25"/>
      <c r="E27" s="38"/>
      <c r="F27" s="58"/>
      <c r="G27" s="58"/>
      <c r="H27" s="58"/>
      <c r="I27" s="58"/>
      <c r="J27" s="58"/>
      <c r="K27" s="58"/>
      <c r="L27" s="58"/>
      <c r="M27" s="58"/>
      <c r="N27" s="3"/>
    </row>
    <row r="28" spans="1:14" ht="17.25" hidden="1" customHeight="1" outlineLevel="1">
      <c r="A28" s="32"/>
      <c r="B28" s="117"/>
      <c r="C28" s="34"/>
      <c r="D28" s="22"/>
      <c r="E28" s="22"/>
      <c r="F28" s="22"/>
      <c r="G28" s="22"/>
      <c r="H28" s="22"/>
      <c r="I28" s="22"/>
      <c r="J28" s="22"/>
      <c r="K28" s="22"/>
      <c r="L28" s="58"/>
      <c r="M28" s="58"/>
      <c r="N28" s="3"/>
    </row>
    <row r="29" spans="1:14" ht="17.25" hidden="1" customHeight="1" outlineLevel="1">
      <c r="A29" s="32"/>
      <c r="B29" s="609"/>
      <c r="C29" s="32"/>
      <c r="D29" s="22"/>
      <c r="E29" s="29"/>
      <c r="F29" s="29"/>
      <c r="G29" s="29"/>
      <c r="H29" s="29"/>
      <c r="I29" s="29"/>
      <c r="J29" s="29"/>
      <c r="K29" s="29"/>
      <c r="L29" s="58"/>
      <c r="M29" s="58"/>
      <c r="N29" s="3"/>
    </row>
    <row r="30" spans="1:14" ht="17.25" hidden="1" customHeight="1" outlineLevel="1">
      <c r="A30" s="32"/>
      <c r="B30" s="117"/>
      <c r="C30" s="34"/>
      <c r="D30" s="38"/>
      <c r="E30" s="28"/>
      <c r="F30" s="28"/>
      <c r="G30" s="28"/>
      <c r="H30" s="28"/>
      <c r="I30" s="28"/>
      <c r="J30" s="28"/>
      <c r="K30" s="28"/>
      <c r="L30" s="58"/>
      <c r="M30" s="58"/>
      <c r="N30" s="3"/>
    </row>
    <row r="31" spans="1:14" ht="17.25" hidden="1" customHeight="1" outlineLevel="1">
      <c r="A31" s="32"/>
      <c r="B31" s="117"/>
      <c r="C31" s="34"/>
      <c r="D31" s="22"/>
      <c r="E31" s="29"/>
      <c r="F31" s="29"/>
      <c r="G31" s="29"/>
      <c r="H31" s="29"/>
      <c r="I31" s="29"/>
      <c r="J31" s="29"/>
      <c r="K31" s="29"/>
      <c r="L31" s="58"/>
      <c r="M31" s="58"/>
      <c r="N31" s="3"/>
    </row>
    <row r="32" spans="1:14" ht="17.25" hidden="1" customHeight="1" outlineLevel="1">
      <c r="A32" s="32"/>
      <c r="B32" s="610"/>
      <c r="C32" s="32"/>
      <c r="D32" s="22"/>
      <c r="E32" s="38"/>
      <c r="F32" s="22"/>
      <c r="G32" s="22"/>
      <c r="H32" s="22"/>
      <c r="I32" s="22"/>
      <c r="J32" s="22"/>
      <c r="K32" s="22"/>
      <c r="L32" s="58"/>
      <c r="M32" s="58"/>
      <c r="N32" s="3"/>
    </row>
    <row r="33" spans="1:14" ht="17.25" hidden="1" customHeight="1" outlineLevel="1">
      <c r="A33" s="32"/>
      <c r="B33" s="115"/>
      <c r="C33" s="34"/>
      <c r="D33" s="25"/>
      <c r="E33" s="38"/>
      <c r="F33" s="38"/>
      <c r="G33" s="38"/>
      <c r="H33" s="38"/>
      <c r="I33" s="38"/>
      <c r="J33" s="38"/>
      <c r="K33" s="38"/>
      <c r="L33" s="58"/>
      <c r="M33" s="58"/>
      <c r="N33" s="3"/>
    </row>
    <row r="34" spans="1:14" ht="17.25" hidden="1" customHeight="1" outlineLevel="1">
      <c r="A34" s="32"/>
      <c r="B34" s="115"/>
      <c r="C34" s="34"/>
      <c r="D34" s="22"/>
      <c r="E34" s="22"/>
      <c r="F34" s="22"/>
      <c r="G34" s="22"/>
      <c r="H34" s="22"/>
      <c r="I34" s="22"/>
      <c r="J34" s="22"/>
      <c r="K34" s="22"/>
      <c r="L34" s="58"/>
      <c r="M34" s="58"/>
      <c r="N34" s="3"/>
    </row>
    <row r="35" spans="1:14" ht="17.25" hidden="1" customHeight="1" outlineLevel="1">
      <c r="A35" s="32"/>
      <c r="B35" s="610"/>
      <c r="C35" s="32"/>
      <c r="D35" s="22"/>
      <c r="E35" s="22"/>
      <c r="F35" s="22"/>
      <c r="G35" s="22"/>
      <c r="H35" s="22"/>
      <c r="I35" s="22"/>
      <c r="J35" s="22"/>
      <c r="K35" s="22"/>
      <c r="L35" s="58"/>
      <c r="M35" s="58"/>
      <c r="N35" s="3"/>
    </row>
    <row r="36" spans="1:14" ht="17.25" hidden="1" customHeight="1" outlineLevel="1">
      <c r="A36" s="32"/>
      <c r="B36" s="115"/>
      <c r="C36" s="34"/>
      <c r="D36" s="38"/>
      <c r="E36" s="38"/>
      <c r="F36" s="38"/>
      <c r="G36" s="38"/>
      <c r="H36" s="38"/>
      <c r="I36" s="38"/>
      <c r="J36" s="38"/>
      <c r="K36" s="38"/>
      <c r="L36" s="58"/>
      <c r="M36" s="58"/>
      <c r="N36" s="3"/>
    </row>
    <row r="37" spans="1:14" ht="17.25" hidden="1" customHeight="1" outlineLevel="1">
      <c r="A37" s="32"/>
      <c r="B37" s="115"/>
      <c r="C37" s="34"/>
      <c r="D37" s="22"/>
      <c r="E37" s="22"/>
      <c r="F37" s="22"/>
      <c r="G37" s="22"/>
      <c r="H37" s="22"/>
      <c r="I37" s="22"/>
      <c r="J37" s="22"/>
      <c r="K37" s="22"/>
      <c r="L37" s="58"/>
      <c r="M37" s="58"/>
      <c r="N37" s="3"/>
    </row>
    <row r="38" spans="1:14" s="18" customFormat="1" ht="17.25" hidden="1" customHeight="1" outlineLevel="1">
      <c r="A38" s="11" t="s">
        <v>35</v>
      </c>
      <c r="B38" s="44" t="s">
        <v>444</v>
      </c>
      <c r="C38" s="11" t="s">
        <v>37</v>
      </c>
      <c r="D38" s="16">
        <f t="shared" ref="D38:K38" si="8">D41+D44</f>
        <v>28.22</v>
      </c>
      <c r="E38" s="16">
        <f t="shared" si="8"/>
        <v>38.700000000000003</v>
      </c>
      <c r="F38" s="16">
        <f t="shared" si="8"/>
        <v>23</v>
      </c>
      <c r="G38" s="16">
        <f t="shared" si="8"/>
        <v>25.2</v>
      </c>
      <c r="H38" s="16">
        <f t="shared" si="8"/>
        <v>25.2</v>
      </c>
      <c r="I38" s="16">
        <f t="shared" si="8"/>
        <v>25.2</v>
      </c>
      <c r="J38" s="16">
        <f t="shared" si="8"/>
        <v>22</v>
      </c>
      <c r="K38" s="16">
        <f t="shared" si="8"/>
        <v>15</v>
      </c>
      <c r="L38" s="66">
        <f t="shared" si="0"/>
        <v>68.181818181818187</v>
      </c>
      <c r="M38" s="66">
        <f t="shared" si="1"/>
        <v>59.523809523809526</v>
      </c>
      <c r="N38" s="83"/>
    </row>
    <row r="39" spans="1:14" ht="17.25" hidden="1" customHeight="1" outlineLevel="1">
      <c r="A39" s="32"/>
      <c r="B39" s="37" t="s">
        <v>27</v>
      </c>
      <c r="C39" s="34" t="s">
        <v>21</v>
      </c>
      <c r="D39" s="38">
        <f t="shared" ref="D39:J39" si="9">D40/D38*10</f>
        <v>0</v>
      </c>
      <c r="E39" s="38">
        <f t="shared" si="9"/>
        <v>0</v>
      </c>
      <c r="F39" s="38">
        <f t="shared" si="9"/>
        <v>0</v>
      </c>
      <c r="G39" s="38">
        <f t="shared" si="9"/>
        <v>0</v>
      </c>
      <c r="H39" s="38">
        <f t="shared" si="9"/>
        <v>0</v>
      </c>
      <c r="I39" s="38">
        <f>I40/I38*10</f>
        <v>0</v>
      </c>
      <c r="J39" s="38">
        <f t="shared" si="9"/>
        <v>0</v>
      </c>
      <c r="K39" s="38">
        <f>K40/K38*10</f>
        <v>0</v>
      </c>
      <c r="L39" s="58" t="str">
        <f t="shared" si="0"/>
        <v/>
      </c>
      <c r="M39" s="58" t="str">
        <f t="shared" si="1"/>
        <v/>
      </c>
      <c r="N39" s="3"/>
    </row>
    <row r="40" spans="1:14" ht="17.25" hidden="1" customHeight="1" outlineLevel="1">
      <c r="A40" s="32"/>
      <c r="B40" s="37" t="s">
        <v>28</v>
      </c>
      <c r="C40" s="34" t="s">
        <v>76</v>
      </c>
      <c r="D40" s="22">
        <f t="shared" ref="D40:K40" si="10">D43+D46</f>
        <v>0</v>
      </c>
      <c r="E40" s="22">
        <f t="shared" si="10"/>
        <v>0</v>
      </c>
      <c r="F40" s="22">
        <f t="shared" si="10"/>
        <v>0</v>
      </c>
      <c r="G40" s="22">
        <f t="shared" si="10"/>
        <v>0</v>
      </c>
      <c r="H40" s="22">
        <f t="shared" si="10"/>
        <v>0</v>
      </c>
      <c r="I40" s="22">
        <f t="shared" si="10"/>
        <v>0</v>
      </c>
      <c r="J40" s="22">
        <f t="shared" si="10"/>
        <v>0</v>
      </c>
      <c r="K40" s="22">
        <f t="shared" si="10"/>
        <v>0</v>
      </c>
      <c r="L40" s="58" t="str">
        <f t="shared" si="0"/>
        <v/>
      </c>
      <c r="M40" s="58" t="str">
        <f t="shared" si="1"/>
        <v/>
      </c>
      <c r="N40" s="3"/>
    </row>
    <row r="41" spans="1:14" ht="17.25" customHeight="1" collapsed="1">
      <c r="A41" s="32"/>
      <c r="B41" s="611" t="s">
        <v>457</v>
      </c>
      <c r="C41" s="32" t="s">
        <v>37</v>
      </c>
      <c r="D41" s="29">
        <v>28.22</v>
      </c>
      <c r="E41" s="29">
        <v>38.700000000000003</v>
      </c>
      <c r="F41" s="29">
        <v>23</v>
      </c>
      <c r="G41" s="29">
        <v>25.2</v>
      </c>
      <c r="H41" s="29">
        <v>25.2</v>
      </c>
      <c r="I41" s="29">
        <f>QI.2018!H41</f>
        <v>25.2</v>
      </c>
      <c r="J41" s="29">
        <v>22</v>
      </c>
      <c r="K41" s="29">
        <v>15</v>
      </c>
      <c r="L41" s="58">
        <f t="shared" si="0"/>
        <v>68.181818181818187</v>
      </c>
      <c r="M41" s="58">
        <f t="shared" si="1"/>
        <v>59.523809523809526</v>
      </c>
      <c r="N41" s="3"/>
    </row>
    <row r="42" spans="1:14" ht="17.25" hidden="1" customHeight="1" outlineLevel="1">
      <c r="A42" s="32"/>
      <c r="B42" s="116"/>
      <c r="C42" s="34"/>
      <c r="D42" s="28"/>
      <c r="E42" s="28"/>
      <c r="F42" s="28"/>
      <c r="G42" s="28"/>
      <c r="H42" s="28"/>
      <c r="I42" s="28"/>
      <c r="J42" s="28"/>
      <c r="K42" s="28"/>
      <c r="L42" s="58"/>
      <c r="M42" s="58"/>
      <c r="N42" s="3"/>
    </row>
    <row r="43" spans="1:14" ht="17.25" hidden="1" customHeight="1" outlineLevel="1">
      <c r="A43" s="32"/>
      <c r="B43" s="117"/>
      <c r="C43" s="34"/>
      <c r="D43" s="29"/>
      <c r="E43" s="29"/>
      <c r="F43" s="29"/>
      <c r="G43" s="29"/>
      <c r="H43" s="29"/>
      <c r="I43" s="29"/>
      <c r="J43" s="29"/>
      <c r="K43" s="29"/>
      <c r="L43" s="58"/>
      <c r="M43" s="58"/>
      <c r="N43" s="3"/>
    </row>
    <row r="44" spans="1:14" ht="17.25" hidden="1" customHeight="1" outlineLevel="1">
      <c r="A44" s="32"/>
      <c r="B44" s="611"/>
      <c r="C44" s="32"/>
      <c r="D44" s="29"/>
      <c r="E44" s="29"/>
      <c r="F44" s="29"/>
      <c r="G44" s="29"/>
      <c r="H44" s="29"/>
      <c r="I44" s="29"/>
      <c r="J44" s="29"/>
      <c r="K44" s="29"/>
      <c r="L44" s="58"/>
      <c r="M44" s="58"/>
      <c r="N44" s="3"/>
    </row>
    <row r="45" spans="1:14" ht="17.25" hidden="1" customHeight="1" outlineLevel="1">
      <c r="A45" s="32"/>
      <c r="B45" s="116"/>
      <c r="C45" s="34"/>
      <c r="D45" s="28"/>
      <c r="E45" s="28"/>
      <c r="F45" s="28"/>
      <c r="G45" s="28"/>
      <c r="H45" s="28"/>
      <c r="I45" s="28"/>
      <c r="J45" s="28"/>
      <c r="K45" s="28"/>
      <c r="L45" s="58"/>
      <c r="M45" s="58"/>
      <c r="N45" s="3"/>
    </row>
    <row r="46" spans="1:14" ht="17.25" hidden="1" customHeight="1" outlineLevel="1">
      <c r="A46" s="32"/>
      <c r="B46" s="117"/>
      <c r="C46" s="34"/>
      <c r="D46" s="29"/>
      <c r="E46" s="29"/>
      <c r="F46" s="29"/>
      <c r="G46" s="29"/>
      <c r="H46" s="29"/>
      <c r="I46" s="29"/>
      <c r="J46" s="29"/>
      <c r="K46" s="29"/>
      <c r="L46" s="58"/>
      <c r="M46" s="58"/>
      <c r="N46" s="3"/>
    </row>
    <row r="47" spans="1:14" ht="19.5" hidden="1" customHeight="1" outlineLevel="1">
      <c r="A47" s="11"/>
      <c r="B47" s="30"/>
      <c r="C47" s="32"/>
      <c r="D47" s="27"/>
      <c r="E47" s="27"/>
      <c r="F47" s="27"/>
      <c r="G47" s="27"/>
      <c r="H47" s="27"/>
      <c r="I47" s="27"/>
      <c r="J47" s="27"/>
      <c r="K47" s="27"/>
      <c r="L47" s="66"/>
      <c r="M47" s="66"/>
      <c r="N47" s="3"/>
    </row>
    <row r="48" spans="1:14" ht="19.5" hidden="1" customHeight="1" outlineLevel="1">
      <c r="A48" s="39"/>
      <c r="B48" s="37"/>
      <c r="C48" s="34"/>
      <c r="D48" s="28"/>
      <c r="E48" s="28"/>
      <c r="F48" s="28"/>
      <c r="G48" s="28"/>
      <c r="H48" s="28"/>
      <c r="I48" s="28"/>
      <c r="J48" s="28"/>
      <c r="K48" s="28"/>
      <c r="L48" s="58"/>
      <c r="M48" s="58"/>
      <c r="N48" s="3"/>
    </row>
    <row r="49" spans="1:14" ht="19.5" hidden="1" customHeight="1" outlineLevel="1">
      <c r="A49" s="39"/>
      <c r="B49" s="37"/>
      <c r="C49" s="34"/>
      <c r="D49" s="29"/>
      <c r="E49" s="29"/>
      <c r="F49" s="29"/>
      <c r="G49" s="29"/>
      <c r="H49" s="29"/>
      <c r="I49" s="29"/>
      <c r="J49" s="29"/>
      <c r="K49" s="29"/>
      <c r="L49" s="58"/>
      <c r="M49" s="58"/>
      <c r="N49" s="3"/>
    </row>
    <row r="50" spans="1:14" ht="19.5" customHeight="1" collapsed="1">
      <c r="A50" s="32">
        <v>2</v>
      </c>
      <c r="B50" s="35" t="s">
        <v>317</v>
      </c>
      <c r="C50" s="32" t="s">
        <v>37</v>
      </c>
      <c r="D50" s="29">
        <v>9.1999999999999993</v>
      </c>
      <c r="E50" s="29">
        <v>10.5</v>
      </c>
      <c r="F50" s="29">
        <v>30</v>
      </c>
      <c r="G50" s="29">
        <v>29.1</v>
      </c>
      <c r="H50" s="29">
        <v>29.1</v>
      </c>
      <c r="I50" s="29">
        <f>QI.2018!H50</f>
        <v>29.1</v>
      </c>
      <c r="J50" s="29">
        <v>30</v>
      </c>
      <c r="K50" s="29">
        <v>29.1</v>
      </c>
      <c r="L50" s="58">
        <f>IFERROR(K50/J50%,"")</f>
        <v>97.000000000000014</v>
      </c>
      <c r="M50" s="58">
        <f>IFERROR(K50/I50%,"")</f>
        <v>99.999999999999986</v>
      </c>
      <c r="N50" s="3"/>
    </row>
    <row r="51" spans="1:14" ht="19.5" hidden="1" customHeight="1" outlineLevel="1">
      <c r="A51" s="32"/>
      <c r="B51" s="33"/>
      <c r="C51" s="32"/>
      <c r="D51" s="29"/>
      <c r="E51" s="29"/>
      <c r="F51" s="29"/>
      <c r="G51" s="29"/>
      <c r="H51" s="29"/>
      <c r="I51" s="29"/>
      <c r="J51" s="29"/>
      <c r="K51" s="29"/>
      <c r="L51" s="58"/>
      <c r="M51" s="58"/>
      <c r="N51" s="3"/>
    </row>
    <row r="52" spans="1:14" ht="19.5" hidden="1" customHeight="1" outlineLevel="1">
      <c r="A52" s="39"/>
      <c r="B52" s="37"/>
      <c r="C52" s="34"/>
      <c r="D52" s="28"/>
      <c r="E52" s="28"/>
      <c r="F52" s="28"/>
      <c r="G52" s="28"/>
      <c r="H52" s="28"/>
      <c r="I52" s="28"/>
      <c r="J52" s="28"/>
      <c r="K52" s="28"/>
      <c r="L52" s="58"/>
      <c r="M52" s="58"/>
      <c r="N52" s="3"/>
    </row>
    <row r="53" spans="1:14" ht="19.5" hidden="1" customHeight="1" outlineLevel="1">
      <c r="A53" s="39"/>
      <c r="B53" s="37"/>
      <c r="C53" s="34"/>
      <c r="D53" s="29"/>
      <c r="E53" s="29"/>
      <c r="F53" s="29"/>
      <c r="G53" s="29"/>
      <c r="H53" s="29"/>
      <c r="I53" s="29"/>
      <c r="J53" s="29"/>
      <c r="K53" s="29"/>
      <c r="L53" s="58"/>
      <c r="M53" s="58"/>
      <c r="N53" s="3"/>
    </row>
    <row r="54" spans="1:14" ht="19.5" customHeight="1" collapsed="1">
      <c r="A54" s="32">
        <v>3</v>
      </c>
      <c r="B54" s="35" t="s">
        <v>136</v>
      </c>
      <c r="C54" s="32" t="s">
        <v>37</v>
      </c>
      <c r="D54" s="29">
        <f t="shared" ref="D54:K54" si="11">D57+D60</f>
        <v>97.3</v>
      </c>
      <c r="E54" s="29">
        <f t="shared" si="11"/>
        <v>137</v>
      </c>
      <c r="F54" s="29">
        <f t="shared" si="11"/>
        <v>123</v>
      </c>
      <c r="G54" s="29">
        <f t="shared" si="11"/>
        <v>123</v>
      </c>
      <c r="H54" s="29">
        <f t="shared" si="11"/>
        <v>123</v>
      </c>
      <c r="I54" s="29">
        <f t="shared" si="11"/>
        <v>112.69999999999999</v>
      </c>
      <c r="J54" s="29">
        <f t="shared" si="11"/>
        <v>115</v>
      </c>
      <c r="K54" s="29">
        <f t="shared" si="11"/>
        <v>115</v>
      </c>
      <c r="L54" s="58">
        <f>IFERROR(K54/J54%,"")</f>
        <v>100.00000000000001</v>
      </c>
      <c r="M54" s="58">
        <f>IFERROR(K54/I54%,"")</f>
        <v>102.04081632653063</v>
      </c>
      <c r="N54" s="3"/>
    </row>
    <row r="55" spans="1:14" ht="19.5" hidden="1" customHeight="1" outlineLevel="1">
      <c r="A55" s="39"/>
      <c r="B55" s="37" t="s">
        <v>27</v>
      </c>
      <c r="C55" s="34" t="s">
        <v>21</v>
      </c>
      <c r="D55" s="28">
        <f t="shared" ref="D55:J55" si="12">D56/D54*10</f>
        <v>0</v>
      </c>
      <c r="E55" s="28">
        <f t="shared" si="12"/>
        <v>0</v>
      </c>
      <c r="F55" s="28">
        <f t="shared" si="12"/>
        <v>0</v>
      </c>
      <c r="G55" s="28">
        <f t="shared" si="12"/>
        <v>0</v>
      </c>
      <c r="H55" s="28">
        <f t="shared" si="12"/>
        <v>0</v>
      </c>
      <c r="I55" s="28">
        <f>I56/I54*10</f>
        <v>0</v>
      </c>
      <c r="J55" s="28">
        <f t="shared" si="12"/>
        <v>0</v>
      </c>
      <c r="K55" s="28">
        <f>K56/K54*10</f>
        <v>0</v>
      </c>
      <c r="L55" s="58" t="str">
        <f>IFERROR(K55/J55%,"")</f>
        <v/>
      </c>
      <c r="M55" s="58" t="str">
        <f>IFERROR(K55/I55%,"")</f>
        <v/>
      </c>
      <c r="N55" s="3"/>
    </row>
    <row r="56" spans="1:14" ht="19.5" hidden="1" customHeight="1" outlineLevel="1">
      <c r="A56" s="39"/>
      <c r="B56" s="37" t="s">
        <v>28</v>
      </c>
      <c r="C56" s="34" t="s">
        <v>76</v>
      </c>
      <c r="D56" s="29">
        <f t="shared" ref="D56:K56" si="13">D59+D62</f>
        <v>0</v>
      </c>
      <c r="E56" s="29">
        <f t="shared" si="13"/>
        <v>0</v>
      </c>
      <c r="F56" s="29">
        <f t="shared" si="13"/>
        <v>0</v>
      </c>
      <c r="G56" s="29">
        <f t="shared" si="13"/>
        <v>0</v>
      </c>
      <c r="H56" s="29">
        <f t="shared" si="13"/>
        <v>0</v>
      </c>
      <c r="I56" s="29">
        <f t="shared" si="13"/>
        <v>0</v>
      </c>
      <c r="J56" s="29">
        <f t="shared" si="13"/>
        <v>0</v>
      </c>
      <c r="K56" s="29">
        <f t="shared" si="13"/>
        <v>0</v>
      </c>
      <c r="L56" s="58" t="str">
        <f>IFERROR(K56/J56%,"")</f>
        <v/>
      </c>
      <c r="M56" s="58" t="str">
        <f>IFERROR(K56/I56%,"")</f>
        <v/>
      </c>
      <c r="N56" s="3"/>
    </row>
    <row r="57" spans="1:14" ht="19.5" customHeight="1" collapsed="1">
      <c r="A57" s="32"/>
      <c r="B57" s="612" t="s">
        <v>459</v>
      </c>
      <c r="C57" s="21" t="s">
        <v>37</v>
      </c>
      <c r="D57" s="22">
        <v>97.3</v>
      </c>
      <c r="E57" s="22">
        <v>137</v>
      </c>
      <c r="F57" s="22">
        <v>123</v>
      </c>
      <c r="G57" s="22">
        <v>123</v>
      </c>
      <c r="H57" s="22">
        <v>123</v>
      </c>
      <c r="I57" s="22">
        <f>QI.2018!H57</f>
        <v>112.69999999999999</v>
      </c>
      <c r="J57" s="22">
        <v>115</v>
      </c>
      <c r="K57" s="22">
        <v>115</v>
      </c>
      <c r="L57" s="58">
        <f>IFERROR(K57/J57%,"")</f>
        <v>100.00000000000001</v>
      </c>
      <c r="M57" s="58">
        <f>IFERROR(K57/I57%,"")</f>
        <v>102.04081632653063</v>
      </c>
      <c r="N57" s="3"/>
    </row>
    <row r="58" spans="1:14" ht="19.5" hidden="1" customHeight="1" outlineLevel="1">
      <c r="A58" s="32"/>
      <c r="B58" s="136"/>
      <c r="C58" s="21"/>
      <c r="D58" s="38"/>
      <c r="E58" s="38"/>
      <c r="F58" s="38"/>
      <c r="G58" s="38"/>
      <c r="H58" s="38"/>
      <c r="I58" s="38"/>
      <c r="J58" s="38"/>
      <c r="K58" s="38"/>
      <c r="L58" s="58"/>
      <c r="M58" s="58"/>
      <c r="N58" s="3"/>
    </row>
    <row r="59" spans="1:14" ht="19.5" hidden="1" customHeight="1" outlineLevel="1">
      <c r="A59" s="32"/>
      <c r="B59" s="136"/>
      <c r="C59" s="21"/>
      <c r="D59" s="22"/>
      <c r="E59" s="22"/>
      <c r="F59" s="22"/>
      <c r="G59" s="22"/>
      <c r="H59" s="22"/>
      <c r="I59" s="22"/>
      <c r="J59" s="22"/>
      <c r="K59" s="22"/>
      <c r="L59" s="58"/>
      <c r="M59" s="58"/>
      <c r="N59" s="3"/>
    </row>
    <row r="60" spans="1:14" ht="19.5" hidden="1" customHeight="1" outlineLevel="1">
      <c r="A60" s="32"/>
      <c r="B60" s="612"/>
      <c r="C60" s="21"/>
      <c r="D60" s="22"/>
      <c r="E60" s="22"/>
      <c r="F60" s="22"/>
      <c r="G60" s="22"/>
      <c r="H60" s="22"/>
      <c r="I60" s="22"/>
      <c r="J60" s="22"/>
      <c r="K60" s="22"/>
      <c r="L60" s="58"/>
      <c r="M60" s="58"/>
      <c r="N60" s="3"/>
    </row>
    <row r="61" spans="1:14" ht="19.5" hidden="1" customHeight="1" outlineLevel="1">
      <c r="A61" s="32"/>
      <c r="B61" s="136"/>
      <c r="C61" s="21"/>
      <c r="D61" s="38"/>
      <c r="E61" s="38"/>
      <c r="F61" s="38"/>
      <c r="G61" s="38"/>
      <c r="H61" s="38"/>
      <c r="I61" s="38"/>
      <c r="J61" s="38"/>
      <c r="K61" s="38"/>
      <c r="L61" s="58"/>
      <c r="M61" s="58"/>
      <c r="N61" s="3"/>
    </row>
    <row r="62" spans="1:14" ht="19.5" hidden="1" customHeight="1" outlineLevel="1">
      <c r="A62" s="32"/>
      <c r="B62" s="136"/>
      <c r="C62" s="21"/>
      <c r="D62" s="22"/>
      <c r="E62" s="22"/>
      <c r="F62" s="22"/>
      <c r="G62" s="22"/>
      <c r="H62" s="22"/>
      <c r="I62" s="22"/>
      <c r="J62" s="22"/>
      <c r="K62" s="22"/>
      <c r="L62" s="58"/>
      <c r="M62" s="58"/>
      <c r="N62" s="3"/>
    </row>
    <row r="63" spans="1:14" s="18" customFormat="1" hidden="1" outlineLevel="1">
      <c r="A63" s="11"/>
      <c r="B63" s="30"/>
      <c r="C63" s="11"/>
      <c r="D63" s="36"/>
      <c r="E63" s="36"/>
      <c r="F63" s="36"/>
      <c r="G63" s="36"/>
      <c r="H63" s="36"/>
      <c r="I63" s="36"/>
      <c r="J63" s="36"/>
      <c r="K63" s="36"/>
      <c r="L63" s="66"/>
      <c r="M63" s="66"/>
      <c r="N63" s="83"/>
    </row>
    <row r="64" spans="1:14" ht="19.5" hidden="1" customHeight="1" outlineLevel="1">
      <c r="A64" s="32"/>
      <c r="B64" s="35"/>
      <c r="C64" s="32"/>
      <c r="D64" s="28"/>
      <c r="E64" s="28"/>
      <c r="F64" s="28"/>
      <c r="G64" s="28"/>
      <c r="H64" s="28"/>
      <c r="I64" s="28"/>
      <c r="J64" s="28"/>
      <c r="K64" s="28"/>
      <c r="L64" s="58"/>
      <c r="M64" s="58"/>
      <c r="N64" s="3"/>
    </row>
    <row r="65" spans="1:15" ht="19.5" hidden="1" customHeight="1" outlineLevel="1">
      <c r="A65" s="32"/>
      <c r="B65" s="35"/>
      <c r="C65" s="32"/>
      <c r="D65" s="28"/>
      <c r="E65" s="28"/>
      <c r="F65" s="28"/>
      <c r="G65" s="28"/>
      <c r="H65" s="28"/>
      <c r="I65" s="28"/>
      <c r="J65" s="28"/>
      <c r="K65" s="28"/>
      <c r="L65" s="58"/>
      <c r="M65" s="58"/>
      <c r="N65" s="3"/>
    </row>
    <row r="66" spans="1:15" ht="19.5" hidden="1" customHeight="1" outlineLevel="1">
      <c r="A66" s="32"/>
      <c r="B66" s="35"/>
      <c r="C66" s="32"/>
      <c r="D66" s="28"/>
      <c r="E66" s="28"/>
      <c r="F66" s="28"/>
      <c r="G66" s="28"/>
      <c r="H66" s="28"/>
      <c r="I66" s="28"/>
      <c r="J66" s="28"/>
      <c r="K66" s="28"/>
      <c r="L66" s="58"/>
      <c r="M66" s="58"/>
      <c r="N66" s="3"/>
    </row>
    <row r="67" spans="1:15" ht="17.25" customHeight="1" collapsed="1">
      <c r="A67" s="24" t="s">
        <v>39</v>
      </c>
      <c r="B67" s="30" t="s">
        <v>122</v>
      </c>
      <c r="C67" s="11" t="s">
        <v>37</v>
      </c>
      <c r="D67" s="27">
        <f t="shared" ref="D67:J67" si="14">D68+D81+D82</f>
        <v>9814</v>
      </c>
      <c r="E67" s="27">
        <f t="shared" si="14"/>
        <v>10071.6</v>
      </c>
      <c r="F67" s="27">
        <f t="shared" si="14"/>
        <v>10122.1</v>
      </c>
      <c r="G67" s="27">
        <f t="shared" si="14"/>
        <v>10418.700000000001</v>
      </c>
      <c r="H67" s="27">
        <f>H68+H81+H82</f>
        <v>10463.900000000001</v>
      </c>
      <c r="I67" s="27">
        <f>I68+I81+I82</f>
        <v>10048.200000000001</v>
      </c>
      <c r="J67" s="27">
        <f t="shared" si="14"/>
        <v>10431.200000000001</v>
      </c>
      <c r="K67" s="27">
        <f>K68+K81+K82</f>
        <v>10373.700000000001</v>
      </c>
      <c r="L67" s="66">
        <f>IFERROR(K67/J67%,"")</f>
        <v>99.448769077383233</v>
      </c>
      <c r="M67" s="66">
        <f>IFERROR(K67/I67%,"")</f>
        <v>103.23938615871499</v>
      </c>
      <c r="N67" s="3"/>
    </row>
    <row r="68" spans="1:15" s="18" customFormat="1" ht="17.25" customHeight="1">
      <c r="A68" s="24">
        <v>1</v>
      </c>
      <c r="B68" s="23" t="s">
        <v>448</v>
      </c>
      <c r="C68" s="11" t="s">
        <v>37</v>
      </c>
      <c r="D68" s="27">
        <f t="shared" ref="D68:K68" si="15">D69+D75</f>
        <v>9537.2999999999993</v>
      </c>
      <c r="E68" s="27">
        <f t="shared" si="15"/>
        <v>9722.1</v>
      </c>
      <c r="F68" s="27">
        <f t="shared" si="15"/>
        <v>9772.1</v>
      </c>
      <c r="G68" s="27">
        <f t="shared" si="15"/>
        <v>10029.6</v>
      </c>
      <c r="H68" s="27">
        <f t="shared" si="15"/>
        <v>10029.6</v>
      </c>
      <c r="I68" s="27">
        <f t="shared" si="15"/>
        <v>9706.1</v>
      </c>
      <c r="J68" s="27">
        <f t="shared" si="15"/>
        <v>10079.6</v>
      </c>
      <c r="K68" s="27">
        <f t="shared" si="15"/>
        <v>10029.6</v>
      </c>
      <c r="L68" s="66">
        <f>IFERROR(K68/J68%,"")</f>
        <v>99.503948569387674</v>
      </c>
      <c r="M68" s="66">
        <f>IFERROR(K68/I68%,"")</f>
        <v>103.33295556402675</v>
      </c>
      <c r="N68" s="83"/>
    </row>
    <row r="69" spans="1:15" s="18" customFormat="1" ht="17.25" customHeight="1">
      <c r="A69" s="11" t="s">
        <v>34</v>
      </c>
      <c r="B69" s="30" t="s">
        <v>445</v>
      </c>
      <c r="C69" s="11" t="s">
        <v>37</v>
      </c>
      <c r="D69" s="16">
        <v>1743.8</v>
      </c>
      <c r="E69" s="16">
        <f>D69+E70</f>
        <v>1919.5</v>
      </c>
      <c r="F69" s="16">
        <f>E69+F70-F71</f>
        <v>1969.5</v>
      </c>
      <c r="G69" s="16">
        <f>E69+G70-G71</f>
        <v>2299.5</v>
      </c>
      <c r="H69" s="16">
        <f>E69+H70-H71</f>
        <v>2299.5</v>
      </c>
      <c r="I69" s="16">
        <f>E69+I70</f>
        <v>1919.5</v>
      </c>
      <c r="J69" s="16">
        <f>H69+J70</f>
        <v>2349.5</v>
      </c>
      <c r="K69" s="16">
        <f>H69+K70</f>
        <v>2299.5</v>
      </c>
      <c r="L69" s="66">
        <f>IFERROR(K69/J69%,"")</f>
        <v>97.871887635667164</v>
      </c>
      <c r="M69" s="66">
        <f>IFERROR(K69/I69%,"")</f>
        <v>119.79682208908569</v>
      </c>
      <c r="N69" s="83"/>
    </row>
    <row r="70" spans="1:15" ht="17.25" hidden="1" customHeight="1" outlineLevel="1">
      <c r="A70" s="32"/>
      <c r="B70" s="35" t="s">
        <v>123</v>
      </c>
      <c r="C70" s="32" t="s">
        <v>37</v>
      </c>
      <c r="D70" s="38">
        <v>185.9</v>
      </c>
      <c r="E70" s="38">
        <v>175.7</v>
      </c>
      <c r="F70" s="38">
        <v>50</v>
      </c>
      <c r="G70" s="38">
        <v>381</v>
      </c>
      <c r="H70" s="38">
        <v>381</v>
      </c>
      <c r="I70" s="38"/>
      <c r="J70" s="38">
        <v>50</v>
      </c>
      <c r="K70" s="38"/>
      <c r="L70" s="58">
        <f>IFERROR(K70/J70%,"")</f>
        <v>0</v>
      </c>
      <c r="M70" s="58" t="str">
        <f>IFERROR(K70/I70%,"")</f>
        <v/>
      </c>
      <c r="N70" s="3"/>
    </row>
    <row r="71" spans="1:15" ht="17.25" hidden="1" customHeight="1" outlineLevel="1">
      <c r="A71" s="32"/>
      <c r="B71" s="35" t="s">
        <v>321</v>
      </c>
      <c r="C71" s="32" t="s">
        <v>37</v>
      </c>
      <c r="D71" s="38"/>
      <c r="E71" s="38"/>
      <c r="F71" s="38"/>
      <c r="G71" s="38">
        <v>1</v>
      </c>
      <c r="H71" s="38">
        <v>1</v>
      </c>
      <c r="I71" s="38"/>
      <c r="J71" s="38"/>
      <c r="K71" s="38"/>
      <c r="L71" s="58"/>
      <c r="M71" s="58"/>
      <c r="N71" s="3"/>
    </row>
    <row r="72" spans="1:15" ht="17.25" hidden="1" customHeight="1" outlineLevel="1">
      <c r="A72" s="32"/>
      <c r="B72" s="35" t="s">
        <v>124</v>
      </c>
      <c r="C72" s="32" t="s">
        <v>37</v>
      </c>
      <c r="D72" s="22">
        <v>1246</v>
      </c>
      <c r="E72" s="22">
        <v>1384</v>
      </c>
      <c r="F72" s="22">
        <v>1559</v>
      </c>
      <c r="G72" s="22">
        <v>1558</v>
      </c>
      <c r="H72" s="22">
        <v>1558</v>
      </c>
      <c r="I72" s="22">
        <v>1745</v>
      </c>
      <c r="J72" s="22">
        <v>1745</v>
      </c>
      <c r="K72" s="22">
        <v>1745</v>
      </c>
      <c r="L72" s="58">
        <f t="shared" ref="L72:L105" si="16">IFERROR(K72/J72%,"")</f>
        <v>100</v>
      </c>
      <c r="M72" s="58">
        <f t="shared" ref="M72:M105" si="17">IFERROR(K72/I72%,"")</f>
        <v>100</v>
      </c>
      <c r="N72" s="3"/>
      <c r="O72" s="81"/>
    </row>
    <row r="73" spans="1:15" ht="17.25" hidden="1" customHeight="1" outlineLevel="1">
      <c r="A73" s="32"/>
      <c r="B73" s="35" t="s">
        <v>125</v>
      </c>
      <c r="C73" s="32" t="s">
        <v>21</v>
      </c>
      <c r="D73" s="38">
        <v>31.73</v>
      </c>
      <c r="E73" s="38">
        <v>35.65</v>
      </c>
      <c r="F73" s="38">
        <v>35</v>
      </c>
      <c r="G73" s="38"/>
      <c r="H73" s="38">
        <v>35</v>
      </c>
      <c r="I73" s="38">
        <v>35</v>
      </c>
      <c r="J73" s="38">
        <v>35</v>
      </c>
      <c r="K73" s="38">
        <v>35</v>
      </c>
      <c r="L73" s="58">
        <f t="shared" si="16"/>
        <v>100</v>
      </c>
      <c r="M73" s="58">
        <f t="shared" si="17"/>
        <v>100</v>
      </c>
      <c r="N73" s="3"/>
    </row>
    <row r="74" spans="1:15" ht="17.25" hidden="1" customHeight="1" outlineLevel="1">
      <c r="A74" s="32"/>
      <c r="B74" s="35" t="s">
        <v>320</v>
      </c>
      <c r="C74" s="32" t="s">
        <v>76</v>
      </c>
      <c r="D74" s="22">
        <f t="shared" ref="D74:K74" si="18">D72*D73/10</f>
        <v>3953.558</v>
      </c>
      <c r="E74" s="22">
        <f t="shared" si="18"/>
        <v>4933.96</v>
      </c>
      <c r="F74" s="22">
        <f t="shared" si="18"/>
        <v>5456.5</v>
      </c>
      <c r="G74" s="22">
        <f t="shared" si="18"/>
        <v>0</v>
      </c>
      <c r="H74" s="22">
        <f t="shared" si="18"/>
        <v>5453</v>
      </c>
      <c r="I74" s="22">
        <f t="shared" si="18"/>
        <v>6107.5</v>
      </c>
      <c r="J74" s="22">
        <f t="shared" si="18"/>
        <v>6107.5</v>
      </c>
      <c r="K74" s="22">
        <f t="shared" si="18"/>
        <v>6107.5</v>
      </c>
      <c r="L74" s="58">
        <f t="shared" si="16"/>
        <v>100</v>
      </c>
      <c r="M74" s="58">
        <f t="shared" si="17"/>
        <v>100</v>
      </c>
      <c r="N74" s="3"/>
    </row>
    <row r="75" spans="1:15" s="18" customFormat="1" ht="17.25" customHeight="1" collapsed="1">
      <c r="A75" s="11" t="s">
        <v>35</v>
      </c>
      <c r="B75" s="30" t="s">
        <v>446</v>
      </c>
      <c r="C75" s="11" t="s">
        <v>37</v>
      </c>
      <c r="D75" s="16">
        <v>7793.5</v>
      </c>
      <c r="E75" s="16">
        <f>D75+E76-E77</f>
        <v>7802.6</v>
      </c>
      <c r="F75" s="16">
        <f>E75+F76-F77</f>
        <v>7802.6</v>
      </c>
      <c r="G75" s="16">
        <f>E75+G76-G77</f>
        <v>7730.1</v>
      </c>
      <c r="H75" s="16">
        <f>E75+H76-H77</f>
        <v>7730.1</v>
      </c>
      <c r="I75" s="16">
        <f>E75+I76-I77</f>
        <v>7786.6</v>
      </c>
      <c r="J75" s="16">
        <f>H75+J76-J77</f>
        <v>7730.1</v>
      </c>
      <c r="K75" s="16">
        <f>H75+K76-K77</f>
        <v>7730.1</v>
      </c>
      <c r="L75" s="66">
        <f t="shared" si="16"/>
        <v>100</v>
      </c>
      <c r="M75" s="66">
        <f t="shared" si="17"/>
        <v>99.274394472555414</v>
      </c>
      <c r="N75" s="83"/>
    </row>
    <row r="76" spans="1:15" ht="17.25" customHeight="1">
      <c r="A76" s="32"/>
      <c r="B76" s="35" t="s">
        <v>123</v>
      </c>
      <c r="C76" s="32" t="s">
        <v>37</v>
      </c>
      <c r="D76" s="43">
        <v>0</v>
      </c>
      <c r="E76" s="28">
        <v>24.6</v>
      </c>
      <c r="F76" s="43"/>
      <c r="G76" s="43">
        <v>38.299999999999997</v>
      </c>
      <c r="H76" s="43">
        <v>38.299999999999997</v>
      </c>
      <c r="I76" s="43"/>
      <c r="J76" s="43"/>
      <c r="K76" s="43"/>
      <c r="L76" s="58" t="str">
        <f t="shared" si="16"/>
        <v/>
      </c>
      <c r="M76" s="58" t="str">
        <f t="shared" si="17"/>
        <v/>
      </c>
      <c r="N76" s="3"/>
    </row>
    <row r="77" spans="1:15" ht="17.25" customHeight="1">
      <c r="A77" s="32"/>
      <c r="B77" s="35" t="s">
        <v>321</v>
      </c>
      <c r="C77" s="32" t="s">
        <v>37</v>
      </c>
      <c r="D77" s="28">
        <v>81.5</v>
      </c>
      <c r="E77" s="28">
        <v>15.5</v>
      </c>
      <c r="F77" s="43"/>
      <c r="G77" s="43">
        <v>110.8</v>
      </c>
      <c r="H77" s="43">
        <v>110.8</v>
      </c>
      <c r="I77" s="43">
        <f>QI.2018!H76</f>
        <v>16</v>
      </c>
      <c r="J77" s="43"/>
      <c r="K77" s="43"/>
      <c r="L77" s="58" t="str">
        <f t="shared" si="16"/>
        <v/>
      </c>
      <c r="M77" s="58">
        <f t="shared" si="17"/>
        <v>0</v>
      </c>
      <c r="N77" s="3"/>
    </row>
    <row r="78" spans="1:15" ht="17.25" hidden="1" customHeight="1" outlineLevel="1">
      <c r="A78" s="32"/>
      <c r="B78" s="35" t="s">
        <v>124</v>
      </c>
      <c r="C78" s="32" t="s">
        <v>37</v>
      </c>
      <c r="D78" s="22">
        <v>4821</v>
      </c>
      <c r="E78" s="22">
        <v>5385</v>
      </c>
      <c r="F78" s="22">
        <v>5755</v>
      </c>
      <c r="G78" s="22">
        <v>5723.7</v>
      </c>
      <c r="H78" s="22">
        <v>5723.7</v>
      </c>
      <c r="I78" s="22">
        <v>6190</v>
      </c>
      <c r="J78" s="22">
        <v>6190</v>
      </c>
      <c r="K78" s="22">
        <v>6190</v>
      </c>
      <c r="L78" s="58">
        <f t="shared" si="16"/>
        <v>100</v>
      </c>
      <c r="M78" s="58">
        <f t="shared" si="17"/>
        <v>100</v>
      </c>
      <c r="N78" s="3"/>
    </row>
    <row r="79" spans="1:15" ht="17.25" hidden="1" customHeight="1" outlineLevel="1">
      <c r="A79" s="32"/>
      <c r="B79" s="35" t="s">
        <v>126</v>
      </c>
      <c r="C79" s="32" t="s">
        <v>21</v>
      </c>
      <c r="D79" s="38">
        <v>12.33</v>
      </c>
      <c r="E79" s="38">
        <v>12.35</v>
      </c>
      <c r="F79" s="38">
        <v>12.5</v>
      </c>
      <c r="G79" s="38">
        <v>12.5</v>
      </c>
      <c r="H79" s="38">
        <v>12.5</v>
      </c>
      <c r="I79" s="38">
        <v>12.5</v>
      </c>
      <c r="J79" s="38">
        <v>12.5</v>
      </c>
      <c r="K79" s="38">
        <v>12.5</v>
      </c>
      <c r="L79" s="58">
        <f t="shared" si="16"/>
        <v>100</v>
      </c>
      <c r="M79" s="58">
        <f t="shared" si="17"/>
        <v>100</v>
      </c>
      <c r="N79" s="3"/>
    </row>
    <row r="80" spans="1:15" ht="17.25" hidden="1" customHeight="1" outlineLevel="1">
      <c r="A80" s="32"/>
      <c r="B80" s="35" t="s">
        <v>474</v>
      </c>
      <c r="C80" s="32" t="s">
        <v>76</v>
      </c>
      <c r="D80" s="22">
        <f t="shared" ref="D80:K80" si="19">D78*D79/10</f>
        <v>5944.2929999999997</v>
      </c>
      <c r="E80" s="22">
        <f t="shared" si="19"/>
        <v>6650.4750000000004</v>
      </c>
      <c r="F80" s="22">
        <f t="shared" si="19"/>
        <v>7193.75</v>
      </c>
      <c r="G80" s="22">
        <f t="shared" si="19"/>
        <v>7154.625</v>
      </c>
      <c r="H80" s="22">
        <f t="shared" si="19"/>
        <v>7154.625</v>
      </c>
      <c r="I80" s="22">
        <f t="shared" si="19"/>
        <v>7737.5</v>
      </c>
      <c r="J80" s="22">
        <f t="shared" si="19"/>
        <v>7737.5</v>
      </c>
      <c r="K80" s="22">
        <f t="shared" si="19"/>
        <v>7737.5</v>
      </c>
      <c r="L80" s="58">
        <f t="shared" si="16"/>
        <v>100</v>
      </c>
      <c r="M80" s="58">
        <f t="shared" si="17"/>
        <v>100</v>
      </c>
      <c r="N80" s="3"/>
    </row>
    <row r="81" spans="1:15" s="18" customFormat="1" ht="17.25" hidden="1" customHeight="1" outlineLevel="1" collapsed="1">
      <c r="A81" s="11">
        <v>2</v>
      </c>
      <c r="B81" s="30" t="s">
        <v>181</v>
      </c>
      <c r="C81" s="11" t="s">
        <v>37</v>
      </c>
      <c r="D81" s="16">
        <v>155.19999999999999</v>
      </c>
      <c r="E81" s="16">
        <v>218.9</v>
      </c>
      <c r="F81" s="16">
        <v>220</v>
      </c>
      <c r="G81" s="16">
        <v>266</v>
      </c>
      <c r="H81" s="16">
        <v>302.70000000000005</v>
      </c>
      <c r="I81" s="16">
        <v>219</v>
      </c>
      <c r="J81" s="16">
        <v>220</v>
      </c>
      <c r="K81" s="16">
        <v>221</v>
      </c>
      <c r="L81" s="66">
        <f t="shared" si="16"/>
        <v>100.45454545454545</v>
      </c>
      <c r="M81" s="66">
        <f t="shared" si="17"/>
        <v>100.91324200913242</v>
      </c>
      <c r="N81" s="83"/>
    </row>
    <row r="82" spans="1:15" s="18" customFormat="1" ht="31.5" hidden="1" outlineLevel="1">
      <c r="A82" s="11">
        <v>3</v>
      </c>
      <c r="B82" s="30" t="s">
        <v>410</v>
      </c>
      <c r="C82" s="11" t="s">
        <v>37</v>
      </c>
      <c r="D82" s="16">
        <f t="shared" ref="D82:J82" si="20">SUM(D83:D87)</f>
        <v>121.5</v>
      </c>
      <c r="E82" s="16">
        <f t="shared" si="20"/>
        <v>130.60000000000002</v>
      </c>
      <c r="F82" s="16">
        <f t="shared" si="20"/>
        <v>130</v>
      </c>
      <c r="G82" s="16">
        <f t="shared" si="20"/>
        <v>123.10000000000001</v>
      </c>
      <c r="H82" s="16">
        <f t="shared" si="20"/>
        <v>131.60000000000002</v>
      </c>
      <c r="I82" s="16">
        <f>SUM(I83:I87)</f>
        <v>123.10000000000001</v>
      </c>
      <c r="J82" s="16">
        <f t="shared" si="20"/>
        <v>131.60000000000002</v>
      </c>
      <c r="K82" s="16">
        <f>SUM(K83:K87)</f>
        <v>123.10000000000001</v>
      </c>
      <c r="L82" s="66">
        <f t="shared" si="16"/>
        <v>93.541033434650444</v>
      </c>
      <c r="M82" s="66">
        <f t="shared" si="17"/>
        <v>100</v>
      </c>
      <c r="N82" s="83"/>
      <c r="O82" s="87"/>
    </row>
    <row r="83" spans="1:15" ht="17.25" hidden="1" customHeight="1" outlineLevel="1">
      <c r="A83" s="32"/>
      <c r="B83" s="35" t="s">
        <v>405</v>
      </c>
      <c r="C83" s="32" t="s">
        <v>37</v>
      </c>
      <c r="D83" s="38">
        <v>18.5</v>
      </c>
      <c r="E83" s="38">
        <v>17</v>
      </c>
      <c r="F83" s="38">
        <v>17</v>
      </c>
      <c r="G83" s="38">
        <v>14</v>
      </c>
      <c r="H83" s="38">
        <v>22.5</v>
      </c>
      <c r="I83" s="38">
        <f t="shared" ref="I83:K87" si="21">G83</f>
        <v>14</v>
      </c>
      <c r="J83" s="38">
        <f t="shared" si="21"/>
        <v>22.5</v>
      </c>
      <c r="K83" s="38">
        <f t="shared" si="21"/>
        <v>14</v>
      </c>
      <c r="L83" s="58">
        <f t="shared" si="16"/>
        <v>62.222222222222221</v>
      </c>
      <c r="M83" s="58">
        <f t="shared" si="17"/>
        <v>99.999999999999986</v>
      </c>
      <c r="N83" s="3"/>
    </row>
    <row r="84" spans="1:15" ht="17.25" hidden="1" customHeight="1" outlineLevel="1">
      <c r="A84" s="32"/>
      <c r="B84" s="35" t="s">
        <v>406</v>
      </c>
      <c r="C84" s="32" t="s">
        <v>37</v>
      </c>
      <c r="D84" s="38">
        <v>54.6</v>
      </c>
      <c r="E84" s="38">
        <v>61.9</v>
      </c>
      <c r="F84" s="38">
        <v>62</v>
      </c>
      <c r="G84" s="38">
        <v>62.4</v>
      </c>
      <c r="H84" s="38">
        <v>62.4</v>
      </c>
      <c r="I84" s="38">
        <f t="shared" si="21"/>
        <v>62.4</v>
      </c>
      <c r="J84" s="38">
        <f t="shared" si="21"/>
        <v>62.4</v>
      </c>
      <c r="K84" s="38">
        <f t="shared" si="21"/>
        <v>62.4</v>
      </c>
      <c r="L84" s="58">
        <f t="shared" si="16"/>
        <v>100</v>
      </c>
      <c r="M84" s="58">
        <f t="shared" si="17"/>
        <v>100</v>
      </c>
      <c r="N84" s="3"/>
    </row>
    <row r="85" spans="1:15" ht="17.25" hidden="1" customHeight="1" outlineLevel="1">
      <c r="A85" s="32"/>
      <c r="B85" s="35" t="s">
        <v>407</v>
      </c>
      <c r="C85" s="32" t="s">
        <v>37</v>
      </c>
      <c r="D85" s="38">
        <v>2</v>
      </c>
      <c r="E85" s="38">
        <v>2</v>
      </c>
      <c r="F85" s="38">
        <v>2</v>
      </c>
      <c r="G85" s="38">
        <f>F85</f>
        <v>2</v>
      </c>
      <c r="H85" s="38">
        <f>G85</f>
        <v>2</v>
      </c>
      <c r="I85" s="38">
        <f t="shared" si="21"/>
        <v>2</v>
      </c>
      <c r="J85" s="38">
        <f t="shared" si="21"/>
        <v>2</v>
      </c>
      <c r="K85" s="38">
        <f t="shared" si="21"/>
        <v>2</v>
      </c>
      <c r="L85" s="58">
        <f t="shared" si="16"/>
        <v>100</v>
      </c>
      <c r="M85" s="58">
        <f t="shared" si="17"/>
        <v>100</v>
      </c>
      <c r="N85" s="3"/>
    </row>
    <row r="86" spans="1:15" ht="17.25" hidden="1" customHeight="1" outlineLevel="1">
      <c r="A86" s="32"/>
      <c r="B86" s="35" t="s">
        <v>408</v>
      </c>
      <c r="C86" s="32" t="s">
        <v>37</v>
      </c>
      <c r="D86" s="38">
        <v>46.4</v>
      </c>
      <c r="E86" s="38">
        <v>30.4</v>
      </c>
      <c r="F86" s="38">
        <v>30</v>
      </c>
      <c r="G86" s="38">
        <v>28.9</v>
      </c>
      <c r="H86" s="38">
        <v>28.9</v>
      </c>
      <c r="I86" s="38">
        <f t="shared" si="21"/>
        <v>28.9</v>
      </c>
      <c r="J86" s="38">
        <f t="shared" si="21"/>
        <v>28.9</v>
      </c>
      <c r="K86" s="38">
        <f t="shared" si="21"/>
        <v>28.9</v>
      </c>
      <c r="L86" s="58">
        <f t="shared" si="16"/>
        <v>100</v>
      </c>
      <c r="M86" s="58">
        <f t="shared" si="17"/>
        <v>100</v>
      </c>
      <c r="N86" s="3"/>
    </row>
    <row r="87" spans="1:15" ht="17.25" hidden="1" customHeight="1" outlineLevel="1">
      <c r="A87" s="32"/>
      <c r="B87" s="35" t="s">
        <v>409</v>
      </c>
      <c r="C87" s="32" t="s">
        <v>37</v>
      </c>
      <c r="D87" s="38"/>
      <c r="E87" s="38">
        <v>19.3</v>
      </c>
      <c r="F87" s="38">
        <v>19</v>
      </c>
      <c r="G87" s="38">
        <v>15.8</v>
      </c>
      <c r="H87" s="38">
        <v>15.8</v>
      </c>
      <c r="I87" s="38">
        <f t="shared" si="21"/>
        <v>15.8</v>
      </c>
      <c r="J87" s="38">
        <f t="shared" si="21"/>
        <v>15.8</v>
      </c>
      <c r="K87" s="38">
        <f t="shared" si="21"/>
        <v>15.8</v>
      </c>
      <c r="L87" s="58">
        <f t="shared" si="16"/>
        <v>100</v>
      </c>
      <c r="M87" s="58">
        <f t="shared" si="17"/>
        <v>100</v>
      </c>
      <c r="N87" s="3"/>
    </row>
    <row r="88" spans="1:15" ht="18.75" customHeight="1" collapsed="1">
      <c r="A88" s="11" t="s">
        <v>47</v>
      </c>
      <c r="B88" s="30" t="s">
        <v>96</v>
      </c>
      <c r="C88" s="32"/>
      <c r="D88" s="28"/>
      <c r="E88" s="38"/>
      <c r="F88" s="38"/>
      <c r="G88" s="38"/>
      <c r="H88" s="38"/>
      <c r="I88" s="38"/>
      <c r="J88" s="38"/>
      <c r="K88" s="38"/>
      <c r="L88" s="66" t="str">
        <f t="shared" si="16"/>
        <v/>
      </c>
      <c r="M88" s="66" t="str">
        <f t="shared" si="17"/>
        <v/>
      </c>
      <c r="N88" s="3"/>
    </row>
    <row r="89" spans="1:15" ht="18.75" customHeight="1">
      <c r="A89" s="11">
        <v>1</v>
      </c>
      <c r="B89" s="30" t="s">
        <v>447</v>
      </c>
      <c r="C89" s="11" t="s">
        <v>54</v>
      </c>
      <c r="D89" s="27">
        <f>SUM(D90:D92)</f>
        <v>20219</v>
      </c>
      <c r="E89" s="27">
        <f t="shared" ref="E89:K89" si="22">SUM(E90:E92)</f>
        <v>18350</v>
      </c>
      <c r="F89" s="27">
        <f t="shared" si="22"/>
        <v>20650</v>
      </c>
      <c r="G89" s="27">
        <f t="shared" si="22"/>
        <v>20174</v>
      </c>
      <c r="H89" s="27">
        <f t="shared" si="22"/>
        <v>20238</v>
      </c>
      <c r="I89" s="27">
        <f t="shared" si="22"/>
        <v>19629</v>
      </c>
      <c r="J89" s="27">
        <f t="shared" si="22"/>
        <v>20900</v>
      </c>
      <c r="K89" s="27">
        <f t="shared" si="22"/>
        <v>17486</v>
      </c>
      <c r="L89" s="66">
        <f t="shared" si="16"/>
        <v>83.665071770334933</v>
      </c>
      <c r="M89" s="66">
        <f t="shared" si="17"/>
        <v>89.082480004075606</v>
      </c>
      <c r="N89" s="83"/>
    </row>
    <row r="90" spans="1:15" ht="18.75" customHeight="1">
      <c r="A90" s="32"/>
      <c r="B90" s="35" t="s">
        <v>322</v>
      </c>
      <c r="C90" s="32" t="s">
        <v>54</v>
      </c>
      <c r="D90" s="29">
        <v>2461</v>
      </c>
      <c r="E90" s="29">
        <v>2550</v>
      </c>
      <c r="F90" s="29">
        <v>2650</v>
      </c>
      <c r="G90" s="29">
        <v>2536</v>
      </c>
      <c r="H90" s="29">
        <v>2600</v>
      </c>
      <c r="I90" s="29">
        <v>2497</v>
      </c>
      <c r="J90" s="29">
        <v>2700</v>
      </c>
      <c r="K90" s="29">
        <v>2542</v>
      </c>
      <c r="L90" s="58">
        <f t="shared" si="16"/>
        <v>94.148148148148152</v>
      </c>
      <c r="M90" s="58">
        <f t="shared" si="17"/>
        <v>101.80216259511414</v>
      </c>
      <c r="N90" s="3"/>
    </row>
    <row r="91" spans="1:15" ht="18.75" customHeight="1">
      <c r="A91" s="32"/>
      <c r="B91" s="35" t="s">
        <v>323</v>
      </c>
      <c r="C91" s="32" t="s">
        <v>54</v>
      </c>
      <c r="D91" s="29">
        <v>4034</v>
      </c>
      <c r="E91" s="29">
        <v>4800</v>
      </c>
      <c r="F91" s="29">
        <v>5000</v>
      </c>
      <c r="G91" s="29">
        <v>5087</v>
      </c>
      <c r="H91" s="29">
        <v>5087</v>
      </c>
      <c r="I91" s="29">
        <v>4754</v>
      </c>
      <c r="J91" s="29">
        <v>5200</v>
      </c>
      <c r="K91" s="29">
        <v>4799</v>
      </c>
      <c r="L91" s="58">
        <f t="shared" si="16"/>
        <v>92.288461538461533</v>
      </c>
      <c r="M91" s="58">
        <f t="shared" si="17"/>
        <v>100.9465713083719</v>
      </c>
      <c r="N91" s="3"/>
    </row>
    <row r="92" spans="1:15" ht="18.75" customHeight="1">
      <c r="A92" s="32"/>
      <c r="B92" s="35" t="s">
        <v>324</v>
      </c>
      <c r="C92" s="32" t="s">
        <v>54</v>
      </c>
      <c r="D92" s="29">
        <v>13724</v>
      </c>
      <c r="E92" s="29">
        <v>11000</v>
      </c>
      <c r="F92" s="29">
        <v>13000</v>
      </c>
      <c r="G92" s="29">
        <v>12551</v>
      </c>
      <c r="H92" s="29">
        <v>12551</v>
      </c>
      <c r="I92" s="29">
        <v>12378</v>
      </c>
      <c r="J92" s="29">
        <v>13000</v>
      </c>
      <c r="K92" s="29">
        <v>10145</v>
      </c>
      <c r="L92" s="58">
        <f t="shared" si="16"/>
        <v>78.038461538461533</v>
      </c>
      <c r="M92" s="58">
        <f t="shared" si="17"/>
        <v>81.959928906123764</v>
      </c>
      <c r="N92" s="3"/>
    </row>
    <row r="93" spans="1:15" ht="18.75" customHeight="1">
      <c r="A93" s="11">
        <v>2</v>
      </c>
      <c r="B93" s="44" t="s">
        <v>31</v>
      </c>
      <c r="C93" s="11" t="s">
        <v>54</v>
      </c>
      <c r="D93" s="27">
        <v>77894</v>
      </c>
      <c r="E93" s="27">
        <v>87000</v>
      </c>
      <c r="F93" s="27">
        <v>87000</v>
      </c>
      <c r="G93" s="27">
        <v>78000</v>
      </c>
      <c r="H93" s="27">
        <v>78000</v>
      </c>
      <c r="I93" s="27">
        <v>74800</v>
      </c>
      <c r="J93" s="27">
        <v>80000</v>
      </c>
      <c r="K93" s="27">
        <v>74650</v>
      </c>
      <c r="L93" s="66">
        <f t="shared" si="16"/>
        <v>93.3125</v>
      </c>
      <c r="M93" s="66">
        <f t="shared" si="17"/>
        <v>99.799465240641709</v>
      </c>
      <c r="N93" s="83"/>
    </row>
    <row r="94" spans="1:15" s="18" customFormat="1" ht="18.75" customHeight="1">
      <c r="A94" s="11" t="s">
        <v>48</v>
      </c>
      <c r="B94" s="45" t="s">
        <v>325</v>
      </c>
      <c r="C94" s="11"/>
      <c r="D94" s="27"/>
      <c r="E94" s="27"/>
      <c r="F94" s="27"/>
      <c r="G94" s="27"/>
      <c r="H94" s="27"/>
      <c r="I94" s="27"/>
      <c r="J94" s="27"/>
      <c r="K94" s="27"/>
      <c r="L94" s="66" t="str">
        <f t="shared" si="16"/>
        <v/>
      </c>
      <c r="M94" s="66" t="str">
        <f t="shared" si="17"/>
        <v/>
      </c>
      <c r="N94" s="83"/>
    </row>
    <row r="95" spans="1:15" ht="18.75" customHeight="1">
      <c r="A95" s="32">
        <v>1</v>
      </c>
      <c r="B95" s="46" t="s">
        <v>326</v>
      </c>
      <c r="C95" s="32" t="s">
        <v>37</v>
      </c>
      <c r="D95" s="28">
        <v>85</v>
      </c>
      <c r="E95" s="28">
        <v>85.5</v>
      </c>
      <c r="F95" s="28">
        <v>85.5</v>
      </c>
      <c r="G95" s="28">
        <v>89.100000000000009</v>
      </c>
      <c r="H95" s="28">
        <v>89.100000000000009</v>
      </c>
      <c r="I95" s="28">
        <f>QI.2018!H94</f>
        <v>86.1</v>
      </c>
      <c r="J95" s="28">
        <v>89.100000000000009</v>
      </c>
      <c r="K95" s="28">
        <v>90.9</v>
      </c>
      <c r="L95" s="58">
        <f t="shared" si="16"/>
        <v>102.02020202020201</v>
      </c>
      <c r="M95" s="58">
        <f t="shared" si="17"/>
        <v>105.57491289198607</v>
      </c>
      <c r="N95" s="3"/>
    </row>
    <row r="96" spans="1:15" ht="18.75" customHeight="1">
      <c r="A96" s="32">
        <v>2</v>
      </c>
      <c r="B96" s="46" t="s">
        <v>327</v>
      </c>
      <c r="C96" s="32" t="s">
        <v>76</v>
      </c>
      <c r="D96" s="29">
        <f t="shared" ref="D96:K96" si="23">D97+D98</f>
        <v>427.4</v>
      </c>
      <c r="E96" s="29">
        <f t="shared" si="23"/>
        <v>320</v>
      </c>
      <c r="F96" s="29">
        <f t="shared" si="23"/>
        <v>335</v>
      </c>
      <c r="G96" s="29">
        <f t="shared" si="23"/>
        <v>124</v>
      </c>
      <c r="H96" s="29">
        <f t="shared" si="23"/>
        <v>207</v>
      </c>
      <c r="I96" s="29">
        <f t="shared" si="23"/>
        <v>46.699999999999996</v>
      </c>
      <c r="J96" s="29">
        <f t="shared" si="23"/>
        <v>305</v>
      </c>
      <c r="K96" s="29">
        <f t="shared" si="23"/>
        <v>62.5</v>
      </c>
      <c r="L96" s="58">
        <f t="shared" si="16"/>
        <v>20.491803278688526</v>
      </c>
      <c r="M96" s="58">
        <f t="shared" si="17"/>
        <v>133.83297644539616</v>
      </c>
      <c r="N96" s="3"/>
    </row>
    <row r="97" spans="1:15" ht="18.75" customHeight="1">
      <c r="A97" s="32"/>
      <c r="B97" s="48" t="s">
        <v>328</v>
      </c>
      <c r="C97" s="32" t="s">
        <v>76</v>
      </c>
      <c r="D97" s="29">
        <v>211.9</v>
      </c>
      <c r="E97" s="29">
        <v>210</v>
      </c>
      <c r="F97" s="29">
        <v>210</v>
      </c>
      <c r="G97" s="29">
        <v>86.5</v>
      </c>
      <c r="H97" s="29">
        <v>137</v>
      </c>
      <c r="I97" s="29">
        <f>QI.2018!H96</f>
        <v>33.299999999999997</v>
      </c>
      <c r="J97" s="29">
        <v>195</v>
      </c>
      <c r="K97" s="29">
        <v>29.2</v>
      </c>
      <c r="L97" s="58">
        <f t="shared" si="16"/>
        <v>14.974358974358974</v>
      </c>
      <c r="M97" s="58">
        <f t="shared" si="17"/>
        <v>87.687687687687699</v>
      </c>
      <c r="N97" s="3"/>
    </row>
    <row r="98" spans="1:15" ht="18.75" customHeight="1">
      <c r="A98" s="32"/>
      <c r="B98" s="48" t="s">
        <v>329</v>
      </c>
      <c r="C98" s="32" t="s">
        <v>76</v>
      </c>
      <c r="D98" s="29">
        <v>215.5</v>
      </c>
      <c r="E98" s="29">
        <v>110</v>
      </c>
      <c r="F98" s="29">
        <v>125</v>
      </c>
      <c r="G98" s="29">
        <v>37.5</v>
      </c>
      <c r="H98" s="29">
        <v>70</v>
      </c>
      <c r="I98" s="29">
        <f>QI.2018!H97</f>
        <v>13.4</v>
      </c>
      <c r="J98" s="29">
        <v>110</v>
      </c>
      <c r="K98" s="29">
        <v>33.299999999999997</v>
      </c>
      <c r="L98" s="58">
        <f t="shared" si="16"/>
        <v>30.272727272727266</v>
      </c>
      <c r="M98" s="58">
        <f t="shared" si="17"/>
        <v>248.50746268656712</v>
      </c>
      <c r="N98" s="3"/>
    </row>
    <row r="99" spans="1:15" hidden="1" outlineLevel="1">
      <c r="A99" s="145" t="s">
        <v>50</v>
      </c>
      <c r="B99" s="146" t="s">
        <v>104</v>
      </c>
      <c r="C99" s="145"/>
      <c r="D99" s="13"/>
      <c r="E99" s="13"/>
      <c r="F99" s="13"/>
      <c r="G99" s="13"/>
      <c r="H99" s="13"/>
      <c r="I99" s="13"/>
      <c r="J99" s="13"/>
      <c r="K99" s="13"/>
      <c r="L99" s="66" t="str">
        <f t="shared" si="16"/>
        <v/>
      </c>
      <c r="M99" s="66" t="str">
        <f t="shared" si="17"/>
        <v/>
      </c>
      <c r="N99" s="3"/>
    </row>
    <row r="100" spans="1:15" ht="19.5" hidden="1" customHeight="1" outlineLevel="1">
      <c r="A100" s="147"/>
      <c r="B100" s="148" t="s">
        <v>330</v>
      </c>
      <c r="C100" s="32" t="s">
        <v>37</v>
      </c>
      <c r="D100" s="53">
        <v>500.3</v>
      </c>
      <c r="E100" s="53">
        <v>4</v>
      </c>
      <c r="F100" s="53"/>
      <c r="G100" s="53"/>
      <c r="H100" s="53">
        <v>27</v>
      </c>
      <c r="I100" s="53"/>
      <c r="J100" s="53"/>
      <c r="K100" s="53"/>
      <c r="L100" s="58" t="str">
        <f t="shared" si="16"/>
        <v/>
      </c>
      <c r="M100" s="58" t="str">
        <f t="shared" si="17"/>
        <v/>
      </c>
      <c r="N100" s="3"/>
    </row>
    <row r="101" spans="1:15" ht="19.5" hidden="1" customHeight="1" outlineLevel="1">
      <c r="A101" s="147"/>
      <c r="B101" s="46" t="s">
        <v>712</v>
      </c>
      <c r="C101" s="32" t="s">
        <v>37</v>
      </c>
      <c r="D101" s="53">
        <v>50870.31</v>
      </c>
      <c r="E101" s="53">
        <v>50870.31</v>
      </c>
      <c r="F101" s="53">
        <v>50870.31</v>
      </c>
      <c r="G101" s="53">
        <v>50870.31</v>
      </c>
      <c r="H101" s="53">
        <v>50870.31</v>
      </c>
      <c r="I101" s="53"/>
      <c r="J101" s="53">
        <v>50870.31</v>
      </c>
      <c r="K101" s="53"/>
      <c r="L101" s="58">
        <f t="shared" si="16"/>
        <v>0</v>
      </c>
      <c r="M101" s="58" t="str">
        <f t="shared" si="17"/>
        <v/>
      </c>
      <c r="N101" s="3"/>
    </row>
    <row r="102" spans="1:15" ht="19.5" hidden="1" customHeight="1" outlineLevel="1">
      <c r="A102" s="147"/>
      <c r="B102" s="46" t="s">
        <v>713</v>
      </c>
      <c r="C102" s="32" t="s">
        <v>37</v>
      </c>
      <c r="D102" s="53"/>
      <c r="E102" s="53">
        <v>15886.3</v>
      </c>
      <c r="F102" s="53">
        <v>15886</v>
      </c>
      <c r="G102" s="53">
        <v>15886</v>
      </c>
      <c r="H102" s="53">
        <v>15886</v>
      </c>
      <c r="I102" s="53"/>
      <c r="J102" s="53">
        <v>15886</v>
      </c>
      <c r="K102" s="53"/>
      <c r="L102" s="58">
        <f t="shared" si="16"/>
        <v>0</v>
      </c>
      <c r="M102" s="58" t="str">
        <f t="shared" si="17"/>
        <v/>
      </c>
      <c r="N102" s="3"/>
    </row>
    <row r="103" spans="1:15" ht="19.5" hidden="1" customHeight="1" outlineLevel="1">
      <c r="A103" s="147"/>
      <c r="B103" s="148" t="s">
        <v>711</v>
      </c>
      <c r="C103" s="32" t="s">
        <v>33</v>
      </c>
      <c r="D103" s="269">
        <v>31.37</v>
      </c>
      <c r="E103" s="288">
        <f>E102/50640%</f>
        <v>31.37105055292259</v>
      </c>
      <c r="F103" s="288">
        <f>F102/50640%</f>
        <v>31.370458135860982</v>
      </c>
      <c r="G103" s="288">
        <f>G102/50640%</f>
        <v>31.370458135860982</v>
      </c>
      <c r="H103" s="288">
        <f>H102/50640%</f>
        <v>31.370458135860982</v>
      </c>
      <c r="I103" s="288"/>
      <c r="J103" s="288">
        <f>J102/50640%</f>
        <v>31.370458135860982</v>
      </c>
      <c r="K103" s="288"/>
      <c r="L103" s="58">
        <f t="shared" si="16"/>
        <v>0</v>
      </c>
      <c r="M103" s="58" t="str">
        <f t="shared" si="17"/>
        <v/>
      </c>
      <c r="N103" s="3"/>
    </row>
    <row r="104" spans="1:15" ht="17.25" hidden="1" customHeight="1" outlineLevel="1">
      <c r="A104" s="32">
        <v>1</v>
      </c>
      <c r="B104" s="35" t="s">
        <v>30</v>
      </c>
      <c r="C104" s="32" t="s">
        <v>37</v>
      </c>
      <c r="D104" s="22">
        <v>1646</v>
      </c>
      <c r="E104" s="22">
        <f>D104+E105</f>
        <v>1675</v>
      </c>
      <c r="F104" s="22">
        <f>E104+F105</f>
        <v>1710</v>
      </c>
      <c r="G104" s="22">
        <f>E104+G105</f>
        <v>1710</v>
      </c>
      <c r="H104" s="22">
        <f>E104+H105-H106</f>
        <v>1725</v>
      </c>
      <c r="I104" s="22"/>
      <c r="J104" s="22">
        <f>H104+J105</f>
        <v>1725</v>
      </c>
      <c r="K104" s="22"/>
      <c r="L104" s="58">
        <f t="shared" si="16"/>
        <v>0</v>
      </c>
      <c r="M104" s="58" t="str">
        <f t="shared" si="17"/>
        <v/>
      </c>
      <c r="N104" s="3"/>
      <c r="O104" s="81"/>
    </row>
    <row r="105" spans="1:15" ht="17.25" hidden="1" customHeight="1" outlineLevel="2">
      <c r="A105" s="32"/>
      <c r="B105" s="35" t="s">
        <v>123</v>
      </c>
      <c r="C105" s="32" t="s">
        <v>37</v>
      </c>
      <c r="D105" s="22">
        <v>57.2</v>
      </c>
      <c r="E105" s="22">
        <v>29</v>
      </c>
      <c r="F105" s="22">
        <v>35</v>
      </c>
      <c r="G105" s="22">
        <f>F105</f>
        <v>35</v>
      </c>
      <c r="H105" s="22">
        <v>54</v>
      </c>
      <c r="I105" s="22"/>
      <c r="J105" s="22"/>
      <c r="K105" s="22"/>
      <c r="L105" s="58" t="str">
        <f t="shared" si="16"/>
        <v/>
      </c>
      <c r="M105" s="58" t="str">
        <f t="shared" si="17"/>
        <v/>
      </c>
      <c r="N105" s="3"/>
    </row>
    <row r="106" spans="1:15" ht="17.25" hidden="1" customHeight="1" outlineLevel="2">
      <c r="A106" s="32"/>
      <c r="B106" s="35" t="s">
        <v>721</v>
      </c>
      <c r="C106" s="32" t="s">
        <v>37</v>
      </c>
      <c r="D106" s="22"/>
      <c r="E106" s="22"/>
      <c r="F106" s="22"/>
      <c r="G106" s="22"/>
      <c r="H106" s="22">
        <v>4</v>
      </c>
      <c r="I106" s="22"/>
      <c r="J106" s="22"/>
      <c r="K106" s="22"/>
      <c r="L106" s="58"/>
      <c r="M106" s="58"/>
      <c r="N106" s="3"/>
    </row>
    <row r="107" spans="1:15" s="18" customFormat="1" collapsed="1">
      <c r="A107" s="11" t="s">
        <v>176</v>
      </c>
      <c r="B107" s="54" t="s">
        <v>183</v>
      </c>
      <c r="C107" s="11"/>
      <c r="D107" s="149"/>
      <c r="E107" s="149"/>
      <c r="F107" s="149"/>
      <c r="G107" s="149"/>
      <c r="H107" s="149"/>
      <c r="I107" s="149"/>
      <c r="J107" s="149"/>
      <c r="K107" s="149"/>
      <c r="L107" s="66" t="str">
        <f t="shared" ref="L107:L142" si="24">IFERROR(K107/J107%,"")</f>
        <v/>
      </c>
      <c r="M107" s="66" t="str">
        <f t="shared" ref="M107:M142" si="25">IFERROR(K107/I107%,"")</f>
        <v/>
      </c>
      <c r="N107" s="66"/>
    </row>
    <row r="108" spans="1:15" ht="22.5" customHeight="1">
      <c r="A108" s="11">
        <v>1</v>
      </c>
      <c r="B108" s="54" t="s">
        <v>449</v>
      </c>
      <c r="C108" s="11" t="s">
        <v>331</v>
      </c>
      <c r="D108" s="27">
        <v>676693</v>
      </c>
      <c r="E108" s="27">
        <v>708000</v>
      </c>
      <c r="F108" s="27">
        <v>722000</v>
      </c>
      <c r="G108" s="27">
        <v>435000</v>
      </c>
      <c r="H108" s="27">
        <v>730000</v>
      </c>
      <c r="I108" s="27">
        <v>190200</v>
      </c>
      <c r="J108" s="27">
        <v>750000</v>
      </c>
      <c r="K108" s="27">
        <v>197000</v>
      </c>
      <c r="L108" s="66">
        <f t="shared" si="24"/>
        <v>26.266666666666666</v>
      </c>
      <c r="M108" s="66">
        <f t="shared" si="25"/>
        <v>103.57518401682439</v>
      </c>
      <c r="N108" s="83"/>
    </row>
    <row r="109" spans="1:15" ht="20.25" customHeight="1">
      <c r="A109" s="32">
        <v>2</v>
      </c>
      <c r="B109" s="20" t="s">
        <v>333</v>
      </c>
      <c r="C109" s="32"/>
      <c r="D109" s="13"/>
      <c r="E109" s="13"/>
      <c r="F109" s="13"/>
      <c r="G109" s="149"/>
      <c r="H109" s="13"/>
      <c r="I109" s="13"/>
      <c r="J109" s="13"/>
      <c r="K109" s="13"/>
      <c r="L109" s="58" t="str">
        <f t="shared" si="24"/>
        <v/>
      </c>
      <c r="M109" s="58" t="str">
        <f t="shared" si="25"/>
        <v/>
      </c>
      <c r="N109" s="3"/>
    </row>
    <row r="110" spans="1:15" ht="20.25" customHeight="1">
      <c r="A110" s="32"/>
      <c r="B110" s="20" t="s">
        <v>334</v>
      </c>
      <c r="C110" s="32" t="s">
        <v>65</v>
      </c>
      <c r="D110" s="29">
        <v>40</v>
      </c>
      <c r="E110" s="29">
        <v>42</v>
      </c>
      <c r="F110" s="29">
        <v>40</v>
      </c>
      <c r="G110" s="29">
        <v>30</v>
      </c>
      <c r="H110" s="29">
        <v>38</v>
      </c>
      <c r="I110" s="29">
        <v>12</v>
      </c>
      <c r="J110" s="29">
        <v>45</v>
      </c>
      <c r="K110" s="29">
        <v>14</v>
      </c>
      <c r="L110" s="58">
        <f t="shared" si="24"/>
        <v>31.111111111111111</v>
      </c>
      <c r="M110" s="58">
        <f t="shared" si="25"/>
        <v>116.66666666666667</v>
      </c>
      <c r="N110" s="3"/>
    </row>
    <row r="111" spans="1:15" ht="20.25" customHeight="1">
      <c r="A111" s="32"/>
      <c r="B111" s="20" t="s">
        <v>340</v>
      </c>
      <c r="C111" s="32" t="s">
        <v>65</v>
      </c>
      <c r="D111" s="29">
        <v>35</v>
      </c>
      <c r="E111" s="29">
        <v>30</v>
      </c>
      <c r="F111" s="29">
        <v>40</v>
      </c>
      <c r="G111" s="29">
        <v>32</v>
      </c>
      <c r="H111" s="29">
        <v>40</v>
      </c>
      <c r="I111" s="29">
        <v>9</v>
      </c>
      <c r="J111" s="29">
        <v>45</v>
      </c>
      <c r="K111" s="29">
        <v>15</v>
      </c>
      <c r="L111" s="58">
        <f t="shared" si="24"/>
        <v>33.333333333333336</v>
      </c>
      <c r="M111" s="58">
        <f t="shared" si="25"/>
        <v>166.66666666666669</v>
      </c>
      <c r="N111" s="3"/>
    </row>
    <row r="112" spans="1:15" ht="20.25" customHeight="1">
      <c r="A112" s="32"/>
      <c r="B112" s="20" t="s">
        <v>335</v>
      </c>
      <c r="C112" s="32" t="s">
        <v>76</v>
      </c>
      <c r="D112" s="29">
        <v>57219</v>
      </c>
      <c r="E112" s="29">
        <v>60000</v>
      </c>
      <c r="F112" s="29">
        <v>55000</v>
      </c>
      <c r="G112" s="29">
        <v>31000</v>
      </c>
      <c r="H112" s="29">
        <v>55300</v>
      </c>
      <c r="I112" s="29">
        <v>9000</v>
      </c>
      <c r="J112" s="29">
        <v>55000</v>
      </c>
      <c r="K112" s="29">
        <v>9500</v>
      </c>
      <c r="L112" s="58">
        <f t="shared" si="24"/>
        <v>17.272727272727273</v>
      </c>
      <c r="M112" s="58">
        <f t="shared" si="25"/>
        <v>105.55555555555556</v>
      </c>
      <c r="N112" s="3"/>
    </row>
    <row r="113" spans="1:17" ht="20.25" customHeight="1">
      <c r="A113" s="32"/>
      <c r="B113" s="20" t="s">
        <v>336</v>
      </c>
      <c r="C113" s="32" t="s">
        <v>76</v>
      </c>
      <c r="D113" s="29">
        <v>12363</v>
      </c>
      <c r="E113" s="29">
        <v>13000</v>
      </c>
      <c r="F113" s="29">
        <v>12000</v>
      </c>
      <c r="G113" s="29">
        <v>4950</v>
      </c>
      <c r="H113" s="29">
        <v>12125</v>
      </c>
      <c r="I113" s="29">
        <v>5400</v>
      </c>
      <c r="J113" s="29">
        <v>12000</v>
      </c>
      <c r="K113" s="29">
        <v>5500</v>
      </c>
      <c r="L113" s="58">
        <f t="shared" si="24"/>
        <v>45.833333333333336</v>
      </c>
      <c r="M113" s="58">
        <f t="shared" si="25"/>
        <v>101.85185185185185</v>
      </c>
      <c r="N113" s="3"/>
    </row>
    <row r="114" spans="1:17" ht="20.25" customHeight="1">
      <c r="A114" s="32"/>
      <c r="B114" s="20" t="s">
        <v>337</v>
      </c>
      <c r="C114" s="32" t="s">
        <v>466</v>
      </c>
      <c r="D114" s="29">
        <v>39713</v>
      </c>
      <c r="E114" s="29">
        <v>41000</v>
      </c>
      <c r="F114" s="29">
        <v>60000</v>
      </c>
      <c r="G114" s="29">
        <v>47180</v>
      </c>
      <c r="H114" s="29">
        <v>67350</v>
      </c>
      <c r="I114" s="29">
        <v>5350</v>
      </c>
      <c r="J114" s="29">
        <v>80000</v>
      </c>
      <c r="K114" s="29">
        <v>5800</v>
      </c>
      <c r="L114" s="58">
        <f t="shared" si="24"/>
        <v>7.25</v>
      </c>
      <c r="M114" s="58">
        <f t="shared" si="25"/>
        <v>108.41121495327103</v>
      </c>
      <c r="N114" s="3"/>
    </row>
    <row r="115" spans="1:17" ht="20.25" customHeight="1">
      <c r="A115" s="32"/>
      <c r="B115" s="20" t="s">
        <v>338</v>
      </c>
      <c r="C115" s="32" t="s">
        <v>466</v>
      </c>
      <c r="D115" s="29">
        <v>34500</v>
      </c>
      <c r="E115" s="29">
        <v>35000</v>
      </c>
      <c r="F115" s="29">
        <v>54000</v>
      </c>
      <c r="G115" s="29">
        <v>30850</v>
      </c>
      <c r="H115" s="29">
        <v>37000</v>
      </c>
      <c r="I115" s="29"/>
      <c r="J115" s="29">
        <v>70000</v>
      </c>
      <c r="K115" s="29"/>
      <c r="L115" s="58">
        <f t="shared" si="24"/>
        <v>0</v>
      </c>
      <c r="M115" s="58" t="str">
        <f t="shared" si="25"/>
        <v/>
      </c>
      <c r="N115" s="3"/>
    </row>
    <row r="116" spans="1:17" s="18" customFormat="1" ht="17.25" customHeight="1">
      <c r="A116" s="11" t="s">
        <v>182</v>
      </c>
      <c r="B116" s="15" t="s">
        <v>450</v>
      </c>
      <c r="C116" s="11"/>
      <c r="D116" s="29"/>
      <c r="E116" s="29"/>
      <c r="F116" s="29"/>
      <c r="G116" s="29"/>
      <c r="H116" s="29"/>
      <c r="I116" s="29"/>
      <c r="J116" s="29"/>
      <c r="K116" s="29"/>
      <c r="L116" s="66" t="str">
        <f t="shared" si="24"/>
        <v/>
      </c>
      <c r="M116" s="66" t="str">
        <f t="shared" si="25"/>
        <v/>
      </c>
      <c r="N116" s="66"/>
    </row>
    <row r="117" spans="1:17" ht="22.5" customHeight="1">
      <c r="A117" s="32">
        <v>1</v>
      </c>
      <c r="B117" s="20" t="s">
        <v>184</v>
      </c>
      <c r="C117" s="32" t="s">
        <v>331</v>
      </c>
      <c r="D117" s="29">
        <v>560310</v>
      </c>
      <c r="E117" s="29">
        <v>595000</v>
      </c>
      <c r="F117" s="29">
        <v>696000</v>
      </c>
      <c r="G117" s="29">
        <v>450000</v>
      </c>
      <c r="H117" s="29">
        <v>698000</v>
      </c>
      <c r="I117" s="29">
        <v>149000</v>
      </c>
      <c r="J117" s="29">
        <v>730000</v>
      </c>
      <c r="K117" s="29">
        <v>160000</v>
      </c>
      <c r="L117" s="58">
        <f t="shared" si="24"/>
        <v>21.917808219178081</v>
      </c>
      <c r="M117" s="58">
        <f t="shared" si="25"/>
        <v>107.38255033557047</v>
      </c>
      <c r="N117" s="3"/>
      <c r="O117" s="77"/>
    </row>
    <row r="118" spans="1:17" ht="19.5" customHeight="1">
      <c r="A118" s="32"/>
      <c r="B118" s="12" t="s">
        <v>454</v>
      </c>
      <c r="C118" s="32"/>
      <c r="D118" s="13"/>
      <c r="E118" s="13"/>
      <c r="F118" s="13"/>
      <c r="G118" s="13"/>
      <c r="H118" s="13"/>
      <c r="I118" s="13"/>
      <c r="J118" s="13"/>
      <c r="K118" s="13"/>
      <c r="L118" s="66" t="str">
        <f t="shared" si="24"/>
        <v/>
      </c>
      <c r="M118" s="66" t="str">
        <f t="shared" si="25"/>
        <v/>
      </c>
      <c r="N118" s="3"/>
    </row>
    <row r="119" spans="1:17" s="18" customFormat="1" ht="22.5" customHeight="1">
      <c r="A119" s="11" t="s">
        <v>38</v>
      </c>
      <c r="B119" s="15" t="s">
        <v>352</v>
      </c>
      <c r="C119" s="11"/>
      <c r="D119" s="149"/>
      <c r="E119" s="149"/>
      <c r="F119" s="149"/>
      <c r="G119" s="149"/>
      <c r="H119" s="149"/>
      <c r="I119" s="149"/>
      <c r="J119" s="149"/>
      <c r="K119" s="149"/>
      <c r="L119" s="66" t="str">
        <f t="shared" si="24"/>
        <v/>
      </c>
      <c r="M119" s="66" t="str">
        <f t="shared" si="25"/>
        <v/>
      </c>
      <c r="N119" s="83"/>
    </row>
    <row r="120" spans="1:17" ht="22.5" hidden="1" customHeight="1" outlineLevel="1">
      <c r="A120" s="613">
        <v>1</v>
      </c>
      <c r="B120" s="462" t="s">
        <v>353</v>
      </c>
      <c r="C120" s="613" t="s">
        <v>62</v>
      </c>
      <c r="D120" s="614">
        <v>10520</v>
      </c>
      <c r="E120" s="614">
        <f>D121</f>
        <v>10685</v>
      </c>
      <c r="F120" s="614">
        <f>E121</f>
        <v>11308</v>
      </c>
      <c r="G120" s="614">
        <f>E121</f>
        <v>11308</v>
      </c>
      <c r="H120" s="614">
        <f>F120</f>
        <v>11308</v>
      </c>
      <c r="I120" s="614"/>
      <c r="J120" s="614">
        <f>H121</f>
        <v>11350</v>
      </c>
      <c r="K120" s="614"/>
      <c r="L120" s="445">
        <f t="shared" si="24"/>
        <v>0</v>
      </c>
      <c r="M120" s="445" t="str">
        <f t="shared" si="25"/>
        <v/>
      </c>
      <c r="N120" s="615"/>
      <c r="O120" s="77"/>
    </row>
    <row r="121" spans="1:17" ht="22.5" hidden="1" customHeight="1" outlineLevel="1">
      <c r="A121" s="613">
        <v>2</v>
      </c>
      <c r="B121" s="462" t="s">
        <v>207</v>
      </c>
      <c r="C121" s="613" t="s">
        <v>62</v>
      </c>
      <c r="D121" s="614">
        <v>10685</v>
      </c>
      <c r="E121" s="614">
        <v>11308</v>
      </c>
      <c r="F121" s="614">
        <f>F120+630</f>
        <v>11938</v>
      </c>
      <c r="G121" s="614">
        <f>G120+420</f>
        <v>11728</v>
      </c>
      <c r="H121" s="614">
        <v>11350</v>
      </c>
      <c r="I121" s="614"/>
      <c r="J121" s="614">
        <v>11650</v>
      </c>
      <c r="K121" s="614"/>
      <c r="L121" s="445">
        <f t="shared" si="24"/>
        <v>0</v>
      </c>
      <c r="M121" s="445" t="str">
        <f t="shared" si="25"/>
        <v/>
      </c>
      <c r="N121" s="615"/>
      <c r="O121" s="77"/>
    </row>
    <row r="122" spans="1:17" ht="22.5" customHeight="1" collapsed="1">
      <c r="A122" s="32">
        <v>1</v>
      </c>
      <c r="B122" s="20" t="s">
        <v>131</v>
      </c>
      <c r="C122" s="32" t="s">
        <v>73</v>
      </c>
      <c r="D122" s="29">
        <v>44006</v>
      </c>
      <c r="E122" s="29">
        <f>D123</f>
        <v>45290</v>
      </c>
      <c r="F122" s="29">
        <f>E123</f>
        <v>46365</v>
      </c>
      <c r="G122" s="29">
        <f>E123</f>
        <v>46365</v>
      </c>
      <c r="H122" s="29">
        <f>E123</f>
        <v>46365</v>
      </c>
      <c r="I122" s="29"/>
      <c r="J122" s="29">
        <f>H123</f>
        <v>47571</v>
      </c>
      <c r="K122" s="29"/>
      <c r="L122" s="58">
        <f t="shared" si="24"/>
        <v>0</v>
      </c>
      <c r="M122" s="58" t="str">
        <f t="shared" si="25"/>
        <v/>
      </c>
      <c r="N122" s="3"/>
      <c r="O122" s="77"/>
    </row>
    <row r="123" spans="1:17" ht="22.5" customHeight="1">
      <c r="A123" s="32">
        <v>2</v>
      </c>
      <c r="B123" s="20" t="s">
        <v>132</v>
      </c>
      <c r="C123" s="32" t="s">
        <v>73</v>
      </c>
      <c r="D123" s="29">
        <v>45290</v>
      </c>
      <c r="E123" s="29">
        <v>46365</v>
      </c>
      <c r="F123" s="29">
        <v>47500</v>
      </c>
      <c r="G123" s="29">
        <f>G122+757</f>
        <v>47122</v>
      </c>
      <c r="H123" s="29">
        <v>47571</v>
      </c>
      <c r="I123" s="29"/>
      <c r="J123" s="29">
        <v>48828.800000000003</v>
      </c>
      <c r="K123" s="29"/>
      <c r="L123" s="58">
        <f t="shared" si="24"/>
        <v>0</v>
      </c>
      <c r="M123" s="58" t="str">
        <f t="shared" si="25"/>
        <v/>
      </c>
      <c r="N123" s="3"/>
      <c r="O123" s="77"/>
      <c r="Q123" s="616"/>
    </row>
    <row r="124" spans="1:17" ht="22.5" customHeight="1">
      <c r="A124" s="32">
        <v>3</v>
      </c>
      <c r="B124" s="20" t="s">
        <v>339</v>
      </c>
      <c r="C124" s="32" t="s">
        <v>73</v>
      </c>
      <c r="D124" s="29">
        <f t="shared" ref="D124:J124" si="26">(D122+D123)/2</f>
        <v>44648</v>
      </c>
      <c r="E124" s="29">
        <f t="shared" si="26"/>
        <v>45827.5</v>
      </c>
      <c r="F124" s="29">
        <f t="shared" si="26"/>
        <v>46932.5</v>
      </c>
      <c r="G124" s="29">
        <f t="shared" si="26"/>
        <v>46743.5</v>
      </c>
      <c r="H124" s="29">
        <f t="shared" si="26"/>
        <v>46968</v>
      </c>
      <c r="I124" s="29"/>
      <c r="J124" s="29">
        <f t="shared" si="26"/>
        <v>48199.9</v>
      </c>
      <c r="K124" s="29"/>
      <c r="L124" s="58">
        <f t="shared" si="24"/>
        <v>0</v>
      </c>
      <c r="M124" s="58" t="str">
        <f t="shared" si="25"/>
        <v/>
      </c>
      <c r="N124" s="3"/>
      <c r="O124" s="77"/>
    </row>
    <row r="125" spans="1:17" ht="22.5" customHeight="1">
      <c r="A125" s="32">
        <v>4</v>
      </c>
      <c r="B125" s="48" t="s">
        <v>392</v>
      </c>
      <c r="C125" s="21" t="s">
        <v>170</v>
      </c>
      <c r="D125" s="74">
        <v>22.62</v>
      </c>
      <c r="E125" s="74">
        <v>22.92</v>
      </c>
      <c r="F125" s="74">
        <v>22</v>
      </c>
      <c r="G125" s="74">
        <v>22</v>
      </c>
      <c r="H125" s="74">
        <v>22</v>
      </c>
      <c r="I125" s="74"/>
      <c r="J125" s="74">
        <f>'B05'!E21*10</f>
        <v>22.134283492043473</v>
      </c>
      <c r="K125" s="74"/>
      <c r="L125" s="58">
        <f t="shared" si="24"/>
        <v>0</v>
      </c>
      <c r="M125" s="58" t="str">
        <f t="shared" si="25"/>
        <v/>
      </c>
      <c r="N125" s="3"/>
    </row>
    <row r="126" spans="1:17" s="18" customFormat="1" ht="21" customHeight="1">
      <c r="A126" s="11" t="s">
        <v>39</v>
      </c>
      <c r="B126" s="15" t="s">
        <v>163</v>
      </c>
      <c r="C126" s="11"/>
      <c r="D126" s="57"/>
      <c r="E126" s="57"/>
      <c r="F126" s="57"/>
      <c r="G126" s="57"/>
      <c r="H126" s="57"/>
      <c r="I126" s="57"/>
      <c r="J126" s="57"/>
      <c r="K126" s="57"/>
      <c r="L126" s="66" t="str">
        <f t="shared" si="24"/>
        <v/>
      </c>
      <c r="M126" s="66" t="str">
        <f t="shared" si="25"/>
        <v/>
      </c>
      <c r="N126" s="83"/>
    </row>
    <row r="127" spans="1:17" ht="21" customHeight="1">
      <c r="A127" s="32">
        <v>1</v>
      </c>
      <c r="B127" s="20" t="s">
        <v>393</v>
      </c>
      <c r="C127" s="32" t="s">
        <v>33</v>
      </c>
      <c r="D127" s="58">
        <v>42.86</v>
      </c>
      <c r="E127" s="58">
        <v>43</v>
      </c>
      <c r="F127" s="58">
        <v>44</v>
      </c>
      <c r="G127" s="58">
        <v>43</v>
      </c>
      <c r="H127" s="58">
        <f>F127</f>
        <v>44</v>
      </c>
      <c r="I127" s="58"/>
      <c r="J127" s="58">
        <v>44.5</v>
      </c>
      <c r="K127" s="58"/>
      <c r="L127" s="58">
        <f t="shared" si="24"/>
        <v>0</v>
      </c>
      <c r="M127" s="58" t="str">
        <f t="shared" si="25"/>
        <v/>
      </c>
      <c r="N127" s="3"/>
    </row>
    <row r="128" spans="1:17" ht="21" customHeight="1">
      <c r="A128" s="32"/>
      <c r="B128" s="20" t="s">
        <v>394</v>
      </c>
      <c r="C128" s="32" t="s">
        <v>33</v>
      </c>
      <c r="D128" s="58">
        <v>32</v>
      </c>
      <c r="E128" s="58">
        <v>35</v>
      </c>
      <c r="F128" s="58">
        <v>36</v>
      </c>
      <c r="G128" s="58">
        <v>35</v>
      </c>
      <c r="H128" s="58">
        <f>F128</f>
        <v>36</v>
      </c>
      <c r="I128" s="58"/>
      <c r="J128" s="58">
        <v>36.5</v>
      </c>
      <c r="K128" s="58"/>
      <c r="L128" s="58">
        <f t="shared" si="24"/>
        <v>0</v>
      </c>
      <c r="M128" s="58" t="str">
        <f t="shared" si="25"/>
        <v/>
      </c>
      <c r="N128" s="3"/>
    </row>
    <row r="129" spans="1:15" ht="47.25">
      <c r="A129" s="32">
        <v>2</v>
      </c>
      <c r="B129" s="20" t="s">
        <v>357</v>
      </c>
      <c r="C129" s="32" t="s">
        <v>120</v>
      </c>
      <c r="D129" s="59">
        <f>174+50</f>
        <v>224</v>
      </c>
      <c r="E129" s="59">
        <v>175</v>
      </c>
      <c r="F129" s="59">
        <v>250</v>
      </c>
      <c r="G129" s="59">
        <v>305</v>
      </c>
      <c r="H129" s="59">
        <v>290</v>
      </c>
      <c r="I129" s="59"/>
      <c r="J129" s="59">
        <v>250</v>
      </c>
      <c r="K129" s="59"/>
      <c r="L129" s="58">
        <f t="shared" si="24"/>
        <v>0</v>
      </c>
      <c r="M129" s="58" t="str">
        <f t="shared" si="25"/>
        <v/>
      </c>
      <c r="N129" s="3"/>
    </row>
    <row r="130" spans="1:15" ht="30.75" customHeight="1">
      <c r="A130" s="32"/>
      <c r="B130" s="20" t="s">
        <v>396</v>
      </c>
      <c r="C130" s="32" t="s">
        <v>397</v>
      </c>
      <c r="D130" s="20">
        <v>111</v>
      </c>
      <c r="E130" s="20">
        <v>115</v>
      </c>
      <c r="F130" s="20">
        <v>120</v>
      </c>
      <c r="G130" s="20">
        <v>115</v>
      </c>
      <c r="H130" s="59">
        <f>F130</f>
        <v>120</v>
      </c>
      <c r="I130" s="59"/>
      <c r="J130" s="20">
        <v>120</v>
      </c>
      <c r="K130" s="20"/>
      <c r="L130" s="58">
        <f t="shared" si="24"/>
        <v>0</v>
      </c>
      <c r="M130" s="58" t="str">
        <f t="shared" si="25"/>
        <v/>
      </c>
      <c r="N130" s="3"/>
    </row>
    <row r="131" spans="1:15" ht="21" customHeight="1">
      <c r="A131" s="11" t="s">
        <v>47</v>
      </c>
      <c r="B131" s="15" t="s">
        <v>288</v>
      </c>
      <c r="C131" s="32"/>
      <c r="D131" s="59"/>
      <c r="E131" s="59"/>
      <c r="F131" s="59"/>
      <c r="G131" s="59"/>
      <c r="H131" s="59"/>
      <c r="I131" s="59"/>
      <c r="J131" s="59"/>
      <c r="K131" s="59"/>
      <c r="L131" s="66" t="str">
        <f t="shared" si="24"/>
        <v/>
      </c>
      <c r="M131" s="66" t="str">
        <f t="shared" si="25"/>
        <v/>
      </c>
      <c r="N131" s="3"/>
    </row>
    <row r="132" spans="1:15" ht="29.25" customHeight="1">
      <c r="A132" s="60">
        <v>1</v>
      </c>
      <c r="B132" s="61" t="s">
        <v>355</v>
      </c>
      <c r="C132" s="32" t="s">
        <v>33</v>
      </c>
      <c r="D132" s="67" t="s">
        <v>358</v>
      </c>
      <c r="E132" s="88">
        <f>D133-E133</f>
        <v>3.1799999999999997</v>
      </c>
      <c r="F132" s="88">
        <v>3</v>
      </c>
      <c r="G132" s="67"/>
      <c r="H132" s="67">
        <v>2.14</v>
      </c>
      <c r="I132" s="67"/>
      <c r="J132" s="88">
        <v>3</v>
      </c>
      <c r="K132" s="88"/>
      <c r="L132" s="58">
        <f t="shared" si="24"/>
        <v>0</v>
      </c>
      <c r="M132" s="58" t="str">
        <f t="shared" si="25"/>
        <v/>
      </c>
      <c r="N132" s="3"/>
    </row>
    <row r="133" spans="1:15" ht="21" customHeight="1">
      <c r="A133" s="60">
        <v>2</v>
      </c>
      <c r="B133" s="61" t="s">
        <v>395</v>
      </c>
      <c r="C133" s="32" t="s">
        <v>33</v>
      </c>
      <c r="D133" s="80">
        <v>17.32</v>
      </c>
      <c r="E133" s="80">
        <v>14.14</v>
      </c>
      <c r="F133" s="80">
        <f>E133-3</f>
        <v>11.14</v>
      </c>
      <c r="G133" s="80"/>
      <c r="H133" s="80">
        <f>E133-H132</f>
        <v>12</v>
      </c>
      <c r="I133" s="80"/>
      <c r="J133" s="80">
        <f>H133-J132</f>
        <v>9</v>
      </c>
      <c r="K133" s="80"/>
      <c r="L133" s="58">
        <f t="shared" si="24"/>
        <v>0</v>
      </c>
      <c r="M133" s="58" t="str">
        <f t="shared" si="25"/>
        <v/>
      </c>
      <c r="N133" s="3"/>
      <c r="O133" s="89"/>
    </row>
    <row r="134" spans="1:15" s="18" customFormat="1" ht="20.25" customHeight="1">
      <c r="A134" s="11" t="s">
        <v>48</v>
      </c>
      <c r="B134" s="15" t="s">
        <v>6</v>
      </c>
      <c r="C134" s="11"/>
      <c r="D134" s="149"/>
      <c r="E134" s="149"/>
      <c r="F134" s="149"/>
      <c r="G134" s="149"/>
      <c r="H134" s="149"/>
      <c r="I134" s="149"/>
      <c r="J134" s="149"/>
      <c r="K134" s="149"/>
      <c r="L134" s="66" t="str">
        <f t="shared" si="24"/>
        <v/>
      </c>
      <c r="M134" s="66" t="str">
        <f t="shared" si="25"/>
        <v/>
      </c>
      <c r="N134" s="83"/>
    </row>
    <row r="135" spans="1:15" ht="23.25" customHeight="1">
      <c r="A135" s="32">
        <v>1</v>
      </c>
      <c r="B135" s="20" t="s">
        <v>389</v>
      </c>
      <c r="C135" s="32" t="s">
        <v>8</v>
      </c>
      <c r="D135" s="29">
        <f>SUM(D136:D144)</f>
        <v>13999</v>
      </c>
      <c r="E135" s="29">
        <f>SUM(E136:E144)</f>
        <v>14102</v>
      </c>
      <c r="F135" s="29">
        <f>F136+F141+F142+F144</f>
        <v>14530</v>
      </c>
      <c r="G135" s="29">
        <f>G136+G141+G142+G144</f>
        <v>14536</v>
      </c>
      <c r="H135" s="29">
        <f>H136+H141+H142+H144</f>
        <v>14495</v>
      </c>
      <c r="I135" s="29">
        <f>QI.2018!H130</f>
        <v>14407</v>
      </c>
      <c r="J135" s="29">
        <f>J136+J141+J142+J144</f>
        <v>15222</v>
      </c>
      <c r="K135" s="29">
        <f>K136+K141+K142+K144</f>
        <v>14912</v>
      </c>
      <c r="L135" s="58">
        <f t="shared" si="24"/>
        <v>97.963473919327285</v>
      </c>
      <c r="M135" s="58">
        <f t="shared" si="25"/>
        <v>103.50524050808635</v>
      </c>
      <c r="N135" s="3"/>
    </row>
    <row r="136" spans="1:15" ht="21" hidden="1" customHeight="1" outlineLevel="1">
      <c r="A136" s="32" t="s">
        <v>34</v>
      </c>
      <c r="B136" s="20" t="s">
        <v>188</v>
      </c>
      <c r="C136" s="32" t="s">
        <v>8</v>
      </c>
      <c r="D136" s="151">
        <v>4325</v>
      </c>
      <c r="E136" s="151">
        <v>4401</v>
      </c>
      <c r="F136" s="151">
        <f>F137+F139</f>
        <v>4430</v>
      </c>
      <c r="G136" s="151">
        <f>G137+G139</f>
        <v>4480</v>
      </c>
      <c r="H136" s="151">
        <f>H137+H139</f>
        <v>4476</v>
      </c>
      <c r="I136" s="151"/>
      <c r="J136" s="151">
        <f>J137+J139</f>
        <v>4570</v>
      </c>
      <c r="K136" s="151">
        <f>K137+K139</f>
        <v>4376</v>
      </c>
      <c r="L136" s="58">
        <f t="shared" si="24"/>
        <v>95.754923413566729</v>
      </c>
      <c r="M136" s="58" t="str">
        <f t="shared" si="25"/>
        <v/>
      </c>
      <c r="N136" s="3"/>
      <c r="O136" s="81"/>
    </row>
    <row r="137" spans="1:15" s="42" customFormat="1" ht="21" hidden="1" customHeight="1" outlineLevel="1">
      <c r="A137" s="39" t="s">
        <v>557</v>
      </c>
      <c r="B137" s="20" t="s">
        <v>189</v>
      </c>
      <c r="C137" s="32" t="s">
        <v>12</v>
      </c>
      <c r="D137" s="152"/>
      <c r="E137" s="151"/>
      <c r="F137" s="151">
        <v>450</v>
      </c>
      <c r="G137" s="151">
        <v>516</v>
      </c>
      <c r="H137" s="151">
        <v>516</v>
      </c>
      <c r="I137" s="151"/>
      <c r="J137" s="151">
        <v>520</v>
      </c>
      <c r="K137" s="151">
        <v>496</v>
      </c>
      <c r="L137" s="58">
        <f t="shared" si="24"/>
        <v>95.384615384615387</v>
      </c>
      <c r="M137" s="58" t="str">
        <f t="shared" si="25"/>
        <v/>
      </c>
      <c r="N137" s="84"/>
      <c r="O137" s="82"/>
    </row>
    <row r="138" spans="1:15" s="42" customFormat="1" ht="21" hidden="1" customHeight="1" outlineLevel="1">
      <c r="A138" s="39"/>
      <c r="B138" s="62" t="s">
        <v>849</v>
      </c>
      <c r="C138" s="32" t="s">
        <v>12</v>
      </c>
      <c r="D138" s="152"/>
      <c r="E138" s="151"/>
      <c r="F138" s="151">
        <v>350</v>
      </c>
      <c r="G138" s="151">
        <v>365</v>
      </c>
      <c r="H138" s="151">
        <v>365</v>
      </c>
      <c r="I138" s="151"/>
      <c r="J138" s="151">
        <v>361</v>
      </c>
      <c r="K138" s="151"/>
      <c r="L138" s="58">
        <f t="shared" si="24"/>
        <v>0</v>
      </c>
      <c r="M138" s="58" t="str">
        <f t="shared" si="25"/>
        <v/>
      </c>
      <c r="N138" s="84"/>
      <c r="O138" s="82"/>
    </row>
    <row r="139" spans="1:15" s="42" customFormat="1" ht="21" hidden="1" customHeight="1" outlineLevel="1">
      <c r="A139" s="32" t="s">
        <v>557</v>
      </c>
      <c r="B139" s="20" t="s">
        <v>190</v>
      </c>
      <c r="C139" s="32" t="s">
        <v>12</v>
      </c>
      <c r="D139" s="152"/>
      <c r="E139" s="151"/>
      <c r="F139" s="151">
        <v>3980</v>
      </c>
      <c r="G139" s="151">
        <v>3964</v>
      </c>
      <c r="H139" s="151">
        <v>3960</v>
      </c>
      <c r="I139" s="151"/>
      <c r="J139" s="151">
        <v>4050</v>
      </c>
      <c r="K139" s="151">
        <v>3880</v>
      </c>
      <c r="L139" s="58">
        <f t="shared" si="24"/>
        <v>95.802469135802468</v>
      </c>
      <c r="M139" s="58" t="str">
        <f t="shared" si="25"/>
        <v/>
      </c>
      <c r="N139" s="84"/>
      <c r="O139" s="82"/>
    </row>
    <row r="140" spans="1:15" s="42" customFormat="1" ht="21" hidden="1" customHeight="1" outlineLevel="1">
      <c r="A140" s="32"/>
      <c r="B140" s="62" t="s">
        <v>849</v>
      </c>
      <c r="C140" s="32" t="s">
        <v>12</v>
      </c>
      <c r="D140" s="152"/>
      <c r="E140" s="151"/>
      <c r="F140" s="151"/>
      <c r="G140" s="151"/>
      <c r="H140" s="151"/>
      <c r="I140" s="151"/>
      <c r="J140" s="151">
        <f>J139</f>
        <v>4050</v>
      </c>
      <c r="K140" s="151"/>
      <c r="L140" s="58">
        <f t="shared" si="24"/>
        <v>0</v>
      </c>
      <c r="M140" s="58" t="str">
        <f t="shared" si="25"/>
        <v/>
      </c>
      <c r="N140" s="84"/>
      <c r="O140" s="82"/>
    </row>
    <row r="141" spans="1:15" ht="21" hidden="1" customHeight="1" outlineLevel="1">
      <c r="A141" s="32" t="s">
        <v>35</v>
      </c>
      <c r="B141" s="20" t="s">
        <v>272</v>
      </c>
      <c r="C141" s="32" t="s">
        <v>8</v>
      </c>
      <c r="D141" s="151">
        <v>5412</v>
      </c>
      <c r="E141" s="151">
        <v>5400</v>
      </c>
      <c r="F141" s="151">
        <v>5700</v>
      </c>
      <c r="G141" s="151">
        <v>5691</v>
      </c>
      <c r="H141" s="151">
        <v>5682</v>
      </c>
      <c r="I141" s="151"/>
      <c r="J141" s="151">
        <v>6079</v>
      </c>
      <c r="K141" s="151">
        <v>6027</v>
      </c>
      <c r="L141" s="58">
        <f t="shared" si="24"/>
        <v>99.144596150682673</v>
      </c>
      <c r="M141" s="58" t="str">
        <f t="shared" si="25"/>
        <v/>
      </c>
      <c r="N141" s="3"/>
      <c r="O141" s="81"/>
    </row>
    <row r="142" spans="1:15" ht="21" hidden="1" customHeight="1" outlineLevel="1">
      <c r="A142" s="32" t="s">
        <v>36</v>
      </c>
      <c r="B142" s="20" t="s">
        <v>273</v>
      </c>
      <c r="C142" s="32" t="s">
        <v>8</v>
      </c>
      <c r="D142" s="151">
        <v>3521</v>
      </c>
      <c r="E142" s="151">
        <v>3560</v>
      </c>
      <c r="F142" s="151">
        <v>3570</v>
      </c>
      <c r="G142" s="151">
        <v>3558</v>
      </c>
      <c r="H142" s="151">
        <f>3457+73</f>
        <v>3530</v>
      </c>
      <c r="I142" s="151"/>
      <c r="J142" s="151">
        <v>3653</v>
      </c>
      <c r="K142" s="151">
        <v>3616</v>
      </c>
      <c r="L142" s="58">
        <f t="shared" si="24"/>
        <v>98.987133862578702</v>
      </c>
      <c r="M142" s="58" t="str">
        <f t="shared" si="25"/>
        <v/>
      </c>
      <c r="N142" s="3"/>
    </row>
    <row r="143" spans="1:15" ht="21" hidden="1" customHeight="1" outlineLevel="1">
      <c r="A143" s="32"/>
      <c r="B143" s="62" t="s">
        <v>850</v>
      </c>
      <c r="C143" s="32"/>
      <c r="D143" s="151"/>
      <c r="E143" s="151"/>
      <c r="F143" s="151"/>
      <c r="G143" s="151"/>
      <c r="H143" s="151"/>
      <c r="I143" s="151"/>
      <c r="J143" s="151">
        <v>3593</v>
      </c>
      <c r="K143" s="151"/>
      <c r="L143" s="58"/>
      <c r="M143" s="58"/>
      <c r="N143" s="3"/>
      <c r="O143" s="81"/>
    </row>
    <row r="144" spans="1:15" ht="21" hidden="1" customHeight="1" outlineLevel="1">
      <c r="A144" s="32" t="s">
        <v>53</v>
      </c>
      <c r="B144" s="20" t="s">
        <v>342</v>
      </c>
      <c r="C144" s="32" t="s">
        <v>8</v>
      </c>
      <c r="D144" s="151">
        <v>741</v>
      </c>
      <c r="E144" s="151">
        <v>741</v>
      </c>
      <c r="F144" s="151">
        <v>830</v>
      </c>
      <c r="G144" s="151">
        <v>807</v>
      </c>
      <c r="H144" s="151">
        <v>807</v>
      </c>
      <c r="I144" s="151"/>
      <c r="J144" s="151">
        <v>920</v>
      </c>
      <c r="K144" s="151">
        <v>893</v>
      </c>
      <c r="L144" s="58">
        <f t="shared" ref="L144:L191" si="27">IFERROR(K144/J144%,"")</f>
        <v>97.065217391304358</v>
      </c>
      <c r="M144" s="58" t="str">
        <f t="shared" ref="M144:M191" si="28">IFERROR(K144/I144%,"")</f>
        <v/>
      </c>
      <c r="N144" s="3"/>
      <c r="O144" s="81"/>
    </row>
    <row r="145" spans="1:14" ht="22.5" hidden="1" customHeight="1" outlineLevel="1">
      <c r="A145" s="32"/>
      <c r="B145" s="20" t="s">
        <v>398</v>
      </c>
      <c r="C145" s="32"/>
      <c r="D145" s="13">
        <f t="shared" ref="D145:J145" si="29">SUM(D147:D151)</f>
        <v>37</v>
      </c>
      <c r="E145" s="13">
        <f t="shared" si="29"/>
        <v>38</v>
      </c>
      <c r="F145" s="13">
        <f t="shared" si="29"/>
        <v>38</v>
      </c>
      <c r="G145" s="13">
        <f t="shared" si="29"/>
        <v>38</v>
      </c>
      <c r="H145" s="13">
        <f t="shared" si="29"/>
        <v>38</v>
      </c>
      <c r="I145" s="13"/>
      <c r="J145" s="13">
        <f t="shared" si="29"/>
        <v>38</v>
      </c>
      <c r="K145" s="13"/>
      <c r="L145" s="58">
        <f t="shared" si="27"/>
        <v>0</v>
      </c>
      <c r="M145" s="58" t="str">
        <f t="shared" si="28"/>
        <v/>
      </c>
      <c r="N145" s="3"/>
    </row>
    <row r="146" spans="1:14" ht="22.5" hidden="1" customHeight="1" outlineLevel="1">
      <c r="A146" s="32"/>
      <c r="B146" s="62" t="s">
        <v>341</v>
      </c>
      <c r="C146" s="32"/>
      <c r="D146" s="13"/>
      <c r="E146" s="13"/>
      <c r="F146" s="13"/>
      <c r="G146" s="13"/>
      <c r="H146" s="13"/>
      <c r="I146" s="13"/>
      <c r="J146" s="13"/>
      <c r="K146" s="13"/>
      <c r="L146" s="58" t="str">
        <f t="shared" si="27"/>
        <v/>
      </c>
      <c r="M146" s="58" t="str">
        <f t="shared" si="28"/>
        <v/>
      </c>
      <c r="N146" s="3"/>
    </row>
    <row r="147" spans="1:14" ht="22.5" hidden="1" customHeight="1" outlineLevel="1">
      <c r="A147" s="32"/>
      <c r="B147" s="20" t="s">
        <v>343</v>
      </c>
      <c r="C147" s="32" t="s">
        <v>143</v>
      </c>
      <c r="D147" s="13">
        <v>13</v>
      </c>
      <c r="E147" s="13">
        <v>13</v>
      </c>
      <c r="F147" s="13">
        <f t="shared" ref="F147:H151" si="30">E147</f>
        <v>13</v>
      </c>
      <c r="G147" s="13">
        <f t="shared" si="30"/>
        <v>13</v>
      </c>
      <c r="H147" s="13">
        <f t="shared" si="30"/>
        <v>13</v>
      </c>
      <c r="I147" s="13"/>
      <c r="J147" s="13">
        <f>E147</f>
        <v>13</v>
      </c>
      <c r="K147" s="13"/>
      <c r="L147" s="58">
        <f t="shared" si="27"/>
        <v>0</v>
      </c>
      <c r="M147" s="58" t="str">
        <f t="shared" si="28"/>
        <v/>
      </c>
      <c r="N147" s="3"/>
    </row>
    <row r="148" spans="1:14" ht="22.5" hidden="1" customHeight="1" outlineLevel="1">
      <c r="A148" s="32"/>
      <c r="B148" s="20" t="s">
        <v>344</v>
      </c>
      <c r="C148" s="32" t="s">
        <v>143</v>
      </c>
      <c r="D148" s="13">
        <v>13</v>
      </c>
      <c r="E148" s="13">
        <v>14</v>
      </c>
      <c r="F148" s="13">
        <f t="shared" si="30"/>
        <v>14</v>
      </c>
      <c r="G148" s="13">
        <f t="shared" si="30"/>
        <v>14</v>
      </c>
      <c r="H148" s="13">
        <f t="shared" si="30"/>
        <v>14</v>
      </c>
      <c r="I148" s="13"/>
      <c r="J148" s="13">
        <f>E148</f>
        <v>14</v>
      </c>
      <c r="K148" s="13"/>
      <c r="L148" s="58">
        <f t="shared" si="27"/>
        <v>0</v>
      </c>
      <c r="M148" s="58" t="str">
        <f t="shared" si="28"/>
        <v/>
      </c>
      <c r="N148" s="3"/>
    </row>
    <row r="149" spans="1:14" ht="22.5" hidden="1" customHeight="1" outlineLevel="1">
      <c r="A149" s="32"/>
      <c r="B149" s="20" t="s">
        <v>345</v>
      </c>
      <c r="C149" s="32" t="s">
        <v>143</v>
      </c>
      <c r="D149" s="13">
        <v>9</v>
      </c>
      <c r="E149" s="13">
        <v>9</v>
      </c>
      <c r="F149" s="13">
        <f t="shared" si="30"/>
        <v>9</v>
      </c>
      <c r="G149" s="13">
        <f t="shared" si="30"/>
        <v>9</v>
      </c>
      <c r="H149" s="13">
        <f t="shared" si="30"/>
        <v>9</v>
      </c>
      <c r="I149" s="13"/>
      <c r="J149" s="13">
        <f>E149</f>
        <v>9</v>
      </c>
      <c r="K149" s="13"/>
      <c r="L149" s="58">
        <f t="shared" si="27"/>
        <v>0</v>
      </c>
      <c r="M149" s="58" t="str">
        <f t="shared" si="28"/>
        <v/>
      </c>
      <c r="N149" s="3"/>
    </row>
    <row r="150" spans="1:14" ht="22.5" hidden="1" customHeight="1" outlineLevel="1">
      <c r="A150" s="32"/>
      <c r="B150" s="20" t="s">
        <v>346</v>
      </c>
      <c r="C150" s="32" t="s">
        <v>143</v>
      </c>
      <c r="D150" s="13">
        <v>1</v>
      </c>
      <c r="E150" s="13">
        <v>1</v>
      </c>
      <c r="F150" s="13">
        <f t="shared" si="30"/>
        <v>1</v>
      </c>
      <c r="G150" s="13">
        <f t="shared" si="30"/>
        <v>1</v>
      </c>
      <c r="H150" s="13">
        <f t="shared" si="30"/>
        <v>1</v>
      </c>
      <c r="I150" s="13"/>
      <c r="J150" s="13">
        <f>E150</f>
        <v>1</v>
      </c>
      <c r="K150" s="13"/>
      <c r="L150" s="58">
        <f t="shared" si="27"/>
        <v>0</v>
      </c>
      <c r="M150" s="58" t="str">
        <f t="shared" si="28"/>
        <v/>
      </c>
      <c r="N150" s="3"/>
    </row>
    <row r="151" spans="1:14" ht="22.5" hidden="1" customHeight="1" outlineLevel="1">
      <c r="A151" s="32"/>
      <c r="B151" s="20" t="s">
        <v>347</v>
      </c>
      <c r="C151" s="32" t="s">
        <v>143</v>
      </c>
      <c r="D151" s="13">
        <v>1</v>
      </c>
      <c r="E151" s="13">
        <v>1</v>
      </c>
      <c r="F151" s="13">
        <f t="shared" si="30"/>
        <v>1</v>
      </c>
      <c r="G151" s="13">
        <f t="shared" si="30"/>
        <v>1</v>
      </c>
      <c r="H151" s="13">
        <f t="shared" si="30"/>
        <v>1</v>
      </c>
      <c r="I151" s="13"/>
      <c r="J151" s="13">
        <f>E151</f>
        <v>1</v>
      </c>
      <c r="K151" s="13"/>
      <c r="L151" s="58">
        <f t="shared" si="27"/>
        <v>0</v>
      </c>
      <c r="M151" s="58" t="str">
        <f t="shared" si="28"/>
        <v/>
      </c>
      <c r="N151" s="3"/>
    </row>
    <row r="152" spans="1:14" ht="22.5" hidden="1" customHeight="1" outlineLevel="1">
      <c r="A152" s="32"/>
      <c r="B152" s="20" t="s">
        <v>348</v>
      </c>
      <c r="C152" s="32" t="s">
        <v>143</v>
      </c>
      <c r="D152" s="13">
        <f t="shared" ref="D152:J152" si="31">SUM(D154:D158)</f>
        <v>20</v>
      </c>
      <c r="E152" s="13">
        <f t="shared" si="31"/>
        <v>21</v>
      </c>
      <c r="F152" s="13">
        <f t="shared" si="31"/>
        <v>25</v>
      </c>
      <c r="G152" s="13">
        <f t="shared" si="31"/>
        <v>21</v>
      </c>
      <c r="H152" s="13">
        <f t="shared" si="31"/>
        <v>21</v>
      </c>
      <c r="I152" s="13"/>
      <c r="J152" s="13">
        <f t="shared" si="31"/>
        <v>24</v>
      </c>
      <c r="K152" s="13"/>
      <c r="L152" s="58">
        <f t="shared" si="27"/>
        <v>0</v>
      </c>
      <c r="M152" s="58" t="str">
        <f t="shared" si="28"/>
        <v/>
      </c>
      <c r="N152" s="3"/>
    </row>
    <row r="153" spans="1:14" ht="22.5" hidden="1" customHeight="1" outlineLevel="1">
      <c r="A153" s="32"/>
      <c r="B153" s="62" t="s">
        <v>341</v>
      </c>
      <c r="C153" s="32"/>
      <c r="D153" s="13"/>
      <c r="E153" s="13"/>
      <c r="F153" s="13"/>
      <c r="G153" s="13"/>
      <c r="H153" s="13"/>
      <c r="I153" s="13"/>
      <c r="J153" s="13"/>
      <c r="K153" s="13"/>
      <c r="L153" s="58" t="str">
        <f t="shared" si="27"/>
        <v/>
      </c>
      <c r="M153" s="58" t="str">
        <f t="shared" si="28"/>
        <v/>
      </c>
      <c r="N153" s="3"/>
    </row>
    <row r="154" spans="1:14" ht="22.5" hidden="1" customHeight="1" outlineLevel="1">
      <c r="A154" s="32"/>
      <c r="B154" s="20" t="s">
        <v>343</v>
      </c>
      <c r="C154" s="32" t="s">
        <v>143</v>
      </c>
      <c r="D154" s="13">
        <v>5</v>
      </c>
      <c r="E154" s="13">
        <v>6</v>
      </c>
      <c r="F154" s="13">
        <v>8</v>
      </c>
      <c r="G154" s="13">
        <v>6</v>
      </c>
      <c r="H154" s="13">
        <v>6</v>
      </c>
      <c r="I154" s="13"/>
      <c r="J154" s="13">
        <v>7</v>
      </c>
      <c r="K154" s="13"/>
      <c r="L154" s="58">
        <f t="shared" si="27"/>
        <v>0</v>
      </c>
      <c r="M154" s="58" t="str">
        <f t="shared" si="28"/>
        <v/>
      </c>
      <c r="N154" s="3"/>
    </row>
    <row r="155" spans="1:14" ht="22.5" hidden="1" customHeight="1" outlineLevel="1">
      <c r="A155" s="32"/>
      <c r="B155" s="20" t="s">
        <v>344</v>
      </c>
      <c r="C155" s="32" t="s">
        <v>143</v>
      </c>
      <c r="D155" s="13">
        <v>9</v>
      </c>
      <c r="E155" s="13">
        <v>9</v>
      </c>
      <c r="F155" s="13">
        <v>10</v>
      </c>
      <c r="G155" s="13">
        <v>9</v>
      </c>
      <c r="H155" s="13">
        <v>9</v>
      </c>
      <c r="I155" s="13"/>
      <c r="J155" s="13">
        <v>10</v>
      </c>
      <c r="K155" s="13"/>
      <c r="L155" s="58">
        <f t="shared" si="27"/>
        <v>0</v>
      </c>
      <c r="M155" s="58" t="str">
        <f t="shared" si="28"/>
        <v/>
      </c>
      <c r="N155" s="3"/>
    </row>
    <row r="156" spans="1:14" ht="22.5" hidden="1" customHeight="1" outlineLevel="1">
      <c r="A156" s="32"/>
      <c r="B156" s="20" t="s">
        <v>345</v>
      </c>
      <c r="C156" s="32" t="s">
        <v>143</v>
      </c>
      <c r="D156" s="13">
        <v>4</v>
      </c>
      <c r="E156" s="13">
        <v>4</v>
      </c>
      <c r="F156" s="13">
        <v>5</v>
      </c>
      <c r="G156" s="13">
        <v>4</v>
      </c>
      <c r="H156" s="13">
        <v>4</v>
      </c>
      <c r="I156" s="13"/>
      <c r="J156" s="13">
        <v>5</v>
      </c>
      <c r="K156" s="13"/>
      <c r="L156" s="58">
        <f t="shared" si="27"/>
        <v>0</v>
      </c>
      <c r="M156" s="58" t="str">
        <f t="shared" si="28"/>
        <v/>
      </c>
      <c r="N156" s="3"/>
    </row>
    <row r="157" spans="1:14" ht="22.5" hidden="1" customHeight="1" outlineLevel="1">
      <c r="A157" s="32"/>
      <c r="B157" s="20" t="s">
        <v>346</v>
      </c>
      <c r="C157" s="32" t="s">
        <v>143</v>
      </c>
      <c r="D157" s="13">
        <v>1</v>
      </c>
      <c r="E157" s="13">
        <v>1</v>
      </c>
      <c r="F157" s="13">
        <v>1</v>
      </c>
      <c r="G157" s="13">
        <v>1</v>
      </c>
      <c r="H157" s="13">
        <v>1</v>
      </c>
      <c r="I157" s="13"/>
      <c r="J157" s="13">
        <v>1</v>
      </c>
      <c r="K157" s="13"/>
      <c r="L157" s="58">
        <f t="shared" si="27"/>
        <v>0</v>
      </c>
      <c r="M157" s="58" t="str">
        <f t="shared" si="28"/>
        <v/>
      </c>
      <c r="N157" s="3"/>
    </row>
    <row r="158" spans="1:14" ht="22.5" hidden="1" customHeight="1" outlineLevel="1">
      <c r="A158" s="32"/>
      <c r="B158" s="20" t="s">
        <v>347</v>
      </c>
      <c r="C158" s="32" t="s">
        <v>143</v>
      </c>
      <c r="D158" s="13">
        <v>1</v>
      </c>
      <c r="E158" s="13">
        <v>1</v>
      </c>
      <c r="F158" s="13">
        <v>1</v>
      </c>
      <c r="G158" s="13">
        <v>1</v>
      </c>
      <c r="H158" s="13">
        <v>1</v>
      </c>
      <c r="I158" s="13"/>
      <c r="J158" s="13">
        <v>1</v>
      </c>
      <c r="K158" s="13"/>
      <c r="L158" s="58">
        <f t="shared" si="27"/>
        <v>0</v>
      </c>
      <c r="M158" s="58" t="str">
        <f t="shared" si="28"/>
        <v/>
      </c>
      <c r="N158" s="3"/>
    </row>
    <row r="159" spans="1:14" ht="22.5" customHeight="1" collapsed="1">
      <c r="A159" s="32">
        <v>2</v>
      </c>
      <c r="B159" s="20" t="s">
        <v>144</v>
      </c>
      <c r="C159" s="32" t="s">
        <v>33</v>
      </c>
      <c r="D159" s="74">
        <f t="shared" ref="D159:J159" si="32">D152/D145%</f>
        <v>54.054054054054056</v>
      </c>
      <c r="E159" s="55">
        <f t="shared" si="32"/>
        <v>55.263157894736842</v>
      </c>
      <c r="F159" s="55">
        <f t="shared" si="32"/>
        <v>65.78947368421052</v>
      </c>
      <c r="G159" s="55">
        <f t="shared" si="32"/>
        <v>55.263157894736842</v>
      </c>
      <c r="H159" s="55">
        <f t="shared" si="32"/>
        <v>55.263157894736842</v>
      </c>
      <c r="I159" s="55">
        <f>QI.2018!H168</f>
        <v>44.444444444444443</v>
      </c>
      <c r="J159" s="55">
        <f t="shared" si="32"/>
        <v>63.157894736842103</v>
      </c>
      <c r="K159" s="55">
        <f>H159</f>
        <v>55.263157894736842</v>
      </c>
      <c r="L159" s="58">
        <f t="shared" si="27"/>
        <v>87.5</v>
      </c>
      <c r="M159" s="58">
        <f t="shared" si="28"/>
        <v>124.3421052631579</v>
      </c>
      <c r="N159" s="3"/>
    </row>
    <row r="160" spans="1:14" ht="22.5" hidden="1" customHeight="1" outlineLevel="1">
      <c r="A160" s="32"/>
      <c r="B160" s="62" t="s">
        <v>341</v>
      </c>
      <c r="C160" s="32"/>
      <c r="D160" s="55"/>
      <c r="E160" s="55"/>
      <c r="F160" s="55"/>
      <c r="G160" s="55"/>
      <c r="H160" s="55"/>
      <c r="I160" s="55"/>
      <c r="J160" s="55"/>
      <c r="K160" s="55"/>
      <c r="L160" s="58" t="str">
        <f t="shared" si="27"/>
        <v/>
      </c>
      <c r="M160" s="58" t="str">
        <f t="shared" si="28"/>
        <v/>
      </c>
      <c r="N160" s="3"/>
    </row>
    <row r="161" spans="1:14" ht="22.5" hidden="1" customHeight="1" outlineLevel="1">
      <c r="A161" s="32"/>
      <c r="B161" s="20" t="s">
        <v>343</v>
      </c>
      <c r="C161" s="32" t="s">
        <v>33</v>
      </c>
      <c r="D161" s="55">
        <f t="shared" ref="D161:J165" si="33">D154/D147%</f>
        <v>38.46153846153846</v>
      </c>
      <c r="E161" s="55">
        <f t="shared" si="33"/>
        <v>46.153846153846153</v>
      </c>
      <c r="F161" s="55">
        <f t="shared" si="33"/>
        <v>61.538461538461533</v>
      </c>
      <c r="G161" s="55">
        <f t="shared" si="33"/>
        <v>46.153846153846153</v>
      </c>
      <c r="H161" s="55">
        <f t="shared" si="33"/>
        <v>46.153846153846153</v>
      </c>
      <c r="I161" s="55"/>
      <c r="J161" s="55">
        <f t="shared" si="33"/>
        <v>53.846153846153847</v>
      </c>
      <c r="K161" s="55"/>
      <c r="L161" s="58">
        <f t="shared" si="27"/>
        <v>0</v>
      </c>
      <c r="M161" s="58" t="str">
        <f t="shared" si="28"/>
        <v/>
      </c>
      <c r="N161" s="3"/>
    </row>
    <row r="162" spans="1:14" ht="22.5" hidden="1" customHeight="1" outlineLevel="1">
      <c r="A162" s="32"/>
      <c r="B162" s="20" t="s">
        <v>344</v>
      </c>
      <c r="C162" s="32" t="s">
        <v>33</v>
      </c>
      <c r="D162" s="55">
        <f t="shared" si="33"/>
        <v>69.230769230769226</v>
      </c>
      <c r="E162" s="55">
        <f t="shared" si="33"/>
        <v>64.285714285714278</v>
      </c>
      <c r="F162" s="55">
        <f t="shared" si="33"/>
        <v>71.428571428571416</v>
      </c>
      <c r="G162" s="55">
        <f t="shared" si="33"/>
        <v>64.285714285714278</v>
      </c>
      <c r="H162" s="55">
        <f t="shared" si="33"/>
        <v>64.285714285714278</v>
      </c>
      <c r="I162" s="55"/>
      <c r="J162" s="55">
        <f t="shared" si="33"/>
        <v>71.428571428571416</v>
      </c>
      <c r="K162" s="55"/>
      <c r="L162" s="58">
        <f t="shared" si="27"/>
        <v>0</v>
      </c>
      <c r="M162" s="58" t="str">
        <f t="shared" si="28"/>
        <v/>
      </c>
      <c r="N162" s="3"/>
    </row>
    <row r="163" spans="1:14" ht="22.5" hidden="1" customHeight="1" outlineLevel="1">
      <c r="A163" s="32"/>
      <c r="B163" s="20" t="s">
        <v>345</v>
      </c>
      <c r="C163" s="32" t="s">
        <v>33</v>
      </c>
      <c r="D163" s="55">
        <f t="shared" si="33"/>
        <v>44.444444444444443</v>
      </c>
      <c r="E163" s="55">
        <f t="shared" si="33"/>
        <v>44.444444444444443</v>
      </c>
      <c r="F163" s="55">
        <f t="shared" si="33"/>
        <v>55.555555555555557</v>
      </c>
      <c r="G163" s="55">
        <f t="shared" si="33"/>
        <v>44.444444444444443</v>
      </c>
      <c r="H163" s="55">
        <f t="shared" si="33"/>
        <v>44.444444444444443</v>
      </c>
      <c r="I163" s="55"/>
      <c r="J163" s="55">
        <f t="shared" si="33"/>
        <v>55.555555555555557</v>
      </c>
      <c r="K163" s="55"/>
      <c r="L163" s="58">
        <f t="shared" si="27"/>
        <v>0</v>
      </c>
      <c r="M163" s="58" t="str">
        <f t="shared" si="28"/>
        <v/>
      </c>
      <c r="N163" s="3"/>
    </row>
    <row r="164" spans="1:14" ht="22.5" hidden="1" customHeight="1" outlineLevel="1">
      <c r="A164" s="32"/>
      <c r="B164" s="20" t="s">
        <v>346</v>
      </c>
      <c r="C164" s="32" t="s">
        <v>33</v>
      </c>
      <c r="D164" s="55">
        <f t="shared" si="33"/>
        <v>100</v>
      </c>
      <c r="E164" s="55">
        <f t="shared" si="33"/>
        <v>100</v>
      </c>
      <c r="F164" s="55">
        <f t="shared" si="33"/>
        <v>100</v>
      </c>
      <c r="G164" s="55">
        <f t="shared" si="33"/>
        <v>100</v>
      </c>
      <c r="H164" s="55">
        <f t="shared" si="33"/>
        <v>100</v>
      </c>
      <c r="I164" s="55"/>
      <c r="J164" s="55">
        <f t="shared" si="33"/>
        <v>100</v>
      </c>
      <c r="K164" s="55"/>
      <c r="L164" s="58">
        <f t="shared" si="27"/>
        <v>0</v>
      </c>
      <c r="M164" s="58" t="str">
        <f t="shared" si="28"/>
        <v/>
      </c>
      <c r="N164" s="3"/>
    </row>
    <row r="165" spans="1:14" ht="22.5" hidden="1" customHeight="1" outlineLevel="1">
      <c r="A165" s="32"/>
      <c r="B165" s="20" t="s">
        <v>347</v>
      </c>
      <c r="C165" s="32" t="s">
        <v>33</v>
      </c>
      <c r="D165" s="55">
        <f t="shared" si="33"/>
        <v>100</v>
      </c>
      <c r="E165" s="55">
        <f t="shared" si="33"/>
        <v>100</v>
      </c>
      <c r="F165" s="55">
        <f t="shared" si="33"/>
        <v>100</v>
      </c>
      <c r="G165" s="55">
        <f t="shared" si="33"/>
        <v>100</v>
      </c>
      <c r="H165" s="55">
        <f t="shared" si="33"/>
        <v>100</v>
      </c>
      <c r="I165" s="55"/>
      <c r="J165" s="55">
        <f t="shared" si="33"/>
        <v>100</v>
      </c>
      <c r="K165" s="55"/>
      <c r="L165" s="58">
        <f t="shared" si="27"/>
        <v>0</v>
      </c>
      <c r="M165" s="58" t="str">
        <f t="shared" si="28"/>
        <v/>
      </c>
      <c r="N165" s="3"/>
    </row>
    <row r="166" spans="1:14" ht="22.5" hidden="1" customHeight="1" outlineLevel="1" collapsed="1">
      <c r="A166" s="32">
        <v>3</v>
      </c>
      <c r="B166" s="48" t="s">
        <v>390</v>
      </c>
      <c r="C166" s="32"/>
      <c r="D166" s="13"/>
      <c r="E166" s="13"/>
      <c r="F166" s="13"/>
      <c r="G166" s="13"/>
      <c r="H166" s="13"/>
      <c r="I166" s="13"/>
      <c r="J166" s="13"/>
      <c r="K166" s="13"/>
      <c r="L166" s="58" t="str">
        <f t="shared" si="27"/>
        <v/>
      </c>
      <c r="M166" s="58" t="str">
        <f t="shared" si="28"/>
        <v/>
      </c>
      <c r="N166" s="3"/>
    </row>
    <row r="167" spans="1:14" ht="22.5" hidden="1" customHeight="1" outlineLevel="1">
      <c r="A167" s="73" t="s">
        <v>34</v>
      </c>
      <c r="B167" s="68" t="s">
        <v>188</v>
      </c>
      <c r="C167" s="32" t="s">
        <v>33</v>
      </c>
      <c r="D167" s="153"/>
      <c r="E167" s="153"/>
      <c r="F167" s="153"/>
      <c r="G167" s="153"/>
      <c r="H167" s="153"/>
      <c r="I167" s="153"/>
      <c r="J167" s="153"/>
      <c r="K167" s="153"/>
      <c r="L167" s="58" t="str">
        <f t="shared" si="27"/>
        <v/>
      </c>
      <c r="M167" s="58" t="str">
        <f t="shared" si="28"/>
        <v/>
      </c>
      <c r="N167" s="3"/>
    </row>
    <row r="168" spans="1:14" ht="22.5" hidden="1" customHeight="1" outlineLevel="1">
      <c r="A168" s="73"/>
      <c r="B168" s="70" t="s">
        <v>189</v>
      </c>
      <c r="C168" s="32" t="s">
        <v>33</v>
      </c>
      <c r="D168" s="153">
        <v>11.7</v>
      </c>
      <c r="E168" s="153">
        <v>12.1</v>
      </c>
      <c r="F168" s="153">
        <v>12.5</v>
      </c>
      <c r="G168" s="153">
        <v>17.34</v>
      </c>
      <c r="H168" s="153">
        <v>17.34</v>
      </c>
      <c r="I168" s="153"/>
      <c r="J168" s="153">
        <v>17.5</v>
      </c>
      <c r="K168" s="153"/>
      <c r="L168" s="58">
        <f t="shared" si="27"/>
        <v>0</v>
      </c>
      <c r="M168" s="58" t="str">
        <f t="shared" si="28"/>
        <v/>
      </c>
      <c r="N168" s="3"/>
    </row>
    <row r="169" spans="1:14" ht="22.5" hidden="1" customHeight="1" outlineLevel="1">
      <c r="A169" s="73"/>
      <c r="B169" s="70" t="s">
        <v>190</v>
      </c>
      <c r="C169" s="32" t="s">
        <v>33</v>
      </c>
      <c r="D169" s="153">
        <v>97.9</v>
      </c>
      <c r="E169" s="153">
        <v>97.2</v>
      </c>
      <c r="F169" s="153">
        <v>98</v>
      </c>
      <c r="G169" s="153">
        <v>97.6</v>
      </c>
      <c r="H169" s="153">
        <v>97.6</v>
      </c>
      <c r="I169" s="153"/>
      <c r="J169" s="153">
        <v>98</v>
      </c>
      <c r="K169" s="153"/>
      <c r="L169" s="58">
        <f t="shared" si="27"/>
        <v>0</v>
      </c>
      <c r="M169" s="58" t="str">
        <f t="shared" si="28"/>
        <v/>
      </c>
      <c r="N169" s="3"/>
    </row>
    <row r="170" spans="1:14" ht="22.5" hidden="1" customHeight="1" outlineLevel="1">
      <c r="A170" s="73" t="s">
        <v>35</v>
      </c>
      <c r="B170" s="68" t="s">
        <v>272</v>
      </c>
      <c r="C170" s="32" t="s">
        <v>33</v>
      </c>
      <c r="D170" s="153">
        <v>99.9</v>
      </c>
      <c r="E170" s="153">
        <v>100</v>
      </c>
      <c r="F170" s="153">
        <v>100</v>
      </c>
      <c r="G170" s="153">
        <v>100</v>
      </c>
      <c r="H170" s="153">
        <v>100</v>
      </c>
      <c r="I170" s="153"/>
      <c r="J170" s="153">
        <v>100</v>
      </c>
      <c r="K170" s="153"/>
      <c r="L170" s="58">
        <f t="shared" si="27"/>
        <v>0</v>
      </c>
      <c r="M170" s="58" t="str">
        <f t="shared" si="28"/>
        <v/>
      </c>
      <c r="N170" s="3"/>
    </row>
    <row r="171" spans="1:14" ht="22.5" hidden="1" customHeight="1" outlineLevel="1">
      <c r="A171" s="73" t="s">
        <v>36</v>
      </c>
      <c r="B171" s="68" t="s">
        <v>391</v>
      </c>
      <c r="C171" s="32" t="s">
        <v>33</v>
      </c>
      <c r="D171" s="153">
        <v>96.2</v>
      </c>
      <c r="E171" s="153">
        <v>99.8</v>
      </c>
      <c r="F171" s="153">
        <v>100</v>
      </c>
      <c r="G171" s="153">
        <v>99.8</v>
      </c>
      <c r="H171" s="153">
        <v>99.9</v>
      </c>
      <c r="I171" s="153"/>
      <c r="J171" s="153">
        <v>99.9</v>
      </c>
      <c r="K171" s="153"/>
      <c r="L171" s="58">
        <f t="shared" si="27"/>
        <v>0</v>
      </c>
      <c r="M171" s="58" t="str">
        <f t="shared" si="28"/>
        <v/>
      </c>
      <c r="N171" s="3"/>
    </row>
    <row r="172" spans="1:14" ht="22.5" customHeight="1" collapsed="1">
      <c r="A172" s="11" t="s">
        <v>50</v>
      </c>
      <c r="B172" s="15" t="s">
        <v>350</v>
      </c>
      <c r="C172" s="32"/>
      <c r="D172" s="13"/>
      <c r="E172" s="13"/>
      <c r="F172" s="13"/>
      <c r="G172" s="13"/>
      <c r="H172" s="13"/>
      <c r="I172" s="13"/>
      <c r="J172" s="13"/>
      <c r="K172" s="13"/>
      <c r="L172" s="66" t="str">
        <f t="shared" si="27"/>
        <v/>
      </c>
      <c r="M172" s="66" t="str">
        <f t="shared" si="28"/>
        <v/>
      </c>
      <c r="N172" s="3"/>
    </row>
    <row r="173" spans="1:14" ht="22.5" customHeight="1">
      <c r="A173" s="32">
        <v>1</v>
      </c>
      <c r="B173" s="20" t="s">
        <v>351</v>
      </c>
      <c r="C173" s="32" t="s">
        <v>145</v>
      </c>
      <c r="D173" s="13">
        <f>D174+D175</f>
        <v>130</v>
      </c>
      <c r="E173" s="13">
        <f t="shared" ref="E173:J173" si="34">E174+E175</f>
        <v>130</v>
      </c>
      <c r="F173" s="13">
        <f t="shared" si="34"/>
        <v>130</v>
      </c>
      <c r="G173" s="13">
        <f t="shared" si="34"/>
        <v>130</v>
      </c>
      <c r="H173" s="13">
        <f t="shared" si="34"/>
        <v>130</v>
      </c>
      <c r="I173" s="13">
        <v>135</v>
      </c>
      <c r="J173" s="13">
        <f t="shared" si="34"/>
        <v>175</v>
      </c>
      <c r="K173" s="13">
        <v>135</v>
      </c>
      <c r="L173" s="58">
        <f t="shared" si="27"/>
        <v>77.142857142857139</v>
      </c>
      <c r="M173" s="58">
        <f t="shared" si="28"/>
        <v>100</v>
      </c>
      <c r="N173" s="3"/>
    </row>
    <row r="174" spans="1:14" ht="22.5" hidden="1" customHeight="1" outlineLevel="1">
      <c r="A174" s="32"/>
      <c r="B174" s="20" t="s">
        <v>851</v>
      </c>
      <c r="C174" s="32" t="s">
        <v>145</v>
      </c>
      <c r="D174" s="13">
        <v>85</v>
      </c>
      <c r="E174" s="13">
        <v>85</v>
      </c>
      <c r="F174" s="13">
        <v>85</v>
      </c>
      <c r="G174" s="13">
        <v>85</v>
      </c>
      <c r="H174" s="13">
        <v>85</v>
      </c>
      <c r="I174" s="13"/>
      <c r="J174" s="13">
        <v>130</v>
      </c>
      <c r="K174" s="13"/>
      <c r="L174" s="58">
        <f t="shared" si="27"/>
        <v>0</v>
      </c>
      <c r="M174" s="58" t="str">
        <f t="shared" si="28"/>
        <v/>
      </c>
      <c r="N174" s="3"/>
    </row>
    <row r="175" spans="1:14" ht="22.5" hidden="1" customHeight="1" outlineLevel="1">
      <c r="A175" s="32"/>
      <c r="B175" s="20" t="s">
        <v>852</v>
      </c>
      <c r="C175" s="32" t="s">
        <v>145</v>
      </c>
      <c r="D175" s="13">
        <v>45</v>
      </c>
      <c r="E175" s="13">
        <v>45</v>
      </c>
      <c r="F175" s="13">
        <v>45</v>
      </c>
      <c r="G175" s="13">
        <v>45</v>
      </c>
      <c r="H175" s="13">
        <v>45</v>
      </c>
      <c r="I175" s="13"/>
      <c r="J175" s="13">
        <v>45</v>
      </c>
      <c r="K175" s="13"/>
      <c r="L175" s="58">
        <f t="shared" si="27"/>
        <v>0</v>
      </c>
      <c r="M175" s="58" t="str">
        <f t="shared" si="28"/>
        <v/>
      </c>
      <c r="N175" s="3"/>
    </row>
    <row r="176" spans="1:14" ht="24" customHeight="1" collapsed="1">
      <c r="A176" s="32">
        <v>2</v>
      </c>
      <c r="B176" s="20" t="s">
        <v>451</v>
      </c>
      <c r="C176" s="32" t="s">
        <v>349</v>
      </c>
      <c r="D176" s="13">
        <v>2</v>
      </c>
      <c r="E176" s="13">
        <v>4</v>
      </c>
      <c r="F176" s="13">
        <v>7</v>
      </c>
      <c r="G176" s="13">
        <v>4</v>
      </c>
      <c r="H176" s="13">
        <v>7</v>
      </c>
      <c r="I176" s="13">
        <v>4</v>
      </c>
      <c r="J176" s="13">
        <v>7</v>
      </c>
      <c r="K176" s="13">
        <v>4</v>
      </c>
      <c r="L176" s="58">
        <f t="shared" si="27"/>
        <v>57.142857142857139</v>
      </c>
      <c r="M176" s="58">
        <f t="shared" si="28"/>
        <v>100</v>
      </c>
      <c r="N176" s="3"/>
    </row>
    <row r="177" spans="1:15" ht="21" customHeight="1">
      <c r="A177" s="32"/>
      <c r="B177" s="47" t="s">
        <v>452</v>
      </c>
      <c r="C177" s="32" t="s">
        <v>33</v>
      </c>
      <c r="D177" s="55">
        <f t="shared" ref="D177:K177" si="35">D176/9%</f>
        <v>22.222222222222221</v>
      </c>
      <c r="E177" s="55">
        <f t="shared" si="35"/>
        <v>44.444444444444443</v>
      </c>
      <c r="F177" s="55">
        <f t="shared" si="35"/>
        <v>77.777777777777786</v>
      </c>
      <c r="G177" s="55">
        <f t="shared" si="35"/>
        <v>44.444444444444443</v>
      </c>
      <c r="H177" s="55">
        <f t="shared" si="35"/>
        <v>77.777777777777786</v>
      </c>
      <c r="I177" s="55">
        <f t="shared" si="35"/>
        <v>44.444444444444443</v>
      </c>
      <c r="J177" s="55">
        <f t="shared" si="35"/>
        <v>77.777777777777786</v>
      </c>
      <c r="K177" s="55">
        <f t="shared" si="35"/>
        <v>44.444444444444443</v>
      </c>
      <c r="L177" s="58">
        <f t="shared" si="27"/>
        <v>57.142857142857132</v>
      </c>
      <c r="M177" s="58">
        <f t="shared" si="28"/>
        <v>100</v>
      </c>
      <c r="N177" s="3"/>
    </row>
    <row r="178" spans="1:15" ht="21.75" hidden="1" customHeight="1" outlineLevel="1">
      <c r="A178" s="32">
        <v>3</v>
      </c>
      <c r="B178" s="46" t="s">
        <v>187</v>
      </c>
      <c r="C178" s="32" t="s">
        <v>33</v>
      </c>
      <c r="D178" s="55">
        <v>83.5</v>
      </c>
      <c r="E178" s="55">
        <v>85</v>
      </c>
      <c r="F178" s="55">
        <v>90</v>
      </c>
      <c r="G178" s="55"/>
      <c r="H178" s="55">
        <v>86</v>
      </c>
      <c r="I178" s="55"/>
      <c r="J178" s="55">
        <v>91</v>
      </c>
      <c r="K178" s="55"/>
      <c r="L178" s="58">
        <f t="shared" si="27"/>
        <v>0</v>
      </c>
      <c r="M178" s="58" t="str">
        <f t="shared" si="28"/>
        <v/>
      </c>
      <c r="N178" s="3"/>
    </row>
    <row r="179" spans="1:15" ht="31.5" hidden="1" outlineLevel="1">
      <c r="A179" s="32">
        <v>4</v>
      </c>
      <c r="B179" s="46" t="s">
        <v>412</v>
      </c>
      <c r="C179" s="32" t="s">
        <v>33</v>
      </c>
      <c r="D179" s="74">
        <v>33.1</v>
      </c>
      <c r="E179" s="55">
        <v>31.8</v>
      </c>
      <c r="F179" s="55">
        <v>31.3</v>
      </c>
      <c r="G179" s="55"/>
      <c r="H179" s="55">
        <f>F179</f>
        <v>31.3</v>
      </c>
      <c r="I179" s="55"/>
      <c r="J179" s="55">
        <v>31</v>
      </c>
      <c r="K179" s="55"/>
      <c r="L179" s="58">
        <f t="shared" si="27"/>
        <v>0</v>
      </c>
      <c r="M179" s="58" t="str">
        <f t="shared" si="28"/>
        <v/>
      </c>
      <c r="N179" s="3"/>
    </row>
    <row r="180" spans="1:15" ht="31.5" hidden="1" outlineLevel="1">
      <c r="A180" s="32">
        <v>5</v>
      </c>
      <c r="B180" s="46" t="s">
        <v>413</v>
      </c>
      <c r="C180" s="32" t="s">
        <v>33</v>
      </c>
      <c r="D180" s="74">
        <v>20.6</v>
      </c>
      <c r="E180" s="55">
        <v>20</v>
      </c>
      <c r="F180" s="55">
        <v>19.5</v>
      </c>
      <c r="G180" s="55"/>
      <c r="H180" s="55">
        <f>F180</f>
        <v>19.5</v>
      </c>
      <c r="I180" s="55"/>
      <c r="J180" s="55">
        <v>19</v>
      </c>
      <c r="K180" s="55"/>
      <c r="L180" s="58">
        <f t="shared" si="27"/>
        <v>0</v>
      </c>
      <c r="M180" s="58" t="str">
        <f t="shared" si="28"/>
        <v/>
      </c>
      <c r="N180" s="3"/>
    </row>
    <row r="181" spans="1:15" ht="31.5" collapsed="1">
      <c r="A181" s="11" t="s">
        <v>51</v>
      </c>
      <c r="B181" s="142" t="s">
        <v>192</v>
      </c>
      <c r="C181" s="12"/>
      <c r="D181" s="13"/>
      <c r="E181" s="13"/>
      <c r="F181" s="13"/>
      <c r="G181" s="13"/>
      <c r="H181" s="13"/>
      <c r="I181" s="13"/>
      <c r="J181" s="13"/>
      <c r="K181" s="13"/>
      <c r="L181" s="66" t="str">
        <f t="shared" si="27"/>
        <v/>
      </c>
      <c r="M181" s="66" t="str">
        <f t="shared" si="28"/>
        <v/>
      </c>
      <c r="N181" s="3"/>
    </row>
    <row r="182" spans="1:15" ht="22.5" customHeight="1">
      <c r="A182" s="11">
        <v>1</v>
      </c>
      <c r="B182" s="63" t="s">
        <v>193</v>
      </c>
      <c r="C182" s="12"/>
      <c r="D182" s="13"/>
      <c r="E182" s="13"/>
      <c r="F182" s="13"/>
      <c r="G182" s="13"/>
      <c r="H182" s="13"/>
      <c r="I182" s="13"/>
      <c r="J182" s="13"/>
      <c r="K182" s="13"/>
      <c r="L182" s="66" t="str">
        <f t="shared" si="27"/>
        <v/>
      </c>
      <c r="M182" s="66" t="str">
        <f t="shared" si="28"/>
        <v/>
      </c>
      <c r="N182" s="3"/>
    </row>
    <row r="183" spans="1:15" ht="22.5" customHeight="1">
      <c r="A183" s="19"/>
      <c r="B183" s="48" t="s">
        <v>194</v>
      </c>
      <c r="C183" s="21" t="s">
        <v>16</v>
      </c>
      <c r="D183" s="59">
        <v>1560</v>
      </c>
      <c r="E183" s="59">
        <v>1560</v>
      </c>
      <c r="F183" s="59">
        <f>E183</f>
        <v>1560</v>
      </c>
      <c r="G183" s="59">
        <v>1248</v>
      </c>
      <c r="H183" s="59">
        <f>F183</f>
        <v>1560</v>
      </c>
      <c r="I183" s="59"/>
      <c r="J183" s="59">
        <f>H183</f>
        <v>1560</v>
      </c>
      <c r="K183" s="59"/>
      <c r="L183" s="58">
        <f t="shared" si="27"/>
        <v>0</v>
      </c>
      <c r="M183" s="58" t="str">
        <f t="shared" si="28"/>
        <v/>
      </c>
      <c r="N183" s="3"/>
    </row>
    <row r="184" spans="1:15" ht="22.5" customHeight="1">
      <c r="A184" s="19"/>
      <c r="B184" s="48" t="s">
        <v>195</v>
      </c>
      <c r="C184" s="21" t="s">
        <v>16</v>
      </c>
      <c r="D184" s="59">
        <v>21800</v>
      </c>
      <c r="E184" s="59">
        <v>21800</v>
      </c>
      <c r="F184" s="59">
        <f>E184</f>
        <v>21800</v>
      </c>
      <c r="G184" s="59">
        <v>16320</v>
      </c>
      <c r="H184" s="59">
        <f>F184</f>
        <v>21800</v>
      </c>
      <c r="I184" s="59"/>
      <c r="J184" s="59">
        <f>H184</f>
        <v>21800</v>
      </c>
      <c r="K184" s="59"/>
      <c r="L184" s="58">
        <f t="shared" si="27"/>
        <v>0</v>
      </c>
      <c r="M184" s="58" t="str">
        <f t="shared" si="28"/>
        <v/>
      </c>
      <c r="N184" s="3"/>
      <c r="O184" s="77"/>
    </row>
    <row r="185" spans="1:15" ht="22.5" hidden="1" customHeight="1" outlineLevel="1">
      <c r="A185" s="11">
        <v>2</v>
      </c>
      <c r="B185" s="63" t="s">
        <v>196</v>
      </c>
      <c r="C185" s="21"/>
      <c r="D185" s="59"/>
      <c r="E185" s="59"/>
      <c r="F185" s="59"/>
      <c r="G185" s="59"/>
      <c r="H185" s="59"/>
      <c r="I185" s="59"/>
      <c r="J185" s="59"/>
      <c r="K185" s="59"/>
      <c r="L185" s="66" t="str">
        <f t="shared" si="27"/>
        <v/>
      </c>
      <c r="M185" s="66" t="str">
        <f t="shared" si="28"/>
        <v/>
      </c>
      <c r="N185" s="3"/>
    </row>
    <row r="186" spans="1:15" ht="22.5" hidden="1" customHeight="1" outlineLevel="2">
      <c r="A186" s="32"/>
      <c r="B186" s="48" t="s">
        <v>198</v>
      </c>
      <c r="C186" s="21" t="s">
        <v>199</v>
      </c>
      <c r="D186" s="59">
        <v>9233</v>
      </c>
      <c r="E186" s="59">
        <f>E121*E187%</f>
        <v>9781.42</v>
      </c>
      <c r="F186" s="59">
        <f>F121*F187%</f>
        <v>10744.2</v>
      </c>
      <c r="G186" s="59">
        <f>G121*G187%</f>
        <v>0</v>
      </c>
      <c r="H186" s="59">
        <f>H121*H187%</f>
        <v>10215</v>
      </c>
      <c r="I186" s="59"/>
      <c r="J186" s="59">
        <f>J121*J187%</f>
        <v>10485</v>
      </c>
      <c r="K186" s="59"/>
      <c r="L186" s="58">
        <f t="shared" si="27"/>
        <v>0</v>
      </c>
      <c r="M186" s="58" t="str">
        <f t="shared" si="28"/>
        <v/>
      </c>
      <c r="N186" s="3"/>
    </row>
    <row r="187" spans="1:15" ht="22.5" hidden="1" customHeight="1" outlineLevel="1" collapsed="1">
      <c r="A187" s="32" t="s">
        <v>197</v>
      </c>
      <c r="B187" s="48" t="s">
        <v>200</v>
      </c>
      <c r="C187" s="41" t="s">
        <v>33</v>
      </c>
      <c r="D187" s="59">
        <v>85.6</v>
      </c>
      <c r="E187" s="58">
        <v>86.5</v>
      </c>
      <c r="F187" s="58">
        <v>90</v>
      </c>
      <c r="G187" s="58"/>
      <c r="H187" s="58">
        <f>F187</f>
        <v>90</v>
      </c>
      <c r="I187" s="58"/>
      <c r="J187" s="58">
        <v>90</v>
      </c>
      <c r="K187" s="58"/>
      <c r="L187" s="58">
        <f t="shared" si="27"/>
        <v>0</v>
      </c>
      <c r="M187" s="58" t="str">
        <f t="shared" si="28"/>
        <v/>
      </c>
      <c r="N187" s="3"/>
    </row>
    <row r="188" spans="1:15" ht="22.5" hidden="1" customHeight="1" outlineLevel="2">
      <c r="A188" s="32"/>
      <c r="B188" s="48" t="s">
        <v>202</v>
      </c>
      <c r="C188" s="21" t="s">
        <v>203</v>
      </c>
      <c r="D188" s="59">
        <v>58</v>
      </c>
      <c r="E188" s="58">
        <f>67*E189%</f>
        <v>57.954999999999998</v>
      </c>
      <c r="F188" s="58">
        <f>67*F189%</f>
        <v>60.97</v>
      </c>
      <c r="G188" s="58">
        <f>67*G189%</f>
        <v>0</v>
      </c>
      <c r="H188" s="58">
        <f>67*H189%</f>
        <v>60.97</v>
      </c>
      <c r="I188" s="58"/>
      <c r="J188" s="59">
        <v>61</v>
      </c>
      <c r="K188" s="59"/>
      <c r="L188" s="58">
        <f t="shared" si="27"/>
        <v>0</v>
      </c>
      <c r="M188" s="58" t="str">
        <f t="shared" si="28"/>
        <v/>
      </c>
      <c r="N188" s="3"/>
    </row>
    <row r="189" spans="1:15" ht="22.5" hidden="1" customHeight="1" outlineLevel="1" collapsed="1">
      <c r="A189" s="32" t="s">
        <v>201</v>
      </c>
      <c r="B189" s="48" t="s">
        <v>171</v>
      </c>
      <c r="C189" s="41" t="s">
        <v>33</v>
      </c>
      <c r="D189" s="59">
        <f>D188/67%</f>
        <v>86.567164179104466</v>
      </c>
      <c r="E189" s="58">
        <v>86.5</v>
      </c>
      <c r="F189" s="58">
        <v>91</v>
      </c>
      <c r="G189" s="58"/>
      <c r="H189" s="58">
        <v>91</v>
      </c>
      <c r="I189" s="58"/>
      <c r="J189" s="58">
        <v>91</v>
      </c>
      <c r="K189" s="58"/>
      <c r="L189" s="58">
        <f t="shared" si="27"/>
        <v>0</v>
      </c>
      <c r="M189" s="58" t="str">
        <f t="shared" si="28"/>
        <v/>
      </c>
      <c r="N189" s="3"/>
    </row>
    <row r="190" spans="1:15" ht="22.5" hidden="1" customHeight="1" outlineLevel="1">
      <c r="A190" s="32" t="s">
        <v>204</v>
      </c>
      <c r="B190" s="48" t="s">
        <v>205</v>
      </c>
      <c r="C190" s="21" t="s">
        <v>206</v>
      </c>
      <c r="D190" s="59">
        <v>88</v>
      </c>
      <c r="E190" s="59">
        <v>90</v>
      </c>
      <c r="F190" s="59">
        <v>90</v>
      </c>
      <c r="G190" s="59">
        <v>88</v>
      </c>
      <c r="H190" s="59">
        <f>F190</f>
        <v>90</v>
      </c>
      <c r="I190" s="59"/>
      <c r="J190" s="59">
        <v>90</v>
      </c>
      <c r="K190" s="59"/>
      <c r="L190" s="58">
        <f t="shared" si="27"/>
        <v>0</v>
      </c>
      <c r="M190" s="58" t="str">
        <f t="shared" si="28"/>
        <v/>
      </c>
      <c r="N190" s="3"/>
    </row>
    <row r="191" spans="1:15" ht="22.5" hidden="1" customHeight="1" outlineLevel="1">
      <c r="A191" s="32" t="s">
        <v>354</v>
      </c>
      <c r="B191" s="20" t="s">
        <v>356</v>
      </c>
      <c r="C191" s="32" t="s">
        <v>61</v>
      </c>
      <c r="D191" s="59">
        <v>4</v>
      </c>
      <c r="E191" s="59">
        <v>4</v>
      </c>
      <c r="F191" s="59">
        <v>4</v>
      </c>
      <c r="G191" s="59">
        <v>4</v>
      </c>
      <c r="H191" s="59">
        <v>4</v>
      </c>
      <c r="I191" s="59"/>
      <c r="J191" s="59">
        <v>5</v>
      </c>
      <c r="K191" s="59"/>
      <c r="L191" s="58">
        <f t="shared" si="27"/>
        <v>0</v>
      </c>
      <c r="M191" s="58" t="str">
        <f t="shared" si="28"/>
        <v/>
      </c>
      <c r="N191" s="3"/>
    </row>
    <row r="192" spans="1:15" ht="10.5" customHeight="1" collapsed="1">
      <c r="A192" s="4"/>
      <c r="B192" s="64"/>
      <c r="C192" s="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4"/>
    </row>
  </sheetData>
  <mergeCells count="14">
    <mergeCell ref="L5:M5"/>
    <mergeCell ref="N5:N6"/>
    <mergeCell ref="I5:I6"/>
    <mergeCell ref="K5:K6"/>
    <mergeCell ref="A1:N1"/>
    <mergeCell ref="A2:N2"/>
    <mergeCell ref="A3:N3"/>
    <mergeCell ref="A5:A6"/>
    <mergeCell ref="B5:B6"/>
    <mergeCell ref="C5:C6"/>
    <mergeCell ref="D5:D6"/>
    <mergeCell ref="E5:E6"/>
    <mergeCell ref="F5:H5"/>
    <mergeCell ref="J5:J6"/>
  </mergeCells>
  <pageMargins left="0.47244094488188981" right="0.39370078740157483" top="0.78740157480314965" bottom="0.47244094488188981" header="0.31496062992125984" footer="0.31496062992125984"/>
  <pageSetup paperSize="9" scale="76" fitToHeight="0" orientation="portrait" r:id="rId1"/>
  <headerFooter>
    <oddFooter>&amp;R&amp;"Times New Roman,Regular"&amp;14&amp;P/&amp;N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2"/>
  <sheetViews>
    <sheetView zoomScale="85" zoomScaleNormal="85" zoomScaleSheetLayoutView="100" workbookViewId="0">
      <pane xSplit="2" ySplit="8" topLeftCell="C9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ColWidth="9.140625" defaultRowHeight="15.75" outlineLevelRow="1" outlineLevelCol="1"/>
  <cols>
    <col min="1" max="1" width="5.5703125" style="65" customWidth="1"/>
    <col min="2" max="2" width="39.140625" style="5" customWidth="1"/>
    <col min="3" max="3" width="12.140625" style="65" customWidth="1"/>
    <col min="4" max="8" width="12.140625" style="5" hidden="1" customWidth="1" outlineLevel="1"/>
    <col min="9" max="9" width="12.140625" style="5" customWidth="1" collapsed="1"/>
    <col min="10" max="12" width="12.140625" style="5" customWidth="1"/>
    <col min="13" max="13" width="10.5703125" style="5" bestFit="1" customWidth="1"/>
    <col min="14" max="14" width="13.7109375" style="5" hidden="1" customWidth="1" outlineLevel="1"/>
    <col min="15" max="15" width="9.140625" style="5" collapsed="1"/>
    <col min="16" max="16384" width="9.140625" style="5"/>
  </cols>
  <sheetData>
    <row r="1" spans="1:14" ht="18.75" hidden="1" outlineLevel="1">
      <c r="A1" s="768" t="s">
        <v>166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</row>
    <row r="2" spans="1:14" ht="18.75" hidden="1" outlineLevel="1">
      <c r="A2" s="769" t="s">
        <v>921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</row>
    <row r="3" spans="1:14" ht="18.75" hidden="1" outlineLevel="1">
      <c r="A3" s="770" t="s">
        <v>920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4" hidden="1" outlineLevel="1">
      <c r="A4" s="7"/>
      <c r="B4" s="2"/>
      <c r="C4" s="8"/>
      <c r="D4" s="2"/>
      <c r="E4" s="2"/>
      <c r="F4" s="2"/>
      <c r="G4" s="2"/>
      <c r="H4" s="2"/>
      <c r="I4" s="2"/>
      <c r="J4" s="2"/>
      <c r="K4" s="2"/>
    </row>
    <row r="5" spans="1:14" ht="16.5" customHeight="1" collapsed="1">
      <c r="A5" s="764" t="s">
        <v>55</v>
      </c>
      <c r="B5" s="766" t="s">
        <v>69</v>
      </c>
      <c r="C5" s="766" t="s">
        <v>18</v>
      </c>
      <c r="D5" s="766" t="s">
        <v>361</v>
      </c>
      <c r="E5" s="766" t="s">
        <v>415</v>
      </c>
      <c r="F5" s="772" t="s">
        <v>514</v>
      </c>
      <c r="G5" s="772"/>
      <c r="H5" s="772"/>
      <c r="I5" s="766" t="s">
        <v>516</v>
      </c>
      <c r="J5" s="766" t="s">
        <v>922</v>
      </c>
      <c r="K5" s="766" t="s">
        <v>438</v>
      </c>
      <c r="L5" s="766" t="s">
        <v>75</v>
      </c>
    </row>
    <row r="6" spans="1:14" ht="31.5">
      <c r="A6" s="765"/>
      <c r="B6" s="767"/>
      <c r="C6" s="767"/>
      <c r="D6" s="767"/>
      <c r="E6" s="767"/>
      <c r="F6" s="620" t="s">
        <v>470</v>
      </c>
      <c r="G6" s="620" t="s">
        <v>832</v>
      </c>
      <c r="H6" s="620" t="s">
        <v>838</v>
      </c>
      <c r="I6" s="767"/>
      <c r="J6" s="767"/>
      <c r="K6" s="767"/>
      <c r="L6" s="767"/>
    </row>
    <row r="7" spans="1:14">
      <c r="A7" s="621" t="s">
        <v>40</v>
      </c>
      <c r="B7" s="621" t="s">
        <v>43</v>
      </c>
      <c r="C7" s="621" t="s">
        <v>176</v>
      </c>
      <c r="D7" s="621"/>
      <c r="E7" s="621">
        <v>4</v>
      </c>
      <c r="F7" s="621">
        <v>5</v>
      </c>
      <c r="G7" s="621"/>
      <c r="H7" s="621">
        <v>6</v>
      </c>
      <c r="I7" s="621">
        <v>1</v>
      </c>
      <c r="J7" s="621">
        <v>2</v>
      </c>
      <c r="K7" s="621">
        <v>3</v>
      </c>
      <c r="L7" s="621">
        <v>4</v>
      </c>
    </row>
    <row r="8" spans="1:14" ht="20.25" customHeight="1">
      <c r="A8" s="301"/>
      <c r="B8" s="302" t="s">
        <v>167</v>
      </c>
      <c r="C8" s="301"/>
      <c r="D8" s="303"/>
      <c r="E8" s="301"/>
      <c r="F8" s="301"/>
      <c r="G8" s="301"/>
      <c r="H8" s="301"/>
      <c r="I8" s="301"/>
      <c r="J8" s="301"/>
      <c r="K8" s="301"/>
      <c r="L8" s="128"/>
    </row>
    <row r="9" spans="1:14" ht="19.5" customHeight="1" collapsed="1">
      <c r="A9" s="11" t="s">
        <v>40</v>
      </c>
      <c r="B9" s="142" t="s">
        <v>332</v>
      </c>
      <c r="C9" s="12"/>
      <c r="D9" s="143"/>
      <c r="E9" s="143"/>
      <c r="F9" s="143"/>
      <c r="G9" s="143"/>
      <c r="H9" s="143"/>
      <c r="I9" s="143"/>
      <c r="J9" s="143"/>
      <c r="K9" s="143"/>
      <c r="L9" s="66"/>
      <c r="M9" s="14"/>
    </row>
    <row r="10" spans="1:14" s="18" customFormat="1" ht="19.5" customHeight="1">
      <c r="A10" s="11" t="s">
        <v>38</v>
      </c>
      <c r="B10" s="15" t="s">
        <v>172</v>
      </c>
      <c r="C10" s="12" t="s">
        <v>130</v>
      </c>
      <c r="D10" s="16">
        <v>347871</v>
      </c>
      <c r="E10" s="16">
        <v>313038</v>
      </c>
      <c r="F10" s="16">
        <v>277205</v>
      </c>
      <c r="G10" s="16">
        <v>239423</v>
      </c>
      <c r="H10" s="16">
        <v>360655</v>
      </c>
      <c r="I10" s="16">
        <v>312703</v>
      </c>
      <c r="J10" s="16"/>
      <c r="K10" s="66">
        <f t="shared" ref="K10:K28" si="0">IFERROR(J10/I10%,"")</f>
        <v>0</v>
      </c>
      <c r="L10" s="83"/>
      <c r="M10" s="17"/>
      <c r="N10" s="358">
        <v>313722</v>
      </c>
    </row>
    <row r="11" spans="1:14" ht="19.5" customHeight="1">
      <c r="A11" s="19" t="s">
        <v>155</v>
      </c>
      <c r="B11" s="20" t="s">
        <v>173</v>
      </c>
      <c r="C11" s="21" t="s">
        <v>130</v>
      </c>
      <c r="D11" s="22">
        <v>90496</v>
      </c>
      <c r="E11" s="22">
        <v>104622</v>
      </c>
      <c r="F11" s="22">
        <v>82860</v>
      </c>
      <c r="G11" s="22">
        <v>98907</v>
      </c>
      <c r="H11" s="22">
        <v>111075</v>
      </c>
      <c r="I11" s="22">
        <v>98770</v>
      </c>
      <c r="J11" s="22"/>
      <c r="K11" s="58">
        <f t="shared" si="0"/>
        <v>0</v>
      </c>
      <c r="L11" s="3"/>
      <c r="M11" s="14"/>
      <c r="N11" s="359">
        <v>98700</v>
      </c>
    </row>
    <row r="12" spans="1:14" s="42" customFormat="1" ht="19.5" customHeight="1">
      <c r="A12" s="71"/>
      <c r="B12" s="62" t="s">
        <v>455</v>
      </c>
      <c r="C12" s="41" t="s">
        <v>130</v>
      </c>
      <c r="D12" s="72">
        <v>84999</v>
      </c>
      <c r="E12" s="72">
        <v>71796</v>
      </c>
      <c r="F12" s="72">
        <v>70788</v>
      </c>
      <c r="G12" s="72">
        <v>79682.86</v>
      </c>
      <c r="H12" s="72">
        <v>89040.21</v>
      </c>
      <c r="I12" s="72">
        <v>80858</v>
      </c>
      <c r="J12" s="72"/>
      <c r="K12" s="85">
        <f t="shared" si="0"/>
        <v>0</v>
      </c>
      <c r="L12" s="84"/>
      <c r="M12" s="14"/>
      <c r="N12" s="359">
        <v>80858</v>
      </c>
    </row>
    <row r="13" spans="1:14" s="18" customFormat="1" ht="18.75" customHeight="1">
      <c r="A13" s="11" t="s">
        <v>39</v>
      </c>
      <c r="B13" s="15" t="s">
        <v>174</v>
      </c>
      <c r="C13" s="12" t="s">
        <v>130</v>
      </c>
      <c r="D13" s="16">
        <v>308217</v>
      </c>
      <c r="E13" s="16">
        <v>300633</v>
      </c>
      <c r="F13" s="16">
        <v>265133</v>
      </c>
      <c r="G13" s="16">
        <v>205352</v>
      </c>
      <c r="H13" s="16">
        <v>300789</v>
      </c>
      <c r="I13" s="16">
        <v>294791</v>
      </c>
      <c r="J13" s="16"/>
      <c r="K13" s="66">
        <f t="shared" si="0"/>
        <v>0</v>
      </c>
      <c r="L13" s="83"/>
      <c r="M13" s="17"/>
      <c r="N13" s="358">
        <v>295880</v>
      </c>
    </row>
    <row r="14" spans="1:14" ht="20.25" customHeight="1">
      <c r="A14" s="19" t="s">
        <v>155</v>
      </c>
      <c r="B14" s="20" t="s">
        <v>175</v>
      </c>
      <c r="C14" s="21" t="s">
        <v>130</v>
      </c>
      <c r="D14" s="22">
        <v>239615</v>
      </c>
      <c r="E14" s="22">
        <v>264543</v>
      </c>
      <c r="F14" s="22">
        <v>232779</v>
      </c>
      <c r="G14" s="22">
        <v>177506</v>
      </c>
      <c r="H14" s="22">
        <v>252381</v>
      </c>
      <c r="I14" s="22">
        <v>245608</v>
      </c>
      <c r="J14" s="22"/>
      <c r="K14" s="58">
        <f t="shared" si="0"/>
        <v>0</v>
      </c>
      <c r="L14" s="3"/>
      <c r="M14" s="14"/>
      <c r="N14" s="359">
        <v>245608</v>
      </c>
    </row>
    <row r="15" spans="1:14" ht="20.25" customHeight="1">
      <c r="A15" s="11"/>
      <c r="B15" s="30" t="s">
        <v>177</v>
      </c>
      <c r="C15" s="24"/>
      <c r="D15" s="25"/>
      <c r="E15" s="25"/>
      <c r="F15" s="25"/>
      <c r="G15" s="25"/>
      <c r="H15" s="25"/>
      <c r="I15" s="25"/>
      <c r="J15" s="25"/>
      <c r="K15" s="66" t="str">
        <f t="shared" si="0"/>
        <v/>
      </c>
      <c r="L15" s="66"/>
    </row>
    <row r="16" spans="1:14" ht="20.25" customHeight="1">
      <c r="A16" s="32" t="s">
        <v>56</v>
      </c>
      <c r="B16" s="35" t="s">
        <v>401</v>
      </c>
      <c r="C16" s="32" t="s">
        <v>37</v>
      </c>
      <c r="D16" s="29">
        <f t="shared" ref="D16:J16" si="1">D17+D67</f>
        <v>16624.03</v>
      </c>
      <c r="E16" s="29">
        <f t="shared" si="1"/>
        <v>16418.2</v>
      </c>
      <c r="F16" s="29">
        <f t="shared" si="1"/>
        <v>16739.099999999999</v>
      </c>
      <c r="G16" s="29">
        <f t="shared" si="1"/>
        <v>16328.07</v>
      </c>
      <c r="H16" s="29">
        <f t="shared" si="1"/>
        <v>16364.77</v>
      </c>
      <c r="I16" s="29">
        <f t="shared" si="1"/>
        <v>10787.6</v>
      </c>
      <c r="J16" s="29">
        <f t="shared" si="1"/>
        <v>10595.800000000001</v>
      </c>
      <c r="K16" s="58">
        <f t="shared" si="0"/>
        <v>98.222032704215962</v>
      </c>
      <c r="L16" s="3"/>
    </row>
    <row r="17" spans="1:12" ht="17.25" customHeight="1">
      <c r="A17" s="11" t="s">
        <v>38</v>
      </c>
      <c r="B17" s="30" t="s">
        <v>439</v>
      </c>
      <c r="C17" s="11" t="s">
        <v>37</v>
      </c>
      <c r="D17" s="27">
        <f t="shared" ref="D17:J17" si="2">D18+D47+D54+D50+D63</f>
        <v>6931.53</v>
      </c>
      <c r="E17" s="27">
        <f t="shared" si="2"/>
        <v>6477.2</v>
      </c>
      <c r="F17" s="27">
        <f t="shared" si="2"/>
        <v>6747</v>
      </c>
      <c r="G17" s="27">
        <f t="shared" si="2"/>
        <v>6032.47</v>
      </c>
      <c r="H17" s="27">
        <f t="shared" si="2"/>
        <v>6032.47</v>
      </c>
      <c r="I17" s="27">
        <f t="shared" si="2"/>
        <v>708</v>
      </c>
      <c r="J17" s="27">
        <f t="shared" si="2"/>
        <v>566.20000000000005</v>
      </c>
      <c r="K17" s="66">
        <f t="shared" si="0"/>
        <v>79.971751412429384</v>
      </c>
      <c r="L17" s="3"/>
    </row>
    <row r="18" spans="1:12" s="18" customFormat="1" ht="17.25" customHeight="1">
      <c r="A18" s="11">
        <v>1</v>
      </c>
      <c r="B18" s="30" t="s">
        <v>22</v>
      </c>
      <c r="C18" s="11" t="s">
        <v>37</v>
      </c>
      <c r="D18" s="27">
        <f t="shared" ref="D18:J18" si="3">D23+D38</f>
        <v>625.53</v>
      </c>
      <c r="E18" s="27">
        <f t="shared" si="3"/>
        <v>609.20000000000005</v>
      </c>
      <c r="F18" s="27">
        <f t="shared" si="3"/>
        <v>594</v>
      </c>
      <c r="G18" s="27">
        <f t="shared" si="3"/>
        <v>599.07000000000005</v>
      </c>
      <c r="H18" s="27">
        <f t="shared" si="3"/>
        <v>599.07000000000005</v>
      </c>
      <c r="I18" s="27">
        <f t="shared" si="3"/>
        <v>593</v>
      </c>
      <c r="J18" s="27">
        <f t="shared" si="3"/>
        <v>504</v>
      </c>
      <c r="K18" s="66">
        <f t="shared" si="0"/>
        <v>84.991568296795961</v>
      </c>
      <c r="L18" s="83"/>
    </row>
    <row r="19" spans="1:12" ht="17.25" customHeight="1">
      <c r="A19" s="32" t="s">
        <v>56</v>
      </c>
      <c r="B19" s="35" t="s">
        <v>23</v>
      </c>
      <c r="C19" s="34" t="s">
        <v>20</v>
      </c>
      <c r="D19" s="29">
        <f t="shared" ref="D19:I19" si="4">SUM(D20:D21)</f>
        <v>2507.6190899999997</v>
      </c>
      <c r="E19" s="29">
        <f t="shared" si="4"/>
        <v>2875.8110000000001</v>
      </c>
      <c r="F19" s="29">
        <f t="shared" si="4"/>
        <v>2829.0430000000001</v>
      </c>
      <c r="G19" s="29">
        <f>SUM(G20:G21)</f>
        <v>3120.1059380221645</v>
      </c>
      <c r="H19" s="29">
        <f>SUM(H20:H21)</f>
        <v>3120.1059380221645</v>
      </c>
      <c r="I19" s="29">
        <f t="shared" si="4"/>
        <v>2808.5459999999998</v>
      </c>
      <c r="J19" s="29">
        <f>SUM(J20:J21)</f>
        <v>0</v>
      </c>
      <c r="K19" s="58">
        <f t="shared" si="0"/>
        <v>0</v>
      </c>
      <c r="L19" s="3"/>
    </row>
    <row r="20" spans="1:12" ht="17.25" customHeight="1">
      <c r="A20" s="32"/>
      <c r="B20" s="33" t="s">
        <v>24</v>
      </c>
      <c r="C20" s="34" t="s">
        <v>76</v>
      </c>
      <c r="D20" s="29">
        <f t="shared" ref="D20:I20" si="5">D25</f>
        <v>2349.2202299999999</v>
      </c>
      <c r="E20" s="29">
        <f t="shared" si="5"/>
        <v>2692.76</v>
      </c>
      <c r="F20" s="29">
        <f t="shared" si="5"/>
        <v>2702.5430000000001</v>
      </c>
      <c r="G20" s="29">
        <f t="shared" si="5"/>
        <v>2973.9459380221647</v>
      </c>
      <c r="H20" s="29">
        <f t="shared" si="5"/>
        <v>2973.9459380221647</v>
      </c>
      <c r="I20" s="29">
        <f t="shared" si="5"/>
        <v>2698.5459999999998</v>
      </c>
      <c r="J20" s="29">
        <f>J25</f>
        <v>0</v>
      </c>
      <c r="K20" s="58">
        <f t="shared" si="0"/>
        <v>0</v>
      </c>
      <c r="L20" s="3"/>
    </row>
    <row r="21" spans="1:12" ht="17.25" customHeight="1">
      <c r="A21" s="32"/>
      <c r="B21" s="35" t="s">
        <v>137</v>
      </c>
      <c r="C21" s="34" t="s">
        <v>76</v>
      </c>
      <c r="D21" s="29">
        <f t="shared" ref="D21:I21" si="6">D40</f>
        <v>158.39885999999998</v>
      </c>
      <c r="E21" s="29">
        <f t="shared" si="6"/>
        <v>183.05099999999999</v>
      </c>
      <c r="F21" s="29">
        <f t="shared" si="6"/>
        <v>126.5</v>
      </c>
      <c r="G21" s="29">
        <f t="shared" si="6"/>
        <v>146.16</v>
      </c>
      <c r="H21" s="29">
        <f t="shared" si="6"/>
        <v>146.16</v>
      </c>
      <c r="I21" s="29">
        <f t="shared" si="6"/>
        <v>110</v>
      </c>
      <c r="J21" s="29">
        <f>J40</f>
        <v>0</v>
      </c>
      <c r="K21" s="58">
        <f t="shared" si="0"/>
        <v>0</v>
      </c>
      <c r="L21" s="3"/>
    </row>
    <row r="22" spans="1:12" ht="17.25" customHeight="1">
      <c r="A22" s="32" t="s">
        <v>56</v>
      </c>
      <c r="B22" s="35" t="s">
        <v>25</v>
      </c>
      <c r="C22" s="32" t="s">
        <v>57</v>
      </c>
      <c r="D22" s="29">
        <f>D19/D124*1000</f>
        <v>56.164197500447941</v>
      </c>
      <c r="E22" s="29">
        <f>E19/E124*1000</f>
        <v>62.752954012328843</v>
      </c>
      <c r="F22" s="29">
        <f>F19/F124*1000</f>
        <v>60.278975123848085</v>
      </c>
      <c r="G22" s="29">
        <f>G19/G124*1000</f>
        <v>66.749514649569775</v>
      </c>
      <c r="H22" s="29">
        <f>H19/H124*1000</f>
        <v>66.430461974581945</v>
      </c>
      <c r="I22" s="29">
        <f>IFERROR(I19/I124*1000,"")</f>
        <v>58.268710101058296</v>
      </c>
      <c r="J22" s="29" t="str">
        <f>IFERROR(J19/J124*1000,"")</f>
        <v/>
      </c>
      <c r="K22" s="58" t="str">
        <f>IFERROR(J22/I22%,"")</f>
        <v/>
      </c>
      <c r="L22" s="3"/>
    </row>
    <row r="23" spans="1:12" s="18" customFormat="1" ht="17.25" customHeight="1">
      <c r="A23" s="11" t="s">
        <v>34</v>
      </c>
      <c r="B23" s="44" t="s">
        <v>440</v>
      </c>
      <c r="C23" s="11" t="s">
        <v>37</v>
      </c>
      <c r="D23" s="16">
        <f t="shared" ref="D23:J23" si="7">D26+D29</f>
        <v>597.30999999999995</v>
      </c>
      <c r="E23" s="16">
        <f t="shared" si="7"/>
        <v>570.5</v>
      </c>
      <c r="F23" s="16">
        <f t="shared" si="7"/>
        <v>571</v>
      </c>
      <c r="G23" s="16">
        <f t="shared" si="7"/>
        <v>573.87</v>
      </c>
      <c r="H23" s="16">
        <f t="shared" si="7"/>
        <v>573.87</v>
      </c>
      <c r="I23" s="16">
        <f t="shared" si="7"/>
        <v>571</v>
      </c>
      <c r="J23" s="16">
        <f t="shared" si="7"/>
        <v>493.5</v>
      </c>
      <c r="K23" s="66">
        <f t="shared" si="0"/>
        <v>86.427320490367777</v>
      </c>
      <c r="L23" s="83"/>
    </row>
    <row r="24" spans="1:12" ht="17.25" customHeight="1">
      <c r="A24" s="32"/>
      <c r="B24" s="37" t="s">
        <v>27</v>
      </c>
      <c r="C24" s="34" t="s">
        <v>21</v>
      </c>
      <c r="D24" s="38">
        <f t="shared" ref="D24:I24" si="8">D25/D23*10</f>
        <v>39.330000000000005</v>
      </c>
      <c r="E24" s="38">
        <f t="shared" si="8"/>
        <v>47.2</v>
      </c>
      <c r="F24" s="38">
        <f t="shared" si="8"/>
        <v>47.330000000000005</v>
      </c>
      <c r="G24" s="38">
        <f t="shared" si="8"/>
        <v>51.822641678815138</v>
      </c>
      <c r="H24" s="38">
        <f t="shared" si="8"/>
        <v>51.822641678815138</v>
      </c>
      <c r="I24" s="38">
        <f t="shared" si="8"/>
        <v>47.26</v>
      </c>
      <c r="J24" s="38">
        <f>J25/J23*10</f>
        <v>0</v>
      </c>
      <c r="K24" s="58">
        <f t="shared" si="0"/>
        <v>0</v>
      </c>
      <c r="L24" s="3"/>
    </row>
    <row r="25" spans="1:12" ht="17.25" customHeight="1">
      <c r="A25" s="32"/>
      <c r="B25" s="37" t="s">
        <v>28</v>
      </c>
      <c r="C25" s="34" t="s">
        <v>76</v>
      </c>
      <c r="D25" s="22">
        <f t="shared" ref="D25:J25" si="9">D28+D31</f>
        <v>2349.2202299999999</v>
      </c>
      <c r="E25" s="22">
        <f t="shared" si="9"/>
        <v>2692.76</v>
      </c>
      <c r="F25" s="22">
        <f t="shared" si="9"/>
        <v>2702.5430000000001</v>
      </c>
      <c r="G25" s="22">
        <f t="shared" si="9"/>
        <v>2973.9459380221647</v>
      </c>
      <c r="H25" s="22">
        <f t="shared" si="9"/>
        <v>2973.9459380221647</v>
      </c>
      <c r="I25" s="22">
        <f t="shared" si="9"/>
        <v>2698.5459999999998</v>
      </c>
      <c r="J25" s="22">
        <f t="shared" si="9"/>
        <v>0</v>
      </c>
      <c r="K25" s="58">
        <f t="shared" si="0"/>
        <v>0</v>
      </c>
      <c r="L25" s="3"/>
    </row>
    <row r="26" spans="1:12" ht="17.25" customHeight="1">
      <c r="A26" s="32" t="s">
        <v>420</v>
      </c>
      <c r="B26" s="609" t="s">
        <v>441</v>
      </c>
      <c r="C26" s="32" t="s">
        <v>37</v>
      </c>
      <c r="D26" s="22">
        <v>597.30999999999995</v>
      </c>
      <c r="E26" s="137">
        <v>570.5</v>
      </c>
      <c r="F26" s="59">
        <v>571</v>
      </c>
      <c r="G26" s="59">
        <v>573.87</v>
      </c>
      <c r="H26" s="59">
        <v>573.87</v>
      </c>
      <c r="I26" s="59">
        <v>571</v>
      </c>
      <c r="J26" s="59">
        <v>493.5</v>
      </c>
      <c r="K26" s="58">
        <f t="shared" si="0"/>
        <v>86.427320490367777</v>
      </c>
      <c r="L26" s="3"/>
    </row>
    <row r="27" spans="1:12" ht="17.25" customHeight="1">
      <c r="A27" s="32"/>
      <c r="B27" s="116" t="s">
        <v>27</v>
      </c>
      <c r="C27" s="34" t="s">
        <v>21</v>
      </c>
      <c r="D27" s="25">
        <v>39.33</v>
      </c>
      <c r="E27" s="38">
        <v>47.2</v>
      </c>
      <c r="F27" s="58">
        <v>47.33</v>
      </c>
      <c r="G27" s="58">
        <v>51.822641678815145</v>
      </c>
      <c r="H27" s="58">
        <v>51.822641678815145</v>
      </c>
      <c r="I27" s="58">
        <v>47.26</v>
      </c>
      <c r="J27" s="58"/>
      <c r="K27" s="58">
        <f t="shared" si="0"/>
        <v>0</v>
      </c>
      <c r="L27" s="3"/>
    </row>
    <row r="28" spans="1:12" ht="17.25" customHeight="1">
      <c r="A28" s="32"/>
      <c r="B28" s="117" t="s">
        <v>28</v>
      </c>
      <c r="C28" s="34" t="s">
        <v>76</v>
      </c>
      <c r="D28" s="22">
        <f t="shared" ref="D28:I28" si="10">D26*D27/10</f>
        <v>2349.2202299999999</v>
      </c>
      <c r="E28" s="22">
        <f t="shared" si="10"/>
        <v>2692.76</v>
      </c>
      <c r="F28" s="22">
        <f t="shared" si="10"/>
        <v>2702.5430000000001</v>
      </c>
      <c r="G28" s="22">
        <f t="shared" si="10"/>
        <v>2973.9459380221647</v>
      </c>
      <c r="H28" s="22">
        <f t="shared" si="10"/>
        <v>2973.9459380221647</v>
      </c>
      <c r="I28" s="22">
        <f t="shared" si="10"/>
        <v>2698.5459999999998</v>
      </c>
      <c r="J28" s="22">
        <f>J26*J27/10</f>
        <v>0</v>
      </c>
      <c r="K28" s="58">
        <f t="shared" si="0"/>
        <v>0</v>
      </c>
      <c r="L28" s="3"/>
    </row>
    <row r="29" spans="1:12" ht="17.25" customHeight="1">
      <c r="A29" s="32"/>
      <c r="B29" s="609"/>
      <c r="C29" s="32"/>
      <c r="D29" s="22"/>
      <c r="E29" s="29"/>
      <c r="F29" s="29"/>
      <c r="G29" s="29"/>
      <c r="H29" s="29"/>
      <c r="I29" s="29"/>
      <c r="J29" s="29"/>
      <c r="K29" s="58"/>
      <c r="L29" s="3"/>
    </row>
    <row r="30" spans="1:12" ht="17.25" customHeight="1">
      <c r="A30" s="32"/>
      <c r="B30" s="117"/>
      <c r="C30" s="34"/>
      <c r="D30" s="38"/>
      <c r="E30" s="28"/>
      <c r="F30" s="28"/>
      <c r="G30" s="28"/>
      <c r="H30" s="28"/>
      <c r="I30" s="28"/>
      <c r="J30" s="28"/>
      <c r="K30" s="58"/>
      <c r="L30" s="3"/>
    </row>
    <row r="31" spans="1:12" ht="17.25" customHeight="1">
      <c r="A31" s="32"/>
      <c r="B31" s="117"/>
      <c r="C31" s="34"/>
      <c r="D31" s="22"/>
      <c r="E31" s="29"/>
      <c r="F31" s="29"/>
      <c r="G31" s="29"/>
      <c r="H31" s="29"/>
      <c r="I31" s="29"/>
      <c r="J31" s="29"/>
      <c r="K31" s="58"/>
      <c r="L31" s="3"/>
    </row>
    <row r="32" spans="1:12" ht="17.25" customHeight="1">
      <c r="A32" s="32"/>
      <c r="B32" s="610"/>
      <c r="C32" s="32"/>
      <c r="D32" s="22"/>
      <c r="E32" s="38"/>
      <c r="F32" s="22"/>
      <c r="G32" s="22"/>
      <c r="H32" s="22"/>
      <c r="I32" s="22"/>
      <c r="J32" s="22"/>
      <c r="K32" s="58"/>
      <c r="L32" s="3"/>
    </row>
    <row r="33" spans="1:12" ht="17.25" customHeight="1">
      <c r="A33" s="32"/>
      <c r="B33" s="115"/>
      <c r="C33" s="34"/>
      <c r="D33" s="25"/>
      <c r="E33" s="38"/>
      <c r="F33" s="38"/>
      <c r="G33" s="38"/>
      <c r="H33" s="38"/>
      <c r="I33" s="38"/>
      <c r="J33" s="38"/>
      <c r="K33" s="58"/>
      <c r="L33" s="3"/>
    </row>
    <row r="34" spans="1:12" ht="17.25" customHeight="1">
      <c r="A34" s="32"/>
      <c r="B34" s="115"/>
      <c r="C34" s="34"/>
      <c r="D34" s="22"/>
      <c r="E34" s="22"/>
      <c r="F34" s="22"/>
      <c r="G34" s="22"/>
      <c r="H34" s="22"/>
      <c r="I34" s="22"/>
      <c r="J34" s="22"/>
      <c r="K34" s="58"/>
      <c r="L34" s="3"/>
    </row>
    <row r="35" spans="1:12" ht="17.25" customHeight="1">
      <c r="A35" s="32"/>
      <c r="B35" s="610"/>
      <c r="C35" s="32"/>
      <c r="D35" s="22"/>
      <c r="E35" s="22"/>
      <c r="F35" s="22"/>
      <c r="G35" s="22"/>
      <c r="H35" s="22"/>
      <c r="I35" s="22"/>
      <c r="J35" s="22"/>
      <c r="K35" s="58"/>
      <c r="L35" s="3"/>
    </row>
    <row r="36" spans="1:12" ht="17.25" customHeight="1">
      <c r="A36" s="32"/>
      <c r="B36" s="115"/>
      <c r="C36" s="34"/>
      <c r="D36" s="38"/>
      <c r="E36" s="38"/>
      <c r="F36" s="38"/>
      <c r="G36" s="38"/>
      <c r="H36" s="38"/>
      <c r="I36" s="38"/>
      <c r="J36" s="38"/>
      <c r="K36" s="58"/>
      <c r="L36" s="3"/>
    </row>
    <row r="37" spans="1:12" ht="17.25" customHeight="1">
      <c r="A37" s="32"/>
      <c r="B37" s="115"/>
      <c r="C37" s="34"/>
      <c r="D37" s="22"/>
      <c r="E37" s="22"/>
      <c r="F37" s="22"/>
      <c r="G37" s="22"/>
      <c r="H37" s="22"/>
      <c r="I37" s="22"/>
      <c r="J37" s="22"/>
      <c r="K37" s="58"/>
      <c r="L37" s="3"/>
    </row>
    <row r="38" spans="1:12" s="18" customFormat="1" ht="17.25" customHeight="1">
      <c r="A38" s="11" t="s">
        <v>35</v>
      </c>
      <c r="B38" s="44" t="s">
        <v>444</v>
      </c>
      <c r="C38" s="11" t="s">
        <v>37</v>
      </c>
      <c r="D38" s="16">
        <f t="shared" ref="D38:J38" si="11">D41+D44</f>
        <v>28.22</v>
      </c>
      <c r="E38" s="16">
        <f t="shared" si="11"/>
        <v>38.700000000000003</v>
      </c>
      <c r="F38" s="16">
        <f t="shared" si="11"/>
        <v>23</v>
      </c>
      <c r="G38" s="16">
        <f t="shared" si="11"/>
        <v>25.2</v>
      </c>
      <c r="H38" s="16">
        <f t="shared" si="11"/>
        <v>25.2</v>
      </c>
      <c r="I38" s="16">
        <f t="shared" si="11"/>
        <v>22</v>
      </c>
      <c r="J38" s="16">
        <f t="shared" si="11"/>
        <v>10.5</v>
      </c>
      <c r="K38" s="66">
        <f t="shared" ref="K38:K43" si="12">IFERROR(J38/I38%,"")</f>
        <v>47.727272727272727</v>
      </c>
      <c r="L38" s="83"/>
    </row>
    <row r="39" spans="1:12" ht="17.25" customHeight="1">
      <c r="A39" s="32"/>
      <c r="B39" s="37" t="s">
        <v>27</v>
      </c>
      <c r="C39" s="34" t="s">
        <v>21</v>
      </c>
      <c r="D39" s="38">
        <f t="shared" ref="D39:I39" si="13">D40/D38*10</f>
        <v>56.129999999999995</v>
      </c>
      <c r="E39" s="38">
        <f t="shared" si="13"/>
        <v>47.3</v>
      </c>
      <c r="F39" s="38">
        <f t="shared" si="13"/>
        <v>55</v>
      </c>
      <c r="G39" s="38">
        <f t="shared" si="13"/>
        <v>58</v>
      </c>
      <c r="H39" s="38">
        <f t="shared" si="13"/>
        <v>58</v>
      </c>
      <c r="I39" s="38">
        <f t="shared" si="13"/>
        <v>50</v>
      </c>
      <c r="J39" s="38">
        <f>J40/J38*10</f>
        <v>0</v>
      </c>
      <c r="K39" s="58">
        <f t="shared" si="12"/>
        <v>0</v>
      </c>
      <c r="L39" s="3"/>
    </row>
    <row r="40" spans="1:12" ht="17.25" customHeight="1">
      <c r="A40" s="32"/>
      <c r="B40" s="37" t="s">
        <v>28</v>
      </c>
      <c r="C40" s="34" t="s">
        <v>76</v>
      </c>
      <c r="D40" s="22">
        <f t="shared" ref="D40:J40" si="14">D43+D46</f>
        <v>158.39885999999998</v>
      </c>
      <c r="E40" s="22">
        <f t="shared" si="14"/>
        <v>183.05099999999999</v>
      </c>
      <c r="F40" s="22">
        <f t="shared" si="14"/>
        <v>126.5</v>
      </c>
      <c r="G40" s="22">
        <f t="shared" si="14"/>
        <v>146.16</v>
      </c>
      <c r="H40" s="22">
        <f t="shared" si="14"/>
        <v>146.16</v>
      </c>
      <c r="I40" s="22">
        <f t="shared" si="14"/>
        <v>110</v>
      </c>
      <c r="J40" s="22">
        <f t="shared" si="14"/>
        <v>0</v>
      </c>
      <c r="K40" s="58">
        <f t="shared" si="12"/>
        <v>0</v>
      </c>
      <c r="L40" s="3"/>
    </row>
    <row r="41" spans="1:12" ht="17.25" customHeight="1">
      <c r="A41" s="32" t="s">
        <v>423</v>
      </c>
      <c r="B41" s="611" t="s">
        <v>457</v>
      </c>
      <c r="C41" s="32" t="s">
        <v>37</v>
      </c>
      <c r="D41" s="29">
        <v>28.22</v>
      </c>
      <c r="E41" s="29">
        <v>38.700000000000003</v>
      </c>
      <c r="F41" s="29">
        <v>23</v>
      </c>
      <c r="G41" s="29">
        <v>25.2</v>
      </c>
      <c r="H41" s="29">
        <v>25.2</v>
      </c>
      <c r="I41" s="29">
        <v>22</v>
      </c>
      <c r="J41" s="29">
        <v>10.5</v>
      </c>
      <c r="K41" s="58">
        <f t="shared" si="12"/>
        <v>47.727272727272727</v>
      </c>
      <c r="L41" s="3"/>
    </row>
    <row r="42" spans="1:12" ht="17.25" customHeight="1">
      <c r="A42" s="32"/>
      <c r="B42" s="116" t="s">
        <v>27</v>
      </c>
      <c r="C42" s="34" t="s">
        <v>21</v>
      </c>
      <c r="D42" s="28">
        <v>56.13</v>
      </c>
      <c r="E42" s="28">
        <v>47.3</v>
      </c>
      <c r="F42" s="28">
        <v>55</v>
      </c>
      <c r="G42" s="28">
        <v>58</v>
      </c>
      <c r="H42" s="28">
        <v>58</v>
      </c>
      <c r="I42" s="28">
        <v>50</v>
      </c>
      <c r="J42" s="28"/>
      <c r="K42" s="58">
        <f t="shared" si="12"/>
        <v>0</v>
      </c>
      <c r="L42" s="3"/>
    </row>
    <row r="43" spans="1:12" ht="17.25" customHeight="1">
      <c r="A43" s="32"/>
      <c r="B43" s="117" t="s">
        <v>28</v>
      </c>
      <c r="C43" s="34" t="s">
        <v>76</v>
      </c>
      <c r="D43" s="29">
        <f t="shared" ref="D43:I43" si="15">D42*D41/10</f>
        <v>158.39885999999998</v>
      </c>
      <c r="E43" s="29">
        <f t="shared" si="15"/>
        <v>183.05099999999999</v>
      </c>
      <c r="F43" s="29">
        <f t="shared" si="15"/>
        <v>126.5</v>
      </c>
      <c r="G43" s="29">
        <f t="shared" si="15"/>
        <v>146.16</v>
      </c>
      <c r="H43" s="29">
        <f t="shared" si="15"/>
        <v>146.16</v>
      </c>
      <c r="I43" s="29">
        <f t="shared" si="15"/>
        <v>110</v>
      </c>
      <c r="J43" s="29">
        <f>J42*J41/10</f>
        <v>0</v>
      </c>
      <c r="K43" s="58">
        <f t="shared" si="12"/>
        <v>0</v>
      </c>
      <c r="L43" s="3"/>
    </row>
    <row r="44" spans="1:12" ht="17.25" customHeight="1">
      <c r="A44" s="32"/>
      <c r="B44" s="611"/>
      <c r="C44" s="32"/>
      <c r="D44" s="29"/>
      <c r="E44" s="29"/>
      <c r="F44" s="29"/>
      <c r="G44" s="29"/>
      <c r="H44" s="29"/>
      <c r="I44" s="29"/>
      <c r="J44" s="29"/>
      <c r="K44" s="58"/>
      <c r="L44" s="3"/>
    </row>
    <row r="45" spans="1:12" ht="17.25" customHeight="1">
      <c r="A45" s="32"/>
      <c r="B45" s="116"/>
      <c r="C45" s="34"/>
      <c r="D45" s="28"/>
      <c r="E45" s="28"/>
      <c r="F45" s="28"/>
      <c r="G45" s="28"/>
      <c r="H45" s="28"/>
      <c r="I45" s="28"/>
      <c r="J45" s="28"/>
      <c r="K45" s="58"/>
      <c r="L45" s="3"/>
    </row>
    <row r="46" spans="1:12" ht="17.25" customHeight="1">
      <c r="A46" s="32"/>
      <c r="B46" s="117"/>
      <c r="C46" s="34"/>
      <c r="D46" s="29"/>
      <c r="E46" s="29"/>
      <c r="F46" s="29"/>
      <c r="G46" s="29"/>
      <c r="H46" s="29"/>
      <c r="I46" s="29"/>
      <c r="J46" s="29"/>
      <c r="K46" s="58"/>
      <c r="L46" s="3"/>
    </row>
    <row r="47" spans="1:12" ht="19.5" customHeight="1">
      <c r="A47" s="11">
        <v>2</v>
      </c>
      <c r="B47" s="30" t="s">
        <v>29</v>
      </c>
      <c r="C47" s="32" t="s">
        <v>37</v>
      </c>
      <c r="D47" s="27">
        <v>6199.5</v>
      </c>
      <c r="E47" s="27">
        <v>5720.5</v>
      </c>
      <c r="F47" s="27">
        <v>6000</v>
      </c>
      <c r="G47" s="27">
        <v>5281.3</v>
      </c>
      <c r="H47" s="27">
        <v>5281.3</v>
      </c>
      <c r="I47" s="27"/>
      <c r="J47" s="27"/>
      <c r="K47" s="66" t="str">
        <f t="shared" ref="K47:K59" si="16">IFERROR(J47/I47%,"")</f>
        <v/>
      </c>
      <c r="L47" s="3"/>
    </row>
    <row r="48" spans="1:12" ht="19.5" customHeight="1">
      <c r="A48" s="39"/>
      <c r="B48" s="37" t="s">
        <v>27</v>
      </c>
      <c r="C48" s="34" t="s">
        <v>21</v>
      </c>
      <c r="D48" s="28">
        <f>D49/D47*10</f>
        <v>148.34260827486088</v>
      </c>
      <c r="E48" s="28">
        <v>148.51</v>
      </c>
      <c r="F48" s="28">
        <v>145</v>
      </c>
      <c r="G48" s="28"/>
      <c r="H48" s="28">
        <v>148</v>
      </c>
      <c r="I48" s="28"/>
      <c r="J48" s="28"/>
      <c r="K48" s="58" t="str">
        <f t="shared" si="16"/>
        <v/>
      </c>
      <c r="L48" s="3"/>
    </row>
    <row r="49" spans="1:12" ht="19.5" customHeight="1">
      <c r="A49" s="39"/>
      <c r="B49" s="37" t="s">
        <v>28</v>
      </c>
      <c r="C49" s="34" t="s">
        <v>76</v>
      </c>
      <c r="D49" s="29">
        <v>91965</v>
      </c>
      <c r="E49" s="29">
        <f t="shared" ref="E49:J49" si="17">E48*E47/10</f>
        <v>84955.145499999999</v>
      </c>
      <c r="F49" s="29">
        <f t="shared" si="17"/>
        <v>87000</v>
      </c>
      <c r="G49" s="29">
        <f t="shared" si="17"/>
        <v>0</v>
      </c>
      <c r="H49" s="29">
        <f t="shared" si="17"/>
        <v>78163.240000000005</v>
      </c>
      <c r="I49" s="29">
        <f t="shared" si="17"/>
        <v>0</v>
      </c>
      <c r="J49" s="29">
        <f t="shared" si="17"/>
        <v>0</v>
      </c>
      <c r="K49" s="58" t="str">
        <f t="shared" si="16"/>
        <v/>
      </c>
      <c r="L49" s="3"/>
    </row>
    <row r="50" spans="1:12" s="18" customFormat="1" ht="19.5" customHeight="1">
      <c r="A50" s="11">
        <v>3</v>
      </c>
      <c r="B50" s="30" t="s">
        <v>317</v>
      </c>
      <c r="C50" s="11" t="s">
        <v>37</v>
      </c>
      <c r="D50" s="27">
        <v>9.1999999999999993</v>
      </c>
      <c r="E50" s="27">
        <v>10.5</v>
      </c>
      <c r="F50" s="27">
        <v>30</v>
      </c>
      <c r="G50" s="27">
        <v>29.1</v>
      </c>
      <c r="H50" s="27">
        <v>29.1</v>
      </c>
      <c r="I50" s="27"/>
      <c r="J50" s="27"/>
      <c r="K50" s="66" t="str">
        <f t="shared" si="16"/>
        <v/>
      </c>
      <c r="L50" s="83"/>
    </row>
    <row r="51" spans="1:12" ht="19.5" customHeight="1">
      <c r="A51" s="32"/>
      <c r="B51" s="33" t="s">
        <v>123</v>
      </c>
      <c r="C51" s="32" t="s">
        <v>37</v>
      </c>
      <c r="D51" s="29"/>
      <c r="E51" s="29"/>
      <c r="F51" s="29">
        <v>20</v>
      </c>
      <c r="G51" s="29">
        <v>19.100000000000001</v>
      </c>
      <c r="H51" s="29">
        <v>19.100000000000001</v>
      </c>
      <c r="I51" s="29"/>
      <c r="J51" s="29"/>
      <c r="K51" s="58" t="str">
        <f t="shared" si="16"/>
        <v/>
      </c>
      <c r="L51" s="3"/>
    </row>
    <row r="52" spans="1:12" ht="19.5" customHeight="1">
      <c r="A52" s="39"/>
      <c r="B52" s="37" t="s">
        <v>27</v>
      </c>
      <c r="C52" s="34" t="s">
        <v>21</v>
      </c>
      <c r="D52" s="28"/>
      <c r="E52" s="28">
        <v>600</v>
      </c>
      <c r="F52" s="28">
        <v>733.3</v>
      </c>
      <c r="G52" s="28"/>
      <c r="H52" s="28">
        <v>733.3</v>
      </c>
      <c r="I52" s="28"/>
      <c r="J52" s="28"/>
      <c r="K52" s="58" t="str">
        <f t="shared" si="16"/>
        <v/>
      </c>
      <c r="L52" s="3"/>
    </row>
    <row r="53" spans="1:12" ht="19.5" customHeight="1">
      <c r="A53" s="39"/>
      <c r="B53" s="37" t="s">
        <v>28</v>
      </c>
      <c r="C53" s="34" t="s">
        <v>76</v>
      </c>
      <c r="D53" s="29">
        <f t="shared" ref="D53:J53" si="18">D52*D50/10</f>
        <v>0</v>
      </c>
      <c r="E53" s="29">
        <f t="shared" si="18"/>
        <v>630</v>
      </c>
      <c r="F53" s="29">
        <f t="shared" si="18"/>
        <v>2199.9</v>
      </c>
      <c r="G53" s="29">
        <f t="shared" si="18"/>
        <v>0</v>
      </c>
      <c r="H53" s="29">
        <f t="shared" si="18"/>
        <v>2133.9029999999998</v>
      </c>
      <c r="I53" s="29">
        <f t="shared" si="18"/>
        <v>0</v>
      </c>
      <c r="J53" s="29">
        <f t="shared" si="18"/>
        <v>0</v>
      </c>
      <c r="K53" s="58" t="str">
        <f t="shared" si="16"/>
        <v/>
      </c>
      <c r="L53" s="3"/>
    </row>
    <row r="54" spans="1:12" ht="19.5" customHeight="1">
      <c r="A54" s="11">
        <v>4</v>
      </c>
      <c r="B54" s="30" t="s">
        <v>136</v>
      </c>
      <c r="C54" s="32" t="s">
        <v>37</v>
      </c>
      <c r="D54" s="27">
        <f t="shared" ref="D54:J54" si="19">D57+D60</f>
        <v>97.3</v>
      </c>
      <c r="E54" s="27">
        <f t="shared" si="19"/>
        <v>137</v>
      </c>
      <c r="F54" s="27">
        <f t="shared" si="19"/>
        <v>123</v>
      </c>
      <c r="G54" s="27">
        <f t="shared" si="19"/>
        <v>123</v>
      </c>
      <c r="H54" s="27">
        <f t="shared" si="19"/>
        <v>123</v>
      </c>
      <c r="I54" s="27">
        <f t="shared" si="19"/>
        <v>115</v>
      </c>
      <c r="J54" s="27">
        <f t="shared" si="19"/>
        <v>62.2</v>
      </c>
      <c r="K54" s="66">
        <f t="shared" si="16"/>
        <v>54.08695652173914</v>
      </c>
      <c r="L54" s="3"/>
    </row>
    <row r="55" spans="1:12" ht="19.5" customHeight="1">
      <c r="A55" s="39"/>
      <c r="B55" s="37" t="s">
        <v>27</v>
      </c>
      <c r="C55" s="34" t="s">
        <v>21</v>
      </c>
      <c r="D55" s="28">
        <f t="shared" ref="D55:I55" si="20">D56/D54*10</f>
        <v>145</v>
      </c>
      <c r="E55" s="28">
        <f t="shared" si="20"/>
        <v>152</v>
      </c>
      <c r="F55" s="28">
        <f t="shared" si="20"/>
        <v>151.1</v>
      </c>
      <c r="G55" s="28">
        <f t="shared" si="20"/>
        <v>151</v>
      </c>
      <c r="H55" s="28">
        <f t="shared" si="20"/>
        <v>152</v>
      </c>
      <c r="I55" s="28">
        <f t="shared" si="20"/>
        <v>152.39999999999998</v>
      </c>
      <c r="J55" s="28">
        <f>J56/J54*10</f>
        <v>0</v>
      </c>
      <c r="K55" s="58">
        <f t="shared" si="16"/>
        <v>0</v>
      </c>
      <c r="L55" s="3"/>
    </row>
    <row r="56" spans="1:12" ht="19.5" customHeight="1">
      <c r="A56" s="39"/>
      <c r="B56" s="37" t="s">
        <v>28</v>
      </c>
      <c r="C56" s="34" t="s">
        <v>76</v>
      </c>
      <c r="D56" s="29">
        <f t="shared" ref="D56:J56" si="21">D59+D62</f>
        <v>1410.85</v>
      </c>
      <c r="E56" s="29">
        <f t="shared" si="21"/>
        <v>2082.4</v>
      </c>
      <c r="F56" s="29">
        <f t="shared" si="21"/>
        <v>1858.53</v>
      </c>
      <c r="G56" s="29">
        <f t="shared" si="21"/>
        <v>1857.3</v>
      </c>
      <c r="H56" s="29">
        <f t="shared" si="21"/>
        <v>1869.6</v>
      </c>
      <c r="I56" s="29">
        <f t="shared" si="21"/>
        <v>1752.6</v>
      </c>
      <c r="J56" s="29">
        <f t="shared" si="21"/>
        <v>0</v>
      </c>
      <c r="K56" s="58">
        <f t="shared" si="16"/>
        <v>0</v>
      </c>
      <c r="L56" s="3"/>
    </row>
    <row r="57" spans="1:12" ht="19.5" customHeight="1">
      <c r="A57" s="32"/>
      <c r="B57" s="612" t="s">
        <v>459</v>
      </c>
      <c r="C57" s="21" t="s">
        <v>37</v>
      </c>
      <c r="D57" s="22">
        <v>97.3</v>
      </c>
      <c r="E57" s="22">
        <v>137</v>
      </c>
      <c r="F57" s="22">
        <v>123</v>
      </c>
      <c r="G57" s="22">
        <v>123</v>
      </c>
      <c r="H57" s="22">
        <v>123</v>
      </c>
      <c r="I57" s="22">
        <v>115</v>
      </c>
      <c r="J57" s="22">
        <v>62.2</v>
      </c>
      <c r="K57" s="58">
        <f t="shared" si="16"/>
        <v>54.08695652173914</v>
      </c>
      <c r="L57" s="3"/>
    </row>
    <row r="58" spans="1:12" ht="19.5" customHeight="1">
      <c r="A58" s="32"/>
      <c r="B58" s="136" t="s">
        <v>27</v>
      </c>
      <c r="C58" s="21" t="s">
        <v>21</v>
      </c>
      <c r="D58" s="38">
        <v>145</v>
      </c>
      <c r="E58" s="38">
        <v>152</v>
      </c>
      <c r="F58" s="38">
        <v>151.1</v>
      </c>
      <c r="G58" s="38">
        <v>151</v>
      </c>
      <c r="H58" s="38">
        <v>152</v>
      </c>
      <c r="I58" s="38">
        <v>152.4</v>
      </c>
      <c r="J58" s="38"/>
      <c r="K58" s="58">
        <f t="shared" si="16"/>
        <v>0</v>
      </c>
      <c r="L58" s="3"/>
    </row>
    <row r="59" spans="1:12" ht="19.5" customHeight="1">
      <c r="A59" s="32"/>
      <c r="B59" s="136" t="s">
        <v>28</v>
      </c>
      <c r="C59" s="21" t="s">
        <v>76</v>
      </c>
      <c r="D59" s="22">
        <f t="shared" ref="D59:I59" si="22">D58*D57/10</f>
        <v>1410.85</v>
      </c>
      <c r="E59" s="22">
        <f t="shared" si="22"/>
        <v>2082.4</v>
      </c>
      <c r="F59" s="22">
        <f t="shared" si="22"/>
        <v>1858.53</v>
      </c>
      <c r="G59" s="22">
        <f t="shared" si="22"/>
        <v>1857.3</v>
      </c>
      <c r="H59" s="22">
        <f t="shared" si="22"/>
        <v>1869.6</v>
      </c>
      <c r="I59" s="22">
        <f t="shared" si="22"/>
        <v>1752.6</v>
      </c>
      <c r="J59" s="22">
        <f>J58*J57/10</f>
        <v>0</v>
      </c>
      <c r="K59" s="58">
        <f t="shared" si="16"/>
        <v>0</v>
      </c>
      <c r="L59" s="3"/>
    </row>
    <row r="60" spans="1:12" ht="19.5" customHeight="1">
      <c r="A60" s="32"/>
      <c r="B60" s="612"/>
      <c r="C60" s="21"/>
      <c r="D60" s="22"/>
      <c r="E60" s="22"/>
      <c r="F60" s="22"/>
      <c r="G60" s="22"/>
      <c r="H60" s="22"/>
      <c r="I60" s="22"/>
      <c r="J60" s="22"/>
      <c r="K60" s="58"/>
      <c r="L60" s="3"/>
    </row>
    <row r="61" spans="1:12" ht="19.5" customHeight="1">
      <c r="A61" s="32"/>
      <c r="B61" s="136"/>
      <c r="C61" s="21"/>
      <c r="D61" s="38"/>
      <c r="E61" s="38"/>
      <c r="F61" s="38"/>
      <c r="G61" s="38"/>
      <c r="H61" s="38"/>
      <c r="I61" s="38"/>
      <c r="J61" s="38"/>
      <c r="K61" s="58"/>
      <c r="L61" s="3"/>
    </row>
    <row r="62" spans="1:12" ht="19.5" customHeight="1">
      <c r="A62" s="32"/>
      <c r="B62" s="136"/>
      <c r="C62" s="21"/>
      <c r="D62" s="22"/>
      <c r="E62" s="22"/>
      <c r="F62" s="22"/>
      <c r="G62" s="22"/>
      <c r="H62" s="22"/>
      <c r="I62" s="22"/>
      <c r="J62" s="22"/>
      <c r="K62" s="58"/>
      <c r="L62" s="3"/>
    </row>
    <row r="63" spans="1:12" s="18" customFormat="1" ht="31.5">
      <c r="A63" s="11">
        <v>5</v>
      </c>
      <c r="B63" s="30" t="s">
        <v>411</v>
      </c>
      <c r="C63" s="11" t="s">
        <v>37</v>
      </c>
      <c r="D63" s="36">
        <f t="shared" ref="D63:I63" si="23">SUM(D64:D66)</f>
        <v>0</v>
      </c>
      <c r="E63" s="36">
        <f t="shared" si="23"/>
        <v>0</v>
      </c>
      <c r="F63" s="36">
        <f t="shared" si="23"/>
        <v>0</v>
      </c>
      <c r="G63" s="36">
        <f t="shared" si="23"/>
        <v>0</v>
      </c>
      <c r="H63" s="36">
        <f t="shared" si="23"/>
        <v>0</v>
      </c>
      <c r="I63" s="36">
        <f t="shared" si="23"/>
        <v>0</v>
      </c>
      <c r="J63" s="36">
        <f>SUM(J64:J66)</f>
        <v>0</v>
      </c>
      <c r="K63" s="66" t="str">
        <f>IFERROR(J63/I63%,"")</f>
        <v/>
      </c>
      <c r="L63" s="83"/>
    </row>
    <row r="64" spans="1:12" ht="19.5" customHeight="1" outlineLevel="1">
      <c r="A64" s="32"/>
      <c r="B64" s="35"/>
      <c r="C64" s="32"/>
      <c r="D64" s="28"/>
      <c r="E64" s="28"/>
      <c r="F64" s="28"/>
      <c r="G64" s="28"/>
      <c r="H64" s="28"/>
      <c r="I64" s="28"/>
      <c r="J64" s="28"/>
      <c r="K64" s="58"/>
      <c r="L64" s="3"/>
    </row>
    <row r="65" spans="1:13" ht="19.5" customHeight="1" outlineLevel="1">
      <c r="A65" s="32"/>
      <c r="B65" s="35"/>
      <c r="C65" s="32"/>
      <c r="D65" s="28"/>
      <c r="E65" s="28"/>
      <c r="F65" s="28"/>
      <c r="G65" s="28"/>
      <c r="H65" s="28"/>
      <c r="I65" s="28"/>
      <c r="J65" s="28"/>
      <c r="K65" s="58"/>
      <c r="L65" s="3"/>
    </row>
    <row r="66" spans="1:13" ht="19.5" customHeight="1" outlineLevel="1">
      <c r="A66" s="32"/>
      <c r="B66" s="35"/>
      <c r="C66" s="32"/>
      <c r="D66" s="28"/>
      <c r="E66" s="28"/>
      <c r="F66" s="28"/>
      <c r="G66" s="28"/>
      <c r="H66" s="28"/>
      <c r="I66" s="28"/>
      <c r="J66" s="28"/>
      <c r="K66" s="58"/>
      <c r="L66" s="3"/>
    </row>
    <row r="67" spans="1:13" ht="17.25" customHeight="1">
      <c r="A67" s="24" t="s">
        <v>39</v>
      </c>
      <c r="B67" s="30" t="s">
        <v>122</v>
      </c>
      <c r="C67" s="11" t="s">
        <v>37</v>
      </c>
      <c r="D67" s="27">
        <f t="shared" ref="D67:I67" si="24">D68+D81+D82</f>
        <v>9692.5</v>
      </c>
      <c r="E67" s="27">
        <f t="shared" si="24"/>
        <v>9941</v>
      </c>
      <c r="F67" s="27">
        <f t="shared" si="24"/>
        <v>9992.1</v>
      </c>
      <c r="G67" s="27">
        <f t="shared" si="24"/>
        <v>10295.6</v>
      </c>
      <c r="H67" s="27">
        <f>H68+H81+H82</f>
        <v>10332.300000000001</v>
      </c>
      <c r="I67" s="27">
        <f t="shared" si="24"/>
        <v>10079.6</v>
      </c>
      <c r="J67" s="27">
        <f>J68+J81+J82</f>
        <v>10029.6</v>
      </c>
      <c r="K67" s="66">
        <f>IFERROR(J67/I67%,"")</f>
        <v>99.503948569387674</v>
      </c>
      <c r="L67" s="3"/>
    </row>
    <row r="68" spans="1:13" s="18" customFormat="1" ht="17.25" customHeight="1">
      <c r="A68" s="24">
        <v>1</v>
      </c>
      <c r="B68" s="23" t="s">
        <v>448</v>
      </c>
      <c r="C68" s="11" t="s">
        <v>37</v>
      </c>
      <c r="D68" s="27">
        <f t="shared" ref="D68:J68" si="25">D69+D75</f>
        <v>9537.2999999999993</v>
      </c>
      <c r="E68" s="27">
        <f t="shared" si="25"/>
        <v>9722.1</v>
      </c>
      <c r="F68" s="27">
        <f t="shared" si="25"/>
        <v>9772.1</v>
      </c>
      <c r="G68" s="27">
        <f t="shared" si="25"/>
        <v>10029.6</v>
      </c>
      <c r="H68" s="27">
        <f t="shared" si="25"/>
        <v>10029.6</v>
      </c>
      <c r="I68" s="27">
        <f t="shared" si="25"/>
        <v>10079.6</v>
      </c>
      <c r="J68" s="27">
        <f t="shared" si="25"/>
        <v>10029.6</v>
      </c>
      <c r="K68" s="66">
        <f>IFERROR(J68/I68%,"")</f>
        <v>99.503948569387674</v>
      </c>
      <c r="L68" s="83"/>
    </row>
    <row r="69" spans="1:13" s="18" customFormat="1" ht="17.25" customHeight="1">
      <c r="A69" s="11" t="s">
        <v>34</v>
      </c>
      <c r="B69" s="30" t="s">
        <v>445</v>
      </c>
      <c r="C69" s="11" t="s">
        <v>37</v>
      </c>
      <c r="D69" s="16">
        <v>1743.8</v>
      </c>
      <c r="E69" s="16">
        <f>D69+E70</f>
        <v>1919.5</v>
      </c>
      <c r="F69" s="16">
        <f>E69+F70-F71</f>
        <v>1969.5</v>
      </c>
      <c r="G69" s="16">
        <f>E69+G70-G71</f>
        <v>2299.5</v>
      </c>
      <c r="H69" s="16">
        <f>E69+H70-H71</f>
        <v>2299.5</v>
      </c>
      <c r="I69" s="16">
        <f>H69+I70</f>
        <v>2349.5</v>
      </c>
      <c r="J69" s="16">
        <f>H69+J70</f>
        <v>2299.5</v>
      </c>
      <c r="K69" s="66">
        <f>IFERROR(J69/I69%,"")</f>
        <v>97.871887635667164</v>
      </c>
      <c r="L69" s="83"/>
    </row>
    <row r="70" spans="1:13" ht="17.25" customHeight="1">
      <c r="A70" s="32"/>
      <c r="B70" s="35" t="s">
        <v>123</v>
      </c>
      <c r="C70" s="32" t="s">
        <v>37</v>
      </c>
      <c r="D70" s="38">
        <v>185.9</v>
      </c>
      <c r="E70" s="38">
        <v>175.7</v>
      </c>
      <c r="F70" s="38">
        <v>50</v>
      </c>
      <c r="G70" s="38">
        <v>381</v>
      </c>
      <c r="H70" s="38">
        <v>381</v>
      </c>
      <c r="I70" s="38">
        <v>50</v>
      </c>
      <c r="J70" s="38"/>
      <c r="K70" s="58">
        <f>IFERROR(J70/I70%,"")</f>
        <v>0</v>
      </c>
      <c r="L70" s="3"/>
    </row>
    <row r="71" spans="1:13" ht="17.25" customHeight="1">
      <c r="A71" s="32"/>
      <c r="B71" s="35" t="s">
        <v>321</v>
      </c>
      <c r="C71" s="32" t="s">
        <v>37</v>
      </c>
      <c r="D71" s="38"/>
      <c r="E71" s="38"/>
      <c r="F71" s="38"/>
      <c r="G71" s="38">
        <v>1</v>
      </c>
      <c r="H71" s="38">
        <v>1</v>
      </c>
      <c r="I71" s="38"/>
      <c r="J71" s="38"/>
      <c r="K71" s="58"/>
      <c r="L71" s="3"/>
    </row>
    <row r="72" spans="1:13" ht="17.25" customHeight="1">
      <c r="A72" s="32"/>
      <c r="B72" s="35" t="s">
        <v>124</v>
      </c>
      <c r="C72" s="32" t="s">
        <v>37</v>
      </c>
      <c r="D72" s="22">
        <v>1246</v>
      </c>
      <c r="E72" s="22">
        <v>1384</v>
      </c>
      <c r="F72" s="22">
        <v>1559</v>
      </c>
      <c r="G72" s="22">
        <v>1558</v>
      </c>
      <c r="H72" s="22">
        <v>1558</v>
      </c>
      <c r="I72" s="22">
        <v>1745</v>
      </c>
      <c r="J72" s="22"/>
      <c r="K72" s="58">
        <f t="shared" ref="K72:K82" si="26">IFERROR(J72/I72%,"")</f>
        <v>0</v>
      </c>
      <c r="L72" s="3"/>
      <c r="M72" s="81"/>
    </row>
    <row r="73" spans="1:13" ht="17.25" customHeight="1">
      <c r="A73" s="32"/>
      <c r="B73" s="35" t="s">
        <v>125</v>
      </c>
      <c r="C73" s="32" t="s">
        <v>21</v>
      </c>
      <c r="D73" s="38">
        <v>31.73</v>
      </c>
      <c r="E73" s="38">
        <v>35.65</v>
      </c>
      <c r="F73" s="38">
        <v>35</v>
      </c>
      <c r="G73" s="38"/>
      <c r="H73" s="38">
        <v>35</v>
      </c>
      <c r="I73" s="38">
        <v>35</v>
      </c>
      <c r="J73" s="38"/>
      <c r="K73" s="58">
        <f t="shared" si="26"/>
        <v>0</v>
      </c>
      <c r="L73" s="3"/>
    </row>
    <row r="74" spans="1:13" ht="17.25" customHeight="1">
      <c r="A74" s="32"/>
      <c r="B74" s="35" t="s">
        <v>320</v>
      </c>
      <c r="C74" s="32" t="s">
        <v>76</v>
      </c>
      <c r="D74" s="22">
        <f t="shared" ref="D74:J74" si="27">D72*D73/10</f>
        <v>3953.558</v>
      </c>
      <c r="E74" s="22">
        <f t="shared" si="27"/>
        <v>4933.96</v>
      </c>
      <c r="F74" s="22">
        <f t="shared" si="27"/>
        <v>5456.5</v>
      </c>
      <c r="G74" s="22">
        <f t="shared" si="27"/>
        <v>0</v>
      </c>
      <c r="H74" s="22">
        <f t="shared" si="27"/>
        <v>5453</v>
      </c>
      <c r="I74" s="22">
        <f t="shared" si="27"/>
        <v>6107.5</v>
      </c>
      <c r="J74" s="22">
        <f t="shared" si="27"/>
        <v>0</v>
      </c>
      <c r="K74" s="58">
        <f t="shared" si="26"/>
        <v>0</v>
      </c>
      <c r="L74" s="3"/>
    </row>
    <row r="75" spans="1:13" s="18" customFormat="1" ht="17.25" customHeight="1">
      <c r="A75" s="11" t="s">
        <v>35</v>
      </c>
      <c r="B75" s="30" t="s">
        <v>446</v>
      </c>
      <c r="C75" s="11" t="s">
        <v>37</v>
      </c>
      <c r="D75" s="16">
        <v>7793.5</v>
      </c>
      <c r="E75" s="16">
        <f>D75+E76-E77</f>
        <v>7802.6</v>
      </c>
      <c r="F75" s="16">
        <f>E75+F76-F77</f>
        <v>7802.6</v>
      </c>
      <c r="G75" s="16">
        <f>E75+G76-G77</f>
        <v>7730.1</v>
      </c>
      <c r="H75" s="16">
        <f>E75+H76-H77</f>
        <v>7730.1</v>
      </c>
      <c r="I75" s="16">
        <f>H75+I76-I77</f>
        <v>7730.1</v>
      </c>
      <c r="J75" s="16">
        <f>H75+J76-J77</f>
        <v>7730.1</v>
      </c>
      <c r="K75" s="66">
        <f t="shared" si="26"/>
        <v>100</v>
      </c>
      <c r="L75" s="83"/>
    </row>
    <row r="76" spans="1:13" ht="17.25" customHeight="1">
      <c r="A76" s="32"/>
      <c r="B76" s="35" t="s">
        <v>123</v>
      </c>
      <c r="C76" s="32" t="s">
        <v>37</v>
      </c>
      <c r="D76" s="43">
        <v>0</v>
      </c>
      <c r="E76" s="28">
        <v>24.6</v>
      </c>
      <c r="F76" s="43"/>
      <c r="G76" s="43">
        <v>38.299999999999997</v>
      </c>
      <c r="H76" s="43">
        <v>38.299999999999997</v>
      </c>
      <c r="I76" s="43"/>
      <c r="J76" s="43"/>
      <c r="K76" s="58" t="str">
        <f t="shared" si="26"/>
        <v/>
      </c>
      <c r="L76" s="3"/>
    </row>
    <row r="77" spans="1:13" ht="17.25" customHeight="1">
      <c r="A77" s="32"/>
      <c r="B77" s="35" t="s">
        <v>321</v>
      </c>
      <c r="C77" s="32" t="s">
        <v>37</v>
      </c>
      <c r="D77" s="28">
        <v>81.5</v>
      </c>
      <c r="E77" s="28">
        <v>15.5</v>
      </c>
      <c r="F77" s="43"/>
      <c r="G77" s="43">
        <v>110.8</v>
      </c>
      <c r="H77" s="43">
        <v>110.8</v>
      </c>
      <c r="I77" s="43"/>
      <c r="J77" s="43"/>
      <c r="K77" s="58" t="str">
        <f t="shared" si="26"/>
        <v/>
      </c>
      <c r="L77" s="3"/>
    </row>
    <row r="78" spans="1:13" ht="17.25" customHeight="1">
      <c r="A78" s="32"/>
      <c r="B78" s="35" t="s">
        <v>124</v>
      </c>
      <c r="C78" s="32" t="s">
        <v>37</v>
      </c>
      <c r="D78" s="22">
        <v>4821</v>
      </c>
      <c r="E78" s="22">
        <v>5385</v>
      </c>
      <c r="F78" s="22">
        <v>5755</v>
      </c>
      <c r="G78" s="22">
        <v>5723.7</v>
      </c>
      <c r="H78" s="22">
        <v>5723.7</v>
      </c>
      <c r="I78" s="22">
        <v>6190</v>
      </c>
      <c r="J78" s="22"/>
      <c r="K78" s="58">
        <f t="shared" si="26"/>
        <v>0</v>
      </c>
      <c r="L78" s="3"/>
    </row>
    <row r="79" spans="1:13" ht="17.25" customHeight="1">
      <c r="A79" s="32"/>
      <c r="B79" s="35" t="s">
        <v>126</v>
      </c>
      <c r="C79" s="32" t="s">
        <v>21</v>
      </c>
      <c r="D79" s="38">
        <v>12.33</v>
      </c>
      <c r="E79" s="38">
        <v>12.35</v>
      </c>
      <c r="F79" s="38">
        <v>12.5</v>
      </c>
      <c r="G79" s="38">
        <v>12.5</v>
      </c>
      <c r="H79" s="38">
        <v>12.5</v>
      </c>
      <c r="I79" s="38">
        <v>12.5</v>
      </c>
      <c r="J79" s="38"/>
      <c r="K79" s="58">
        <f t="shared" si="26"/>
        <v>0</v>
      </c>
      <c r="L79" s="3"/>
    </row>
    <row r="80" spans="1:13" ht="17.25" customHeight="1">
      <c r="A80" s="32"/>
      <c r="B80" s="35" t="s">
        <v>474</v>
      </c>
      <c r="C80" s="32" t="s">
        <v>76</v>
      </c>
      <c r="D80" s="22">
        <f t="shared" ref="D80:J80" si="28">D78*D79/10</f>
        <v>5944.2929999999997</v>
      </c>
      <c r="E80" s="22">
        <f t="shared" si="28"/>
        <v>6650.4750000000004</v>
      </c>
      <c r="F80" s="22">
        <f t="shared" si="28"/>
        <v>7193.75</v>
      </c>
      <c r="G80" s="22">
        <f t="shared" si="28"/>
        <v>7154.625</v>
      </c>
      <c r="H80" s="22">
        <f t="shared" si="28"/>
        <v>7154.625</v>
      </c>
      <c r="I80" s="22">
        <f t="shared" si="28"/>
        <v>7737.5</v>
      </c>
      <c r="J80" s="22">
        <f t="shared" si="28"/>
        <v>0</v>
      </c>
      <c r="K80" s="58">
        <f t="shared" si="26"/>
        <v>0</v>
      </c>
      <c r="L80" s="3"/>
    </row>
    <row r="81" spans="1:13" s="18" customFormat="1" ht="17.25" customHeight="1">
      <c r="A81" s="11">
        <v>2</v>
      </c>
      <c r="B81" s="30" t="s">
        <v>181</v>
      </c>
      <c r="C81" s="11" t="s">
        <v>37</v>
      </c>
      <c r="D81" s="16">
        <v>155.19999999999999</v>
      </c>
      <c r="E81" s="16">
        <v>218.9</v>
      </c>
      <c r="F81" s="16">
        <v>220</v>
      </c>
      <c r="G81" s="16">
        <v>266</v>
      </c>
      <c r="H81" s="16">
        <v>302.70000000000005</v>
      </c>
      <c r="I81" s="16"/>
      <c r="J81" s="16"/>
      <c r="K81" s="66" t="str">
        <f t="shared" si="26"/>
        <v/>
      </c>
      <c r="L81" s="83"/>
    </row>
    <row r="82" spans="1:13" s="18" customFormat="1" ht="31.5">
      <c r="A82" s="11">
        <v>3</v>
      </c>
      <c r="B82" s="30" t="s">
        <v>410</v>
      </c>
      <c r="C82" s="11" t="s">
        <v>37</v>
      </c>
      <c r="D82" s="16">
        <f t="shared" ref="D82:I82" si="29">SUM(D83:D87)</f>
        <v>0</v>
      </c>
      <c r="E82" s="16">
        <f t="shared" si="29"/>
        <v>0</v>
      </c>
      <c r="F82" s="16">
        <f t="shared" si="29"/>
        <v>0</v>
      </c>
      <c r="G82" s="16">
        <f t="shared" si="29"/>
        <v>0</v>
      </c>
      <c r="H82" s="16">
        <f t="shared" si="29"/>
        <v>0</v>
      </c>
      <c r="I82" s="16">
        <f t="shared" si="29"/>
        <v>0</v>
      </c>
      <c r="J82" s="16">
        <f>SUM(J83:J87)</f>
        <v>0</v>
      </c>
      <c r="K82" s="66" t="str">
        <f t="shared" si="26"/>
        <v/>
      </c>
      <c r="L82" s="83"/>
      <c r="M82" s="87"/>
    </row>
    <row r="83" spans="1:13" ht="17.25" hidden="1" customHeight="1" outlineLevel="1">
      <c r="A83" s="32"/>
      <c r="B83" s="35"/>
      <c r="C83" s="32"/>
      <c r="D83" s="38"/>
      <c r="E83" s="38"/>
      <c r="F83" s="38"/>
      <c r="G83" s="38"/>
      <c r="H83" s="38"/>
      <c r="I83" s="38"/>
      <c r="J83" s="38"/>
      <c r="K83" s="58"/>
      <c r="L83" s="3"/>
    </row>
    <row r="84" spans="1:13" ht="17.25" hidden="1" customHeight="1" outlineLevel="1">
      <c r="A84" s="32"/>
      <c r="B84" s="35"/>
      <c r="C84" s="32"/>
      <c r="D84" s="38"/>
      <c r="E84" s="38"/>
      <c r="F84" s="38"/>
      <c r="G84" s="38"/>
      <c r="H84" s="38"/>
      <c r="I84" s="38"/>
      <c r="J84" s="38"/>
      <c r="K84" s="58"/>
      <c r="L84" s="3"/>
    </row>
    <row r="85" spans="1:13" ht="17.25" hidden="1" customHeight="1" outlineLevel="1">
      <c r="A85" s="32"/>
      <c r="B85" s="35"/>
      <c r="C85" s="32"/>
      <c r="D85" s="38"/>
      <c r="E85" s="38"/>
      <c r="F85" s="38"/>
      <c r="G85" s="38"/>
      <c r="H85" s="38"/>
      <c r="I85" s="38"/>
      <c r="J85" s="38"/>
      <c r="K85" s="58"/>
      <c r="L85" s="3"/>
    </row>
    <row r="86" spans="1:13" ht="17.25" hidden="1" customHeight="1" outlineLevel="1">
      <c r="A86" s="32"/>
      <c r="B86" s="35"/>
      <c r="C86" s="32"/>
      <c r="D86" s="38"/>
      <c r="E86" s="38"/>
      <c r="F86" s="38"/>
      <c r="G86" s="38"/>
      <c r="H86" s="38"/>
      <c r="I86" s="38"/>
      <c r="J86" s="38"/>
      <c r="K86" s="58"/>
      <c r="L86" s="3"/>
    </row>
    <row r="87" spans="1:13" ht="17.25" hidden="1" customHeight="1" outlineLevel="1">
      <c r="A87" s="32"/>
      <c r="B87" s="35"/>
      <c r="C87" s="32"/>
      <c r="D87" s="38"/>
      <c r="E87" s="38"/>
      <c r="F87" s="38"/>
      <c r="G87" s="38"/>
      <c r="H87" s="38"/>
      <c r="I87" s="38"/>
      <c r="J87" s="38"/>
      <c r="K87" s="58"/>
      <c r="L87" s="3"/>
    </row>
    <row r="88" spans="1:13" ht="18.75" customHeight="1" collapsed="1">
      <c r="A88" s="11" t="s">
        <v>47</v>
      </c>
      <c r="B88" s="30" t="s">
        <v>96</v>
      </c>
      <c r="C88" s="32"/>
      <c r="D88" s="28"/>
      <c r="E88" s="38"/>
      <c r="F88" s="38"/>
      <c r="G88" s="38"/>
      <c r="H88" s="38"/>
      <c r="I88" s="38"/>
      <c r="J88" s="38"/>
      <c r="K88" s="66" t="str">
        <f t="shared" ref="K88:K105" si="30">IFERROR(J88/I88%,"")</f>
        <v/>
      </c>
      <c r="L88" s="3"/>
    </row>
    <row r="89" spans="1:13" ht="18.75" customHeight="1">
      <c r="A89" s="11">
        <v>1</v>
      </c>
      <c r="B89" s="30" t="s">
        <v>447</v>
      </c>
      <c r="C89" s="11" t="s">
        <v>54</v>
      </c>
      <c r="D89" s="27">
        <f t="shared" ref="D89:J89" si="31">SUM(D90:D92)</f>
        <v>20219</v>
      </c>
      <c r="E89" s="27">
        <f t="shared" si="31"/>
        <v>18350</v>
      </c>
      <c r="F89" s="27">
        <f t="shared" si="31"/>
        <v>20650</v>
      </c>
      <c r="G89" s="27">
        <f t="shared" si="31"/>
        <v>20174</v>
      </c>
      <c r="H89" s="27">
        <f t="shared" si="31"/>
        <v>20238</v>
      </c>
      <c r="I89" s="27">
        <f t="shared" si="31"/>
        <v>20900</v>
      </c>
      <c r="J89" s="27">
        <f t="shared" si="31"/>
        <v>14087</v>
      </c>
      <c r="K89" s="66">
        <f t="shared" si="30"/>
        <v>67.401913875598083</v>
      </c>
      <c r="L89" s="83"/>
    </row>
    <row r="90" spans="1:13" ht="18.75" customHeight="1">
      <c r="A90" s="32"/>
      <c r="B90" s="35" t="s">
        <v>322</v>
      </c>
      <c r="C90" s="32" t="s">
        <v>54</v>
      </c>
      <c r="D90" s="29">
        <v>2461</v>
      </c>
      <c r="E90" s="29">
        <v>2550</v>
      </c>
      <c r="F90" s="29">
        <v>2650</v>
      </c>
      <c r="G90" s="29">
        <v>2536</v>
      </c>
      <c r="H90" s="29">
        <v>2600</v>
      </c>
      <c r="I90" s="29">
        <v>2700</v>
      </c>
      <c r="J90" s="29">
        <v>2544</v>
      </c>
      <c r="K90" s="58">
        <f t="shared" si="30"/>
        <v>94.222222222222229</v>
      </c>
      <c r="L90" s="3"/>
    </row>
    <row r="91" spans="1:13" ht="18.75" customHeight="1">
      <c r="A91" s="32"/>
      <c r="B91" s="35" t="s">
        <v>323</v>
      </c>
      <c r="C91" s="32" t="s">
        <v>54</v>
      </c>
      <c r="D91" s="29">
        <v>4034</v>
      </c>
      <c r="E91" s="29">
        <v>4800</v>
      </c>
      <c r="F91" s="29">
        <v>5000</v>
      </c>
      <c r="G91" s="29">
        <v>5087</v>
      </c>
      <c r="H91" s="29">
        <v>5087</v>
      </c>
      <c r="I91" s="29">
        <v>5200</v>
      </c>
      <c r="J91" s="29">
        <v>4894</v>
      </c>
      <c r="K91" s="58">
        <f t="shared" si="30"/>
        <v>94.115384615384613</v>
      </c>
      <c r="L91" s="3"/>
    </row>
    <row r="92" spans="1:13" ht="18.75" customHeight="1">
      <c r="A92" s="32"/>
      <c r="B92" s="35" t="s">
        <v>324</v>
      </c>
      <c r="C92" s="32" t="s">
        <v>54</v>
      </c>
      <c r="D92" s="29">
        <v>13724</v>
      </c>
      <c r="E92" s="29">
        <v>11000</v>
      </c>
      <c r="F92" s="29">
        <v>13000</v>
      </c>
      <c r="G92" s="29">
        <v>12551</v>
      </c>
      <c r="H92" s="29">
        <v>12551</v>
      </c>
      <c r="I92" s="29">
        <v>13000</v>
      </c>
      <c r="J92" s="29">
        <v>6649</v>
      </c>
      <c r="K92" s="58">
        <f t="shared" si="30"/>
        <v>51.146153846153844</v>
      </c>
      <c r="L92" s="3"/>
    </row>
    <row r="93" spans="1:13" ht="18.75" customHeight="1">
      <c r="A93" s="11">
        <v>2</v>
      </c>
      <c r="B93" s="44" t="s">
        <v>31</v>
      </c>
      <c r="C93" s="11" t="s">
        <v>54</v>
      </c>
      <c r="D93" s="27">
        <v>77894</v>
      </c>
      <c r="E93" s="27">
        <v>87000</v>
      </c>
      <c r="F93" s="27">
        <v>87000</v>
      </c>
      <c r="G93" s="27">
        <v>78000</v>
      </c>
      <c r="H93" s="27">
        <v>78000</v>
      </c>
      <c r="I93" s="27">
        <v>80000</v>
      </c>
      <c r="J93" s="27">
        <v>64200</v>
      </c>
      <c r="K93" s="66">
        <f t="shared" si="30"/>
        <v>80.25</v>
      </c>
      <c r="L93" s="83"/>
    </row>
    <row r="94" spans="1:13" s="18" customFormat="1" ht="18.75" customHeight="1">
      <c r="A94" s="11" t="s">
        <v>48</v>
      </c>
      <c r="B94" s="45" t="s">
        <v>325</v>
      </c>
      <c r="C94" s="11"/>
      <c r="D94" s="27"/>
      <c r="E94" s="27"/>
      <c r="F94" s="27"/>
      <c r="G94" s="27"/>
      <c r="H94" s="27"/>
      <c r="I94" s="27"/>
      <c r="J94" s="27"/>
      <c r="K94" s="66" t="str">
        <f t="shared" si="30"/>
        <v/>
      </c>
      <c r="L94" s="83"/>
    </row>
    <row r="95" spans="1:13" ht="18.75" customHeight="1">
      <c r="A95" s="32">
        <v>1</v>
      </c>
      <c r="B95" s="46" t="s">
        <v>326</v>
      </c>
      <c r="C95" s="32" t="s">
        <v>37</v>
      </c>
      <c r="D95" s="28">
        <v>85</v>
      </c>
      <c r="E95" s="28">
        <v>85.5</v>
      </c>
      <c r="F95" s="28">
        <v>85.5</v>
      </c>
      <c r="G95" s="28">
        <v>89.100000000000009</v>
      </c>
      <c r="H95" s="28">
        <v>89.100000000000009</v>
      </c>
      <c r="I95" s="28">
        <v>89.100000000000009</v>
      </c>
      <c r="J95" s="28">
        <v>90.9</v>
      </c>
      <c r="K95" s="58">
        <f t="shared" si="30"/>
        <v>102.02020202020201</v>
      </c>
      <c r="L95" s="3"/>
    </row>
    <row r="96" spans="1:13" ht="18.75" customHeight="1">
      <c r="A96" s="32">
        <v>2</v>
      </c>
      <c r="B96" s="46" t="s">
        <v>327</v>
      </c>
      <c r="C96" s="32" t="s">
        <v>76</v>
      </c>
      <c r="D96" s="29">
        <f t="shared" ref="D96:I96" si="32">D97+D98</f>
        <v>427.4</v>
      </c>
      <c r="E96" s="29">
        <f t="shared" si="32"/>
        <v>320</v>
      </c>
      <c r="F96" s="29">
        <f t="shared" si="32"/>
        <v>335</v>
      </c>
      <c r="G96" s="29">
        <f t="shared" si="32"/>
        <v>124</v>
      </c>
      <c r="H96" s="29">
        <f t="shared" si="32"/>
        <v>207</v>
      </c>
      <c r="I96" s="29">
        <f t="shared" si="32"/>
        <v>305</v>
      </c>
      <c r="J96" s="29">
        <f>J97+J98</f>
        <v>0</v>
      </c>
      <c r="K96" s="58">
        <f t="shared" si="30"/>
        <v>0</v>
      </c>
      <c r="L96" s="3"/>
    </row>
    <row r="97" spans="1:13" ht="18.75" customHeight="1">
      <c r="A97" s="32"/>
      <c r="B97" s="48" t="s">
        <v>328</v>
      </c>
      <c r="C97" s="32" t="s">
        <v>76</v>
      </c>
      <c r="D97" s="29">
        <v>211.9</v>
      </c>
      <c r="E97" s="29">
        <v>210</v>
      </c>
      <c r="F97" s="29">
        <v>210</v>
      </c>
      <c r="G97" s="29">
        <v>86.5</v>
      </c>
      <c r="H97" s="29">
        <v>137</v>
      </c>
      <c r="I97" s="29">
        <v>195</v>
      </c>
      <c r="J97" s="29"/>
      <c r="K97" s="58">
        <f t="shared" si="30"/>
        <v>0</v>
      </c>
      <c r="L97" s="3"/>
    </row>
    <row r="98" spans="1:13" ht="18.75" customHeight="1">
      <c r="A98" s="32"/>
      <c r="B98" s="48" t="s">
        <v>329</v>
      </c>
      <c r="C98" s="32" t="s">
        <v>76</v>
      </c>
      <c r="D98" s="29">
        <v>215.5</v>
      </c>
      <c r="E98" s="29">
        <v>110</v>
      </c>
      <c r="F98" s="29">
        <v>125</v>
      </c>
      <c r="G98" s="29">
        <v>37.5</v>
      </c>
      <c r="H98" s="29">
        <v>70</v>
      </c>
      <c r="I98" s="29">
        <v>110</v>
      </c>
      <c r="J98" s="29"/>
      <c r="K98" s="58">
        <f t="shared" si="30"/>
        <v>0</v>
      </c>
      <c r="L98" s="3"/>
    </row>
    <row r="99" spans="1:13">
      <c r="A99" s="145" t="s">
        <v>50</v>
      </c>
      <c r="B99" s="146" t="s">
        <v>104</v>
      </c>
      <c r="C99" s="145"/>
      <c r="D99" s="13"/>
      <c r="E99" s="13"/>
      <c r="F99" s="13"/>
      <c r="G99" s="13"/>
      <c r="H99" s="13"/>
      <c r="I99" s="13"/>
      <c r="J99" s="13"/>
      <c r="K99" s="66" t="str">
        <f t="shared" si="30"/>
        <v/>
      </c>
      <c r="L99" s="3"/>
    </row>
    <row r="100" spans="1:13" ht="19.5" customHeight="1">
      <c r="A100" s="147"/>
      <c r="B100" s="148" t="s">
        <v>330</v>
      </c>
      <c r="C100" s="32" t="s">
        <v>37</v>
      </c>
      <c r="D100" s="53">
        <v>500.3</v>
      </c>
      <c r="E100" s="53">
        <v>4</v>
      </c>
      <c r="F100" s="53"/>
      <c r="G100" s="53"/>
      <c r="H100" s="53">
        <v>27</v>
      </c>
      <c r="I100" s="53"/>
      <c r="J100" s="53"/>
      <c r="K100" s="58" t="str">
        <f t="shared" si="30"/>
        <v/>
      </c>
      <c r="L100" s="3"/>
    </row>
    <row r="101" spans="1:13" ht="19.5" customHeight="1">
      <c r="A101" s="147"/>
      <c r="B101" s="46" t="s">
        <v>712</v>
      </c>
      <c r="C101" s="32" t="s">
        <v>37</v>
      </c>
      <c r="D101" s="53">
        <v>50870.31</v>
      </c>
      <c r="E101" s="53">
        <v>50870.31</v>
      </c>
      <c r="F101" s="53">
        <v>50870.31</v>
      </c>
      <c r="G101" s="53">
        <v>50870.31</v>
      </c>
      <c r="H101" s="53">
        <v>50870.31</v>
      </c>
      <c r="I101" s="53">
        <v>50870.31</v>
      </c>
      <c r="J101" s="53">
        <v>50870.31</v>
      </c>
      <c r="K101" s="58">
        <f t="shared" si="30"/>
        <v>100</v>
      </c>
      <c r="L101" s="3"/>
    </row>
    <row r="102" spans="1:13" ht="19.5" customHeight="1">
      <c r="A102" s="147"/>
      <c r="B102" s="46" t="s">
        <v>713</v>
      </c>
      <c r="C102" s="32" t="s">
        <v>37</v>
      </c>
      <c r="D102" s="53"/>
      <c r="E102" s="53">
        <v>15886.3</v>
      </c>
      <c r="F102" s="53">
        <v>15886</v>
      </c>
      <c r="G102" s="53">
        <v>15886</v>
      </c>
      <c r="H102" s="53">
        <v>15886</v>
      </c>
      <c r="I102" s="53">
        <v>15886</v>
      </c>
      <c r="J102" s="53">
        <v>15886</v>
      </c>
      <c r="K102" s="58">
        <f t="shared" si="30"/>
        <v>99.999999999999986</v>
      </c>
      <c r="L102" s="3"/>
    </row>
    <row r="103" spans="1:13" ht="19.5" customHeight="1">
      <c r="A103" s="147"/>
      <c r="B103" s="148" t="s">
        <v>711</v>
      </c>
      <c r="C103" s="32" t="s">
        <v>33</v>
      </c>
      <c r="D103" s="269">
        <v>31.37</v>
      </c>
      <c r="E103" s="288">
        <f t="shared" ref="E103:J103" si="33">E102/50640%</f>
        <v>31.37105055292259</v>
      </c>
      <c r="F103" s="288">
        <f t="shared" si="33"/>
        <v>31.370458135860982</v>
      </c>
      <c r="G103" s="288">
        <f t="shared" si="33"/>
        <v>31.370458135860982</v>
      </c>
      <c r="H103" s="288">
        <f t="shared" si="33"/>
        <v>31.370458135860982</v>
      </c>
      <c r="I103" s="288">
        <f t="shared" si="33"/>
        <v>31.370458135860982</v>
      </c>
      <c r="J103" s="288">
        <f t="shared" si="33"/>
        <v>31.370458135860982</v>
      </c>
      <c r="K103" s="58">
        <f t="shared" si="30"/>
        <v>99.999999999999986</v>
      </c>
      <c r="L103" s="3"/>
    </row>
    <row r="104" spans="1:13" s="18" customFormat="1" ht="17.25" customHeight="1">
      <c r="A104" s="11">
        <v>1</v>
      </c>
      <c r="B104" s="30" t="s">
        <v>30</v>
      </c>
      <c r="C104" s="11" t="s">
        <v>37</v>
      </c>
      <c r="D104" s="16">
        <v>1646</v>
      </c>
      <c r="E104" s="16">
        <f>D104+E105</f>
        <v>1675</v>
      </c>
      <c r="F104" s="16">
        <f>E104+F105</f>
        <v>1710</v>
      </c>
      <c r="G104" s="16">
        <f>E104+G105</f>
        <v>1710</v>
      </c>
      <c r="H104" s="16">
        <f>E104+H105-H106</f>
        <v>1725</v>
      </c>
      <c r="I104" s="16">
        <f>H104+I105</f>
        <v>1725</v>
      </c>
      <c r="J104" s="16">
        <f>H104</f>
        <v>1725</v>
      </c>
      <c r="K104" s="66">
        <f t="shared" si="30"/>
        <v>100</v>
      </c>
      <c r="L104" s="83"/>
      <c r="M104" s="87"/>
    </row>
    <row r="105" spans="1:13" ht="17.25" customHeight="1">
      <c r="A105" s="32"/>
      <c r="B105" s="35" t="s">
        <v>123</v>
      </c>
      <c r="C105" s="32" t="s">
        <v>37</v>
      </c>
      <c r="D105" s="22">
        <v>57.2</v>
      </c>
      <c r="E105" s="22">
        <v>29</v>
      </c>
      <c r="F105" s="22">
        <v>35</v>
      </c>
      <c r="G105" s="22">
        <f>F105</f>
        <v>35</v>
      </c>
      <c r="H105" s="22">
        <v>54</v>
      </c>
      <c r="I105" s="22"/>
      <c r="J105" s="22"/>
      <c r="K105" s="58" t="str">
        <f t="shared" si="30"/>
        <v/>
      </c>
      <c r="L105" s="3"/>
    </row>
    <row r="106" spans="1:13" ht="17.25" customHeight="1">
      <c r="A106" s="32"/>
      <c r="B106" s="35" t="s">
        <v>721</v>
      </c>
      <c r="C106" s="32" t="s">
        <v>37</v>
      </c>
      <c r="D106" s="22"/>
      <c r="E106" s="22"/>
      <c r="F106" s="22"/>
      <c r="G106" s="22"/>
      <c r="H106" s="22">
        <v>4</v>
      </c>
      <c r="I106" s="22"/>
      <c r="J106" s="22"/>
      <c r="K106" s="58"/>
      <c r="L106" s="3"/>
    </row>
    <row r="107" spans="1:13" s="18" customFormat="1">
      <c r="A107" s="11" t="s">
        <v>176</v>
      </c>
      <c r="B107" s="54" t="s">
        <v>183</v>
      </c>
      <c r="C107" s="11"/>
      <c r="D107" s="149"/>
      <c r="E107" s="149"/>
      <c r="F107" s="149"/>
      <c r="G107" s="149"/>
      <c r="H107" s="149"/>
      <c r="I107" s="149"/>
      <c r="J107" s="149"/>
      <c r="K107" s="66" t="str">
        <f t="shared" ref="K107:K142" si="34">IFERROR(J107/I107%,"")</f>
        <v/>
      </c>
      <c r="L107" s="66"/>
    </row>
    <row r="108" spans="1:13" ht="22.5" customHeight="1">
      <c r="A108" s="11">
        <v>1</v>
      </c>
      <c r="B108" s="54" t="s">
        <v>449</v>
      </c>
      <c r="C108" s="11" t="s">
        <v>331</v>
      </c>
      <c r="D108" s="27">
        <v>676693</v>
      </c>
      <c r="E108" s="27">
        <v>708000</v>
      </c>
      <c r="F108" s="27">
        <v>722000</v>
      </c>
      <c r="G108" s="27">
        <v>435000</v>
      </c>
      <c r="H108" s="27">
        <v>730000</v>
      </c>
      <c r="I108" s="27">
        <v>750000</v>
      </c>
      <c r="J108" s="27"/>
      <c r="K108" s="66">
        <f t="shared" si="34"/>
        <v>0</v>
      </c>
      <c r="L108" s="83"/>
    </row>
    <row r="109" spans="1:13" ht="20.25" customHeight="1">
      <c r="A109" s="32">
        <v>2</v>
      </c>
      <c r="B109" s="20" t="s">
        <v>333</v>
      </c>
      <c r="C109" s="32"/>
      <c r="D109" s="13"/>
      <c r="E109" s="13"/>
      <c r="F109" s="13"/>
      <c r="G109" s="149"/>
      <c r="H109" s="13"/>
      <c r="I109" s="13"/>
      <c r="J109" s="13"/>
      <c r="K109" s="58" t="str">
        <f t="shared" si="34"/>
        <v/>
      </c>
      <c r="L109" s="3"/>
    </row>
    <row r="110" spans="1:13" ht="20.25" customHeight="1">
      <c r="A110" s="32"/>
      <c r="B110" s="20" t="s">
        <v>334</v>
      </c>
      <c r="C110" s="32" t="s">
        <v>65</v>
      </c>
      <c r="D110" s="29">
        <v>40</v>
      </c>
      <c r="E110" s="29">
        <v>42</v>
      </c>
      <c r="F110" s="29">
        <v>40</v>
      </c>
      <c r="G110" s="29">
        <v>30</v>
      </c>
      <c r="H110" s="29">
        <v>38</v>
      </c>
      <c r="I110" s="29">
        <v>45</v>
      </c>
      <c r="J110" s="29"/>
      <c r="K110" s="58">
        <f t="shared" si="34"/>
        <v>0</v>
      </c>
      <c r="L110" s="3"/>
    </row>
    <row r="111" spans="1:13" ht="20.25" customHeight="1">
      <c r="A111" s="32"/>
      <c r="B111" s="20" t="s">
        <v>340</v>
      </c>
      <c r="C111" s="32" t="s">
        <v>65</v>
      </c>
      <c r="D111" s="29">
        <v>35</v>
      </c>
      <c r="E111" s="29">
        <v>30</v>
      </c>
      <c r="F111" s="29">
        <v>40</v>
      </c>
      <c r="G111" s="29">
        <v>32</v>
      </c>
      <c r="H111" s="29">
        <v>40</v>
      </c>
      <c r="I111" s="29">
        <v>45</v>
      </c>
      <c r="J111" s="29"/>
      <c r="K111" s="58">
        <f t="shared" si="34"/>
        <v>0</v>
      </c>
      <c r="L111" s="3"/>
    </row>
    <row r="112" spans="1:13" ht="20.25" customHeight="1">
      <c r="A112" s="32"/>
      <c r="B112" s="20" t="s">
        <v>335</v>
      </c>
      <c r="C112" s="32" t="s">
        <v>76</v>
      </c>
      <c r="D112" s="29">
        <v>57219</v>
      </c>
      <c r="E112" s="29">
        <v>60000</v>
      </c>
      <c r="F112" s="29">
        <v>55000</v>
      </c>
      <c r="G112" s="29">
        <v>31000</v>
      </c>
      <c r="H112" s="29">
        <v>55300</v>
      </c>
      <c r="I112" s="29">
        <v>55000</v>
      </c>
      <c r="J112" s="29"/>
      <c r="K112" s="58">
        <f t="shared" si="34"/>
        <v>0</v>
      </c>
      <c r="L112" s="3"/>
    </row>
    <row r="113" spans="1:15" ht="20.25" customHeight="1">
      <c r="A113" s="32"/>
      <c r="B113" s="20" t="s">
        <v>336</v>
      </c>
      <c r="C113" s="32" t="s">
        <v>76</v>
      </c>
      <c r="D113" s="29">
        <v>12363</v>
      </c>
      <c r="E113" s="29">
        <v>13000</v>
      </c>
      <c r="F113" s="29">
        <v>12000</v>
      </c>
      <c r="G113" s="29">
        <v>4950</v>
      </c>
      <c r="H113" s="29">
        <v>12125</v>
      </c>
      <c r="I113" s="29">
        <v>12000</v>
      </c>
      <c r="J113" s="29"/>
      <c r="K113" s="58">
        <f t="shared" si="34"/>
        <v>0</v>
      </c>
      <c r="L113" s="3"/>
    </row>
    <row r="114" spans="1:15" ht="20.25" customHeight="1">
      <c r="A114" s="32"/>
      <c r="B114" s="20" t="s">
        <v>337</v>
      </c>
      <c r="C114" s="32" t="s">
        <v>466</v>
      </c>
      <c r="D114" s="29">
        <v>39713</v>
      </c>
      <c r="E114" s="29">
        <v>41000</v>
      </c>
      <c r="F114" s="29">
        <v>60000</v>
      </c>
      <c r="G114" s="29">
        <v>47180</v>
      </c>
      <c r="H114" s="29">
        <v>67350</v>
      </c>
      <c r="I114" s="29">
        <v>80000</v>
      </c>
      <c r="J114" s="29"/>
      <c r="K114" s="58">
        <f t="shared" si="34"/>
        <v>0</v>
      </c>
      <c r="L114" s="3"/>
    </row>
    <row r="115" spans="1:15" ht="20.25" customHeight="1">
      <c r="A115" s="32"/>
      <c r="B115" s="20" t="s">
        <v>338</v>
      </c>
      <c r="C115" s="32" t="s">
        <v>466</v>
      </c>
      <c r="D115" s="29">
        <v>34500</v>
      </c>
      <c r="E115" s="29">
        <v>35000</v>
      </c>
      <c r="F115" s="29">
        <v>54000</v>
      </c>
      <c r="G115" s="29">
        <v>30850</v>
      </c>
      <c r="H115" s="29">
        <v>37000</v>
      </c>
      <c r="I115" s="29">
        <v>70000</v>
      </c>
      <c r="J115" s="29"/>
      <c r="K115" s="58">
        <f t="shared" si="34"/>
        <v>0</v>
      </c>
      <c r="L115" s="3"/>
    </row>
    <row r="116" spans="1:15" s="18" customFormat="1" ht="17.25" customHeight="1">
      <c r="A116" s="11" t="s">
        <v>182</v>
      </c>
      <c r="B116" s="15" t="s">
        <v>450</v>
      </c>
      <c r="C116" s="11"/>
      <c r="D116" s="29"/>
      <c r="E116" s="29"/>
      <c r="F116" s="29"/>
      <c r="G116" s="29"/>
      <c r="H116" s="29"/>
      <c r="I116" s="29"/>
      <c r="J116" s="29"/>
      <c r="K116" s="66" t="str">
        <f t="shared" si="34"/>
        <v/>
      </c>
      <c r="L116" s="66"/>
    </row>
    <row r="117" spans="1:15" ht="22.5" customHeight="1">
      <c r="A117" s="32">
        <v>1</v>
      </c>
      <c r="B117" s="20" t="s">
        <v>184</v>
      </c>
      <c r="C117" s="32" t="s">
        <v>331</v>
      </c>
      <c r="D117" s="29">
        <v>560310</v>
      </c>
      <c r="E117" s="29">
        <v>595000</v>
      </c>
      <c r="F117" s="29">
        <v>696000</v>
      </c>
      <c r="G117" s="29">
        <v>450000</v>
      </c>
      <c r="H117" s="29">
        <v>698000</v>
      </c>
      <c r="I117" s="29">
        <v>730000</v>
      </c>
      <c r="J117" s="29"/>
      <c r="K117" s="58">
        <f t="shared" si="34"/>
        <v>0</v>
      </c>
      <c r="L117" s="3"/>
      <c r="M117" s="77"/>
    </row>
    <row r="118" spans="1:15" ht="19.5" customHeight="1">
      <c r="A118" s="32"/>
      <c r="B118" s="12" t="s">
        <v>454</v>
      </c>
      <c r="C118" s="32"/>
      <c r="D118" s="13"/>
      <c r="E118" s="13"/>
      <c r="F118" s="13"/>
      <c r="G118" s="13"/>
      <c r="H118" s="13"/>
      <c r="I118" s="13"/>
      <c r="J118" s="13"/>
      <c r="K118" s="66" t="str">
        <f t="shared" si="34"/>
        <v/>
      </c>
      <c r="L118" s="3"/>
    </row>
    <row r="119" spans="1:15" s="18" customFormat="1" ht="22.5" customHeight="1">
      <c r="A119" s="11" t="s">
        <v>38</v>
      </c>
      <c r="B119" s="15" t="s">
        <v>352</v>
      </c>
      <c r="C119" s="11"/>
      <c r="D119" s="149"/>
      <c r="E119" s="149"/>
      <c r="F119" s="149"/>
      <c r="G119" s="149"/>
      <c r="H119" s="149"/>
      <c r="I119" s="149"/>
      <c r="J119" s="149"/>
      <c r="K119" s="66" t="str">
        <f t="shared" si="34"/>
        <v/>
      </c>
      <c r="L119" s="83"/>
    </row>
    <row r="120" spans="1:15" ht="22.5" hidden="1" customHeight="1" outlineLevel="1">
      <c r="A120" s="613">
        <v>1</v>
      </c>
      <c r="B120" s="462" t="s">
        <v>353</v>
      </c>
      <c r="C120" s="613" t="s">
        <v>62</v>
      </c>
      <c r="D120" s="614">
        <v>10520</v>
      </c>
      <c r="E120" s="614">
        <f>D121</f>
        <v>10685</v>
      </c>
      <c r="F120" s="614">
        <f>E121</f>
        <v>11308</v>
      </c>
      <c r="G120" s="614">
        <f>E121</f>
        <v>11308</v>
      </c>
      <c r="H120" s="614">
        <f>F120</f>
        <v>11308</v>
      </c>
      <c r="I120" s="614">
        <f>H121</f>
        <v>11350</v>
      </c>
      <c r="J120" s="614">
        <f>I121</f>
        <v>11650</v>
      </c>
      <c r="K120" s="445">
        <f t="shared" si="34"/>
        <v>102.6431718061674</v>
      </c>
      <c r="L120" s="615"/>
      <c r="M120" s="77"/>
    </row>
    <row r="121" spans="1:15" ht="22.5" hidden="1" customHeight="1" outlineLevel="1">
      <c r="A121" s="613">
        <v>2</v>
      </c>
      <c r="B121" s="462" t="s">
        <v>207</v>
      </c>
      <c r="C121" s="613" t="s">
        <v>62</v>
      </c>
      <c r="D121" s="614">
        <v>10685</v>
      </c>
      <c r="E121" s="614">
        <v>11308</v>
      </c>
      <c r="F121" s="614">
        <f>F120+630</f>
        <v>11938</v>
      </c>
      <c r="G121" s="614">
        <f>G120+420</f>
        <v>11728</v>
      </c>
      <c r="H121" s="614">
        <v>11350</v>
      </c>
      <c r="I121" s="614">
        <v>11650</v>
      </c>
      <c r="J121" s="614">
        <v>11650</v>
      </c>
      <c r="K121" s="445">
        <f t="shared" si="34"/>
        <v>100</v>
      </c>
      <c r="L121" s="615"/>
      <c r="M121" s="77"/>
    </row>
    <row r="122" spans="1:15" ht="22.5" customHeight="1" collapsed="1">
      <c r="A122" s="32">
        <v>1</v>
      </c>
      <c r="B122" s="20" t="s">
        <v>131</v>
      </c>
      <c r="C122" s="32" t="s">
        <v>73</v>
      </c>
      <c r="D122" s="29">
        <v>44006</v>
      </c>
      <c r="E122" s="29">
        <f>D123</f>
        <v>45290</v>
      </c>
      <c r="F122" s="29">
        <f>E123</f>
        <v>46365</v>
      </c>
      <c r="G122" s="29">
        <f>E123</f>
        <v>46365</v>
      </c>
      <c r="H122" s="29">
        <f>E123</f>
        <v>46365</v>
      </c>
      <c r="I122" s="29">
        <f>H123</f>
        <v>47571</v>
      </c>
      <c r="J122" s="29">
        <f>H123</f>
        <v>47571</v>
      </c>
      <c r="K122" s="58">
        <f t="shared" si="34"/>
        <v>100</v>
      </c>
      <c r="L122" s="3"/>
      <c r="M122" s="77"/>
    </row>
    <row r="123" spans="1:15" ht="22.5" customHeight="1">
      <c r="A123" s="32">
        <v>2</v>
      </c>
      <c r="B123" s="20" t="s">
        <v>132</v>
      </c>
      <c r="C123" s="32" t="s">
        <v>73</v>
      </c>
      <c r="D123" s="29">
        <v>45290</v>
      </c>
      <c r="E123" s="29">
        <v>46365</v>
      </c>
      <c r="F123" s="29">
        <v>47500</v>
      </c>
      <c r="G123" s="29">
        <f>G122+757</f>
        <v>47122</v>
      </c>
      <c r="H123" s="29">
        <v>47571</v>
      </c>
      <c r="I123" s="29">
        <v>48828.800000000003</v>
      </c>
      <c r="J123" s="29"/>
      <c r="K123" s="58">
        <f t="shared" si="34"/>
        <v>0</v>
      </c>
      <c r="L123" s="3"/>
      <c r="M123" s="77"/>
      <c r="O123" s="616"/>
    </row>
    <row r="124" spans="1:15" ht="22.5" customHeight="1">
      <c r="A124" s="32">
        <v>3</v>
      </c>
      <c r="B124" s="20" t="s">
        <v>339</v>
      </c>
      <c r="C124" s="32" t="s">
        <v>73</v>
      </c>
      <c r="D124" s="29">
        <f t="shared" ref="D124:I124" si="35">(D122+D123)/2</f>
        <v>44648</v>
      </c>
      <c r="E124" s="29">
        <f t="shared" si="35"/>
        <v>45827.5</v>
      </c>
      <c r="F124" s="29">
        <f t="shared" si="35"/>
        <v>46932.5</v>
      </c>
      <c r="G124" s="29">
        <f t="shared" si="35"/>
        <v>46743.5</v>
      </c>
      <c r="H124" s="29">
        <f t="shared" si="35"/>
        <v>46968</v>
      </c>
      <c r="I124" s="29">
        <f t="shared" si="35"/>
        <v>48199.9</v>
      </c>
      <c r="J124" s="29"/>
      <c r="K124" s="58">
        <f t="shared" si="34"/>
        <v>0</v>
      </c>
      <c r="L124" s="3"/>
      <c r="M124" s="77"/>
    </row>
    <row r="125" spans="1:15" ht="22.5" customHeight="1">
      <c r="A125" s="32">
        <v>4</v>
      </c>
      <c r="B125" s="48" t="s">
        <v>392</v>
      </c>
      <c r="C125" s="21" t="s">
        <v>170</v>
      </c>
      <c r="D125" s="74">
        <v>22.62</v>
      </c>
      <c r="E125" s="74">
        <v>22.92</v>
      </c>
      <c r="F125" s="74">
        <v>22</v>
      </c>
      <c r="G125" s="74">
        <v>22</v>
      </c>
      <c r="H125" s="74">
        <v>22</v>
      </c>
      <c r="I125" s="74">
        <f>'B05'!E21*10</f>
        <v>22.134283492043473</v>
      </c>
      <c r="J125" s="74"/>
      <c r="K125" s="58">
        <f t="shared" si="34"/>
        <v>0</v>
      </c>
      <c r="L125" s="3"/>
    </row>
    <row r="126" spans="1:15" s="18" customFormat="1" ht="21" customHeight="1">
      <c r="A126" s="11" t="s">
        <v>39</v>
      </c>
      <c r="B126" s="15" t="s">
        <v>163</v>
      </c>
      <c r="C126" s="11"/>
      <c r="D126" s="57"/>
      <c r="E126" s="57"/>
      <c r="F126" s="57"/>
      <c r="G126" s="57"/>
      <c r="H126" s="57"/>
      <c r="I126" s="57"/>
      <c r="J126" s="57"/>
      <c r="K126" s="66" t="str">
        <f t="shared" si="34"/>
        <v/>
      </c>
      <c r="L126" s="83"/>
    </row>
    <row r="127" spans="1:15" ht="21" customHeight="1">
      <c r="A127" s="32">
        <v>1</v>
      </c>
      <c r="B127" s="20" t="s">
        <v>393</v>
      </c>
      <c r="C127" s="32" t="s">
        <v>33</v>
      </c>
      <c r="D127" s="58">
        <v>42.86</v>
      </c>
      <c r="E127" s="58">
        <v>43</v>
      </c>
      <c r="F127" s="58">
        <v>44</v>
      </c>
      <c r="G127" s="58">
        <v>43</v>
      </c>
      <c r="H127" s="58">
        <f>F127</f>
        <v>44</v>
      </c>
      <c r="I127" s="58">
        <v>44.5</v>
      </c>
      <c r="J127" s="58"/>
      <c r="K127" s="58">
        <f t="shared" si="34"/>
        <v>0</v>
      </c>
      <c r="L127" s="3"/>
    </row>
    <row r="128" spans="1:15" ht="21" customHeight="1">
      <c r="A128" s="32"/>
      <c r="B128" s="20" t="s">
        <v>394</v>
      </c>
      <c r="C128" s="32" t="s">
        <v>33</v>
      </c>
      <c r="D128" s="58">
        <v>32</v>
      </c>
      <c r="E128" s="58">
        <v>35</v>
      </c>
      <c r="F128" s="58">
        <v>36</v>
      </c>
      <c r="G128" s="58">
        <v>35</v>
      </c>
      <c r="H128" s="58">
        <f>F128</f>
        <v>36</v>
      </c>
      <c r="I128" s="58">
        <v>36.5</v>
      </c>
      <c r="J128" s="58"/>
      <c r="K128" s="58">
        <f t="shared" si="34"/>
        <v>0</v>
      </c>
      <c r="L128" s="3"/>
    </row>
    <row r="129" spans="1:13" ht="47.25">
      <c r="A129" s="32">
        <v>2</v>
      </c>
      <c r="B129" s="20" t="s">
        <v>357</v>
      </c>
      <c r="C129" s="32" t="s">
        <v>120</v>
      </c>
      <c r="D129" s="59">
        <f>174+50</f>
        <v>224</v>
      </c>
      <c r="E129" s="59">
        <v>175</v>
      </c>
      <c r="F129" s="59">
        <v>250</v>
      </c>
      <c r="G129" s="59">
        <v>305</v>
      </c>
      <c r="H129" s="59">
        <v>290</v>
      </c>
      <c r="I129" s="59">
        <v>250</v>
      </c>
      <c r="J129" s="59"/>
      <c r="K129" s="58">
        <f t="shared" si="34"/>
        <v>0</v>
      </c>
      <c r="L129" s="3"/>
    </row>
    <row r="130" spans="1:13" ht="30.75" customHeight="1">
      <c r="A130" s="32"/>
      <c r="B130" s="20" t="s">
        <v>396</v>
      </c>
      <c r="C130" s="32" t="s">
        <v>397</v>
      </c>
      <c r="D130" s="20">
        <v>111</v>
      </c>
      <c r="E130" s="20">
        <v>115</v>
      </c>
      <c r="F130" s="20">
        <v>120</v>
      </c>
      <c r="G130" s="20">
        <v>115</v>
      </c>
      <c r="H130" s="59">
        <f>F130</f>
        <v>120</v>
      </c>
      <c r="I130" s="20">
        <v>120</v>
      </c>
      <c r="J130" s="20"/>
      <c r="K130" s="58">
        <f t="shared" si="34"/>
        <v>0</v>
      </c>
      <c r="L130" s="3"/>
    </row>
    <row r="131" spans="1:13" ht="21" customHeight="1">
      <c r="A131" s="11" t="s">
        <v>47</v>
      </c>
      <c r="B131" s="15" t="s">
        <v>288</v>
      </c>
      <c r="C131" s="32"/>
      <c r="D131" s="59"/>
      <c r="E131" s="59"/>
      <c r="F131" s="59"/>
      <c r="G131" s="59"/>
      <c r="H131" s="59"/>
      <c r="I131" s="59"/>
      <c r="J131" s="59"/>
      <c r="K131" s="66" t="str">
        <f t="shared" si="34"/>
        <v/>
      </c>
      <c r="L131" s="3"/>
    </row>
    <row r="132" spans="1:13" ht="29.25" customHeight="1">
      <c r="A132" s="60">
        <v>1</v>
      </c>
      <c r="B132" s="61" t="s">
        <v>355</v>
      </c>
      <c r="C132" s="32" t="s">
        <v>33</v>
      </c>
      <c r="D132" s="67" t="s">
        <v>358</v>
      </c>
      <c r="E132" s="88">
        <f>D133-E133</f>
        <v>3.1799999999999997</v>
      </c>
      <c r="F132" s="88">
        <v>3</v>
      </c>
      <c r="G132" s="67"/>
      <c r="H132" s="67">
        <v>2.14</v>
      </c>
      <c r="I132" s="88">
        <v>3</v>
      </c>
      <c r="J132" s="88"/>
      <c r="K132" s="58">
        <f t="shared" si="34"/>
        <v>0</v>
      </c>
      <c r="L132" s="3"/>
    </row>
    <row r="133" spans="1:13" ht="21" customHeight="1">
      <c r="A133" s="60">
        <v>2</v>
      </c>
      <c r="B133" s="61" t="s">
        <v>395</v>
      </c>
      <c r="C133" s="32" t="s">
        <v>33</v>
      </c>
      <c r="D133" s="80">
        <v>17.32</v>
      </c>
      <c r="E133" s="80">
        <v>14.14</v>
      </c>
      <c r="F133" s="80">
        <f>E133-3</f>
        <v>11.14</v>
      </c>
      <c r="G133" s="80"/>
      <c r="H133" s="80">
        <f>E133-H132</f>
        <v>12</v>
      </c>
      <c r="I133" s="80">
        <f>H133-I132</f>
        <v>9</v>
      </c>
      <c r="J133" s="80"/>
      <c r="K133" s="58">
        <f t="shared" si="34"/>
        <v>0</v>
      </c>
      <c r="L133" s="3"/>
      <c r="M133" s="89"/>
    </row>
    <row r="134" spans="1:13" s="18" customFormat="1" ht="20.25" customHeight="1">
      <c r="A134" s="11" t="s">
        <v>48</v>
      </c>
      <c r="B134" s="15" t="s">
        <v>6</v>
      </c>
      <c r="C134" s="11"/>
      <c r="D134" s="149"/>
      <c r="E134" s="149"/>
      <c r="F134" s="149"/>
      <c r="G134" s="149"/>
      <c r="H134" s="149"/>
      <c r="I134" s="149"/>
      <c r="J134" s="149"/>
      <c r="K134" s="66" t="str">
        <f t="shared" si="34"/>
        <v/>
      </c>
      <c r="L134" s="83"/>
    </row>
    <row r="135" spans="1:13" ht="23.25" customHeight="1">
      <c r="A135" s="32">
        <v>1</v>
      </c>
      <c r="B135" s="20" t="s">
        <v>389</v>
      </c>
      <c r="C135" s="32" t="s">
        <v>8</v>
      </c>
      <c r="D135" s="29">
        <f>SUM(D136:D144)</f>
        <v>13999</v>
      </c>
      <c r="E135" s="29">
        <f>SUM(E136:E144)</f>
        <v>14102</v>
      </c>
      <c r="F135" s="29">
        <f>F136+F141+F142+F144</f>
        <v>14530</v>
      </c>
      <c r="G135" s="29">
        <f>G136+G141+G142+G144</f>
        <v>14536</v>
      </c>
      <c r="H135" s="29">
        <f>H136+H141+H142+H144</f>
        <v>14495</v>
      </c>
      <c r="I135" s="29">
        <f>I136+I141+I142+I144</f>
        <v>15222</v>
      </c>
      <c r="J135" s="29">
        <f>J136+J141+J142+J144</f>
        <v>15222</v>
      </c>
      <c r="K135" s="58">
        <f t="shared" si="34"/>
        <v>100</v>
      </c>
      <c r="L135" s="3"/>
    </row>
    <row r="136" spans="1:13" ht="21" customHeight="1">
      <c r="A136" s="32" t="s">
        <v>34</v>
      </c>
      <c r="B136" s="20" t="s">
        <v>188</v>
      </c>
      <c r="C136" s="32" t="s">
        <v>8</v>
      </c>
      <c r="D136" s="151">
        <v>4325</v>
      </c>
      <c r="E136" s="151">
        <v>4401</v>
      </c>
      <c r="F136" s="151">
        <f>F137+F139</f>
        <v>4430</v>
      </c>
      <c r="G136" s="151">
        <f>G137+G139</f>
        <v>4480</v>
      </c>
      <c r="H136" s="151">
        <f>H137+H139</f>
        <v>4476</v>
      </c>
      <c r="I136" s="151">
        <f>I137+I139</f>
        <v>4570</v>
      </c>
      <c r="J136" s="151">
        <f>J137+J139</f>
        <v>4570</v>
      </c>
      <c r="K136" s="58">
        <f t="shared" si="34"/>
        <v>100</v>
      </c>
      <c r="L136" s="3"/>
      <c r="M136" s="81"/>
    </row>
    <row r="137" spans="1:13" s="42" customFormat="1" ht="21" customHeight="1">
      <c r="A137" s="39" t="s">
        <v>557</v>
      </c>
      <c r="B137" s="20" t="s">
        <v>189</v>
      </c>
      <c r="C137" s="32" t="s">
        <v>12</v>
      </c>
      <c r="D137" s="152"/>
      <c r="E137" s="151"/>
      <c r="F137" s="151">
        <v>450</v>
      </c>
      <c r="G137" s="151">
        <v>516</v>
      </c>
      <c r="H137" s="151">
        <v>516</v>
      </c>
      <c r="I137" s="151">
        <v>520</v>
      </c>
      <c r="J137" s="151">
        <v>520</v>
      </c>
      <c r="K137" s="58">
        <f t="shared" si="34"/>
        <v>100</v>
      </c>
      <c r="L137" s="84"/>
      <c r="M137" s="82"/>
    </row>
    <row r="138" spans="1:13" s="42" customFormat="1" ht="21" customHeight="1">
      <c r="A138" s="39"/>
      <c r="B138" s="62" t="s">
        <v>849</v>
      </c>
      <c r="C138" s="32" t="s">
        <v>12</v>
      </c>
      <c r="D138" s="152"/>
      <c r="E138" s="151"/>
      <c r="F138" s="151">
        <v>350</v>
      </c>
      <c r="G138" s="151">
        <v>365</v>
      </c>
      <c r="H138" s="151">
        <v>365</v>
      </c>
      <c r="I138" s="151">
        <v>361</v>
      </c>
      <c r="J138" s="151">
        <v>361</v>
      </c>
      <c r="K138" s="58">
        <f t="shared" si="34"/>
        <v>100</v>
      </c>
      <c r="L138" s="84"/>
      <c r="M138" s="82"/>
    </row>
    <row r="139" spans="1:13" s="42" customFormat="1" ht="21" customHeight="1">
      <c r="A139" s="32" t="s">
        <v>557</v>
      </c>
      <c r="B139" s="20" t="s">
        <v>190</v>
      </c>
      <c r="C139" s="32" t="s">
        <v>12</v>
      </c>
      <c r="D139" s="152"/>
      <c r="E139" s="151"/>
      <c r="F139" s="151">
        <v>3980</v>
      </c>
      <c r="G139" s="151">
        <v>3964</v>
      </c>
      <c r="H139" s="151">
        <v>3960</v>
      </c>
      <c r="I139" s="151">
        <v>4050</v>
      </c>
      <c r="J139" s="151">
        <v>4050</v>
      </c>
      <c r="K139" s="58">
        <f t="shared" si="34"/>
        <v>100</v>
      </c>
      <c r="L139" s="84"/>
      <c r="M139" s="82"/>
    </row>
    <row r="140" spans="1:13" s="42" customFormat="1" ht="21" customHeight="1">
      <c r="A140" s="32"/>
      <c r="B140" s="62" t="s">
        <v>849</v>
      </c>
      <c r="C140" s="32" t="s">
        <v>12</v>
      </c>
      <c r="D140" s="152"/>
      <c r="E140" s="151"/>
      <c r="F140" s="151"/>
      <c r="G140" s="151"/>
      <c r="H140" s="151"/>
      <c r="I140" s="151">
        <f>I139</f>
        <v>4050</v>
      </c>
      <c r="J140" s="151">
        <f>J139</f>
        <v>4050</v>
      </c>
      <c r="K140" s="58">
        <f t="shared" si="34"/>
        <v>100</v>
      </c>
      <c r="L140" s="84"/>
      <c r="M140" s="82"/>
    </row>
    <row r="141" spans="1:13" ht="21" customHeight="1">
      <c r="A141" s="32" t="s">
        <v>35</v>
      </c>
      <c r="B141" s="20" t="s">
        <v>272</v>
      </c>
      <c r="C141" s="32" t="s">
        <v>8</v>
      </c>
      <c r="D141" s="151">
        <v>5412</v>
      </c>
      <c r="E141" s="151">
        <v>5400</v>
      </c>
      <c r="F141" s="151">
        <v>5700</v>
      </c>
      <c r="G141" s="151">
        <v>5691</v>
      </c>
      <c r="H141" s="151">
        <v>5682</v>
      </c>
      <c r="I141" s="151">
        <v>6079</v>
      </c>
      <c r="J141" s="151">
        <v>6079</v>
      </c>
      <c r="K141" s="58">
        <f t="shared" si="34"/>
        <v>100</v>
      </c>
      <c r="L141" s="3"/>
      <c r="M141" s="81"/>
    </row>
    <row r="142" spans="1:13" ht="21" customHeight="1">
      <c r="A142" s="32" t="s">
        <v>36</v>
      </c>
      <c r="B142" s="20" t="s">
        <v>273</v>
      </c>
      <c r="C142" s="32" t="s">
        <v>8</v>
      </c>
      <c r="D142" s="151">
        <v>3521</v>
      </c>
      <c r="E142" s="151">
        <v>3560</v>
      </c>
      <c r="F142" s="151">
        <v>3570</v>
      </c>
      <c r="G142" s="151">
        <v>3558</v>
      </c>
      <c r="H142" s="151">
        <f>3457+73</f>
        <v>3530</v>
      </c>
      <c r="I142" s="151">
        <v>3653</v>
      </c>
      <c r="J142" s="151">
        <v>3653</v>
      </c>
      <c r="K142" s="58">
        <f t="shared" si="34"/>
        <v>100</v>
      </c>
      <c r="L142" s="3"/>
    </row>
    <row r="143" spans="1:13" ht="21" customHeight="1">
      <c r="A143" s="32"/>
      <c r="B143" s="62" t="s">
        <v>850</v>
      </c>
      <c r="C143" s="32"/>
      <c r="D143" s="151"/>
      <c r="E143" s="151"/>
      <c r="F143" s="151"/>
      <c r="G143" s="151"/>
      <c r="H143" s="151"/>
      <c r="I143" s="151">
        <v>3593</v>
      </c>
      <c r="J143" s="151">
        <v>3593</v>
      </c>
      <c r="K143" s="58"/>
      <c r="L143" s="3"/>
      <c r="M143" s="81"/>
    </row>
    <row r="144" spans="1:13" ht="21" customHeight="1">
      <c r="A144" s="32" t="s">
        <v>53</v>
      </c>
      <c r="B144" s="20" t="s">
        <v>342</v>
      </c>
      <c r="C144" s="32" t="s">
        <v>8</v>
      </c>
      <c r="D144" s="151">
        <v>741</v>
      </c>
      <c r="E144" s="151">
        <v>741</v>
      </c>
      <c r="F144" s="151">
        <v>830</v>
      </c>
      <c r="G144" s="151">
        <v>807</v>
      </c>
      <c r="H144" s="151">
        <v>807</v>
      </c>
      <c r="I144" s="151">
        <v>920</v>
      </c>
      <c r="J144" s="151">
        <v>920</v>
      </c>
      <c r="K144" s="58">
        <f t="shared" ref="K144:K191" si="36">IFERROR(J144/I144%,"")</f>
        <v>100.00000000000001</v>
      </c>
      <c r="L144" s="3"/>
      <c r="M144" s="81"/>
    </row>
    <row r="145" spans="1:12" ht="22.5" hidden="1" customHeight="1" outlineLevel="1">
      <c r="A145" s="32"/>
      <c r="B145" s="20" t="s">
        <v>398</v>
      </c>
      <c r="C145" s="32"/>
      <c r="D145" s="13">
        <f t="shared" ref="D145:I145" si="37">SUM(D147:D151)</f>
        <v>37</v>
      </c>
      <c r="E145" s="13">
        <f t="shared" si="37"/>
        <v>38</v>
      </c>
      <c r="F145" s="13">
        <f t="shared" si="37"/>
        <v>38</v>
      </c>
      <c r="G145" s="13">
        <f t="shared" si="37"/>
        <v>38</v>
      </c>
      <c r="H145" s="13">
        <f t="shared" si="37"/>
        <v>38</v>
      </c>
      <c r="I145" s="13">
        <f t="shared" si="37"/>
        <v>38</v>
      </c>
      <c r="J145" s="13">
        <f>SUM(J147:J151)</f>
        <v>38</v>
      </c>
      <c r="K145" s="58">
        <f t="shared" si="36"/>
        <v>100</v>
      </c>
      <c r="L145" s="3"/>
    </row>
    <row r="146" spans="1:12" ht="22.5" hidden="1" customHeight="1" outlineLevel="1">
      <c r="A146" s="32"/>
      <c r="B146" s="62" t="s">
        <v>341</v>
      </c>
      <c r="C146" s="32"/>
      <c r="D146" s="13"/>
      <c r="E146" s="13"/>
      <c r="F146" s="13"/>
      <c r="G146" s="13"/>
      <c r="H146" s="13"/>
      <c r="I146" s="13"/>
      <c r="J146" s="13"/>
      <c r="K146" s="58" t="str">
        <f t="shared" si="36"/>
        <v/>
      </c>
      <c r="L146" s="3"/>
    </row>
    <row r="147" spans="1:12" ht="22.5" hidden="1" customHeight="1" outlineLevel="1">
      <c r="A147" s="32"/>
      <c r="B147" s="20" t="s">
        <v>343</v>
      </c>
      <c r="C147" s="32" t="s">
        <v>143</v>
      </c>
      <c r="D147" s="13">
        <v>13</v>
      </c>
      <c r="E147" s="13">
        <v>13</v>
      </c>
      <c r="F147" s="13">
        <f t="shared" ref="F147:H151" si="38">E147</f>
        <v>13</v>
      </c>
      <c r="G147" s="13">
        <f t="shared" si="38"/>
        <v>13</v>
      </c>
      <c r="H147" s="13">
        <f t="shared" si="38"/>
        <v>13</v>
      </c>
      <c r="I147" s="13">
        <f t="shared" ref="I147:J151" si="39">E147</f>
        <v>13</v>
      </c>
      <c r="J147" s="13">
        <f t="shared" si="39"/>
        <v>13</v>
      </c>
      <c r="K147" s="58">
        <f t="shared" si="36"/>
        <v>100</v>
      </c>
      <c r="L147" s="3"/>
    </row>
    <row r="148" spans="1:12" ht="22.5" hidden="1" customHeight="1" outlineLevel="1">
      <c r="A148" s="32"/>
      <c r="B148" s="20" t="s">
        <v>344</v>
      </c>
      <c r="C148" s="32" t="s">
        <v>143</v>
      </c>
      <c r="D148" s="13">
        <v>13</v>
      </c>
      <c r="E148" s="13">
        <v>14</v>
      </c>
      <c r="F148" s="13">
        <f t="shared" si="38"/>
        <v>14</v>
      </c>
      <c r="G148" s="13">
        <f t="shared" si="38"/>
        <v>14</v>
      </c>
      <c r="H148" s="13">
        <f t="shared" si="38"/>
        <v>14</v>
      </c>
      <c r="I148" s="13">
        <f t="shared" si="39"/>
        <v>14</v>
      </c>
      <c r="J148" s="13">
        <f t="shared" si="39"/>
        <v>14</v>
      </c>
      <c r="K148" s="58">
        <f t="shared" si="36"/>
        <v>99.999999999999986</v>
      </c>
      <c r="L148" s="3"/>
    </row>
    <row r="149" spans="1:12" ht="22.5" hidden="1" customHeight="1" outlineLevel="1">
      <c r="A149" s="32"/>
      <c r="B149" s="20" t="s">
        <v>345</v>
      </c>
      <c r="C149" s="32" t="s">
        <v>143</v>
      </c>
      <c r="D149" s="13">
        <v>9</v>
      </c>
      <c r="E149" s="13">
        <v>9</v>
      </c>
      <c r="F149" s="13">
        <f t="shared" si="38"/>
        <v>9</v>
      </c>
      <c r="G149" s="13">
        <f t="shared" si="38"/>
        <v>9</v>
      </c>
      <c r="H149" s="13">
        <f t="shared" si="38"/>
        <v>9</v>
      </c>
      <c r="I149" s="13">
        <f t="shared" si="39"/>
        <v>9</v>
      </c>
      <c r="J149" s="13">
        <f t="shared" si="39"/>
        <v>9</v>
      </c>
      <c r="K149" s="58">
        <f t="shared" si="36"/>
        <v>100</v>
      </c>
      <c r="L149" s="3"/>
    </row>
    <row r="150" spans="1:12" ht="22.5" hidden="1" customHeight="1" outlineLevel="1">
      <c r="A150" s="32"/>
      <c r="B150" s="20" t="s">
        <v>346</v>
      </c>
      <c r="C150" s="32" t="s">
        <v>143</v>
      </c>
      <c r="D150" s="13">
        <v>1</v>
      </c>
      <c r="E150" s="13">
        <v>1</v>
      </c>
      <c r="F150" s="13">
        <f t="shared" si="38"/>
        <v>1</v>
      </c>
      <c r="G150" s="13">
        <f t="shared" si="38"/>
        <v>1</v>
      </c>
      <c r="H150" s="13">
        <f t="shared" si="38"/>
        <v>1</v>
      </c>
      <c r="I150" s="13">
        <f t="shared" si="39"/>
        <v>1</v>
      </c>
      <c r="J150" s="13">
        <f t="shared" si="39"/>
        <v>1</v>
      </c>
      <c r="K150" s="58">
        <f t="shared" si="36"/>
        <v>100</v>
      </c>
      <c r="L150" s="3"/>
    </row>
    <row r="151" spans="1:12" ht="22.5" hidden="1" customHeight="1" outlineLevel="1">
      <c r="A151" s="32"/>
      <c r="B151" s="20" t="s">
        <v>347</v>
      </c>
      <c r="C151" s="32" t="s">
        <v>143</v>
      </c>
      <c r="D151" s="13">
        <v>1</v>
      </c>
      <c r="E151" s="13">
        <v>1</v>
      </c>
      <c r="F151" s="13">
        <f t="shared" si="38"/>
        <v>1</v>
      </c>
      <c r="G151" s="13">
        <f t="shared" si="38"/>
        <v>1</v>
      </c>
      <c r="H151" s="13">
        <f t="shared" si="38"/>
        <v>1</v>
      </c>
      <c r="I151" s="13">
        <f t="shared" si="39"/>
        <v>1</v>
      </c>
      <c r="J151" s="13">
        <f t="shared" si="39"/>
        <v>1</v>
      </c>
      <c r="K151" s="58">
        <f t="shared" si="36"/>
        <v>100</v>
      </c>
      <c r="L151" s="3"/>
    </row>
    <row r="152" spans="1:12" ht="22.5" hidden="1" customHeight="1" outlineLevel="1">
      <c r="A152" s="32"/>
      <c r="B152" s="20" t="s">
        <v>348</v>
      </c>
      <c r="C152" s="32" t="s">
        <v>143</v>
      </c>
      <c r="D152" s="13">
        <f t="shared" ref="D152:I152" si="40">SUM(D154:D158)</f>
        <v>20</v>
      </c>
      <c r="E152" s="13">
        <f t="shared" si="40"/>
        <v>21</v>
      </c>
      <c r="F152" s="13">
        <f t="shared" si="40"/>
        <v>25</v>
      </c>
      <c r="G152" s="13">
        <f t="shared" si="40"/>
        <v>21</v>
      </c>
      <c r="H152" s="13">
        <f t="shared" si="40"/>
        <v>21</v>
      </c>
      <c r="I152" s="13">
        <f t="shared" si="40"/>
        <v>24</v>
      </c>
      <c r="J152" s="13">
        <f>SUM(J154:J158)</f>
        <v>24</v>
      </c>
      <c r="K152" s="58">
        <f t="shared" si="36"/>
        <v>100</v>
      </c>
      <c r="L152" s="3"/>
    </row>
    <row r="153" spans="1:12" ht="22.5" hidden="1" customHeight="1" outlineLevel="1">
      <c r="A153" s="32"/>
      <c r="B153" s="62" t="s">
        <v>341</v>
      </c>
      <c r="C153" s="32"/>
      <c r="D153" s="13"/>
      <c r="E153" s="13"/>
      <c r="F153" s="13"/>
      <c r="G153" s="13"/>
      <c r="H153" s="13"/>
      <c r="I153" s="13"/>
      <c r="J153" s="13"/>
      <c r="K153" s="58" t="str">
        <f t="shared" si="36"/>
        <v/>
      </c>
      <c r="L153" s="3"/>
    </row>
    <row r="154" spans="1:12" ht="22.5" hidden="1" customHeight="1" outlineLevel="1">
      <c r="A154" s="32"/>
      <c r="B154" s="20" t="s">
        <v>343</v>
      </c>
      <c r="C154" s="32" t="s">
        <v>143</v>
      </c>
      <c r="D154" s="13">
        <v>5</v>
      </c>
      <c r="E154" s="13">
        <v>6</v>
      </c>
      <c r="F154" s="13">
        <v>8</v>
      </c>
      <c r="G154" s="13">
        <v>6</v>
      </c>
      <c r="H154" s="13">
        <v>6</v>
      </c>
      <c r="I154" s="13">
        <v>7</v>
      </c>
      <c r="J154" s="13">
        <v>7</v>
      </c>
      <c r="K154" s="58">
        <f t="shared" si="36"/>
        <v>99.999999999999986</v>
      </c>
      <c r="L154" s="3"/>
    </row>
    <row r="155" spans="1:12" ht="22.5" hidden="1" customHeight="1" outlineLevel="1">
      <c r="A155" s="32"/>
      <c r="B155" s="20" t="s">
        <v>344</v>
      </c>
      <c r="C155" s="32" t="s">
        <v>143</v>
      </c>
      <c r="D155" s="13">
        <v>9</v>
      </c>
      <c r="E155" s="13">
        <v>9</v>
      </c>
      <c r="F155" s="13">
        <v>10</v>
      </c>
      <c r="G155" s="13">
        <v>9</v>
      </c>
      <c r="H155" s="13">
        <v>9</v>
      </c>
      <c r="I155" s="13">
        <v>10</v>
      </c>
      <c r="J155" s="13">
        <v>10</v>
      </c>
      <c r="K155" s="58">
        <f t="shared" si="36"/>
        <v>100</v>
      </c>
      <c r="L155" s="3"/>
    </row>
    <row r="156" spans="1:12" ht="22.5" hidden="1" customHeight="1" outlineLevel="1">
      <c r="A156" s="32"/>
      <c r="B156" s="20" t="s">
        <v>345</v>
      </c>
      <c r="C156" s="32" t="s">
        <v>143</v>
      </c>
      <c r="D156" s="13">
        <v>4</v>
      </c>
      <c r="E156" s="13">
        <v>4</v>
      </c>
      <c r="F156" s="13">
        <v>5</v>
      </c>
      <c r="G156" s="13">
        <v>4</v>
      </c>
      <c r="H156" s="13">
        <v>4</v>
      </c>
      <c r="I156" s="13">
        <v>5</v>
      </c>
      <c r="J156" s="13">
        <v>5</v>
      </c>
      <c r="K156" s="58">
        <f t="shared" si="36"/>
        <v>100</v>
      </c>
      <c r="L156" s="3"/>
    </row>
    <row r="157" spans="1:12" ht="22.5" hidden="1" customHeight="1" outlineLevel="1">
      <c r="A157" s="32"/>
      <c r="B157" s="20" t="s">
        <v>346</v>
      </c>
      <c r="C157" s="32" t="s">
        <v>143</v>
      </c>
      <c r="D157" s="13">
        <v>1</v>
      </c>
      <c r="E157" s="13">
        <v>1</v>
      </c>
      <c r="F157" s="13">
        <v>1</v>
      </c>
      <c r="G157" s="13">
        <v>1</v>
      </c>
      <c r="H157" s="13">
        <v>1</v>
      </c>
      <c r="I157" s="13">
        <v>1</v>
      </c>
      <c r="J157" s="13">
        <v>1</v>
      </c>
      <c r="K157" s="58">
        <f t="shared" si="36"/>
        <v>100</v>
      </c>
      <c r="L157" s="3"/>
    </row>
    <row r="158" spans="1:12" ht="22.5" hidden="1" customHeight="1" outlineLevel="1">
      <c r="A158" s="32"/>
      <c r="B158" s="20" t="s">
        <v>347</v>
      </c>
      <c r="C158" s="32" t="s">
        <v>143</v>
      </c>
      <c r="D158" s="13">
        <v>1</v>
      </c>
      <c r="E158" s="13">
        <v>1</v>
      </c>
      <c r="F158" s="13">
        <v>1</v>
      </c>
      <c r="G158" s="13">
        <v>1</v>
      </c>
      <c r="H158" s="13">
        <v>1</v>
      </c>
      <c r="I158" s="13">
        <v>1</v>
      </c>
      <c r="J158" s="13">
        <v>1</v>
      </c>
      <c r="K158" s="58">
        <f t="shared" si="36"/>
        <v>100</v>
      </c>
      <c r="L158" s="3"/>
    </row>
    <row r="159" spans="1:12" ht="22.5" customHeight="1" collapsed="1">
      <c r="A159" s="32">
        <v>2</v>
      </c>
      <c r="B159" s="20" t="s">
        <v>144</v>
      </c>
      <c r="C159" s="32" t="s">
        <v>33</v>
      </c>
      <c r="D159" s="74">
        <f t="shared" ref="D159:I159" si="41">D152/D145%</f>
        <v>54.054054054054056</v>
      </c>
      <c r="E159" s="55">
        <f t="shared" si="41"/>
        <v>55.263157894736842</v>
      </c>
      <c r="F159" s="55">
        <f t="shared" si="41"/>
        <v>65.78947368421052</v>
      </c>
      <c r="G159" s="55">
        <f t="shared" si="41"/>
        <v>55.263157894736842</v>
      </c>
      <c r="H159" s="55">
        <f t="shared" si="41"/>
        <v>55.263157894736842</v>
      </c>
      <c r="I159" s="55">
        <f t="shared" si="41"/>
        <v>63.157894736842103</v>
      </c>
      <c r="J159" s="55">
        <f>J152/J145%</f>
        <v>63.157894736842103</v>
      </c>
      <c r="K159" s="58">
        <f t="shared" si="36"/>
        <v>100</v>
      </c>
      <c r="L159" s="3"/>
    </row>
    <row r="160" spans="1:12" ht="22.5" hidden="1" customHeight="1" outlineLevel="1">
      <c r="A160" s="32"/>
      <c r="B160" s="62" t="s">
        <v>341</v>
      </c>
      <c r="C160" s="32"/>
      <c r="D160" s="55"/>
      <c r="E160" s="55"/>
      <c r="F160" s="55"/>
      <c r="G160" s="55"/>
      <c r="H160" s="55"/>
      <c r="I160" s="55"/>
      <c r="J160" s="55"/>
      <c r="K160" s="58" t="str">
        <f t="shared" si="36"/>
        <v/>
      </c>
      <c r="L160" s="3"/>
    </row>
    <row r="161" spans="1:12" ht="22.5" hidden="1" customHeight="1" outlineLevel="1">
      <c r="A161" s="32"/>
      <c r="B161" s="20" t="s">
        <v>343</v>
      </c>
      <c r="C161" s="32" t="s">
        <v>33</v>
      </c>
      <c r="D161" s="55">
        <f t="shared" ref="D161:I165" si="42">D154/D147%</f>
        <v>38.46153846153846</v>
      </c>
      <c r="E161" s="55">
        <f t="shared" si="42"/>
        <v>46.153846153846153</v>
      </c>
      <c r="F161" s="55">
        <f t="shared" si="42"/>
        <v>61.538461538461533</v>
      </c>
      <c r="G161" s="55">
        <f t="shared" si="42"/>
        <v>46.153846153846153</v>
      </c>
      <c r="H161" s="55">
        <f t="shared" si="42"/>
        <v>46.153846153846153</v>
      </c>
      <c r="I161" s="55">
        <f t="shared" si="42"/>
        <v>53.846153846153847</v>
      </c>
      <c r="J161" s="55">
        <f>J154/J147%</f>
        <v>53.846153846153847</v>
      </c>
      <c r="K161" s="58">
        <f t="shared" si="36"/>
        <v>100</v>
      </c>
      <c r="L161" s="3"/>
    </row>
    <row r="162" spans="1:12" ht="22.5" hidden="1" customHeight="1" outlineLevel="1">
      <c r="A162" s="32"/>
      <c r="B162" s="20" t="s">
        <v>344</v>
      </c>
      <c r="C162" s="32" t="s">
        <v>33</v>
      </c>
      <c r="D162" s="55">
        <f t="shared" si="42"/>
        <v>69.230769230769226</v>
      </c>
      <c r="E162" s="55">
        <f t="shared" si="42"/>
        <v>64.285714285714278</v>
      </c>
      <c r="F162" s="55">
        <f t="shared" si="42"/>
        <v>71.428571428571416</v>
      </c>
      <c r="G162" s="55">
        <f t="shared" si="42"/>
        <v>64.285714285714278</v>
      </c>
      <c r="H162" s="55">
        <f t="shared" si="42"/>
        <v>64.285714285714278</v>
      </c>
      <c r="I162" s="55">
        <f t="shared" si="42"/>
        <v>71.428571428571416</v>
      </c>
      <c r="J162" s="55">
        <f>J155/J148%</f>
        <v>71.428571428571416</v>
      </c>
      <c r="K162" s="58">
        <f t="shared" si="36"/>
        <v>100</v>
      </c>
      <c r="L162" s="3"/>
    </row>
    <row r="163" spans="1:12" ht="22.5" hidden="1" customHeight="1" outlineLevel="1">
      <c r="A163" s="32"/>
      <c r="B163" s="20" t="s">
        <v>345</v>
      </c>
      <c r="C163" s="32" t="s">
        <v>33</v>
      </c>
      <c r="D163" s="55">
        <f t="shared" si="42"/>
        <v>44.444444444444443</v>
      </c>
      <c r="E163" s="55">
        <f t="shared" si="42"/>
        <v>44.444444444444443</v>
      </c>
      <c r="F163" s="55">
        <f t="shared" si="42"/>
        <v>55.555555555555557</v>
      </c>
      <c r="G163" s="55">
        <f t="shared" si="42"/>
        <v>44.444444444444443</v>
      </c>
      <c r="H163" s="55">
        <f t="shared" si="42"/>
        <v>44.444444444444443</v>
      </c>
      <c r="I163" s="55">
        <f t="shared" si="42"/>
        <v>55.555555555555557</v>
      </c>
      <c r="J163" s="55">
        <f>J156/J149%</f>
        <v>55.555555555555557</v>
      </c>
      <c r="K163" s="58">
        <f t="shared" si="36"/>
        <v>100</v>
      </c>
      <c r="L163" s="3"/>
    </row>
    <row r="164" spans="1:12" ht="22.5" hidden="1" customHeight="1" outlineLevel="1">
      <c r="A164" s="32"/>
      <c r="B164" s="20" t="s">
        <v>346</v>
      </c>
      <c r="C164" s="32" t="s">
        <v>33</v>
      </c>
      <c r="D164" s="55">
        <f t="shared" si="42"/>
        <v>100</v>
      </c>
      <c r="E164" s="55">
        <f t="shared" si="42"/>
        <v>100</v>
      </c>
      <c r="F164" s="55">
        <f t="shared" si="42"/>
        <v>100</v>
      </c>
      <c r="G164" s="55">
        <f t="shared" si="42"/>
        <v>100</v>
      </c>
      <c r="H164" s="55">
        <f t="shared" si="42"/>
        <v>100</v>
      </c>
      <c r="I164" s="55">
        <f t="shared" si="42"/>
        <v>100</v>
      </c>
      <c r="J164" s="55">
        <f>J157/J150%</f>
        <v>100</v>
      </c>
      <c r="K164" s="58">
        <f t="shared" si="36"/>
        <v>100</v>
      </c>
      <c r="L164" s="3"/>
    </row>
    <row r="165" spans="1:12" ht="22.5" hidden="1" customHeight="1" outlineLevel="1">
      <c r="A165" s="32"/>
      <c r="B165" s="20" t="s">
        <v>347</v>
      </c>
      <c r="C165" s="32" t="s">
        <v>33</v>
      </c>
      <c r="D165" s="55">
        <f t="shared" si="42"/>
        <v>100</v>
      </c>
      <c r="E165" s="55">
        <f t="shared" si="42"/>
        <v>100</v>
      </c>
      <c r="F165" s="55">
        <f t="shared" si="42"/>
        <v>100</v>
      </c>
      <c r="G165" s="55">
        <f t="shared" si="42"/>
        <v>100</v>
      </c>
      <c r="H165" s="55">
        <f t="shared" si="42"/>
        <v>100</v>
      </c>
      <c r="I165" s="55">
        <f t="shared" si="42"/>
        <v>100</v>
      </c>
      <c r="J165" s="55">
        <f>J158/J151%</f>
        <v>100</v>
      </c>
      <c r="K165" s="58">
        <f t="shared" si="36"/>
        <v>100</v>
      </c>
      <c r="L165" s="3"/>
    </row>
    <row r="166" spans="1:12" ht="22.5" customHeight="1" collapsed="1">
      <c r="A166" s="32">
        <v>3</v>
      </c>
      <c r="B166" s="48" t="s">
        <v>390</v>
      </c>
      <c r="C166" s="32"/>
      <c r="D166" s="13"/>
      <c r="E166" s="13"/>
      <c r="F166" s="13"/>
      <c r="G166" s="13"/>
      <c r="H166" s="13"/>
      <c r="I166" s="13"/>
      <c r="J166" s="13"/>
      <c r="K166" s="58" t="str">
        <f t="shared" si="36"/>
        <v/>
      </c>
      <c r="L166" s="3"/>
    </row>
    <row r="167" spans="1:12" ht="22.5" customHeight="1">
      <c r="A167" s="73" t="s">
        <v>34</v>
      </c>
      <c r="B167" s="68" t="s">
        <v>188</v>
      </c>
      <c r="C167" s="32" t="s">
        <v>33</v>
      </c>
      <c r="D167" s="153"/>
      <c r="E167" s="153"/>
      <c r="F167" s="153"/>
      <c r="G167" s="153"/>
      <c r="H167" s="153"/>
      <c r="I167" s="153"/>
      <c r="J167" s="153"/>
      <c r="K167" s="58" t="str">
        <f t="shared" si="36"/>
        <v/>
      </c>
      <c r="L167" s="3"/>
    </row>
    <row r="168" spans="1:12" ht="22.5" customHeight="1">
      <c r="A168" s="73"/>
      <c r="B168" s="70" t="s">
        <v>189</v>
      </c>
      <c r="C168" s="32" t="s">
        <v>33</v>
      </c>
      <c r="D168" s="153">
        <v>11.7</v>
      </c>
      <c r="E168" s="153">
        <v>12.1</v>
      </c>
      <c r="F168" s="153">
        <v>12.5</v>
      </c>
      <c r="G168" s="153">
        <v>17.34</v>
      </c>
      <c r="H168" s="153">
        <v>17.34</v>
      </c>
      <c r="I168" s="153">
        <v>17.5</v>
      </c>
      <c r="J168" s="153">
        <v>17.5</v>
      </c>
      <c r="K168" s="58">
        <f t="shared" si="36"/>
        <v>100</v>
      </c>
      <c r="L168" s="3"/>
    </row>
    <row r="169" spans="1:12" ht="22.5" customHeight="1">
      <c r="A169" s="73"/>
      <c r="B169" s="70" t="s">
        <v>190</v>
      </c>
      <c r="C169" s="32" t="s">
        <v>33</v>
      </c>
      <c r="D169" s="153">
        <v>97.9</v>
      </c>
      <c r="E169" s="153">
        <v>97.2</v>
      </c>
      <c r="F169" s="153">
        <v>98</v>
      </c>
      <c r="G169" s="153">
        <v>97.6</v>
      </c>
      <c r="H169" s="153">
        <v>97.6</v>
      </c>
      <c r="I169" s="153">
        <v>98</v>
      </c>
      <c r="J169" s="153">
        <v>98</v>
      </c>
      <c r="K169" s="58">
        <f t="shared" si="36"/>
        <v>100</v>
      </c>
      <c r="L169" s="3"/>
    </row>
    <row r="170" spans="1:12" ht="22.5" customHeight="1">
      <c r="A170" s="73" t="s">
        <v>35</v>
      </c>
      <c r="B170" s="68" t="s">
        <v>272</v>
      </c>
      <c r="C170" s="32" t="s">
        <v>33</v>
      </c>
      <c r="D170" s="153">
        <v>99.9</v>
      </c>
      <c r="E170" s="153">
        <v>100</v>
      </c>
      <c r="F170" s="153">
        <v>100</v>
      </c>
      <c r="G170" s="153">
        <v>100</v>
      </c>
      <c r="H170" s="153">
        <v>100</v>
      </c>
      <c r="I170" s="153">
        <v>100</v>
      </c>
      <c r="J170" s="153">
        <v>100</v>
      </c>
      <c r="K170" s="58">
        <f t="shared" si="36"/>
        <v>100</v>
      </c>
      <c r="L170" s="3"/>
    </row>
    <row r="171" spans="1:12" ht="22.5" customHeight="1">
      <c r="A171" s="73" t="s">
        <v>36</v>
      </c>
      <c r="B171" s="68" t="s">
        <v>391</v>
      </c>
      <c r="C171" s="32" t="s">
        <v>33</v>
      </c>
      <c r="D171" s="153">
        <v>96.2</v>
      </c>
      <c r="E171" s="153">
        <v>99.8</v>
      </c>
      <c r="F171" s="153">
        <v>100</v>
      </c>
      <c r="G171" s="153">
        <v>99.8</v>
      </c>
      <c r="H171" s="153">
        <v>99.9</v>
      </c>
      <c r="I171" s="153">
        <v>99.9</v>
      </c>
      <c r="J171" s="153">
        <v>99.9</v>
      </c>
      <c r="K171" s="58">
        <f t="shared" si="36"/>
        <v>100</v>
      </c>
      <c r="L171" s="3"/>
    </row>
    <row r="172" spans="1:12" ht="22.5" customHeight="1">
      <c r="A172" s="11" t="s">
        <v>50</v>
      </c>
      <c r="B172" s="15" t="s">
        <v>350</v>
      </c>
      <c r="C172" s="32"/>
      <c r="D172" s="13"/>
      <c r="E172" s="13"/>
      <c r="F172" s="13"/>
      <c r="G172" s="13"/>
      <c r="H172" s="13"/>
      <c r="I172" s="13"/>
      <c r="J172" s="13"/>
      <c r="K172" s="66" t="str">
        <f t="shared" si="36"/>
        <v/>
      </c>
      <c r="L172" s="3"/>
    </row>
    <row r="173" spans="1:12" ht="22.5" customHeight="1">
      <c r="A173" s="32">
        <v>1</v>
      </c>
      <c r="B173" s="20" t="s">
        <v>351</v>
      </c>
      <c r="C173" s="32" t="s">
        <v>145</v>
      </c>
      <c r="D173" s="13">
        <f t="shared" ref="D173:J173" si="43">D174+D175</f>
        <v>130</v>
      </c>
      <c r="E173" s="13">
        <f t="shared" si="43"/>
        <v>130</v>
      </c>
      <c r="F173" s="13">
        <f t="shared" si="43"/>
        <v>130</v>
      </c>
      <c r="G173" s="13">
        <f t="shared" si="43"/>
        <v>130</v>
      </c>
      <c r="H173" s="13">
        <f t="shared" si="43"/>
        <v>130</v>
      </c>
      <c r="I173" s="13">
        <f t="shared" si="43"/>
        <v>175</v>
      </c>
      <c r="J173" s="13">
        <f t="shared" si="43"/>
        <v>175</v>
      </c>
      <c r="K173" s="58">
        <f t="shared" si="36"/>
        <v>100</v>
      </c>
      <c r="L173" s="3"/>
    </row>
    <row r="174" spans="1:12" ht="22.5" customHeight="1">
      <c r="A174" s="32"/>
      <c r="B174" s="20" t="s">
        <v>851</v>
      </c>
      <c r="C174" s="32" t="s">
        <v>145</v>
      </c>
      <c r="D174" s="13">
        <v>85</v>
      </c>
      <c r="E174" s="13">
        <v>85</v>
      </c>
      <c r="F174" s="13">
        <v>85</v>
      </c>
      <c r="G174" s="13">
        <v>85</v>
      </c>
      <c r="H174" s="13">
        <v>85</v>
      </c>
      <c r="I174" s="13">
        <v>130</v>
      </c>
      <c r="J174" s="13">
        <v>130</v>
      </c>
      <c r="K174" s="58">
        <f t="shared" si="36"/>
        <v>100</v>
      </c>
      <c r="L174" s="3"/>
    </row>
    <row r="175" spans="1:12" ht="22.5" customHeight="1">
      <c r="A175" s="32"/>
      <c r="B175" s="20" t="s">
        <v>852</v>
      </c>
      <c r="C175" s="32" t="s">
        <v>145</v>
      </c>
      <c r="D175" s="13">
        <v>45</v>
      </c>
      <c r="E175" s="13">
        <v>45</v>
      </c>
      <c r="F175" s="13">
        <v>45</v>
      </c>
      <c r="G175" s="13">
        <v>45</v>
      </c>
      <c r="H175" s="13">
        <v>45</v>
      </c>
      <c r="I175" s="13">
        <v>45</v>
      </c>
      <c r="J175" s="13">
        <v>45</v>
      </c>
      <c r="K175" s="58">
        <f t="shared" si="36"/>
        <v>100</v>
      </c>
      <c r="L175" s="3"/>
    </row>
    <row r="176" spans="1:12" ht="24" customHeight="1">
      <c r="A176" s="32">
        <v>2</v>
      </c>
      <c r="B176" s="20" t="s">
        <v>451</v>
      </c>
      <c r="C176" s="32" t="s">
        <v>349</v>
      </c>
      <c r="D176" s="13">
        <v>2</v>
      </c>
      <c r="E176" s="13">
        <v>4</v>
      </c>
      <c r="F176" s="13">
        <v>7</v>
      </c>
      <c r="G176" s="13">
        <v>4</v>
      </c>
      <c r="H176" s="13">
        <v>7</v>
      </c>
      <c r="I176" s="13">
        <v>7</v>
      </c>
      <c r="J176" s="13">
        <v>7</v>
      </c>
      <c r="K176" s="58">
        <f t="shared" si="36"/>
        <v>99.999999999999986</v>
      </c>
      <c r="L176" s="3"/>
    </row>
    <row r="177" spans="1:13" ht="21" customHeight="1">
      <c r="A177" s="32"/>
      <c r="B177" s="47" t="s">
        <v>452</v>
      </c>
      <c r="C177" s="32" t="s">
        <v>33</v>
      </c>
      <c r="D177" s="55">
        <f t="shared" ref="D177:I177" si="44">D176/9%</f>
        <v>22.222222222222221</v>
      </c>
      <c r="E177" s="55">
        <f t="shared" si="44"/>
        <v>44.444444444444443</v>
      </c>
      <c r="F177" s="55">
        <f t="shared" si="44"/>
        <v>77.777777777777786</v>
      </c>
      <c r="G177" s="55">
        <f t="shared" si="44"/>
        <v>44.444444444444443</v>
      </c>
      <c r="H177" s="55">
        <f t="shared" si="44"/>
        <v>77.777777777777786</v>
      </c>
      <c r="I177" s="55">
        <f t="shared" si="44"/>
        <v>77.777777777777786</v>
      </c>
      <c r="J177" s="55">
        <f>J176/9%</f>
        <v>77.777777777777786</v>
      </c>
      <c r="K177" s="58">
        <f t="shared" si="36"/>
        <v>100</v>
      </c>
      <c r="L177" s="3"/>
    </row>
    <row r="178" spans="1:13" ht="21.75" customHeight="1">
      <c r="A178" s="32">
        <v>3</v>
      </c>
      <c r="B178" s="46" t="s">
        <v>187</v>
      </c>
      <c r="C178" s="32" t="s">
        <v>33</v>
      </c>
      <c r="D178" s="55">
        <v>83.5</v>
      </c>
      <c r="E178" s="55">
        <v>85</v>
      </c>
      <c r="F178" s="55">
        <v>90</v>
      </c>
      <c r="G178" s="55"/>
      <c r="H178" s="55">
        <v>86</v>
      </c>
      <c r="I178" s="55">
        <v>91</v>
      </c>
      <c r="J178" s="55">
        <v>91</v>
      </c>
      <c r="K178" s="58">
        <f t="shared" si="36"/>
        <v>100</v>
      </c>
      <c r="L178" s="3"/>
    </row>
    <row r="179" spans="1:13" ht="31.5">
      <c r="A179" s="32">
        <v>4</v>
      </c>
      <c r="B179" s="46" t="s">
        <v>412</v>
      </c>
      <c r="C179" s="32" t="s">
        <v>33</v>
      </c>
      <c r="D179" s="74">
        <v>33.1</v>
      </c>
      <c r="E179" s="55">
        <v>31.8</v>
      </c>
      <c r="F179" s="55">
        <v>31.3</v>
      </c>
      <c r="G179" s="55"/>
      <c r="H179" s="55">
        <f>F179</f>
        <v>31.3</v>
      </c>
      <c r="I179" s="55">
        <v>31</v>
      </c>
      <c r="J179" s="55">
        <v>31</v>
      </c>
      <c r="K179" s="58">
        <f t="shared" si="36"/>
        <v>100</v>
      </c>
      <c r="L179" s="3"/>
    </row>
    <row r="180" spans="1:13" ht="31.5">
      <c r="A180" s="32">
        <v>5</v>
      </c>
      <c r="B180" s="46" t="s">
        <v>413</v>
      </c>
      <c r="C180" s="32" t="s">
        <v>33</v>
      </c>
      <c r="D180" s="74">
        <v>20.6</v>
      </c>
      <c r="E180" s="55">
        <v>20</v>
      </c>
      <c r="F180" s="55">
        <v>19.5</v>
      </c>
      <c r="G180" s="55"/>
      <c r="H180" s="55">
        <f>F180</f>
        <v>19.5</v>
      </c>
      <c r="I180" s="55">
        <v>19</v>
      </c>
      <c r="J180" s="55">
        <v>19</v>
      </c>
      <c r="K180" s="58">
        <f t="shared" si="36"/>
        <v>100</v>
      </c>
      <c r="L180" s="3"/>
    </row>
    <row r="181" spans="1:13" ht="31.5">
      <c r="A181" s="11" t="s">
        <v>51</v>
      </c>
      <c r="B181" s="142" t="s">
        <v>192</v>
      </c>
      <c r="C181" s="12"/>
      <c r="D181" s="13"/>
      <c r="E181" s="13"/>
      <c r="F181" s="13"/>
      <c r="G181" s="13"/>
      <c r="H181" s="13"/>
      <c r="I181" s="13"/>
      <c r="J181" s="13"/>
      <c r="K181" s="66" t="str">
        <f t="shared" si="36"/>
        <v/>
      </c>
      <c r="L181" s="3"/>
    </row>
    <row r="182" spans="1:13" ht="22.5" customHeight="1">
      <c r="A182" s="11">
        <v>1</v>
      </c>
      <c r="B182" s="63" t="s">
        <v>193</v>
      </c>
      <c r="C182" s="12"/>
      <c r="D182" s="13"/>
      <c r="E182" s="13"/>
      <c r="F182" s="13"/>
      <c r="G182" s="13"/>
      <c r="H182" s="13"/>
      <c r="I182" s="13"/>
      <c r="J182" s="13"/>
      <c r="K182" s="66" t="str">
        <f t="shared" si="36"/>
        <v/>
      </c>
      <c r="L182" s="3"/>
    </row>
    <row r="183" spans="1:13" ht="22.5" customHeight="1">
      <c r="A183" s="19"/>
      <c r="B183" s="48" t="s">
        <v>194</v>
      </c>
      <c r="C183" s="21" t="s">
        <v>16</v>
      </c>
      <c r="D183" s="59">
        <v>1560</v>
      </c>
      <c r="E183" s="59">
        <v>1560</v>
      </c>
      <c r="F183" s="59">
        <f>E183</f>
        <v>1560</v>
      </c>
      <c r="G183" s="59">
        <v>1248</v>
      </c>
      <c r="H183" s="59">
        <f>F183</f>
        <v>1560</v>
      </c>
      <c r="I183" s="59">
        <f>H183</f>
        <v>1560</v>
      </c>
      <c r="J183" s="59">
        <f>I183</f>
        <v>1560</v>
      </c>
      <c r="K183" s="58">
        <f t="shared" si="36"/>
        <v>100</v>
      </c>
      <c r="L183" s="3"/>
    </row>
    <row r="184" spans="1:13" ht="22.5" customHeight="1">
      <c r="A184" s="19"/>
      <c r="B184" s="48" t="s">
        <v>195</v>
      </c>
      <c r="C184" s="21" t="s">
        <v>16</v>
      </c>
      <c r="D184" s="59">
        <v>21800</v>
      </c>
      <c r="E184" s="59">
        <v>21800</v>
      </c>
      <c r="F184" s="59">
        <f>E184</f>
        <v>21800</v>
      </c>
      <c r="G184" s="59">
        <v>16320</v>
      </c>
      <c r="H184" s="59">
        <f>F184</f>
        <v>21800</v>
      </c>
      <c r="I184" s="59">
        <f>H184</f>
        <v>21800</v>
      </c>
      <c r="J184" s="59">
        <f>I184</f>
        <v>21800</v>
      </c>
      <c r="K184" s="58">
        <f t="shared" si="36"/>
        <v>100</v>
      </c>
      <c r="L184" s="3"/>
      <c r="M184" s="77"/>
    </row>
    <row r="185" spans="1:13" ht="22.5" customHeight="1">
      <c r="A185" s="11">
        <v>2</v>
      </c>
      <c r="B185" s="63" t="s">
        <v>196</v>
      </c>
      <c r="C185" s="21"/>
      <c r="D185" s="59"/>
      <c r="E185" s="59"/>
      <c r="F185" s="59"/>
      <c r="G185" s="59"/>
      <c r="H185" s="59"/>
      <c r="I185" s="59"/>
      <c r="J185" s="59"/>
      <c r="K185" s="66" t="str">
        <f t="shared" si="36"/>
        <v/>
      </c>
      <c r="L185" s="3"/>
    </row>
    <row r="186" spans="1:13" ht="22.5" hidden="1" customHeight="1" outlineLevel="1">
      <c r="A186" s="32"/>
      <c r="B186" s="48" t="s">
        <v>198</v>
      </c>
      <c r="C186" s="21" t="s">
        <v>199</v>
      </c>
      <c r="D186" s="59">
        <v>9233</v>
      </c>
      <c r="E186" s="59">
        <f t="shared" ref="E186:J186" si="45">E121*E187%</f>
        <v>9781.42</v>
      </c>
      <c r="F186" s="59">
        <f t="shared" si="45"/>
        <v>10744.2</v>
      </c>
      <c r="G186" s="59">
        <f t="shared" si="45"/>
        <v>0</v>
      </c>
      <c r="H186" s="59">
        <f t="shared" si="45"/>
        <v>10215</v>
      </c>
      <c r="I186" s="59">
        <f t="shared" si="45"/>
        <v>10485</v>
      </c>
      <c r="J186" s="59">
        <f t="shared" si="45"/>
        <v>10485</v>
      </c>
      <c r="K186" s="58">
        <f t="shared" si="36"/>
        <v>100</v>
      </c>
      <c r="L186" s="3"/>
    </row>
    <row r="187" spans="1:13" ht="22.5" customHeight="1" collapsed="1">
      <c r="A187" s="32" t="s">
        <v>197</v>
      </c>
      <c r="B187" s="48" t="s">
        <v>200</v>
      </c>
      <c r="C187" s="41" t="s">
        <v>33</v>
      </c>
      <c r="D187" s="59">
        <v>85.6</v>
      </c>
      <c r="E187" s="58">
        <v>86.5</v>
      </c>
      <c r="F187" s="58">
        <v>90</v>
      </c>
      <c r="G187" s="58"/>
      <c r="H187" s="58">
        <f>F187</f>
        <v>90</v>
      </c>
      <c r="I187" s="58">
        <v>90</v>
      </c>
      <c r="J187" s="58">
        <v>90</v>
      </c>
      <c r="K187" s="58">
        <f t="shared" si="36"/>
        <v>100</v>
      </c>
      <c r="L187" s="3"/>
    </row>
    <row r="188" spans="1:13" ht="22.5" hidden="1" customHeight="1" outlineLevel="1">
      <c r="A188" s="32"/>
      <c r="B188" s="48" t="s">
        <v>202</v>
      </c>
      <c r="C188" s="21" t="s">
        <v>203</v>
      </c>
      <c r="D188" s="59">
        <v>58</v>
      </c>
      <c r="E188" s="58">
        <f>67*E189%</f>
        <v>57.954999999999998</v>
      </c>
      <c r="F188" s="58">
        <f>67*F189%</f>
        <v>60.97</v>
      </c>
      <c r="G188" s="58">
        <f>67*G189%</f>
        <v>0</v>
      </c>
      <c r="H188" s="58">
        <f>67*H189%</f>
        <v>60.97</v>
      </c>
      <c r="I188" s="59">
        <v>61</v>
      </c>
      <c r="J188" s="59">
        <v>61</v>
      </c>
      <c r="K188" s="58">
        <f t="shared" si="36"/>
        <v>100</v>
      </c>
      <c r="L188" s="3"/>
    </row>
    <row r="189" spans="1:13" ht="22.5" customHeight="1" collapsed="1">
      <c r="A189" s="32" t="s">
        <v>201</v>
      </c>
      <c r="B189" s="48" t="s">
        <v>171</v>
      </c>
      <c r="C189" s="41" t="s">
        <v>33</v>
      </c>
      <c r="D189" s="59">
        <f>D188/67%</f>
        <v>86.567164179104466</v>
      </c>
      <c r="E189" s="58">
        <v>86.5</v>
      </c>
      <c r="F189" s="58">
        <v>91</v>
      </c>
      <c r="G189" s="58"/>
      <c r="H189" s="58">
        <v>91</v>
      </c>
      <c r="I189" s="58">
        <v>91</v>
      </c>
      <c r="J189" s="58">
        <v>91</v>
      </c>
      <c r="K189" s="58">
        <f t="shared" si="36"/>
        <v>100</v>
      </c>
      <c r="L189" s="3"/>
    </row>
    <row r="190" spans="1:13" ht="22.5" customHeight="1">
      <c r="A190" s="32" t="s">
        <v>204</v>
      </c>
      <c r="B190" s="48" t="s">
        <v>205</v>
      </c>
      <c r="C190" s="21" t="s">
        <v>206</v>
      </c>
      <c r="D190" s="59">
        <v>88</v>
      </c>
      <c r="E190" s="59">
        <v>90</v>
      </c>
      <c r="F190" s="59">
        <v>90</v>
      </c>
      <c r="G190" s="59">
        <v>88</v>
      </c>
      <c r="H190" s="59">
        <f>F190</f>
        <v>90</v>
      </c>
      <c r="I190" s="59">
        <v>90</v>
      </c>
      <c r="J190" s="59">
        <v>90</v>
      </c>
      <c r="K190" s="58">
        <f t="shared" si="36"/>
        <v>100</v>
      </c>
      <c r="L190" s="3"/>
    </row>
    <row r="191" spans="1:13" ht="22.5" customHeight="1">
      <c r="A191" s="32" t="s">
        <v>354</v>
      </c>
      <c r="B191" s="20" t="s">
        <v>356</v>
      </c>
      <c r="C191" s="32" t="s">
        <v>61</v>
      </c>
      <c r="D191" s="59">
        <v>4</v>
      </c>
      <c r="E191" s="59">
        <v>4</v>
      </c>
      <c r="F191" s="59">
        <v>4</v>
      </c>
      <c r="G191" s="59">
        <v>4</v>
      </c>
      <c r="H191" s="59">
        <v>4</v>
      </c>
      <c r="I191" s="59">
        <v>5</v>
      </c>
      <c r="J191" s="59">
        <v>5</v>
      </c>
      <c r="K191" s="58">
        <f t="shared" si="36"/>
        <v>100</v>
      </c>
      <c r="L191" s="3"/>
    </row>
    <row r="192" spans="1:13" ht="10.5" customHeight="1">
      <c r="A192" s="4"/>
      <c r="B192" s="64"/>
      <c r="C192" s="4"/>
      <c r="D192" s="64"/>
      <c r="E192" s="64"/>
      <c r="F192" s="64"/>
      <c r="G192" s="64"/>
      <c r="H192" s="64"/>
      <c r="I192" s="64"/>
      <c r="J192" s="64"/>
      <c r="K192" s="64"/>
      <c r="L192" s="64"/>
    </row>
  </sheetData>
  <mergeCells count="13">
    <mergeCell ref="L5:L6"/>
    <mergeCell ref="J5:J6"/>
    <mergeCell ref="K5:K6"/>
    <mergeCell ref="A1:L1"/>
    <mergeCell ref="A2:L2"/>
    <mergeCell ref="A3:L3"/>
    <mergeCell ref="A5:A6"/>
    <mergeCell ref="B5:B6"/>
    <mergeCell ref="C5:C6"/>
    <mergeCell ref="D5:D6"/>
    <mergeCell ref="E5:E6"/>
    <mergeCell ref="F5:H5"/>
    <mergeCell ref="I5:I6"/>
  </mergeCells>
  <pageMargins left="0.47244094488188981" right="0.39370078740157483" top="0.78740157480314965" bottom="0.47244094488188981" header="0.31496062992125984" footer="0.31496062992125984"/>
  <pageSetup paperSize="9" scale="91" fitToHeight="0" orientation="landscape" r:id="rId1"/>
  <headerFooter>
    <oddFooter>&amp;R&amp;"Times New Roman,Regular"&amp;14&amp;P/&amp;N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2"/>
  <sheetViews>
    <sheetView zoomScale="85" zoomScaleNormal="85" zoomScaleSheetLayoutView="100" workbookViewId="0">
      <pane xSplit="2" ySplit="8" topLeftCell="C21" activePane="bottomRight" state="frozen"/>
      <selection activeCell="J18" sqref="J18"/>
      <selection pane="topRight" activeCell="J18" sqref="J18"/>
      <selection pane="bottomLeft" activeCell="J18" sqref="J18"/>
      <selection pane="bottomRight" activeCell="J18" sqref="J18"/>
    </sheetView>
  </sheetViews>
  <sheetFormatPr defaultColWidth="9.140625" defaultRowHeight="15.75" outlineLevelRow="1" outlineLevelCol="1"/>
  <cols>
    <col min="1" max="1" width="5.5703125" style="65" customWidth="1"/>
    <col min="2" max="2" width="39.140625" style="5" customWidth="1"/>
    <col min="3" max="3" width="12.140625" style="65" customWidth="1"/>
    <col min="4" max="8" width="12.140625" style="5" hidden="1" customWidth="1" outlineLevel="1"/>
    <col min="9" max="9" width="12.140625" style="5" customWidth="1" collapsed="1"/>
    <col min="10" max="12" width="12.140625" style="5" customWidth="1"/>
    <col min="13" max="13" width="10.5703125" style="5" bestFit="1" customWidth="1"/>
    <col min="14" max="14" width="13.7109375" style="5" hidden="1" customWidth="1" outlineLevel="1"/>
    <col min="15" max="15" width="9.140625" style="5" collapsed="1"/>
    <col min="16" max="16384" width="9.140625" style="5"/>
  </cols>
  <sheetData>
    <row r="1" spans="1:14" ht="18.75" hidden="1" outlineLevel="1">
      <c r="A1" s="768" t="s">
        <v>166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</row>
    <row r="2" spans="1:14" ht="18.75" hidden="1" outlineLevel="1">
      <c r="A2" s="769" t="s">
        <v>921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</row>
    <row r="3" spans="1:14" ht="18.75" hidden="1" outlineLevel="1">
      <c r="A3" s="770" t="s">
        <v>920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4" hidden="1" outlineLevel="1">
      <c r="A4" s="7"/>
      <c r="B4" s="2"/>
      <c r="C4" s="8"/>
      <c r="D4" s="2"/>
      <c r="E4" s="2"/>
      <c r="F4" s="2"/>
      <c r="G4" s="2"/>
      <c r="H4" s="2"/>
      <c r="I4" s="2"/>
      <c r="J4" s="2"/>
      <c r="K4" s="2"/>
    </row>
    <row r="5" spans="1:14" ht="16.5" customHeight="1" collapsed="1">
      <c r="A5" s="764" t="s">
        <v>55</v>
      </c>
      <c r="B5" s="766" t="s">
        <v>69</v>
      </c>
      <c r="C5" s="766" t="s">
        <v>18</v>
      </c>
      <c r="D5" s="766" t="s">
        <v>361</v>
      </c>
      <c r="E5" s="766" t="s">
        <v>415</v>
      </c>
      <c r="F5" s="772" t="s">
        <v>514</v>
      </c>
      <c r="G5" s="772"/>
      <c r="H5" s="772"/>
      <c r="I5" s="766" t="s">
        <v>516</v>
      </c>
      <c r="J5" s="766" t="s">
        <v>922</v>
      </c>
      <c r="K5" s="766" t="s">
        <v>438</v>
      </c>
      <c r="L5" s="766" t="s">
        <v>75</v>
      </c>
    </row>
    <row r="6" spans="1:14" ht="31.5">
      <c r="A6" s="765"/>
      <c r="B6" s="767"/>
      <c r="C6" s="767"/>
      <c r="D6" s="767"/>
      <c r="E6" s="767"/>
      <c r="F6" s="622" t="s">
        <v>470</v>
      </c>
      <c r="G6" s="622" t="s">
        <v>832</v>
      </c>
      <c r="H6" s="622" t="s">
        <v>838</v>
      </c>
      <c r="I6" s="767"/>
      <c r="J6" s="767"/>
      <c r="K6" s="767"/>
      <c r="L6" s="767"/>
    </row>
    <row r="7" spans="1:14">
      <c r="A7" s="623" t="s">
        <v>40</v>
      </c>
      <c r="B7" s="623" t="s">
        <v>43</v>
      </c>
      <c r="C7" s="623" t="s">
        <v>176</v>
      </c>
      <c r="D7" s="623"/>
      <c r="E7" s="623">
        <v>4</v>
      </c>
      <c r="F7" s="623">
        <v>5</v>
      </c>
      <c r="G7" s="623"/>
      <c r="H7" s="623">
        <v>6</v>
      </c>
      <c r="I7" s="623">
        <v>1</v>
      </c>
      <c r="J7" s="623">
        <v>2</v>
      </c>
      <c r="K7" s="623">
        <v>3</v>
      </c>
      <c r="L7" s="623">
        <v>4</v>
      </c>
    </row>
    <row r="8" spans="1:14" ht="20.25" customHeight="1">
      <c r="A8" s="301"/>
      <c r="B8" s="302" t="s">
        <v>167</v>
      </c>
      <c r="C8" s="301"/>
      <c r="D8" s="303"/>
      <c r="E8" s="301"/>
      <c r="F8" s="301"/>
      <c r="G8" s="301"/>
      <c r="H8" s="301"/>
      <c r="I8" s="301"/>
      <c r="J8" s="301"/>
      <c r="K8" s="301"/>
      <c r="L8" s="128"/>
    </row>
    <row r="9" spans="1:14" ht="19.5" customHeight="1" collapsed="1">
      <c r="A9" s="11" t="s">
        <v>40</v>
      </c>
      <c r="B9" s="142" t="s">
        <v>332</v>
      </c>
      <c r="C9" s="12"/>
      <c r="D9" s="143"/>
      <c r="E9" s="143"/>
      <c r="F9" s="143"/>
      <c r="G9" s="143"/>
      <c r="H9" s="143"/>
      <c r="I9" s="143"/>
      <c r="J9" s="143"/>
      <c r="K9" s="143"/>
      <c r="L9" s="66"/>
      <c r="M9" s="14"/>
    </row>
    <row r="10" spans="1:14" s="18" customFormat="1" ht="19.5" customHeight="1">
      <c r="A10" s="11" t="s">
        <v>38</v>
      </c>
      <c r="B10" s="15" t="s">
        <v>172</v>
      </c>
      <c r="C10" s="12" t="s">
        <v>130</v>
      </c>
      <c r="D10" s="16">
        <v>347871</v>
      </c>
      <c r="E10" s="16">
        <v>313038</v>
      </c>
      <c r="F10" s="16">
        <v>277205</v>
      </c>
      <c r="G10" s="16">
        <v>239423</v>
      </c>
      <c r="H10" s="16">
        <v>360655</v>
      </c>
      <c r="I10" s="16">
        <v>312703</v>
      </c>
      <c r="J10" s="16"/>
      <c r="K10" s="66">
        <f t="shared" ref="K10:K28" si="0">IFERROR(J10/I10%,"")</f>
        <v>0</v>
      </c>
      <c r="L10" s="83"/>
      <c r="M10" s="17"/>
      <c r="N10" s="358">
        <v>313722</v>
      </c>
    </row>
    <row r="11" spans="1:14" ht="19.5" customHeight="1">
      <c r="A11" s="19" t="s">
        <v>155</v>
      </c>
      <c r="B11" s="20" t="s">
        <v>173</v>
      </c>
      <c r="C11" s="21" t="s">
        <v>130</v>
      </c>
      <c r="D11" s="22">
        <v>90496</v>
      </c>
      <c r="E11" s="22">
        <v>104622</v>
      </c>
      <c r="F11" s="22">
        <v>82860</v>
      </c>
      <c r="G11" s="22">
        <v>98907</v>
      </c>
      <c r="H11" s="22">
        <v>111075</v>
      </c>
      <c r="I11" s="22">
        <v>98770</v>
      </c>
      <c r="J11" s="22"/>
      <c r="K11" s="58">
        <f t="shared" si="0"/>
        <v>0</v>
      </c>
      <c r="L11" s="3"/>
      <c r="M11" s="14"/>
      <c r="N11" s="359">
        <v>98700</v>
      </c>
    </row>
    <row r="12" spans="1:14" s="42" customFormat="1" ht="19.5" customHeight="1">
      <c r="A12" s="71"/>
      <c r="B12" s="62" t="s">
        <v>455</v>
      </c>
      <c r="C12" s="41" t="s">
        <v>130</v>
      </c>
      <c r="D12" s="72">
        <v>84999</v>
      </c>
      <c r="E12" s="72">
        <v>71796</v>
      </c>
      <c r="F12" s="72">
        <v>70788</v>
      </c>
      <c r="G12" s="72">
        <v>79682.86</v>
      </c>
      <c r="H12" s="72">
        <v>89040.21</v>
      </c>
      <c r="I12" s="72">
        <v>80858</v>
      </c>
      <c r="J12" s="72"/>
      <c r="K12" s="85">
        <f t="shared" si="0"/>
        <v>0</v>
      </c>
      <c r="L12" s="84"/>
      <c r="M12" s="14"/>
      <c r="N12" s="359">
        <v>80858</v>
      </c>
    </row>
    <row r="13" spans="1:14" s="18" customFormat="1" ht="18.75" customHeight="1">
      <c r="A13" s="11" t="s">
        <v>39</v>
      </c>
      <c r="B13" s="15" t="s">
        <v>174</v>
      </c>
      <c r="C13" s="12" t="s">
        <v>130</v>
      </c>
      <c r="D13" s="16">
        <v>308217</v>
      </c>
      <c r="E13" s="16">
        <v>300633</v>
      </c>
      <c r="F13" s="16">
        <v>265133</v>
      </c>
      <c r="G13" s="16">
        <v>205352</v>
      </c>
      <c r="H13" s="16">
        <v>300789</v>
      </c>
      <c r="I13" s="16">
        <v>294791</v>
      </c>
      <c r="J13" s="16"/>
      <c r="K13" s="66">
        <f t="shared" si="0"/>
        <v>0</v>
      </c>
      <c r="L13" s="83"/>
      <c r="M13" s="17"/>
      <c r="N13" s="358">
        <v>295880</v>
      </c>
    </row>
    <row r="14" spans="1:14" ht="20.25" customHeight="1">
      <c r="A14" s="19" t="s">
        <v>155</v>
      </c>
      <c r="B14" s="20" t="s">
        <v>175</v>
      </c>
      <c r="C14" s="21" t="s">
        <v>130</v>
      </c>
      <c r="D14" s="22">
        <v>239615</v>
      </c>
      <c r="E14" s="22">
        <v>264543</v>
      </c>
      <c r="F14" s="22">
        <v>232779</v>
      </c>
      <c r="G14" s="22">
        <v>177506</v>
      </c>
      <c r="H14" s="22">
        <v>252381</v>
      </c>
      <c r="I14" s="22">
        <v>245608</v>
      </c>
      <c r="J14" s="22"/>
      <c r="K14" s="58">
        <f t="shared" si="0"/>
        <v>0</v>
      </c>
      <c r="L14" s="3"/>
      <c r="M14" s="14"/>
      <c r="N14" s="359">
        <v>245608</v>
      </c>
    </row>
    <row r="15" spans="1:14" ht="20.25" customHeight="1">
      <c r="A15" s="11"/>
      <c r="B15" s="30" t="s">
        <v>177</v>
      </c>
      <c r="C15" s="24"/>
      <c r="D15" s="25"/>
      <c r="E15" s="25"/>
      <c r="F15" s="25"/>
      <c r="G15" s="25"/>
      <c r="H15" s="25"/>
      <c r="I15" s="25"/>
      <c r="J15" s="25"/>
      <c r="K15" s="66" t="str">
        <f t="shared" si="0"/>
        <v/>
      </c>
      <c r="L15" s="66"/>
    </row>
    <row r="16" spans="1:14" ht="20.25" customHeight="1">
      <c r="A16" s="32" t="s">
        <v>56</v>
      </c>
      <c r="B16" s="35" t="s">
        <v>401</v>
      </c>
      <c r="C16" s="32" t="s">
        <v>37</v>
      </c>
      <c r="D16" s="29">
        <f t="shared" ref="D16:J16" si="1">D17+D67</f>
        <v>16624.03</v>
      </c>
      <c r="E16" s="29">
        <f t="shared" si="1"/>
        <v>16418.2</v>
      </c>
      <c r="F16" s="29">
        <f t="shared" si="1"/>
        <v>16739.099999999999</v>
      </c>
      <c r="G16" s="29">
        <f t="shared" si="1"/>
        <v>16328.07</v>
      </c>
      <c r="H16" s="29">
        <f t="shared" si="1"/>
        <v>16364.77</v>
      </c>
      <c r="I16" s="29">
        <f t="shared" si="1"/>
        <v>10787.6</v>
      </c>
      <c r="J16" s="29">
        <f t="shared" si="1"/>
        <v>10679.1</v>
      </c>
      <c r="K16" s="58">
        <f t="shared" si="0"/>
        <v>98.994215580852085</v>
      </c>
      <c r="L16" s="3"/>
    </row>
    <row r="17" spans="1:12" ht="17.25" customHeight="1">
      <c r="A17" s="11" t="s">
        <v>38</v>
      </c>
      <c r="B17" s="30" t="s">
        <v>439</v>
      </c>
      <c r="C17" s="11" t="s">
        <v>37</v>
      </c>
      <c r="D17" s="27">
        <f t="shared" ref="D17:J17" si="2">D18+D47+D54+D50+D63</f>
        <v>6931.53</v>
      </c>
      <c r="E17" s="27">
        <f t="shared" si="2"/>
        <v>6477.2</v>
      </c>
      <c r="F17" s="27">
        <f t="shared" si="2"/>
        <v>6747</v>
      </c>
      <c r="G17" s="27">
        <f t="shared" si="2"/>
        <v>6032.47</v>
      </c>
      <c r="H17" s="27">
        <f t="shared" si="2"/>
        <v>6032.47</v>
      </c>
      <c r="I17" s="27">
        <f t="shared" si="2"/>
        <v>708</v>
      </c>
      <c r="J17" s="27">
        <f t="shared" si="2"/>
        <v>649.5</v>
      </c>
      <c r="K17" s="66">
        <f t="shared" si="0"/>
        <v>91.737288135593218</v>
      </c>
      <c r="L17" s="3"/>
    </row>
    <row r="18" spans="1:12" s="18" customFormat="1" ht="17.25" customHeight="1">
      <c r="A18" s="11">
        <v>1</v>
      </c>
      <c r="B18" s="30" t="s">
        <v>22</v>
      </c>
      <c r="C18" s="11" t="s">
        <v>37</v>
      </c>
      <c r="D18" s="27">
        <f t="shared" ref="D18:J18" si="3">D23+D38</f>
        <v>625.53</v>
      </c>
      <c r="E18" s="27">
        <f t="shared" si="3"/>
        <v>609.20000000000005</v>
      </c>
      <c r="F18" s="27">
        <f t="shared" si="3"/>
        <v>594</v>
      </c>
      <c r="G18" s="27">
        <f t="shared" si="3"/>
        <v>599.07000000000005</v>
      </c>
      <c r="H18" s="27">
        <f t="shared" si="3"/>
        <v>599.07000000000005</v>
      </c>
      <c r="I18" s="27">
        <f t="shared" si="3"/>
        <v>593</v>
      </c>
      <c r="J18" s="27">
        <f t="shared" si="3"/>
        <v>583.70000000000005</v>
      </c>
      <c r="K18" s="66">
        <f t="shared" si="0"/>
        <v>98.431703204047224</v>
      </c>
      <c r="L18" s="83"/>
    </row>
    <row r="19" spans="1:12" ht="17.25" customHeight="1">
      <c r="A19" s="32" t="s">
        <v>56</v>
      </c>
      <c r="B19" s="35" t="s">
        <v>23</v>
      </c>
      <c r="C19" s="34" t="s">
        <v>20</v>
      </c>
      <c r="D19" s="29">
        <f t="shared" ref="D19:I19" si="4">SUM(D20:D21)</f>
        <v>2507.6190899999997</v>
      </c>
      <c r="E19" s="29">
        <f t="shared" si="4"/>
        <v>2875.8110000000001</v>
      </c>
      <c r="F19" s="29">
        <f t="shared" si="4"/>
        <v>2829.0430000000001</v>
      </c>
      <c r="G19" s="29">
        <f>SUM(G20:G21)</f>
        <v>3120.1059380221645</v>
      </c>
      <c r="H19" s="29">
        <f>SUM(H20:H21)</f>
        <v>3120.1059380221645</v>
      </c>
      <c r="I19" s="29">
        <f t="shared" si="4"/>
        <v>2808.5459999999998</v>
      </c>
      <c r="J19" s="29">
        <f>SUM(J20:J21)</f>
        <v>0</v>
      </c>
      <c r="K19" s="58">
        <f t="shared" si="0"/>
        <v>0</v>
      </c>
      <c r="L19" s="3"/>
    </row>
    <row r="20" spans="1:12" ht="17.25" customHeight="1">
      <c r="A20" s="32"/>
      <c r="B20" s="33" t="s">
        <v>24</v>
      </c>
      <c r="C20" s="34" t="s">
        <v>76</v>
      </c>
      <c r="D20" s="29">
        <f t="shared" ref="D20:J20" si="5">D25</f>
        <v>2349.2202299999999</v>
      </c>
      <c r="E20" s="29">
        <f t="shared" si="5"/>
        <v>2692.76</v>
      </c>
      <c r="F20" s="29">
        <f t="shared" si="5"/>
        <v>2702.5430000000001</v>
      </c>
      <c r="G20" s="29">
        <f t="shared" si="5"/>
        <v>2973.9459380221647</v>
      </c>
      <c r="H20" s="29">
        <f t="shared" si="5"/>
        <v>2973.9459380221647</v>
      </c>
      <c r="I20" s="29">
        <f t="shared" si="5"/>
        <v>2698.5459999999998</v>
      </c>
      <c r="J20" s="29">
        <f t="shared" si="5"/>
        <v>0</v>
      </c>
      <c r="K20" s="58">
        <f t="shared" si="0"/>
        <v>0</v>
      </c>
      <c r="L20" s="3"/>
    </row>
    <row r="21" spans="1:12" ht="17.25" customHeight="1">
      <c r="A21" s="32"/>
      <c r="B21" s="35" t="s">
        <v>137</v>
      </c>
      <c r="C21" s="34" t="s">
        <v>76</v>
      </c>
      <c r="D21" s="29">
        <f t="shared" ref="D21:J21" si="6">D40</f>
        <v>158.39885999999998</v>
      </c>
      <c r="E21" s="29">
        <f t="shared" si="6"/>
        <v>183.05099999999999</v>
      </c>
      <c r="F21" s="29">
        <f t="shared" si="6"/>
        <v>126.5</v>
      </c>
      <c r="G21" s="29">
        <f t="shared" si="6"/>
        <v>146.16</v>
      </c>
      <c r="H21" s="29">
        <f t="shared" si="6"/>
        <v>146.16</v>
      </c>
      <c r="I21" s="29">
        <f t="shared" si="6"/>
        <v>110</v>
      </c>
      <c r="J21" s="29">
        <f t="shared" si="6"/>
        <v>0</v>
      </c>
      <c r="K21" s="58">
        <f t="shared" si="0"/>
        <v>0</v>
      </c>
      <c r="L21" s="3"/>
    </row>
    <row r="22" spans="1:12" ht="17.25" customHeight="1">
      <c r="A22" s="32" t="s">
        <v>56</v>
      </c>
      <c r="B22" s="35" t="s">
        <v>25</v>
      </c>
      <c r="C22" s="32" t="s">
        <v>57</v>
      </c>
      <c r="D22" s="29">
        <f>D19/D124*1000</f>
        <v>56.164197500447941</v>
      </c>
      <c r="E22" s="29">
        <f>E19/E124*1000</f>
        <v>62.752954012328843</v>
      </c>
      <c r="F22" s="29">
        <f>F19/F124*1000</f>
        <v>60.278975123848085</v>
      </c>
      <c r="G22" s="29">
        <f>G19/G124*1000</f>
        <v>66.749514649569775</v>
      </c>
      <c r="H22" s="29">
        <f>H19/H124*1000</f>
        <v>66.430461974581945</v>
      </c>
      <c r="I22" s="29">
        <f>IFERROR(I19/I124*1000,"")</f>
        <v>58.268710101058296</v>
      </c>
      <c r="J22" s="29" t="str">
        <f>IFERROR(J19/J124*1000,"")</f>
        <v/>
      </c>
      <c r="K22" s="58" t="str">
        <f>IFERROR(J22/I22%,"")</f>
        <v/>
      </c>
      <c r="L22" s="3"/>
    </row>
    <row r="23" spans="1:12" s="18" customFormat="1" ht="17.25" customHeight="1">
      <c r="A23" s="11" t="s">
        <v>34</v>
      </c>
      <c r="B23" s="44" t="s">
        <v>440</v>
      </c>
      <c r="C23" s="11" t="s">
        <v>37</v>
      </c>
      <c r="D23" s="16">
        <f t="shared" ref="D23:J23" si="7">D26+D29</f>
        <v>597.30999999999995</v>
      </c>
      <c r="E23" s="16">
        <f t="shared" si="7"/>
        <v>570.5</v>
      </c>
      <c r="F23" s="16">
        <f t="shared" si="7"/>
        <v>571</v>
      </c>
      <c r="G23" s="16">
        <f t="shared" si="7"/>
        <v>573.87</v>
      </c>
      <c r="H23" s="16">
        <f t="shared" si="7"/>
        <v>573.87</v>
      </c>
      <c r="I23" s="16">
        <f t="shared" si="7"/>
        <v>571</v>
      </c>
      <c r="J23" s="16">
        <f t="shared" si="7"/>
        <v>573.20000000000005</v>
      </c>
      <c r="K23" s="66">
        <f t="shared" si="0"/>
        <v>100.38528896672506</v>
      </c>
      <c r="L23" s="83"/>
    </row>
    <row r="24" spans="1:12" ht="17.25" customHeight="1">
      <c r="A24" s="32"/>
      <c r="B24" s="37" t="s">
        <v>27</v>
      </c>
      <c r="C24" s="34" t="s">
        <v>21</v>
      </c>
      <c r="D24" s="38">
        <f t="shared" ref="D24:J24" si="8">D25/D23*10</f>
        <v>39.330000000000005</v>
      </c>
      <c r="E24" s="38">
        <f t="shared" si="8"/>
        <v>47.2</v>
      </c>
      <c r="F24" s="38">
        <f t="shared" si="8"/>
        <v>47.330000000000005</v>
      </c>
      <c r="G24" s="38">
        <f t="shared" si="8"/>
        <v>51.822641678815138</v>
      </c>
      <c r="H24" s="38">
        <f t="shared" si="8"/>
        <v>51.822641678815138</v>
      </c>
      <c r="I24" s="38">
        <f t="shared" si="8"/>
        <v>47.26</v>
      </c>
      <c r="J24" s="38">
        <f t="shared" si="8"/>
        <v>0</v>
      </c>
      <c r="K24" s="58">
        <f t="shared" si="0"/>
        <v>0</v>
      </c>
      <c r="L24" s="3"/>
    </row>
    <row r="25" spans="1:12" ht="17.25" customHeight="1">
      <c r="A25" s="32"/>
      <c r="B25" s="37" t="s">
        <v>28</v>
      </c>
      <c r="C25" s="34" t="s">
        <v>76</v>
      </c>
      <c r="D25" s="22">
        <f t="shared" ref="D25:J25" si="9">D28+D31</f>
        <v>2349.2202299999999</v>
      </c>
      <c r="E25" s="22">
        <f t="shared" si="9"/>
        <v>2692.76</v>
      </c>
      <c r="F25" s="22">
        <f t="shared" si="9"/>
        <v>2702.5430000000001</v>
      </c>
      <c r="G25" s="22">
        <f t="shared" si="9"/>
        <v>2973.9459380221647</v>
      </c>
      <c r="H25" s="22">
        <f t="shared" si="9"/>
        <v>2973.9459380221647</v>
      </c>
      <c r="I25" s="22">
        <f t="shared" si="9"/>
        <v>2698.5459999999998</v>
      </c>
      <c r="J25" s="22">
        <f t="shared" si="9"/>
        <v>0</v>
      </c>
      <c r="K25" s="58">
        <f t="shared" si="0"/>
        <v>0</v>
      </c>
      <c r="L25" s="3"/>
    </row>
    <row r="26" spans="1:12" ht="17.25" customHeight="1">
      <c r="A26" s="32" t="s">
        <v>420</v>
      </c>
      <c r="B26" s="609" t="s">
        <v>441</v>
      </c>
      <c r="C26" s="32" t="s">
        <v>37</v>
      </c>
      <c r="D26" s="22">
        <v>597.30999999999995</v>
      </c>
      <c r="E26" s="137">
        <v>570.5</v>
      </c>
      <c r="F26" s="59">
        <v>571</v>
      </c>
      <c r="G26" s="59">
        <v>573.87</v>
      </c>
      <c r="H26" s="59">
        <v>573.87</v>
      </c>
      <c r="I26" s="59">
        <v>571</v>
      </c>
      <c r="J26" s="59">
        <v>573.20000000000005</v>
      </c>
      <c r="K26" s="58">
        <f t="shared" si="0"/>
        <v>100.38528896672506</v>
      </c>
      <c r="L26" s="3"/>
    </row>
    <row r="27" spans="1:12" ht="17.25" customHeight="1">
      <c r="A27" s="32"/>
      <c r="B27" s="116" t="s">
        <v>27</v>
      </c>
      <c r="C27" s="34" t="s">
        <v>21</v>
      </c>
      <c r="D27" s="25">
        <v>39.33</v>
      </c>
      <c r="E27" s="38">
        <v>47.2</v>
      </c>
      <c r="F27" s="58">
        <v>47.33</v>
      </c>
      <c r="G27" s="58">
        <v>51.822641678815145</v>
      </c>
      <c r="H27" s="58">
        <v>51.822641678815145</v>
      </c>
      <c r="I27" s="58">
        <v>47.26</v>
      </c>
      <c r="J27" s="58"/>
      <c r="K27" s="58">
        <f t="shared" si="0"/>
        <v>0</v>
      </c>
      <c r="L27" s="3"/>
    </row>
    <row r="28" spans="1:12" ht="17.25" customHeight="1">
      <c r="A28" s="32"/>
      <c r="B28" s="117" t="s">
        <v>28</v>
      </c>
      <c r="C28" s="34" t="s">
        <v>76</v>
      </c>
      <c r="D28" s="22">
        <f t="shared" ref="D28:J28" si="10">D26*D27/10</f>
        <v>2349.2202299999999</v>
      </c>
      <c r="E28" s="22">
        <f t="shared" si="10"/>
        <v>2692.76</v>
      </c>
      <c r="F28" s="22">
        <f t="shared" si="10"/>
        <v>2702.5430000000001</v>
      </c>
      <c r="G28" s="22">
        <f t="shared" si="10"/>
        <v>2973.9459380221647</v>
      </c>
      <c r="H28" s="22">
        <f t="shared" si="10"/>
        <v>2973.9459380221647</v>
      </c>
      <c r="I28" s="22">
        <f t="shared" si="10"/>
        <v>2698.5459999999998</v>
      </c>
      <c r="J28" s="22">
        <f t="shared" si="10"/>
        <v>0</v>
      </c>
      <c r="K28" s="58">
        <f t="shared" si="0"/>
        <v>0</v>
      </c>
      <c r="L28" s="3"/>
    </row>
    <row r="29" spans="1:12" ht="17.25" customHeight="1">
      <c r="A29" s="32"/>
      <c r="B29" s="609"/>
      <c r="C29" s="32"/>
      <c r="D29" s="22"/>
      <c r="E29" s="29"/>
      <c r="F29" s="29"/>
      <c r="G29" s="29"/>
      <c r="H29" s="29"/>
      <c r="I29" s="29"/>
      <c r="J29" s="29"/>
      <c r="K29" s="58"/>
      <c r="L29" s="3"/>
    </row>
    <row r="30" spans="1:12" ht="17.25" customHeight="1">
      <c r="A30" s="32"/>
      <c r="B30" s="117"/>
      <c r="C30" s="34"/>
      <c r="D30" s="38"/>
      <c r="E30" s="28"/>
      <c r="F30" s="28"/>
      <c r="G30" s="28"/>
      <c r="H30" s="28"/>
      <c r="I30" s="28"/>
      <c r="J30" s="28"/>
      <c r="K30" s="58"/>
      <c r="L30" s="3"/>
    </row>
    <row r="31" spans="1:12" ht="17.25" customHeight="1">
      <c r="A31" s="32"/>
      <c r="B31" s="117"/>
      <c r="C31" s="34"/>
      <c r="D31" s="22"/>
      <c r="E31" s="29"/>
      <c r="F31" s="29"/>
      <c r="G31" s="29"/>
      <c r="H31" s="29"/>
      <c r="I31" s="29"/>
      <c r="J31" s="29"/>
      <c r="K31" s="58"/>
      <c r="L31" s="3"/>
    </row>
    <row r="32" spans="1:12" ht="17.25" customHeight="1">
      <c r="A32" s="32"/>
      <c r="B32" s="610"/>
      <c r="C32" s="32"/>
      <c r="D32" s="22"/>
      <c r="E32" s="38"/>
      <c r="F32" s="22"/>
      <c r="G32" s="22"/>
      <c r="H32" s="22"/>
      <c r="I32" s="22"/>
      <c r="J32" s="22"/>
      <c r="K32" s="58"/>
      <c r="L32" s="3"/>
    </row>
    <row r="33" spans="1:12" ht="17.25" customHeight="1">
      <c r="A33" s="32"/>
      <c r="B33" s="115"/>
      <c r="C33" s="34"/>
      <c r="D33" s="25"/>
      <c r="E33" s="38"/>
      <c r="F33" s="38"/>
      <c r="G33" s="38"/>
      <c r="H33" s="38"/>
      <c r="I33" s="38"/>
      <c r="J33" s="38"/>
      <c r="K33" s="58"/>
      <c r="L33" s="3"/>
    </row>
    <row r="34" spans="1:12" ht="17.25" customHeight="1">
      <c r="A34" s="32"/>
      <c r="B34" s="115"/>
      <c r="C34" s="34"/>
      <c r="D34" s="22"/>
      <c r="E34" s="22"/>
      <c r="F34" s="22"/>
      <c r="G34" s="22"/>
      <c r="H34" s="22"/>
      <c r="I34" s="22"/>
      <c r="J34" s="22"/>
      <c r="K34" s="58"/>
      <c r="L34" s="3"/>
    </row>
    <row r="35" spans="1:12" ht="17.25" customHeight="1">
      <c r="A35" s="32"/>
      <c r="B35" s="610"/>
      <c r="C35" s="32"/>
      <c r="D35" s="22"/>
      <c r="E35" s="22"/>
      <c r="F35" s="22"/>
      <c r="G35" s="22"/>
      <c r="H35" s="22"/>
      <c r="I35" s="22"/>
      <c r="J35" s="22"/>
      <c r="K35" s="58"/>
      <c r="L35" s="3"/>
    </row>
    <row r="36" spans="1:12" ht="17.25" customHeight="1">
      <c r="A36" s="32"/>
      <c r="B36" s="115"/>
      <c r="C36" s="34"/>
      <c r="D36" s="38"/>
      <c r="E36" s="38"/>
      <c r="F36" s="38"/>
      <c r="G36" s="38"/>
      <c r="H36" s="38"/>
      <c r="I36" s="38"/>
      <c r="J36" s="38"/>
      <c r="K36" s="58"/>
      <c r="L36" s="3"/>
    </row>
    <row r="37" spans="1:12" ht="17.25" customHeight="1">
      <c r="A37" s="32"/>
      <c r="B37" s="115"/>
      <c r="C37" s="34"/>
      <c r="D37" s="22"/>
      <c r="E37" s="22"/>
      <c r="F37" s="22"/>
      <c r="G37" s="22"/>
      <c r="H37" s="22"/>
      <c r="I37" s="22"/>
      <c r="J37" s="22"/>
      <c r="K37" s="58"/>
      <c r="L37" s="3"/>
    </row>
    <row r="38" spans="1:12" s="18" customFormat="1" ht="17.25" customHeight="1">
      <c r="A38" s="11" t="s">
        <v>35</v>
      </c>
      <c r="B38" s="44" t="s">
        <v>444</v>
      </c>
      <c r="C38" s="11" t="s">
        <v>37</v>
      </c>
      <c r="D38" s="16">
        <f t="shared" ref="D38:J38" si="11">D41+D44</f>
        <v>28.22</v>
      </c>
      <c r="E38" s="16">
        <f t="shared" si="11"/>
        <v>38.700000000000003</v>
      </c>
      <c r="F38" s="16">
        <f t="shared" si="11"/>
        <v>23</v>
      </c>
      <c r="G38" s="16">
        <f t="shared" si="11"/>
        <v>25.2</v>
      </c>
      <c r="H38" s="16">
        <f t="shared" si="11"/>
        <v>25.2</v>
      </c>
      <c r="I38" s="16">
        <f t="shared" si="11"/>
        <v>22</v>
      </c>
      <c r="J38" s="16">
        <f t="shared" si="11"/>
        <v>10.5</v>
      </c>
      <c r="K38" s="66">
        <f t="shared" ref="K38:K43" si="12">IFERROR(J38/I38%,"")</f>
        <v>47.727272727272727</v>
      </c>
      <c r="L38" s="83"/>
    </row>
    <row r="39" spans="1:12" ht="17.25" customHeight="1">
      <c r="A39" s="32"/>
      <c r="B39" s="37" t="s">
        <v>27</v>
      </c>
      <c r="C39" s="34" t="s">
        <v>21</v>
      </c>
      <c r="D39" s="38">
        <f t="shared" ref="D39:J39" si="13">D40/D38*10</f>
        <v>56.129999999999995</v>
      </c>
      <c r="E39" s="38">
        <f t="shared" si="13"/>
        <v>47.3</v>
      </c>
      <c r="F39" s="38">
        <f t="shared" si="13"/>
        <v>55</v>
      </c>
      <c r="G39" s="38">
        <f t="shared" si="13"/>
        <v>58</v>
      </c>
      <c r="H39" s="38">
        <f t="shared" si="13"/>
        <v>58</v>
      </c>
      <c r="I39" s="38">
        <f t="shared" si="13"/>
        <v>50</v>
      </c>
      <c r="J39" s="38">
        <f t="shared" si="13"/>
        <v>0</v>
      </c>
      <c r="K39" s="58">
        <f t="shared" si="12"/>
        <v>0</v>
      </c>
      <c r="L39" s="3"/>
    </row>
    <row r="40" spans="1:12" ht="17.25" customHeight="1">
      <c r="A40" s="32"/>
      <c r="B40" s="37" t="s">
        <v>28</v>
      </c>
      <c r="C40" s="34" t="s">
        <v>76</v>
      </c>
      <c r="D40" s="22">
        <f t="shared" ref="D40:J40" si="14">D43+D46</f>
        <v>158.39885999999998</v>
      </c>
      <c r="E40" s="22">
        <f t="shared" si="14"/>
        <v>183.05099999999999</v>
      </c>
      <c r="F40" s="22">
        <f t="shared" si="14"/>
        <v>126.5</v>
      </c>
      <c r="G40" s="22">
        <f t="shared" si="14"/>
        <v>146.16</v>
      </c>
      <c r="H40" s="22">
        <f t="shared" si="14"/>
        <v>146.16</v>
      </c>
      <c r="I40" s="22">
        <f t="shared" si="14"/>
        <v>110</v>
      </c>
      <c r="J40" s="22">
        <f t="shared" si="14"/>
        <v>0</v>
      </c>
      <c r="K40" s="58">
        <f t="shared" si="12"/>
        <v>0</v>
      </c>
      <c r="L40" s="3"/>
    </row>
    <row r="41" spans="1:12" ht="17.25" customHeight="1">
      <c r="A41" s="32" t="s">
        <v>423</v>
      </c>
      <c r="B41" s="611" t="s">
        <v>457</v>
      </c>
      <c r="C41" s="32" t="s">
        <v>37</v>
      </c>
      <c r="D41" s="29">
        <v>28.22</v>
      </c>
      <c r="E41" s="29">
        <v>38.700000000000003</v>
      </c>
      <c r="F41" s="29">
        <v>23</v>
      </c>
      <c r="G41" s="29">
        <v>25.2</v>
      </c>
      <c r="H41" s="29">
        <v>25.2</v>
      </c>
      <c r="I41" s="29">
        <v>22</v>
      </c>
      <c r="J41" s="29">
        <v>10.5</v>
      </c>
      <c r="K41" s="58">
        <f t="shared" si="12"/>
        <v>47.727272727272727</v>
      </c>
      <c r="L41" s="3"/>
    </row>
    <row r="42" spans="1:12" ht="17.25" customHeight="1">
      <c r="A42" s="32"/>
      <c r="B42" s="116" t="s">
        <v>27</v>
      </c>
      <c r="C42" s="34" t="s">
        <v>21</v>
      </c>
      <c r="D42" s="28">
        <v>56.13</v>
      </c>
      <c r="E42" s="28">
        <v>47.3</v>
      </c>
      <c r="F42" s="28">
        <v>55</v>
      </c>
      <c r="G42" s="28">
        <v>58</v>
      </c>
      <c r="H42" s="28">
        <v>58</v>
      </c>
      <c r="I42" s="28">
        <v>50</v>
      </c>
      <c r="J42" s="28"/>
      <c r="K42" s="58">
        <f t="shared" si="12"/>
        <v>0</v>
      </c>
      <c r="L42" s="3"/>
    </row>
    <row r="43" spans="1:12" ht="17.25" customHeight="1">
      <c r="A43" s="32"/>
      <c r="B43" s="117" t="s">
        <v>28</v>
      </c>
      <c r="C43" s="34" t="s">
        <v>76</v>
      </c>
      <c r="D43" s="29">
        <f t="shared" ref="D43:J43" si="15">D42*D41/10</f>
        <v>158.39885999999998</v>
      </c>
      <c r="E43" s="29">
        <f t="shared" si="15"/>
        <v>183.05099999999999</v>
      </c>
      <c r="F43" s="29">
        <f t="shared" si="15"/>
        <v>126.5</v>
      </c>
      <c r="G43" s="29">
        <f t="shared" si="15"/>
        <v>146.16</v>
      </c>
      <c r="H43" s="29">
        <f t="shared" si="15"/>
        <v>146.16</v>
      </c>
      <c r="I43" s="29">
        <f t="shared" si="15"/>
        <v>110</v>
      </c>
      <c r="J43" s="29">
        <f t="shared" si="15"/>
        <v>0</v>
      </c>
      <c r="K43" s="58">
        <f t="shared" si="12"/>
        <v>0</v>
      </c>
      <c r="L43" s="3"/>
    </row>
    <row r="44" spans="1:12" ht="17.25" customHeight="1">
      <c r="A44" s="32"/>
      <c r="B44" s="611"/>
      <c r="C44" s="32"/>
      <c r="D44" s="29"/>
      <c r="E44" s="29"/>
      <c r="F44" s="29"/>
      <c r="G44" s="29"/>
      <c r="H44" s="29"/>
      <c r="I44" s="29"/>
      <c r="J44" s="29"/>
      <c r="K44" s="58"/>
      <c r="L44" s="3"/>
    </row>
    <row r="45" spans="1:12" ht="17.25" customHeight="1">
      <c r="A45" s="32"/>
      <c r="B45" s="116"/>
      <c r="C45" s="34"/>
      <c r="D45" s="28"/>
      <c r="E45" s="28"/>
      <c r="F45" s="28"/>
      <c r="G45" s="28"/>
      <c r="H45" s="28"/>
      <c r="I45" s="28"/>
      <c r="J45" s="28"/>
      <c r="K45" s="58"/>
      <c r="L45" s="3"/>
    </row>
    <row r="46" spans="1:12" ht="17.25" customHeight="1">
      <c r="A46" s="32"/>
      <c r="B46" s="117"/>
      <c r="C46" s="34"/>
      <c r="D46" s="29"/>
      <c r="E46" s="29"/>
      <c r="F46" s="29"/>
      <c r="G46" s="29"/>
      <c r="H46" s="29"/>
      <c r="I46" s="29"/>
      <c r="J46" s="29"/>
      <c r="K46" s="58"/>
      <c r="L46" s="3"/>
    </row>
    <row r="47" spans="1:12" ht="19.5" customHeight="1">
      <c r="A47" s="11">
        <v>2</v>
      </c>
      <c r="B47" s="30" t="s">
        <v>29</v>
      </c>
      <c r="C47" s="32" t="s">
        <v>37</v>
      </c>
      <c r="D47" s="27">
        <v>6199.5</v>
      </c>
      <c r="E47" s="27">
        <v>5720.5</v>
      </c>
      <c r="F47" s="27">
        <v>6000</v>
      </c>
      <c r="G47" s="27">
        <v>5281.3</v>
      </c>
      <c r="H47" s="27">
        <v>5281.3</v>
      </c>
      <c r="I47" s="27"/>
      <c r="J47" s="27"/>
      <c r="K47" s="66" t="str">
        <f t="shared" ref="K47:K59" si="16">IFERROR(J47/I47%,"")</f>
        <v/>
      </c>
      <c r="L47" s="3"/>
    </row>
    <row r="48" spans="1:12" ht="19.5" customHeight="1">
      <c r="A48" s="39"/>
      <c r="B48" s="37" t="s">
        <v>27</v>
      </c>
      <c r="C48" s="34" t="s">
        <v>21</v>
      </c>
      <c r="D48" s="28">
        <f>D49/D47*10</f>
        <v>148.34260827486088</v>
      </c>
      <c r="E48" s="28">
        <v>148.51</v>
      </c>
      <c r="F48" s="28">
        <v>145</v>
      </c>
      <c r="G48" s="28"/>
      <c r="H48" s="28">
        <v>148</v>
      </c>
      <c r="I48" s="28"/>
      <c r="J48" s="28"/>
      <c r="K48" s="58" t="str">
        <f t="shared" si="16"/>
        <v/>
      </c>
      <c r="L48" s="3"/>
    </row>
    <row r="49" spans="1:12" ht="19.5" customHeight="1">
      <c r="A49" s="39"/>
      <c r="B49" s="37" t="s">
        <v>28</v>
      </c>
      <c r="C49" s="34" t="s">
        <v>76</v>
      </c>
      <c r="D49" s="29">
        <v>91965</v>
      </c>
      <c r="E49" s="29">
        <f t="shared" ref="E49:J49" si="17">E48*E47/10</f>
        <v>84955.145499999999</v>
      </c>
      <c r="F49" s="29">
        <f t="shared" si="17"/>
        <v>87000</v>
      </c>
      <c r="G49" s="29">
        <f t="shared" si="17"/>
        <v>0</v>
      </c>
      <c r="H49" s="29">
        <f t="shared" si="17"/>
        <v>78163.240000000005</v>
      </c>
      <c r="I49" s="29">
        <f t="shared" si="17"/>
        <v>0</v>
      </c>
      <c r="J49" s="29">
        <f t="shared" si="17"/>
        <v>0</v>
      </c>
      <c r="K49" s="58" t="str">
        <f t="shared" si="16"/>
        <v/>
      </c>
      <c r="L49" s="3"/>
    </row>
    <row r="50" spans="1:12" s="18" customFormat="1" ht="19.5" customHeight="1">
      <c r="A50" s="11">
        <v>3</v>
      </c>
      <c r="B50" s="30" t="s">
        <v>317</v>
      </c>
      <c r="C50" s="11" t="s">
        <v>37</v>
      </c>
      <c r="D50" s="27">
        <v>9.1999999999999993</v>
      </c>
      <c r="E50" s="27">
        <v>10.5</v>
      </c>
      <c r="F50" s="27">
        <v>30</v>
      </c>
      <c r="G50" s="27">
        <v>29.1</v>
      </c>
      <c r="H50" s="27">
        <v>29.1</v>
      </c>
      <c r="I50" s="27"/>
      <c r="J50" s="27"/>
      <c r="K50" s="66" t="str">
        <f t="shared" si="16"/>
        <v/>
      </c>
      <c r="L50" s="83"/>
    </row>
    <row r="51" spans="1:12" ht="19.5" customHeight="1">
      <c r="A51" s="32"/>
      <c r="B51" s="33" t="s">
        <v>123</v>
      </c>
      <c r="C51" s="32" t="s">
        <v>37</v>
      </c>
      <c r="D51" s="29"/>
      <c r="E51" s="29"/>
      <c r="F51" s="29">
        <v>20</v>
      </c>
      <c r="G51" s="29">
        <v>19.100000000000001</v>
      </c>
      <c r="H51" s="29">
        <v>19.100000000000001</v>
      </c>
      <c r="I51" s="29"/>
      <c r="J51" s="29"/>
      <c r="K51" s="58" t="str">
        <f t="shared" si="16"/>
        <v/>
      </c>
      <c r="L51" s="3"/>
    </row>
    <row r="52" spans="1:12" ht="19.5" customHeight="1">
      <c r="A52" s="39"/>
      <c r="B52" s="37" t="s">
        <v>27</v>
      </c>
      <c r="C52" s="34" t="s">
        <v>21</v>
      </c>
      <c r="D52" s="28"/>
      <c r="E52" s="28">
        <v>600</v>
      </c>
      <c r="F52" s="28">
        <v>733.3</v>
      </c>
      <c r="G52" s="28"/>
      <c r="H52" s="28">
        <v>733.3</v>
      </c>
      <c r="I52" s="28"/>
      <c r="J52" s="28"/>
      <c r="K52" s="58" t="str">
        <f t="shared" si="16"/>
        <v/>
      </c>
      <c r="L52" s="3"/>
    </row>
    <row r="53" spans="1:12" ht="19.5" customHeight="1">
      <c r="A53" s="39"/>
      <c r="B53" s="37" t="s">
        <v>28</v>
      </c>
      <c r="C53" s="34" t="s">
        <v>76</v>
      </c>
      <c r="D53" s="29">
        <f t="shared" ref="D53:J53" si="18">D52*D50/10</f>
        <v>0</v>
      </c>
      <c r="E53" s="29">
        <f t="shared" si="18"/>
        <v>630</v>
      </c>
      <c r="F53" s="29">
        <f t="shared" si="18"/>
        <v>2199.9</v>
      </c>
      <c r="G53" s="29">
        <f t="shared" si="18"/>
        <v>0</v>
      </c>
      <c r="H53" s="29">
        <f t="shared" si="18"/>
        <v>2133.9029999999998</v>
      </c>
      <c r="I53" s="29">
        <f t="shared" si="18"/>
        <v>0</v>
      </c>
      <c r="J53" s="29">
        <f t="shared" si="18"/>
        <v>0</v>
      </c>
      <c r="K53" s="58" t="str">
        <f t="shared" si="16"/>
        <v/>
      </c>
      <c r="L53" s="3"/>
    </row>
    <row r="54" spans="1:12" ht="19.5" customHeight="1">
      <c r="A54" s="11">
        <v>4</v>
      </c>
      <c r="B54" s="30" t="s">
        <v>136</v>
      </c>
      <c r="C54" s="32" t="s">
        <v>37</v>
      </c>
      <c r="D54" s="27">
        <f t="shared" ref="D54:J54" si="19">D57+D60</f>
        <v>97.3</v>
      </c>
      <c r="E54" s="27">
        <f t="shared" si="19"/>
        <v>137</v>
      </c>
      <c r="F54" s="27">
        <f t="shared" si="19"/>
        <v>123</v>
      </c>
      <c r="G54" s="27">
        <f t="shared" si="19"/>
        <v>123</v>
      </c>
      <c r="H54" s="27">
        <f t="shared" si="19"/>
        <v>123</v>
      </c>
      <c r="I54" s="27">
        <f t="shared" si="19"/>
        <v>115</v>
      </c>
      <c r="J54" s="27">
        <f t="shared" si="19"/>
        <v>65.8</v>
      </c>
      <c r="K54" s="66">
        <f t="shared" si="16"/>
        <v>57.217391304347828</v>
      </c>
      <c r="L54" s="3"/>
    </row>
    <row r="55" spans="1:12" ht="19.5" customHeight="1">
      <c r="A55" s="39"/>
      <c r="B55" s="37" t="s">
        <v>27</v>
      </c>
      <c r="C55" s="34" t="s">
        <v>21</v>
      </c>
      <c r="D55" s="28">
        <f t="shared" ref="D55:J55" si="20">D56/D54*10</f>
        <v>145</v>
      </c>
      <c r="E55" s="28">
        <f t="shared" si="20"/>
        <v>152</v>
      </c>
      <c r="F55" s="28">
        <f t="shared" si="20"/>
        <v>151.1</v>
      </c>
      <c r="G55" s="28">
        <f t="shared" si="20"/>
        <v>151</v>
      </c>
      <c r="H55" s="28">
        <f t="shared" si="20"/>
        <v>152</v>
      </c>
      <c r="I55" s="28">
        <f t="shared" si="20"/>
        <v>152.39999999999998</v>
      </c>
      <c r="J55" s="28">
        <f t="shared" si="20"/>
        <v>0</v>
      </c>
      <c r="K55" s="58">
        <f t="shared" si="16"/>
        <v>0</v>
      </c>
      <c r="L55" s="3"/>
    </row>
    <row r="56" spans="1:12" ht="19.5" customHeight="1">
      <c r="A56" s="39"/>
      <c r="B56" s="37" t="s">
        <v>28</v>
      </c>
      <c r="C56" s="34" t="s">
        <v>76</v>
      </c>
      <c r="D56" s="29">
        <f t="shared" ref="D56:J56" si="21">D59+D62</f>
        <v>1410.85</v>
      </c>
      <c r="E56" s="29">
        <f t="shared" si="21"/>
        <v>2082.4</v>
      </c>
      <c r="F56" s="29">
        <f t="shared" si="21"/>
        <v>1858.53</v>
      </c>
      <c r="G56" s="29">
        <f t="shared" si="21"/>
        <v>1857.3</v>
      </c>
      <c r="H56" s="29">
        <f t="shared" si="21"/>
        <v>1869.6</v>
      </c>
      <c r="I56" s="29">
        <f t="shared" si="21"/>
        <v>1752.6</v>
      </c>
      <c r="J56" s="29">
        <f t="shared" si="21"/>
        <v>0</v>
      </c>
      <c r="K56" s="58">
        <f t="shared" si="16"/>
        <v>0</v>
      </c>
      <c r="L56" s="3"/>
    </row>
    <row r="57" spans="1:12" ht="19.5" customHeight="1">
      <c r="A57" s="32"/>
      <c r="B57" s="612" t="s">
        <v>459</v>
      </c>
      <c r="C57" s="21" t="s">
        <v>37</v>
      </c>
      <c r="D57" s="22">
        <v>97.3</v>
      </c>
      <c r="E57" s="22">
        <v>137</v>
      </c>
      <c r="F57" s="22">
        <v>123</v>
      </c>
      <c r="G57" s="22">
        <v>123</v>
      </c>
      <c r="H57" s="22">
        <v>123</v>
      </c>
      <c r="I57" s="22">
        <v>115</v>
      </c>
      <c r="J57" s="22">
        <v>65.8</v>
      </c>
      <c r="K57" s="58">
        <f t="shared" si="16"/>
        <v>57.217391304347828</v>
      </c>
      <c r="L57" s="3"/>
    </row>
    <row r="58" spans="1:12" ht="19.5" customHeight="1">
      <c r="A58" s="32"/>
      <c r="B58" s="136" t="s">
        <v>27</v>
      </c>
      <c r="C58" s="21" t="s">
        <v>21</v>
      </c>
      <c r="D58" s="38">
        <v>145</v>
      </c>
      <c r="E58" s="38">
        <v>152</v>
      </c>
      <c r="F58" s="38">
        <v>151.1</v>
      </c>
      <c r="G58" s="38">
        <v>151</v>
      </c>
      <c r="H58" s="38">
        <v>152</v>
      </c>
      <c r="I58" s="38">
        <v>152.4</v>
      </c>
      <c r="J58" s="38"/>
      <c r="K58" s="58">
        <f t="shared" si="16"/>
        <v>0</v>
      </c>
      <c r="L58" s="3"/>
    </row>
    <row r="59" spans="1:12" ht="19.5" customHeight="1">
      <c r="A59" s="32"/>
      <c r="B59" s="136" t="s">
        <v>28</v>
      </c>
      <c r="C59" s="21" t="s">
        <v>76</v>
      </c>
      <c r="D59" s="22">
        <f t="shared" ref="D59:J59" si="22">D58*D57/10</f>
        <v>1410.85</v>
      </c>
      <c r="E59" s="22">
        <f t="shared" si="22"/>
        <v>2082.4</v>
      </c>
      <c r="F59" s="22">
        <f t="shared" si="22"/>
        <v>1858.53</v>
      </c>
      <c r="G59" s="22">
        <f t="shared" si="22"/>
        <v>1857.3</v>
      </c>
      <c r="H59" s="22">
        <f t="shared" si="22"/>
        <v>1869.6</v>
      </c>
      <c r="I59" s="22">
        <f t="shared" si="22"/>
        <v>1752.6</v>
      </c>
      <c r="J59" s="22">
        <f t="shared" si="22"/>
        <v>0</v>
      </c>
      <c r="K59" s="58">
        <f t="shared" si="16"/>
        <v>0</v>
      </c>
      <c r="L59" s="3"/>
    </row>
    <row r="60" spans="1:12" ht="19.5" customHeight="1">
      <c r="A60" s="32"/>
      <c r="B60" s="612"/>
      <c r="C60" s="21"/>
      <c r="D60" s="22"/>
      <c r="E60" s="22"/>
      <c r="F60" s="22"/>
      <c r="G60" s="22"/>
      <c r="H60" s="22"/>
      <c r="I60" s="22"/>
      <c r="J60" s="22"/>
      <c r="K60" s="58"/>
      <c r="L60" s="3"/>
    </row>
    <row r="61" spans="1:12" ht="19.5" customHeight="1">
      <c r="A61" s="32"/>
      <c r="B61" s="136"/>
      <c r="C61" s="21"/>
      <c r="D61" s="38"/>
      <c r="E61" s="38"/>
      <c r="F61" s="38"/>
      <c r="G61" s="38"/>
      <c r="H61" s="38"/>
      <c r="I61" s="38"/>
      <c r="J61" s="38"/>
      <c r="K61" s="58"/>
      <c r="L61" s="3"/>
    </row>
    <row r="62" spans="1:12" ht="19.5" customHeight="1">
      <c r="A62" s="32"/>
      <c r="B62" s="136"/>
      <c r="C62" s="21"/>
      <c r="D62" s="22"/>
      <c r="E62" s="22"/>
      <c r="F62" s="22"/>
      <c r="G62" s="22"/>
      <c r="H62" s="22"/>
      <c r="I62" s="22"/>
      <c r="J62" s="22"/>
      <c r="K62" s="58"/>
      <c r="L62" s="3"/>
    </row>
    <row r="63" spans="1:12" s="18" customFormat="1" ht="31.5">
      <c r="A63" s="11">
        <v>5</v>
      </c>
      <c r="B63" s="30" t="s">
        <v>411</v>
      </c>
      <c r="C63" s="11" t="s">
        <v>37</v>
      </c>
      <c r="D63" s="36">
        <f t="shared" ref="D63:I63" si="23">SUM(D64:D66)</f>
        <v>0</v>
      </c>
      <c r="E63" s="36">
        <f t="shared" si="23"/>
        <v>0</v>
      </c>
      <c r="F63" s="36">
        <f t="shared" si="23"/>
        <v>0</v>
      </c>
      <c r="G63" s="36">
        <f t="shared" si="23"/>
        <v>0</v>
      </c>
      <c r="H63" s="36">
        <f t="shared" si="23"/>
        <v>0</v>
      </c>
      <c r="I63" s="36">
        <f t="shared" si="23"/>
        <v>0</v>
      </c>
      <c r="J63" s="36">
        <f>SUM(J64:J66)</f>
        <v>0</v>
      </c>
      <c r="K63" s="66" t="str">
        <f>IFERROR(J63/I63%,"")</f>
        <v/>
      </c>
      <c r="L63" s="83"/>
    </row>
    <row r="64" spans="1:12" ht="19.5" customHeight="1" outlineLevel="1">
      <c r="A64" s="32"/>
      <c r="B64" s="35"/>
      <c r="C64" s="32"/>
      <c r="D64" s="28"/>
      <c r="E64" s="28"/>
      <c r="F64" s="28"/>
      <c r="G64" s="28"/>
      <c r="H64" s="28"/>
      <c r="I64" s="28"/>
      <c r="J64" s="28"/>
      <c r="K64" s="58"/>
      <c r="L64" s="3"/>
    </row>
    <row r="65" spans="1:13" ht="19.5" customHeight="1" outlineLevel="1">
      <c r="A65" s="32"/>
      <c r="B65" s="35"/>
      <c r="C65" s="32"/>
      <c r="D65" s="28"/>
      <c r="E65" s="28"/>
      <c r="F65" s="28"/>
      <c r="G65" s="28"/>
      <c r="H65" s="28"/>
      <c r="I65" s="28"/>
      <c r="J65" s="28"/>
      <c r="K65" s="58"/>
      <c r="L65" s="3"/>
    </row>
    <row r="66" spans="1:13" ht="19.5" customHeight="1" outlineLevel="1">
      <c r="A66" s="32"/>
      <c r="B66" s="35"/>
      <c r="C66" s="32"/>
      <c r="D66" s="28"/>
      <c r="E66" s="28"/>
      <c r="F66" s="28"/>
      <c r="G66" s="28"/>
      <c r="H66" s="28"/>
      <c r="I66" s="28"/>
      <c r="J66" s="28"/>
      <c r="K66" s="58"/>
      <c r="L66" s="3"/>
    </row>
    <row r="67" spans="1:13" ht="17.25" customHeight="1">
      <c r="A67" s="24" t="s">
        <v>39</v>
      </c>
      <c r="B67" s="30" t="s">
        <v>122</v>
      </c>
      <c r="C67" s="11" t="s">
        <v>37</v>
      </c>
      <c r="D67" s="27">
        <f t="shared" ref="D67:J67" si="24">D68+D81+D82</f>
        <v>9692.5</v>
      </c>
      <c r="E67" s="27">
        <f t="shared" si="24"/>
        <v>9941</v>
      </c>
      <c r="F67" s="27">
        <f t="shared" si="24"/>
        <v>9992.1</v>
      </c>
      <c r="G67" s="27">
        <f t="shared" si="24"/>
        <v>10295.6</v>
      </c>
      <c r="H67" s="27">
        <f>H68+H81+H82</f>
        <v>10332.300000000001</v>
      </c>
      <c r="I67" s="27">
        <f t="shared" si="24"/>
        <v>10079.6</v>
      </c>
      <c r="J67" s="27">
        <f t="shared" si="24"/>
        <v>10029.6</v>
      </c>
      <c r="K67" s="66">
        <f>IFERROR(J67/I67%,"")</f>
        <v>99.503948569387674</v>
      </c>
      <c r="L67" s="3"/>
    </row>
    <row r="68" spans="1:13" s="18" customFormat="1" ht="17.25" customHeight="1">
      <c r="A68" s="24">
        <v>1</v>
      </c>
      <c r="B68" s="23" t="s">
        <v>448</v>
      </c>
      <c r="C68" s="11" t="s">
        <v>37</v>
      </c>
      <c r="D68" s="27">
        <f t="shared" ref="D68:J68" si="25">D69+D75</f>
        <v>9537.2999999999993</v>
      </c>
      <c r="E68" s="27">
        <f t="shared" si="25"/>
        <v>9722.1</v>
      </c>
      <c r="F68" s="27">
        <f t="shared" si="25"/>
        <v>9772.1</v>
      </c>
      <c r="G68" s="27">
        <f t="shared" si="25"/>
        <v>10029.6</v>
      </c>
      <c r="H68" s="27">
        <f t="shared" si="25"/>
        <v>10029.6</v>
      </c>
      <c r="I68" s="27">
        <f t="shared" si="25"/>
        <v>10079.6</v>
      </c>
      <c r="J68" s="27">
        <f t="shared" si="25"/>
        <v>10029.6</v>
      </c>
      <c r="K68" s="66">
        <f>IFERROR(J68/I68%,"")</f>
        <v>99.503948569387674</v>
      </c>
      <c r="L68" s="83"/>
    </row>
    <row r="69" spans="1:13" s="18" customFormat="1" ht="17.25" customHeight="1">
      <c r="A69" s="11" t="s">
        <v>34</v>
      </c>
      <c r="B69" s="30" t="s">
        <v>445</v>
      </c>
      <c r="C69" s="11" t="s">
        <v>37</v>
      </c>
      <c r="D69" s="16">
        <v>1743.8</v>
      </c>
      <c r="E69" s="16">
        <f>D69+E70</f>
        <v>1919.5</v>
      </c>
      <c r="F69" s="16">
        <f>E69+F70-F71</f>
        <v>1969.5</v>
      </c>
      <c r="G69" s="16">
        <f>E69+G70-G71</f>
        <v>2299.5</v>
      </c>
      <c r="H69" s="16">
        <f>E69+H70-H71</f>
        <v>2299.5</v>
      </c>
      <c r="I69" s="16">
        <f>H69+I70</f>
        <v>2349.5</v>
      </c>
      <c r="J69" s="16">
        <f>H69+J70</f>
        <v>2299.5</v>
      </c>
      <c r="K69" s="66">
        <f>IFERROR(J69/I69%,"")</f>
        <v>97.871887635667164</v>
      </c>
      <c r="L69" s="83"/>
    </row>
    <row r="70" spans="1:13" ht="17.25" customHeight="1">
      <c r="A70" s="32"/>
      <c r="B70" s="35" t="s">
        <v>123</v>
      </c>
      <c r="C70" s="32" t="s">
        <v>37</v>
      </c>
      <c r="D70" s="38">
        <v>185.9</v>
      </c>
      <c r="E70" s="38">
        <v>175.7</v>
      </c>
      <c r="F70" s="38">
        <v>50</v>
      </c>
      <c r="G70" s="38">
        <v>381</v>
      </c>
      <c r="H70" s="38">
        <v>381</v>
      </c>
      <c r="I70" s="38">
        <v>50</v>
      </c>
      <c r="J70" s="38"/>
      <c r="K70" s="58">
        <f>IFERROR(J70/I70%,"")</f>
        <v>0</v>
      </c>
      <c r="L70" s="3"/>
    </row>
    <row r="71" spans="1:13" ht="17.25" customHeight="1">
      <c r="A71" s="32"/>
      <c r="B71" s="35" t="s">
        <v>321</v>
      </c>
      <c r="C71" s="32" t="s">
        <v>37</v>
      </c>
      <c r="D71" s="38"/>
      <c r="E71" s="38"/>
      <c r="F71" s="38"/>
      <c r="G71" s="38">
        <v>1</v>
      </c>
      <c r="H71" s="38">
        <v>1</v>
      </c>
      <c r="I71" s="38"/>
      <c r="J71" s="38"/>
      <c r="K71" s="58"/>
      <c r="L71" s="3"/>
    </row>
    <row r="72" spans="1:13" ht="17.25" customHeight="1">
      <c r="A72" s="32"/>
      <c r="B72" s="35" t="s">
        <v>124</v>
      </c>
      <c r="C72" s="32" t="s">
        <v>37</v>
      </c>
      <c r="D72" s="22">
        <v>1246</v>
      </c>
      <c r="E72" s="22">
        <v>1384</v>
      </c>
      <c r="F72" s="22">
        <v>1559</v>
      </c>
      <c r="G72" s="22">
        <v>1558</v>
      </c>
      <c r="H72" s="22">
        <v>1558</v>
      </c>
      <c r="I72" s="22">
        <v>1745</v>
      </c>
      <c r="J72" s="22"/>
      <c r="K72" s="58">
        <f t="shared" ref="K72:K82" si="26">IFERROR(J72/I72%,"")</f>
        <v>0</v>
      </c>
      <c r="L72" s="3"/>
      <c r="M72" s="81"/>
    </row>
    <row r="73" spans="1:13" ht="17.25" customHeight="1">
      <c r="A73" s="32"/>
      <c r="B73" s="35" t="s">
        <v>125</v>
      </c>
      <c r="C73" s="32" t="s">
        <v>21</v>
      </c>
      <c r="D73" s="38">
        <v>31.73</v>
      </c>
      <c r="E73" s="38">
        <v>35.65</v>
      </c>
      <c r="F73" s="38">
        <v>35</v>
      </c>
      <c r="G73" s="38"/>
      <c r="H73" s="38">
        <v>35</v>
      </c>
      <c r="I73" s="38">
        <v>35</v>
      </c>
      <c r="J73" s="38"/>
      <c r="K73" s="58">
        <f t="shared" si="26"/>
        <v>0</v>
      </c>
      <c r="L73" s="3"/>
    </row>
    <row r="74" spans="1:13" ht="17.25" customHeight="1">
      <c r="A74" s="32"/>
      <c r="B74" s="35" t="s">
        <v>320</v>
      </c>
      <c r="C74" s="32" t="s">
        <v>76</v>
      </c>
      <c r="D74" s="22">
        <f t="shared" ref="D74:J74" si="27">D72*D73/10</f>
        <v>3953.558</v>
      </c>
      <c r="E74" s="22">
        <f t="shared" si="27"/>
        <v>4933.96</v>
      </c>
      <c r="F74" s="22">
        <f t="shared" si="27"/>
        <v>5456.5</v>
      </c>
      <c r="G74" s="22">
        <f t="shared" si="27"/>
        <v>0</v>
      </c>
      <c r="H74" s="22">
        <f t="shared" si="27"/>
        <v>5453</v>
      </c>
      <c r="I74" s="22">
        <f t="shared" si="27"/>
        <v>6107.5</v>
      </c>
      <c r="J74" s="22">
        <f t="shared" si="27"/>
        <v>0</v>
      </c>
      <c r="K74" s="58">
        <f t="shared" si="26"/>
        <v>0</v>
      </c>
      <c r="L74" s="3"/>
    </row>
    <row r="75" spans="1:13" s="18" customFormat="1" ht="17.25" customHeight="1">
      <c r="A75" s="11" t="s">
        <v>35</v>
      </c>
      <c r="B75" s="30" t="s">
        <v>446</v>
      </c>
      <c r="C75" s="11" t="s">
        <v>37</v>
      </c>
      <c r="D75" s="16">
        <v>7793.5</v>
      </c>
      <c r="E75" s="16">
        <f>D75+E76-E77</f>
        <v>7802.6</v>
      </c>
      <c r="F75" s="16">
        <f>E75+F76-F77</f>
        <v>7802.6</v>
      </c>
      <c r="G75" s="16">
        <f>E75+G76-G77</f>
        <v>7730.1</v>
      </c>
      <c r="H75" s="16">
        <f>E75+H76-H77</f>
        <v>7730.1</v>
      </c>
      <c r="I75" s="16">
        <f>H75+I76-I77</f>
        <v>7730.1</v>
      </c>
      <c r="J75" s="16">
        <f>H75+J76-J77</f>
        <v>7730.1</v>
      </c>
      <c r="K75" s="66">
        <f t="shared" si="26"/>
        <v>100</v>
      </c>
      <c r="L75" s="83"/>
    </row>
    <row r="76" spans="1:13" ht="17.25" customHeight="1">
      <c r="A76" s="32"/>
      <c r="B76" s="35" t="s">
        <v>123</v>
      </c>
      <c r="C76" s="32" t="s">
        <v>37</v>
      </c>
      <c r="D76" s="43">
        <v>0</v>
      </c>
      <c r="E76" s="28">
        <v>24.6</v>
      </c>
      <c r="F76" s="43"/>
      <c r="G76" s="43">
        <v>38.299999999999997</v>
      </c>
      <c r="H76" s="43">
        <v>38.299999999999997</v>
      </c>
      <c r="I76" s="43"/>
      <c r="J76" s="43"/>
      <c r="K76" s="58" t="str">
        <f t="shared" si="26"/>
        <v/>
      </c>
      <c r="L76" s="3"/>
    </row>
    <row r="77" spans="1:13" ht="17.25" customHeight="1">
      <c r="A77" s="32"/>
      <c r="B77" s="35" t="s">
        <v>321</v>
      </c>
      <c r="C77" s="32" t="s">
        <v>37</v>
      </c>
      <c r="D77" s="28">
        <v>81.5</v>
      </c>
      <c r="E77" s="28">
        <v>15.5</v>
      </c>
      <c r="F77" s="43"/>
      <c r="G77" s="43">
        <v>110.8</v>
      </c>
      <c r="H77" s="43">
        <v>110.8</v>
      </c>
      <c r="I77" s="43"/>
      <c r="J77" s="43"/>
      <c r="K77" s="58" t="str">
        <f t="shared" si="26"/>
        <v/>
      </c>
      <c r="L77" s="3"/>
    </row>
    <row r="78" spans="1:13" ht="17.25" customHeight="1">
      <c r="A78" s="32"/>
      <c r="B78" s="35" t="s">
        <v>124</v>
      </c>
      <c r="C78" s="32" t="s">
        <v>37</v>
      </c>
      <c r="D78" s="22">
        <v>4821</v>
      </c>
      <c r="E78" s="22">
        <v>5385</v>
      </c>
      <c r="F78" s="22">
        <v>5755</v>
      </c>
      <c r="G78" s="22">
        <v>5723.7</v>
      </c>
      <c r="H78" s="22">
        <v>5723.7</v>
      </c>
      <c r="I78" s="22">
        <v>6190</v>
      </c>
      <c r="J78" s="22"/>
      <c r="K78" s="58">
        <f t="shared" si="26"/>
        <v>0</v>
      </c>
      <c r="L78" s="3"/>
    </row>
    <row r="79" spans="1:13" ht="17.25" customHeight="1">
      <c r="A79" s="32"/>
      <c r="B79" s="35" t="s">
        <v>126</v>
      </c>
      <c r="C79" s="32" t="s">
        <v>21</v>
      </c>
      <c r="D79" s="38">
        <v>12.33</v>
      </c>
      <c r="E79" s="38">
        <v>12.35</v>
      </c>
      <c r="F79" s="38">
        <v>12.5</v>
      </c>
      <c r="G79" s="38">
        <v>12.5</v>
      </c>
      <c r="H79" s="38">
        <v>12.5</v>
      </c>
      <c r="I79" s="38">
        <v>12.5</v>
      </c>
      <c r="J79" s="38"/>
      <c r="K79" s="58">
        <f t="shared" si="26"/>
        <v>0</v>
      </c>
      <c r="L79" s="3"/>
    </row>
    <row r="80" spans="1:13" ht="17.25" customHeight="1">
      <c r="A80" s="32"/>
      <c r="B80" s="35" t="s">
        <v>474</v>
      </c>
      <c r="C80" s="32" t="s">
        <v>76</v>
      </c>
      <c r="D80" s="22">
        <f t="shared" ref="D80:J80" si="28">D78*D79/10</f>
        <v>5944.2929999999997</v>
      </c>
      <c r="E80" s="22">
        <f t="shared" si="28"/>
        <v>6650.4750000000004</v>
      </c>
      <c r="F80" s="22">
        <f t="shared" si="28"/>
        <v>7193.75</v>
      </c>
      <c r="G80" s="22">
        <f t="shared" si="28"/>
        <v>7154.625</v>
      </c>
      <c r="H80" s="22">
        <f t="shared" si="28"/>
        <v>7154.625</v>
      </c>
      <c r="I80" s="22">
        <f t="shared" si="28"/>
        <v>7737.5</v>
      </c>
      <c r="J80" s="22">
        <f t="shared" si="28"/>
        <v>0</v>
      </c>
      <c r="K80" s="58">
        <f t="shared" si="26"/>
        <v>0</v>
      </c>
      <c r="L80" s="3"/>
    </row>
    <row r="81" spans="1:13" s="18" customFormat="1" ht="17.25" customHeight="1">
      <c r="A81" s="11">
        <v>2</v>
      </c>
      <c r="B81" s="30" t="s">
        <v>181</v>
      </c>
      <c r="C81" s="11" t="s">
        <v>37</v>
      </c>
      <c r="D81" s="16">
        <v>155.19999999999999</v>
      </c>
      <c r="E81" s="16">
        <v>218.9</v>
      </c>
      <c r="F81" s="16">
        <v>220</v>
      </c>
      <c r="G81" s="16">
        <v>266</v>
      </c>
      <c r="H81" s="16">
        <v>302.70000000000005</v>
      </c>
      <c r="I81" s="16"/>
      <c r="J81" s="16"/>
      <c r="K81" s="66" t="str">
        <f t="shared" si="26"/>
        <v/>
      </c>
      <c r="L81" s="83"/>
    </row>
    <row r="82" spans="1:13" s="18" customFormat="1" ht="31.5">
      <c r="A82" s="11">
        <v>3</v>
      </c>
      <c r="B82" s="30" t="s">
        <v>410</v>
      </c>
      <c r="C82" s="11" t="s">
        <v>37</v>
      </c>
      <c r="D82" s="16">
        <f t="shared" ref="D82:I82" si="29">SUM(D83:D87)</f>
        <v>0</v>
      </c>
      <c r="E82" s="16">
        <f t="shared" si="29"/>
        <v>0</v>
      </c>
      <c r="F82" s="16">
        <f t="shared" si="29"/>
        <v>0</v>
      </c>
      <c r="G82" s="16">
        <f t="shared" si="29"/>
        <v>0</v>
      </c>
      <c r="H82" s="16">
        <f t="shared" si="29"/>
        <v>0</v>
      </c>
      <c r="I82" s="16">
        <f t="shared" si="29"/>
        <v>0</v>
      </c>
      <c r="J82" s="16">
        <f>SUM(J83:J87)</f>
        <v>0</v>
      </c>
      <c r="K82" s="66" t="str">
        <f t="shared" si="26"/>
        <v/>
      </c>
      <c r="L82" s="83"/>
      <c r="M82" s="87"/>
    </row>
    <row r="83" spans="1:13" ht="17.25" hidden="1" customHeight="1" outlineLevel="1">
      <c r="A83" s="32"/>
      <c r="B83" s="35"/>
      <c r="C83" s="32"/>
      <c r="D83" s="38"/>
      <c r="E83" s="38"/>
      <c r="F83" s="38"/>
      <c r="G83" s="38"/>
      <c r="H83" s="38"/>
      <c r="I83" s="38"/>
      <c r="J83" s="38"/>
      <c r="K83" s="58"/>
      <c r="L83" s="3"/>
    </row>
    <row r="84" spans="1:13" ht="17.25" hidden="1" customHeight="1" outlineLevel="1">
      <c r="A84" s="32"/>
      <c r="B84" s="35"/>
      <c r="C84" s="32"/>
      <c r="D84" s="38"/>
      <c r="E84" s="38"/>
      <c r="F84" s="38"/>
      <c r="G84" s="38"/>
      <c r="H84" s="38"/>
      <c r="I84" s="38"/>
      <c r="J84" s="38"/>
      <c r="K84" s="58"/>
      <c r="L84" s="3"/>
    </row>
    <row r="85" spans="1:13" ht="17.25" hidden="1" customHeight="1" outlineLevel="1">
      <c r="A85" s="32"/>
      <c r="B85" s="35"/>
      <c r="C85" s="32"/>
      <c r="D85" s="38"/>
      <c r="E85" s="38"/>
      <c r="F85" s="38"/>
      <c r="G85" s="38"/>
      <c r="H85" s="38"/>
      <c r="I85" s="38"/>
      <c r="J85" s="38"/>
      <c r="K85" s="58"/>
      <c r="L85" s="3"/>
    </row>
    <row r="86" spans="1:13" ht="17.25" hidden="1" customHeight="1" outlineLevel="1">
      <c r="A86" s="32"/>
      <c r="B86" s="35"/>
      <c r="C86" s="32"/>
      <c r="D86" s="38"/>
      <c r="E86" s="38"/>
      <c r="F86" s="38"/>
      <c r="G86" s="38"/>
      <c r="H86" s="38"/>
      <c r="I86" s="38"/>
      <c r="J86" s="38"/>
      <c r="K86" s="58"/>
      <c r="L86" s="3"/>
    </row>
    <row r="87" spans="1:13" ht="17.25" hidden="1" customHeight="1" outlineLevel="1">
      <c r="A87" s="32"/>
      <c r="B87" s="35"/>
      <c r="C87" s="32"/>
      <c r="D87" s="38"/>
      <c r="E87" s="38"/>
      <c r="F87" s="38"/>
      <c r="G87" s="38"/>
      <c r="H87" s="38"/>
      <c r="I87" s="38"/>
      <c r="J87" s="38"/>
      <c r="K87" s="58"/>
      <c r="L87" s="3"/>
    </row>
    <row r="88" spans="1:13" ht="18.75" customHeight="1" collapsed="1">
      <c r="A88" s="11" t="s">
        <v>47</v>
      </c>
      <c r="B88" s="30" t="s">
        <v>96</v>
      </c>
      <c r="C88" s="32"/>
      <c r="D88" s="28"/>
      <c r="E88" s="38"/>
      <c r="F88" s="38"/>
      <c r="G88" s="38"/>
      <c r="H88" s="38"/>
      <c r="I88" s="38"/>
      <c r="J88" s="38"/>
      <c r="K88" s="66" t="str">
        <f t="shared" ref="K88:K105" si="30">IFERROR(J88/I88%,"")</f>
        <v/>
      </c>
      <c r="L88" s="3"/>
    </row>
    <row r="89" spans="1:13" ht="18.75" customHeight="1">
      <c r="A89" s="11">
        <v>1</v>
      </c>
      <c r="B89" s="30" t="s">
        <v>447</v>
      </c>
      <c r="C89" s="11" t="s">
        <v>54</v>
      </c>
      <c r="D89" s="27">
        <f>SUM(D90:D92)</f>
        <v>20219</v>
      </c>
      <c r="E89" s="27">
        <f t="shared" ref="E89:J89" si="31">SUM(E90:E92)</f>
        <v>18350</v>
      </c>
      <c r="F89" s="27">
        <f t="shared" si="31"/>
        <v>20650</v>
      </c>
      <c r="G89" s="27">
        <f t="shared" si="31"/>
        <v>20174</v>
      </c>
      <c r="H89" s="27">
        <f t="shared" si="31"/>
        <v>20238</v>
      </c>
      <c r="I89" s="27">
        <f t="shared" si="31"/>
        <v>20900</v>
      </c>
      <c r="J89" s="27">
        <f t="shared" si="31"/>
        <v>13905</v>
      </c>
      <c r="K89" s="66">
        <f t="shared" si="30"/>
        <v>66.5311004784689</v>
      </c>
      <c r="L89" s="83"/>
    </row>
    <row r="90" spans="1:13" ht="18.75" customHeight="1">
      <c r="A90" s="32"/>
      <c r="B90" s="35" t="s">
        <v>322</v>
      </c>
      <c r="C90" s="32" t="s">
        <v>54</v>
      </c>
      <c r="D90" s="29">
        <v>2461</v>
      </c>
      <c r="E90" s="29">
        <v>2550</v>
      </c>
      <c r="F90" s="29">
        <v>2650</v>
      </c>
      <c r="G90" s="29">
        <v>2536</v>
      </c>
      <c r="H90" s="29">
        <v>2600</v>
      </c>
      <c r="I90" s="29">
        <v>2700</v>
      </c>
      <c r="J90" s="29">
        <v>2555</v>
      </c>
      <c r="K90" s="58">
        <f t="shared" si="30"/>
        <v>94.629629629629633</v>
      </c>
      <c r="L90" s="3"/>
    </row>
    <row r="91" spans="1:13" ht="18.75" customHeight="1">
      <c r="A91" s="32"/>
      <c r="B91" s="35" t="s">
        <v>323</v>
      </c>
      <c r="C91" s="32" t="s">
        <v>54</v>
      </c>
      <c r="D91" s="29">
        <v>4034</v>
      </c>
      <c r="E91" s="29">
        <v>4800</v>
      </c>
      <c r="F91" s="29">
        <v>5000</v>
      </c>
      <c r="G91" s="29">
        <v>5087</v>
      </c>
      <c r="H91" s="29">
        <v>5087</v>
      </c>
      <c r="I91" s="29">
        <v>5200</v>
      </c>
      <c r="J91" s="29">
        <v>4917</v>
      </c>
      <c r="K91" s="58">
        <f t="shared" si="30"/>
        <v>94.557692307692307</v>
      </c>
      <c r="L91" s="3"/>
    </row>
    <row r="92" spans="1:13" ht="18.75" customHeight="1">
      <c r="A92" s="32"/>
      <c r="B92" s="35" t="s">
        <v>324</v>
      </c>
      <c r="C92" s="32" t="s">
        <v>54</v>
      </c>
      <c r="D92" s="29">
        <v>13724</v>
      </c>
      <c r="E92" s="29">
        <v>11000</v>
      </c>
      <c r="F92" s="29">
        <v>13000</v>
      </c>
      <c r="G92" s="29">
        <v>12551</v>
      </c>
      <c r="H92" s="29">
        <v>12551</v>
      </c>
      <c r="I92" s="29">
        <v>13000</v>
      </c>
      <c r="J92" s="29">
        <v>6433</v>
      </c>
      <c r="K92" s="58">
        <f t="shared" si="30"/>
        <v>49.484615384615381</v>
      </c>
      <c r="L92" s="3"/>
    </row>
    <row r="93" spans="1:13" ht="18.75" customHeight="1">
      <c r="A93" s="11">
        <v>2</v>
      </c>
      <c r="B93" s="44" t="s">
        <v>31</v>
      </c>
      <c r="C93" s="11" t="s">
        <v>54</v>
      </c>
      <c r="D93" s="27">
        <v>77894</v>
      </c>
      <c r="E93" s="27">
        <v>87000</v>
      </c>
      <c r="F93" s="27">
        <v>87000</v>
      </c>
      <c r="G93" s="27">
        <v>78000</v>
      </c>
      <c r="H93" s="27">
        <v>78000</v>
      </c>
      <c r="I93" s="27">
        <v>80000</v>
      </c>
      <c r="J93" s="27">
        <v>63400</v>
      </c>
      <c r="K93" s="66">
        <f t="shared" si="30"/>
        <v>79.25</v>
      </c>
      <c r="L93" s="83"/>
    </row>
    <row r="94" spans="1:13" s="18" customFormat="1" ht="18.75" customHeight="1">
      <c r="A94" s="11" t="s">
        <v>48</v>
      </c>
      <c r="B94" s="45" t="s">
        <v>325</v>
      </c>
      <c r="C94" s="11"/>
      <c r="D94" s="27"/>
      <c r="E94" s="27"/>
      <c r="F94" s="27"/>
      <c r="G94" s="27"/>
      <c r="H94" s="27"/>
      <c r="I94" s="27"/>
      <c r="J94" s="27"/>
      <c r="K94" s="66" t="str">
        <f t="shared" si="30"/>
        <v/>
      </c>
      <c r="L94" s="83"/>
    </row>
    <row r="95" spans="1:13" ht="18.75" customHeight="1">
      <c r="A95" s="32">
        <v>1</v>
      </c>
      <c r="B95" s="46" t="s">
        <v>326</v>
      </c>
      <c r="C95" s="32" t="s">
        <v>37</v>
      </c>
      <c r="D95" s="28">
        <v>85</v>
      </c>
      <c r="E95" s="28">
        <v>85.5</v>
      </c>
      <c r="F95" s="28">
        <v>85.5</v>
      </c>
      <c r="G95" s="28">
        <v>89.100000000000009</v>
      </c>
      <c r="H95" s="28">
        <v>89.100000000000009</v>
      </c>
      <c r="I95" s="28">
        <v>89.100000000000009</v>
      </c>
      <c r="J95" s="28">
        <v>90.9</v>
      </c>
      <c r="K95" s="58">
        <f t="shared" si="30"/>
        <v>102.02020202020201</v>
      </c>
      <c r="L95" s="3"/>
    </row>
    <row r="96" spans="1:13" ht="18.75" customHeight="1">
      <c r="A96" s="32">
        <v>2</v>
      </c>
      <c r="B96" s="46" t="s">
        <v>327</v>
      </c>
      <c r="C96" s="32" t="s">
        <v>76</v>
      </c>
      <c r="D96" s="29">
        <f t="shared" ref="D96:J96" si="32">D97+D98</f>
        <v>427.4</v>
      </c>
      <c r="E96" s="29">
        <f t="shared" si="32"/>
        <v>320</v>
      </c>
      <c r="F96" s="29">
        <f t="shared" si="32"/>
        <v>335</v>
      </c>
      <c r="G96" s="29">
        <f t="shared" si="32"/>
        <v>124</v>
      </c>
      <c r="H96" s="29">
        <f t="shared" si="32"/>
        <v>207</v>
      </c>
      <c r="I96" s="29">
        <f t="shared" si="32"/>
        <v>305</v>
      </c>
      <c r="J96" s="29">
        <f t="shared" si="32"/>
        <v>0</v>
      </c>
      <c r="K96" s="58">
        <f t="shared" si="30"/>
        <v>0</v>
      </c>
      <c r="L96" s="3"/>
    </row>
    <row r="97" spans="1:13" ht="18.75" customHeight="1">
      <c r="A97" s="32"/>
      <c r="B97" s="48" t="s">
        <v>328</v>
      </c>
      <c r="C97" s="32" t="s">
        <v>76</v>
      </c>
      <c r="D97" s="29">
        <v>211.9</v>
      </c>
      <c r="E97" s="29">
        <v>210</v>
      </c>
      <c r="F97" s="29">
        <v>210</v>
      </c>
      <c r="G97" s="29">
        <v>86.5</v>
      </c>
      <c r="H97" s="29">
        <v>137</v>
      </c>
      <c r="I97" s="29">
        <v>195</v>
      </c>
      <c r="J97" s="29"/>
      <c r="K97" s="58">
        <f t="shared" si="30"/>
        <v>0</v>
      </c>
      <c r="L97" s="3"/>
    </row>
    <row r="98" spans="1:13" ht="18.75" customHeight="1">
      <c r="A98" s="32"/>
      <c r="B98" s="48" t="s">
        <v>329</v>
      </c>
      <c r="C98" s="32" t="s">
        <v>76</v>
      </c>
      <c r="D98" s="29">
        <v>215.5</v>
      </c>
      <c r="E98" s="29">
        <v>110</v>
      </c>
      <c r="F98" s="29">
        <v>125</v>
      </c>
      <c r="G98" s="29">
        <v>37.5</v>
      </c>
      <c r="H98" s="29">
        <v>70</v>
      </c>
      <c r="I98" s="29">
        <v>110</v>
      </c>
      <c r="J98" s="29"/>
      <c r="K98" s="58">
        <f t="shared" si="30"/>
        <v>0</v>
      </c>
      <c r="L98" s="3"/>
    </row>
    <row r="99" spans="1:13">
      <c r="A99" s="145" t="s">
        <v>50</v>
      </c>
      <c r="B99" s="146" t="s">
        <v>104</v>
      </c>
      <c r="C99" s="145"/>
      <c r="D99" s="13"/>
      <c r="E99" s="13"/>
      <c r="F99" s="13"/>
      <c r="G99" s="13"/>
      <c r="H99" s="13"/>
      <c r="I99" s="13"/>
      <c r="J99" s="13"/>
      <c r="K99" s="66" t="str">
        <f t="shared" si="30"/>
        <v/>
      </c>
      <c r="L99" s="3"/>
    </row>
    <row r="100" spans="1:13" ht="19.5" customHeight="1">
      <c r="A100" s="147"/>
      <c r="B100" s="148" t="s">
        <v>330</v>
      </c>
      <c r="C100" s="32" t="s">
        <v>37</v>
      </c>
      <c r="D100" s="53">
        <v>500.3</v>
      </c>
      <c r="E100" s="53">
        <v>4</v>
      </c>
      <c r="F100" s="53"/>
      <c r="G100" s="53"/>
      <c r="H100" s="53">
        <v>27</v>
      </c>
      <c r="I100" s="53"/>
      <c r="J100" s="53"/>
      <c r="K100" s="58" t="str">
        <f t="shared" si="30"/>
        <v/>
      </c>
      <c r="L100" s="3"/>
    </row>
    <row r="101" spans="1:13" ht="19.5" customHeight="1">
      <c r="A101" s="147"/>
      <c r="B101" s="46" t="s">
        <v>712</v>
      </c>
      <c r="C101" s="32" t="s">
        <v>37</v>
      </c>
      <c r="D101" s="53">
        <v>50870.31</v>
      </c>
      <c r="E101" s="53">
        <v>50870.31</v>
      </c>
      <c r="F101" s="53">
        <v>50870.31</v>
      </c>
      <c r="G101" s="53">
        <v>50870.31</v>
      </c>
      <c r="H101" s="53">
        <v>50870.31</v>
      </c>
      <c r="I101" s="53">
        <v>50870.31</v>
      </c>
      <c r="J101" s="53">
        <v>50870.31</v>
      </c>
      <c r="K101" s="58">
        <f t="shared" si="30"/>
        <v>100</v>
      </c>
      <c r="L101" s="3"/>
    </row>
    <row r="102" spans="1:13" ht="19.5" customHeight="1">
      <c r="A102" s="147"/>
      <c r="B102" s="46" t="s">
        <v>713</v>
      </c>
      <c r="C102" s="32" t="s">
        <v>37</v>
      </c>
      <c r="D102" s="53"/>
      <c r="E102" s="53">
        <v>15886.3</v>
      </c>
      <c r="F102" s="53">
        <v>15886</v>
      </c>
      <c r="G102" s="53">
        <v>15886</v>
      </c>
      <c r="H102" s="53">
        <v>15886</v>
      </c>
      <c r="I102" s="53">
        <v>15886</v>
      </c>
      <c r="J102" s="53">
        <v>15886</v>
      </c>
      <c r="K102" s="58">
        <f t="shared" si="30"/>
        <v>99.999999999999986</v>
      </c>
      <c r="L102" s="3"/>
    </row>
    <row r="103" spans="1:13" ht="19.5" customHeight="1">
      <c r="A103" s="147"/>
      <c r="B103" s="148" t="s">
        <v>711</v>
      </c>
      <c r="C103" s="32" t="s">
        <v>33</v>
      </c>
      <c r="D103" s="269">
        <v>31.37</v>
      </c>
      <c r="E103" s="288">
        <f t="shared" ref="E103:J103" si="33">E102/50640%</f>
        <v>31.37105055292259</v>
      </c>
      <c r="F103" s="288">
        <f t="shared" si="33"/>
        <v>31.370458135860982</v>
      </c>
      <c r="G103" s="288">
        <f t="shared" si="33"/>
        <v>31.370458135860982</v>
      </c>
      <c r="H103" s="288">
        <f t="shared" si="33"/>
        <v>31.370458135860982</v>
      </c>
      <c r="I103" s="288">
        <f t="shared" si="33"/>
        <v>31.370458135860982</v>
      </c>
      <c r="J103" s="288">
        <f t="shared" si="33"/>
        <v>31.370458135860982</v>
      </c>
      <c r="K103" s="58">
        <f t="shared" si="30"/>
        <v>99.999999999999986</v>
      </c>
      <c r="L103" s="3"/>
    </row>
    <row r="104" spans="1:13" s="18" customFormat="1" ht="17.25" customHeight="1">
      <c r="A104" s="11">
        <v>1</v>
      </c>
      <c r="B104" s="30" t="s">
        <v>30</v>
      </c>
      <c r="C104" s="11" t="s">
        <v>37</v>
      </c>
      <c r="D104" s="16">
        <v>1646</v>
      </c>
      <c r="E104" s="16">
        <f>D104+E105</f>
        <v>1675</v>
      </c>
      <c r="F104" s="16">
        <f>E104+F105</f>
        <v>1710</v>
      </c>
      <c r="G104" s="16">
        <f>E104+G105</f>
        <v>1710</v>
      </c>
      <c r="H104" s="16">
        <f>E104+H105-H106</f>
        <v>1725</v>
      </c>
      <c r="I104" s="16">
        <f>H104+I105</f>
        <v>1725</v>
      </c>
      <c r="J104" s="16">
        <f>H104</f>
        <v>1725</v>
      </c>
      <c r="K104" s="66">
        <f t="shared" si="30"/>
        <v>100</v>
      </c>
      <c r="L104" s="83"/>
      <c r="M104" s="87"/>
    </row>
    <row r="105" spans="1:13" ht="17.25" customHeight="1">
      <c r="A105" s="32"/>
      <c r="B105" s="35" t="s">
        <v>123</v>
      </c>
      <c r="C105" s="32" t="s">
        <v>37</v>
      </c>
      <c r="D105" s="22">
        <v>57.2</v>
      </c>
      <c r="E105" s="22">
        <v>29</v>
      </c>
      <c r="F105" s="22">
        <v>35</v>
      </c>
      <c r="G105" s="22">
        <f>F105</f>
        <v>35</v>
      </c>
      <c r="H105" s="22">
        <v>54</v>
      </c>
      <c r="I105" s="22"/>
      <c r="J105" s="22"/>
      <c r="K105" s="58" t="str">
        <f t="shared" si="30"/>
        <v/>
      </c>
      <c r="L105" s="3"/>
    </row>
    <row r="106" spans="1:13" ht="17.25" customHeight="1">
      <c r="A106" s="32"/>
      <c r="B106" s="35" t="s">
        <v>721</v>
      </c>
      <c r="C106" s="32" t="s">
        <v>37</v>
      </c>
      <c r="D106" s="22"/>
      <c r="E106" s="22"/>
      <c r="F106" s="22"/>
      <c r="G106" s="22"/>
      <c r="H106" s="22">
        <v>4</v>
      </c>
      <c r="I106" s="22"/>
      <c r="J106" s="22"/>
      <c r="K106" s="58"/>
      <c r="L106" s="3"/>
    </row>
    <row r="107" spans="1:13" s="18" customFormat="1">
      <c r="A107" s="11" t="s">
        <v>176</v>
      </c>
      <c r="B107" s="54" t="s">
        <v>183</v>
      </c>
      <c r="C107" s="11"/>
      <c r="D107" s="149"/>
      <c r="E107" s="149"/>
      <c r="F107" s="149"/>
      <c r="G107" s="149"/>
      <c r="H107" s="149"/>
      <c r="I107" s="149"/>
      <c r="J107" s="149"/>
      <c r="K107" s="66" t="str">
        <f t="shared" ref="K107:K142" si="34">IFERROR(J107/I107%,"")</f>
        <v/>
      </c>
      <c r="L107" s="66"/>
    </row>
    <row r="108" spans="1:13" ht="22.5" customHeight="1">
      <c r="A108" s="11">
        <v>1</v>
      </c>
      <c r="B108" s="54" t="s">
        <v>449</v>
      </c>
      <c r="C108" s="11" t="s">
        <v>331</v>
      </c>
      <c r="D108" s="27">
        <v>676693</v>
      </c>
      <c r="E108" s="27">
        <v>708000</v>
      </c>
      <c r="F108" s="27">
        <v>722000</v>
      </c>
      <c r="G108" s="27">
        <v>435000</v>
      </c>
      <c r="H108" s="27">
        <v>730000</v>
      </c>
      <c r="I108" s="27">
        <v>750000</v>
      </c>
      <c r="J108" s="27"/>
      <c r="K108" s="66">
        <f t="shared" si="34"/>
        <v>0</v>
      </c>
      <c r="L108" s="83"/>
    </row>
    <row r="109" spans="1:13" ht="20.25" customHeight="1">
      <c r="A109" s="32">
        <v>2</v>
      </c>
      <c r="B109" s="20" t="s">
        <v>333</v>
      </c>
      <c r="C109" s="32"/>
      <c r="D109" s="13"/>
      <c r="E109" s="13"/>
      <c r="F109" s="13"/>
      <c r="G109" s="149"/>
      <c r="H109" s="13"/>
      <c r="I109" s="13"/>
      <c r="J109" s="13"/>
      <c r="K109" s="58" t="str">
        <f t="shared" si="34"/>
        <v/>
      </c>
      <c r="L109" s="3"/>
    </row>
    <row r="110" spans="1:13" ht="20.25" customHeight="1">
      <c r="A110" s="32"/>
      <c r="B110" s="20" t="s">
        <v>334</v>
      </c>
      <c r="C110" s="32" t="s">
        <v>65</v>
      </c>
      <c r="D110" s="29">
        <v>40</v>
      </c>
      <c r="E110" s="29">
        <v>42</v>
      </c>
      <c r="F110" s="29">
        <v>40</v>
      </c>
      <c r="G110" s="29">
        <v>30</v>
      </c>
      <c r="H110" s="29">
        <v>38</v>
      </c>
      <c r="I110" s="29">
        <v>45</v>
      </c>
      <c r="J110" s="29"/>
      <c r="K110" s="58">
        <f t="shared" si="34"/>
        <v>0</v>
      </c>
      <c r="L110" s="3"/>
    </row>
    <row r="111" spans="1:13" ht="20.25" customHeight="1">
      <c r="A111" s="32"/>
      <c r="B111" s="20" t="s">
        <v>340</v>
      </c>
      <c r="C111" s="32" t="s">
        <v>65</v>
      </c>
      <c r="D111" s="29">
        <v>35</v>
      </c>
      <c r="E111" s="29">
        <v>30</v>
      </c>
      <c r="F111" s="29">
        <v>40</v>
      </c>
      <c r="G111" s="29">
        <v>32</v>
      </c>
      <c r="H111" s="29">
        <v>40</v>
      </c>
      <c r="I111" s="29">
        <v>45</v>
      </c>
      <c r="J111" s="29"/>
      <c r="K111" s="58">
        <f t="shared" si="34"/>
        <v>0</v>
      </c>
      <c r="L111" s="3"/>
    </row>
    <row r="112" spans="1:13" ht="20.25" customHeight="1">
      <c r="A112" s="32"/>
      <c r="B112" s="20" t="s">
        <v>335</v>
      </c>
      <c r="C112" s="32" t="s">
        <v>76</v>
      </c>
      <c r="D112" s="29">
        <v>57219</v>
      </c>
      <c r="E112" s="29">
        <v>60000</v>
      </c>
      <c r="F112" s="29">
        <v>55000</v>
      </c>
      <c r="G112" s="29">
        <v>31000</v>
      </c>
      <c r="H112" s="29">
        <v>55300</v>
      </c>
      <c r="I112" s="29">
        <v>55000</v>
      </c>
      <c r="J112" s="29"/>
      <c r="K112" s="58">
        <f t="shared" si="34"/>
        <v>0</v>
      </c>
      <c r="L112" s="3"/>
    </row>
    <row r="113" spans="1:15" ht="20.25" customHeight="1">
      <c r="A113" s="32"/>
      <c r="B113" s="20" t="s">
        <v>336</v>
      </c>
      <c r="C113" s="32" t="s">
        <v>76</v>
      </c>
      <c r="D113" s="29">
        <v>12363</v>
      </c>
      <c r="E113" s="29">
        <v>13000</v>
      </c>
      <c r="F113" s="29">
        <v>12000</v>
      </c>
      <c r="G113" s="29">
        <v>4950</v>
      </c>
      <c r="H113" s="29">
        <v>12125</v>
      </c>
      <c r="I113" s="29">
        <v>12000</v>
      </c>
      <c r="J113" s="29"/>
      <c r="K113" s="58">
        <f t="shared" si="34"/>
        <v>0</v>
      </c>
      <c r="L113" s="3"/>
    </row>
    <row r="114" spans="1:15" ht="20.25" customHeight="1">
      <c r="A114" s="32"/>
      <c r="B114" s="20" t="s">
        <v>337</v>
      </c>
      <c r="C114" s="32" t="s">
        <v>466</v>
      </c>
      <c r="D114" s="29">
        <v>39713</v>
      </c>
      <c r="E114" s="29">
        <v>41000</v>
      </c>
      <c r="F114" s="29">
        <v>60000</v>
      </c>
      <c r="G114" s="29">
        <v>47180</v>
      </c>
      <c r="H114" s="29">
        <v>67350</v>
      </c>
      <c r="I114" s="29">
        <v>80000</v>
      </c>
      <c r="J114" s="29"/>
      <c r="K114" s="58">
        <f t="shared" si="34"/>
        <v>0</v>
      </c>
      <c r="L114" s="3"/>
    </row>
    <row r="115" spans="1:15" ht="20.25" customHeight="1">
      <c r="A115" s="32"/>
      <c r="B115" s="20" t="s">
        <v>338</v>
      </c>
      <c r="C115" s="32" t="s">
        <v>466</v>
      </c>
      <c r="D115" s="29">
        <v>34500</v>
      </c>
      <c r="E115" s="29">
        <v>35000</v>
      </c>
      <c r="F115" s="29">
        <v>54000</v>
      </c>
      <c r="G115" s="29">
        <v>30850</v>
      </c>
      <c r="H115" s="29">
        <v>37000</v>
      </c>
      <c r="I115" s="29">
        <v>70000</v>
      </c>
      <c r="J115" s="29"/>
      <c r="K115" s="58">
        <f t="shared" si="34"/>
        <v>0</v>
      </c>
      <c r="L115" s="3"/>
    </row>
    <row r="116" spans="1:15" s="18" customFormat="1" ht="17.25" customHeight="1">
      <c r="A116" s="11" t="s">
        <v>182</v>
      </c>
      <c r="B116" s="15" t="s">
        <v>450</v>
      </c>
      <c r="C116" s="11"/>
      <c r="D116" s="29"/>
      <c r="E116" s="29"/>
      <c r="F116" s="29"/>
      <c r="G116" s="29"/>
      <c r="H116" s="29"/>
      <c r="I116" s="29"/>
      <c r="J116" s="29"/>
      <c r="K116" s="66" t="str">
        <f t="shared" si="34"/>
        <v/>
      </c>
      <c r="L116" s="66"/>
    </row>
    <row r="117" spans="1:15" ht="22.5" customHeight="1">
      <c r="A117" s="32">
        <v>1</v>
      </c>
      <c r="B117" s="20" t="s">
        <v>184</v>
      </c>
      <c r="C117" s="32" t="s">
        <v>331</v>
      </c>
      <c r="D117" s="29">
        <v>560310</v>
      </c>
      <c r="E117" s="29">
        <v>595000</v>
      </c>
      <c r="F117" s="29">
        <v>696000</v>
      </c>
      <c r="G117" s="29">
        <v>450000</v>
      </c>
      <c r="H117" s="29">
        <v>698000</v>
      </c>
      <c r="I117" s="29">
        <v>730000</v>
      </c>
      <c r="J117" s="29"/>
      <c r="K117" s="58">
        <f t="shared" si="34"/>
        <v>0</v>
      </c>
      <c r="L117" s="3"/>
      <c r="M117" s="77"/>
    </row>
    <row r="118" spans="1:15" ht="19.5" customHeight="1">
      <c r="A118" s="32"/>
      <c r="B118" s="12" t="s">
        <v>454</v>
      </c>
      <c r="C118" s="32"/>
      <c r="D118" s="13"/>
      <c r="E118" s="13"/>
      <c r="F118" s="13"/>
      <c r="G118" s="13"/>
      <c r="H118" s="13"/>
      <c r="I118" s="13"/>
      <c r="J118" s="13"/>
      <c r="K118" s="66" t="str">
        <f t="shared" si="34"/>
        <v/>
      </c>
      <c r="L118" s="3"/>
    </row>
    <row r="119" spans="1:15" s="18" customFormat="1" ht="22.5" customHeight="1">
      <c r="A119" s="11" t="s">
        <v>38</v>
      </c>
      <c r="B119" s="15" t="s">
        <v>352</v>
      </c>
      <c r="C119" s="11"/>
      <c r="D119" s="149"/>
      <c r="E119" s="149"/>
      <c r="F119" s="149"/>
      <c r="G119" s="149"/>
      <c r="H119" s="149"/>
      <c r="I119" s="149"/>
      <c r="J119" s="149"/>
      <c r="K119" s="66" t="str">
        <f t="shared" si="34"/>
        <v/>
      </c>
      <c r="L119" s="83"/>
    </row>
    <row r="120" spans="1:15" ht="22.5" hidden="1" customHeight="1" outlineLevel="1">
      <c r="A120" s="613">
        <v>1</v>
      </c>
      <c r="B120" s="462" t="s">
        <v>353</v>
      </c>
      <c r="C120" s="613" t="s">
        <v>62</v>
      </c>
      <c r="D120" s="614">
        <v>10520</v>
      </c>
      <c r="E120" s="614">
        <f>D121</f>
        <v>10685</v>
      </c>
      <c r="F120" s="614">
        <f>E121</f>
        <v>11308</v>
      </c>
      <c r="G120" s="614">
        <f>E121</f>
        <v>11308</v>
      </c>
      <c r="H120" s="614">
        <f>F120</f>
        <v>11308</v>
      </c>
      <c r="I120" s="614">
        <f>H121</f>
        <v>11350</v>
      </c>
      <c r="J120" s="614">
        <f>I121</f>
        <v>11650</v>
      </c>
      <c r="K120" s="445">
        <f t="shared" si="34"/>
        <v>102.6431718061674</v>
      </c>
      <c r="L120" s="615"/>
      <c r="M120" s="77"/>
    </row>
    <row r="121" spans="1:15" ht="22.5" hidden="1" customHeight="1" outlineLevel="1">
      <c r="A121" s="613">
        <v>2</v>
      </c>
      <c r="B121" s="462" t="s">
        <v>207</v>
      </c>
      <c r="C121" s="613" t="s">
        <v>62</v>
      </c>
      <c r="D121" s="614">
        <v>10685</v>
      </c>
      <c r="E121" s="614">
        <v>11308</v>
      </c>
      <c r="F121" s="614">
        <f>F120+630</f>
        <v>11938</v>
      </c>
      <c r="G121" s="614">
        <f>G120+420</f>
        <v>11728</v>
      </c>
      <c r="H121" s="614">
        <v>11350</v>
      </c>
      <c r="I121" s="614">
        <v>11650</v>
      </c>
      <c r="J121" s="614">
        <v>11650</v>
      </c>
      <c r="K121" s="445">
        <f t="shared" si="34"/>
        <v>100</v>
      </c>
      <c r="L121" s="615"/>
      <c r="M121" s="77"/>
    </row>
    <row r="122" spans="1:15" ht="22.5" customHeight="1" collapsed="1">
      <c r="A122" s="32">
        <v>1</v>
      </c>
      <c r="B122" s="20" t="s">
        <v>131</v>
      </c>
      <c r="C122" s="32" t="s">
        <v>73</v>
      </c>
      <c r="D122" s="29">
        <v>44006</v>
      </c>
      <c r="E122" s="29">
        <f>D123</f>
        <v>45290</v>
      </c>
      <c r="F122" s="29">
        <f>E123</f>
        <v>46365</v>
      </c>
      <c r="G122" s="29">
        <f>E123</f>
        <v>46365</v>
      </c>
      <c r="H122" s="29">
        <f>E123</f>
        <v>46365</v>
      </c>
      <c r="I122" s="29">
        <f>H123</f>
        <v>47571</v>
      </c>
      <c r="J122" s="29">
        <f>H123</f>
        <v>47571</v>
      </c>
      <c r="K122" s="58">
        <f t="shared" si="34"/>
        <v>100</v>
      </c>
      <c r="L122" s="3"/>
      <c r="M122" s="77"/>
    </row>
    <row r="123" spans="1:15" ht="22.5" customHeight="1">
      <c r="A123" s="32">
        <v>2</v>
      </c>
      <c r="B123" s="20" t="s">
        <v>132</v>
      </c>
      <c r="C123" s="32" t="s">
        <v>73</v>
      </c>
      <c r="D123" s="29">
        <v>45290</v>
      </c>
      <c r="E123" s="29">
        <v>46365</v>
      </c>
      <c r="F123" s="29">
        <v>47500</v>
      </c>
      <c r="G123" s="29">
        <f>G122+757</f>
        <v>47122</v>
      </c>
      <c r="H123" s="29">
        <v>47571</v>
      </c>
      <c r="I123" s="29">
        <v>48828.800000000003</v>
      </c>
      <c r="J123" s="29"/>
      <c r="K123" s="58">
        <f t="shared" si="34"/>
        <v>0</v>
      </c>
      <c r="L123" s="3"/>
      <c r="M123" s="77"/>
      <c r="O123" s="616"/>
    </row>
    <row r="124" spans="1:15" ht="22.5" customHeight="1">
      <c r="A124" s="32">
        <v>3</v>
      </c>
      <c r="B124" s="20" t="s">
        <v>339</v>
      </c>
      <c r="C124" s="32" t="s">
        <v>73</v>
      </c>
      <c r="D124" s="29">
        <f t="shared" ref="D124:I124" si="35">(D122+D123)/2</f>
        <v>44648</v>
      </c>
      <c r="E124" s="29">
        <f t="shared" si="35"/>
        <v>45827.5</v>
      </c>
      <c r="F124" s="29">
        <f t="shared" si="35"/>
        <v>46932.5</v>
      </c>
      <c r="G124" s="29">
        <f t="shared" si="35"/>
        <v>46743.5</v>
      </c>
      <c r="H124" s="29">
        <f t="shared" si="35"/>
        <v>46968</v>
      </c>
      <c r="I124" s="29">
        <f t="shared" si="35"/>
        <v>48199.9</v>
      </c>
      <c r="J124" s="29"/>
      <c r="K124" s="58">
        <f t="shared" si="34"/>
        <v>0</v>
      </c>
      <c r="L124" s="3"/>
      <c r="M124" s="77"/>
    </row>
    <row r="125" spans="1:15" ht="22.5" customHeight="1">
      <c r="A125" s="32">
        <v>4</v>
      </c>
      <c r="B125" s="48" t="s">
        <v>392</v>
      </c>
      <c r="C125" s="21" t="s">
        <v>170</v>
      </c>
      <c r="D125" s="74">
        <v>22.62</v>
      </c>
      <c r="E125" s="74">
        <v>22.92</v>
      </c>
      <c r="F125" s="74">
        <v>22</v>
      </c>
      <c r="G125" s="74">
        <v>22</v>
      </c>
      <c r="H125" s="74">
        <v>22</v>
      </c>
      <c r="I125" s="74">
        <f>'B05'!E21*10</f>
        <v>22.134283492043473</v>
      </c>
      <c r="J125" s="74"/>
      <c r="K125" s="58">
        <f t="shared" si="34"/>
        <v>0</v>
      </c>
      <c r="L125" s="3"/>
    </row>
    <row r="126" spans="1:15" s="18" customFormat="1" ht="21" customHeight="1">
      <c r="A126" s="11" t="s">
        <v>39</v>
      </c>
      <c r="B126" s="15" t="s">
        <v>163</v>
      </c>
      <c r="C126" s="11"/>
      <c r="D126" s="57"/>
      <c r="E126" s="57"/>
      <c r="F126" s="57"/>
      <c r="G126" s="57"/>
      <c r="H126" s="57"/>
      <c r="I126" s="57"/>
      <c r="J126" s="57"/>
      <c r="K126" s="66" t="str">
        <f t="shared" si="34"/>
        <v/>
      </c>
      <c r="L126" s="83"/>
    </row>
    <row r="127" spans="1:15" ht="21" customHeight="1">
      <c r="A127" s="32">
        <v>1</v>
      </c>
      <c r="B127" s="20" t="s">
        <v>393</v>
      </c>
      <c r="C127" s="32" t="s">
        <v>33</v>
      </c>
      <c r="D127" s="58">
        <v>42.86</v>
      </c>
      <c r="E127" s="58">
        <v>43</v>
      </c>
      <c r="F127" s="58">
        <v>44</v>
      </c>
      <c r="G127" s="58">
        <v>43</v>
      </c>
      <c r="H127" s="58">
        <f>F127</f>
        <v>44</v>
      </c>
      <c r="I127" s="58">
        <v>44.5</v>
      </c>
      <c r="J127" s="58"/>
      <c r="K127" s="58">
        <f t="shared" si="34"/>
        <v>0</v>
      </c>
      <c r="L127" s="3"/>
    </row>
    <row r="128" spans="1:15" ht="21" customHeight="1">
      <c r="A128" s="32"/>
      <c r="B128" s="20" t="s">
        <v>394</v>
      </c>
      <c r="C128" s="32" t="s">
        <v>33</v>
      </c>
      <c r="D128" s="58">
        <v>32</v>
      </c>
      <c r="E128" s="58">
        <v>35</v>
      </c>
      <c r="F128" s="58">
        <v>36</v>
      </c>
      <c r="G128" s="58">
        <v>35</v>
      </c>
      <c r="H128" s="58">
        <f>F128</f>
        <v>36</v>
      </c>
      <c r="I128" s="58">
        <v>36.5</v>
      </c>
      <c r="J128" s="58"/>
      <c r="K128" s="58">
        <f t="shared" si="34"/>
        <v>0</v>
      </c>
      <c r="L128" s="3"/>
    </row>
    <row r="129" spans="1:13" ht="47.25">
      <c r="A129" s="32">
        <v>2</v>
      </c>
      <c r="B129" s="20" t="s">
        <v>357</v>
      </c>
      <c r="C129" s="32" t="s">
        <v>120</v>
      </c>
      <c r="D129" s="59">
        <f>174+50</f>
        <v>224</v>
      </c>
      <c r="E129" s="59">
        <v>175</v>
      </c>
      <c r="F129" s="59">
        <v>250</v>
      </c>
      <c r="G129" s="59">
        <v>305</v>
      </c>
      <c r="H129" s="59">
        <v>290</v>
      </c>
      <c r="I129" s="59">
        <v>250</v>
      </c>
      <c r="J129" s="59"/>
      <c r="K129" s="58">
        <f t="shared" si="34"/>
        <v>0</v>
      </c>
      <c r="L129" s="3"/>
    </row>
    <row r="130" spans="1:13" ht="30.75" customHeight="1">
      <c r="A130" s="32"/>
      <c r="B130" s="20" t="s">
        <v>396</v>
      </c>
      <c r="C130" s="32" t="s">
        <v>397</v>
      </c>
      <c r="D130" s="20">
        <v>111</v>
      </c>
      <c r="E130" s="20">
        <v>115</v>
      </c>
      <c r="F130" s="20">
        <v>120</v>
      </c>
      <c r="G130" s="20">
        <v>115</v>
      </c>
      <c r="H130" s="59">
        <f>F130</f>
        <v>120</v>
      </c>
      <c r="I130" s="20">
        <v>120</v>
      </c>
      <c r="J130" s="20"/>
      <c r="K130" s="58">
        <f t="shared" si="34"/>
        <v>0</v>
      </c>
      <c r="L130" s="3"/>
    </row>
    <row r="131" spans="1:13" ht="21" customHeight="1">
      <c r="A131" s="11" t="s">
        <v>47</v>
      </c>
      <c r="B131" s="15" t="s">
        <v>288</v>
      </c>
      <c r="C131" s="32"/>
      <c r="D131" s="59"/>
      <c r="E131" s="59"/>
      <c r="F131" s="59"/>
      <c r="G131" s="59"/>
      <c r="H131" s="59"/>
      <c r="I131" s="59"/>
      <c r="J131" s="59"/>
      <c r="K131" s="66" t="str">
        <f t="shared" si="34"/>
        <v/>
      </c>
      <c r="L131" s="3"/>
    </row>
    <row r="132" spans="1:13" ht="29.25" customHeight="1">
      <c r="A132" s="60">
        <v>1</v>
      </c>
      <c r="B132" s="61" t="s">
        <v>355</v>
      </c>
      <c r="C132" s="32" t="s">
        <v>33</v>
      </c>
      <c r="D132" s="67" t="s">
        <v>358</v>
      </c>
      <c r="E132" s="88">
        <f>D133-E133</f>
        <v>3.1799999999999997</v>
      </c>
      <c r="F132" s="88">
        <v>3</v>
      </c>
      <c r="G132" s="67"/>
      <c r="H132" s="67">
        <v>2.14</v>
      </c>
      <c r="I132" s="88">
        <v>3</v>
      </c>
      <c r="J132" s="88"/>
      <c r="K132" s="58">
        <f t="shared" si="34"/>
        <v>0</v>
      </c>
      <c r="L132" s="3"/>
    </row>
    <row r="133" spans="1:13" ht="21" customHeight="1">
      <c r="A133" s="60">
        <v>2</v>
      </c>
      <c r="B133" s="61" t="s">
        <v>395</v>
      </c>
      <c r="C133" s="32" t="s">
        <v>33</v>
      </c>
      <c r="D133" s="80">
        <v>17.32</v>
      </c>
      <c r="E133" s="80">
        <v>14.14</v>
      </c>
      <c r="F133" s="80">
        <f>E133-3</f>
        <v>11.14</v>
      </c>
      <c r="G133" s="80"/>
      <c r="H133" s="80">
        <f>E133-H132</f>
        <v>12</v>
      </c>
      <c r="I133" s="80">
        <f>H133-I132</f>
        <v>9</v>
      </c>
      <c r="J133" s="80"/>
      <c r="K133" s="58">
        <f t="shared" si="34"/>
        <v>0</v>
      </c>
      <c r="L133" s="3"/>
      <c r="M133" s="89"/>
    </row>
    <row r="134" spans="1:13" s="18" customFormat="1" ht="20.25" customHeight="1">
      <c r="A134" s="11" t="s">
        <v>48</v>
      </c>
      <c r="B134" s="15" t="s">
        <v>6</v>
      </c>
      <c r="C134" s="11"/>
      <c r="D134" s="149"/>
      <c r="E134" s="149"/>
      <c r="F134" s="149"/>
      <c r="G134" s="149"/>
      <c r="H134" s="149"/>
      <c r="I134" s="149"/>
      <c r="J134" s="149"/>
      <c r="K134" s="66" t="str">
        <f t="shared" si="34"/>
        <v/>
      </c>
      <c r="L134" s="83"/>
    </row>
    <row r="135" spans="1:13" ht="23.25" customHeight="1">
      <c r="A135" s="32">
        <v>1</v>
      </c>
      <c r="B135" s="20" t="s">
        <v>389</v>
      </c>
      <c r="C135" s="32" t="s">
        <v>8</v>
      </c>
      <c r="D135" s="29">
        <f>SUM(D136:D144)</f>
        <v>13999</v>
      </c>
      <c r="E135" s="29">
        <f>SUM(E136:E144)</f>
        <v>14102</v>
      </c>
      <c r="F135" s="29">
        <f>F136+F141+F142+F144</f>
        <v>14530</v>
      </c>
      <c r="G135" s="29">
        <f>G136+G141+G142+G144</f>
        <v>14536</v>
      </c>
      <c r="H135" s="29">
        <f>H136+H141+H142+H144</f>
        <v>14495</v>
      </c>
      <c r="I135" s="29">
        <f>I136+I141+I142+I144</f>
        <v>15222</v>
      </c>
      <c r="J135" s="29">
        <f>J136+J141+J142+J144</f>
        <v>15222</v>
      </c>
      <c r="K135" s="58">
        <f t="shared" si="34"/>
        <v>100</v>
      </c>
      <c r="L135" s="3"/>
    </row>
    <row r="136" spans="1:13" ht="21" customHeight="1">
      <c r="A136" s="32" t="s">
        <v>34</v>
      </c>
      <c r="B136" s="20" t="s">
        <v>188</v>
      </c>
      <c r="C136" s="32" t="s">
        <v>8</v>
      </c>
      <c r="D136" s="151">
        <v>4325</v>
      </c>
      <c r="E136" s="151">
        <v>4401</v>
      </c>
      <c r="F136" s="151">
        <f>F137+F139</f>
        <v>4430</v>
      </c>
      <c r="G136" s="151">
        <f>G137+G139</f>
        <v>4480</v>
      </c>
      <c r="H136" s="151">
        <f>H137+H139</f>
        <v>4476</v>
      </c>
      <c r="I136" s="151">
        <f>I137+I139</f>
        <v>4570</v>
      </c>
      <c r="J136" s="151">
        <f>J137+J139</f>
        <v>4570</v>
      </c>
      <c r="K136" s="58">
        <f t="shared" si="34"/>
        <v>100</v>
      </c>
      <c r="L136" s="3"/>
      <c r="M136" s="81"/>
    </row>
    <row r="137" spans="1:13" s="42" customFormat="1" ht="21" customHeight="1">
      <c r="A137" s="39" t="s">
        <v>557</v>
      </c>
      <c r="B137" s="20" t="s">
        <v>189</v>
      </c>
      <c r="C137" s="32" t="s">
        <v>12</v>
      </c>
      <c r="D137" s="152"/>
      <c r="E137" s="151"/>
      <c r="F137" s="151">
        <v>450</v>
      </c>
      <c r="G137" s="151">
        <v>516</v>
      </c>
      <c r="H137" s="151">
        <v>516</v>
      </c>
      <c r="I137" s="151">
        <v>520</v>
      </c>
      <c r="J137" s="151">
        <v>520</v>
      </c>
      <c r="K137" s="58">
        <f t="shared" si="34"/>
        <v>100</v>
      </c>
      <c r="L137" s="84"/>
      <c r="M137" s="82"/>
    </row>
    <row r="138" spans="1:13" s="42" customFormat="1" ht="21" customHeight="1">
      <c r="A138" s="39"/>
      <c r="B138" s="62" t="s">
        <v>849</v>
      </c>
      <c r="C138" s="32" t="s">
        <v>12</v>
      </c>
      <c r="D138" s="152"/>
      <c r="E138" s="151"/>
      <c r="F138" s="151">
        <v>350</v>
      </c>
      <c r="G138" s="151">
        <v>365</v>
      </c>
      <c r="H138" s="151">
        <v>365</v>
      </c>
      <c r="I138" s="151">
        <v>361</v>
      </c>
      <c r="J138" s="151">
        <v>361</v>
      </c>
      <c r="K138" s="58">
        <f t="shared" si="34"/>
        <v>100</v>
      </c>
      <c r="L138" s="84"/>
      <c r="M138" s="82"/>
    </row>
    <row r="139" spans="1:13" s="42" customFormat="1" ht="21" customHeight="1">
      <c r="A139" s="32" t="s">
        <v>557</v>
      </c>
      <c r="B139" s="20" t="s">
        <v>190</v>
      </c>
      <c r="C139" s="32" t="s">
        <v>12</v>
      </c>
      <c r="D139" s="152"/>
      <c r="E139" s="151"/>
      <c r="F139" s="151">
        <v>3980</v>
      </c>
      <c r="G139" s="151">
        <v>3964</v>
      </c>
      <c r="H139" s="151">
        <v>3960</v>
      </c>
      <c r="I139" s="151">
        <v>4050</v>
      </c>
      <c r="J139" s="151">
        <v>4050</v>
      </c>
      <c r="K139" s="58">
        <f t="shared" si="34"/>
        <v>100</v>
      </c>
      <c r="L139" s="84"/>
      <c r="M139" s="82"/>
    </row>
    <row r="140" spans="1:13" s="42" customFormat="1" ht="21" customHeight="1">
      <c r="A140" s="32"/>
      <c r="B140" s="62" t="s">
        <v>849</v>
      </c>
      <c r="C140" s="32" t="s">
        <v>12</v>
      </c>
      <c r="D140" s="152"/>
      <c r="E140" s="151"/>
      <c r="F140" s="151"/>
      <c r="G140" s="151"/>
      <c r="H140" s="151"/>
      <c r="I140" s="151">
        <f>I139</f>
        <v>4050</v>
      </c>
      <c r="J140" s="151">
        <f>J139</f>
        <v>4050</v>
      </c>
      <c r="K140" s="58">
        <f t="shared" si="34"/>
        <v>100</v>
      </c>
      <c r="L140" s="84"/>
      <c r="M140" s="82"/>
    </row>
    <row r="141" spans="1:13" ht="21" customHeight="1">
      <c r="A141" s="32" t="s">
        <v>35</v>
      </c>
      <c r="B141" s="20" t="s">
        <v>272</v>
      </c>
      <c r="C141" s="32" t="s">
        <v>8</v>
      </c>
      <c r="D141" s="151">
        <v>5412</v>
      </c>
      <c r="E141" s="151">
        <v>5400</v>
      </c>
      <c r="F141" s="151">
        <v>5700</v>
      </c>
      <c r="G141" s="151">
        <v>5691</v>
      </c>
      <c r="H141" s="151">
        <v>5682</v>
      </c>
      <c r="I141" s="151">
        <v>6079</v>
      </c>
      <c r="J141" s="151">
        <v>6079</v>
      </c>
      <c r="K141" s="58">
        <f t="shared" si="34"/>
        <v>100</v>
      </c>
      <c r="L141" s="3"/>
      <c r="M141" s="81"/>
    </row>
    <row r="142" spans="1:13" ht="21" customHeight="1">
      <c r="A142" s="32" t="s">
        <v>36</v>
      </c>
      <c r="B142" s="20" t="s">
        <v>273</v>
      </c>
      <c r="C142" s="32" t="s">
        <v>8</v>
      </c>
      <c r="D142" s="151">
        <v>3521</v>
      </c>
      <c r="E142" s="151">
        <v>3560</v>
      </c>
      <c r="F142" s="151">
        <v>3570</v>
      </c>
      <c r="G142" s="151">
        <v>3558</v>
      </c>
      <c r="H142" s="151">
        <f>3457+73</f>
        <v>3530</v>
      </c>
      <c r="I142" s="151">
        <v>3653</v>
      </c>
      <c r="J142" s="151">
        <v>3653</v>
      </c>
      <c r="K142" s="58">
        <f t="shared" si="34"/>
        <v>100</v>
      </c>
      <c r="L142" s="3"/>
    </row>
    <row r="143" spans="1:13" ht="21" customHeight="1">
      <c r="A143" s="32"/>
      <c r="B143" s="62" t="s">
        <v>850</v>
      </c>
      <c r="C143" s="32"/>
      <c r="D143" s="151"/>
      <c r="E143" s="151"/>
      <c r="F143" s="151"/>
      <c r="G143" s="151"/>
      <c r="H143" s="151"/>
      <c r="I143" s="151">
        <v>3593</v>
      </c>
      <c r="J143" s="151">
        <v>3593</v>
      </c>
      <c r="K143" s="58"/>
      <c r="L143" s="3"/>
      <c r="M143" s="81"/>
    </row>
    <row r="144" spans="1:13" ht="21" customHeight="1">
      <c r="A144" s="32" t="s">
        <v>53</v>
      </c>
      <c r="B144" s="20" t="s">
        <v>342</v>
      </c>
      <c r="C144" s="32" t="s">
        <v>8</v>
      </c>
      <c r="D144" s="151">
        <v>741</v>
      </c>
      <c r="E144" s="151">
        <v>741</v>
      </c>
      <c r="F144" s="151">
        <v>830</v>
      </c>
      <c r="G144" s="151">
        <v>807</v>
      </c>
      <c r="H144" s="151">
        <v>807</v>
      </c>
      <c r="I144" s="151">
        <v>920</v>
      </c>
      <c r="J144" s="151">
        <v>920</v>
      </c>
      <c r="K144" s="58">
        <f t="shared" ref="K144:K191" si="36">IFERROR(J144/I144%,"")</f>
        <v>100.00000000000001</v>
      </c>
      <c r="L144" s="3"/>
      <c r="M144" s="81"/>
    </row>
    <row r="145" spans="1:12" ht="22.5" hidden="1" customHeight="1" outlineLevel="1">
      <c r="A145" s="32"/>
      <c r="B145" s="20" t="s">
        <v>398</v>
      </c>
      <c r="C145" s="32"/>
      <c r="D145" s="13">
        <f t="shared" ref="D145:I145" si="37">SUM(D147:D151)</f>
        <v>37</v>
      </c>
      <c r="E145" s="13">
        <f t="shared" si="37"/>
        <v>38</v>
      </c>
      <c r="F145" s="13">
        <f t="shared" si="37"/>
        <v>38</v>
      </c>
      <c r="G145" s="13">
        <f t="shared" si="37"/>
        <v>38</v>
      </c>
      <c r="H145" s="13">
        <f t="shared" si="37"/>
        <v>38</v>
      </c>
      <c r="I145" s="13">
        <f t="shared" si="37"/>
        <v>38</v>
      </c>
      <c r="J145" s="13">
        <f>SUM(J147:J151)</f>
        <v>38</v>
      </c>
      <c r="K145" s="58">
        <f t="shared" si="36"/>
        <v>100</v>
      </c>
      <c r="L145" s="3"/>
    </row>
    <row r="146" spans="1:12" ht="22.5" hidden="1" customHeight="1" outlineLevel="1">
      <c r="A146" s="32"/>
      <c r="B146" s="62" t="s">
        <v>341</v>
      </c>
      <c r="C146" s="32"/>
      <c r="D146" s="13"/>
      <c r="E146" s="13"/>
      <c r="F146" s="13"/>
      <c r="G146" s="13"/>
      <c r="H146" s="13"/>
      <c r="I146" s="13"/>
      <c r="J146" s="13"/>
      <c r="K146" s="58" t="str">
        <f t="shared" si="36"/>
        <v/>
      </c>
      <c r="L146" s="3"/>
    </row>
    <row r="147" spans="1:12" ht="22.5" hidden="1" customHeight="1" outlineLevel="1">
      <c r="A147" s="32"/>
      <c r="B147" s="20" t="s">
        <v>343</v>
      </c>
      <c r="C147" s="32" t="s">
        <v>143</v>
      </c>
      <c r="D147" s="13">
        <v>13</v>
      </c>
      <c r="E147" s="13">
        <v>13</v>
      </c>
      <c r="F147" s="13">
        <f t="shared" ref="F147:H151" si="38">E147</f>
        <v>13</v>
      </c>
      <c r="G147" s="13">
        <f t="shared" si="38"/>
        <v>13</v>
      </c>
      <c r="H147" s="13">
        <f t="shared" si="38"/>
        <v>13</v>
      </c>
      <c r="I147" s="13">
        <f t="shared" ref="I147:J151" si="39">E147</f>
        <v>13</v>
      </c>
      <c r="J147" s="13">
        <f t="shared" si="39"/>
        <v>13</v>
      </c>
      <c r="K147" s="58">
        <f t="shared" si="36"/>
        <v>100</v>
      </c>
      <c r="L147" s="3"/>
    </row>
    <row r="148" spans="1:12" ht="22.5" hidden="1" customHeight="1" outlineLevel="1">
      <c r="A148" s="32"/>
      <c r="B148" s="20" t="s">
        <v>344</v>
      </c>
      <c r="C148" s="32" t="s">
        <v>143</v>
      </c>
      <c r="D148" s="13">
        <v>13</v>
      </c>
      <c r="E148" s="13">
        <v>14</v>
      </c>
      <c r="F148" s="13">
        <f t="shared" si="38"/>
        <v>14</v>
      </c>
      <c r="G148" s="13">
        <f t="shared" si="38"/>
        <v>14</v>
      </c>
      <c r="H148" s="13">
        <f t="shared" si="38"/>
        <v>14</v>
      </c>
      <c r="I148" s="13">
        <f t="shared" si="39"/>
        <v>14</v>
      </c>
      <c r="J148" s="13">
        <f t="shared" si="39"/>
        <v>14</v>
      </c>
      <c r="K148" s="58">
        <f t="shared" si="36"/>
        <v>99.999999999999986</v>
      </c>
      <c r="L148" s="3"/>
    </row>
    <row r="149" spans="1:12" ht="22.5" hidden="1" customHeight="1" outlineLevel="1">
      <c r="A149" s="32"/>
      <c r="B149" s="20" t="s">
        <v>345</v>
      </c>
      <c r="C149" s="32" t="s">
        <v>143</v>
      </c>
      <c r="D149" s="13">
        <v>9</v>
      </c>
      <c r="E149" s="13">
        <v>9</v>
      </c>
      <c r="F149" s="13">
        <f t="shared" si="38"/>
        <v>9</v>
      </c>
      <c r="G149" s="13">
        <f t="shared" si="38"/>
        <v>9</v>
      </c>
      <c r="H149" s="13">
        <f t="shared" si="38"/>
        <v>9</v>
      </c>
      <c r="I149" s="13">
        <f t="shared" si="39"/>
        <v>9</v>
      </c>
      <c r="J149" s="13">
        <f t="shared" si="39"/>
        <v>9</v>
      </c>
      <c r="K149" s="58">
        <f t="shared" si="36"/>
        <v>100</v>
      </c>
      <c r="L149" s="3"/>
    </row>
    <row r="150" spans="1:12" ht="22.5" hidden="1" customHeight="1" outlineLevel="1">
      <c r="A150" s="32"/>
      <c r="B150" s="20" t="s">
        <v>346</v>
      </c>
      <c r="C150" s="32" t="s">
        <v>143</v>
      </c>
      <c r="D150" s="13">
        <v>1</v>
      </c>
      <c r="E150" s="13">
        <v>1</v>
      </c>
      <c r="F150" s="13">
        <f t="shared" si="38"/>
        <v>1</v>
      </c>
      <c r="G150" s="13">
        <f t="shared" si="38"/>
        <v>1</v>
      </c>
      <c r="H150" s="13">
        <f t="shared" si="38"/>
        <v>1</v>
      </c>
      <c r="I150" s="13">
        <f t="shared" si="39"/>
        <v>1</v>
      </c>
      <c r="J150" s="13">
        <f t="shared" si="39"/>
        <v>1</v>
      </c>
      <c r="K150" s="58">
        <f t="shared" si="36"/>
        <v>100</v>
      </c>
      <c r="L150" s="3"/>
    </row>
    <row r="151" spans="1:12" ht="22.5" hidden="1" customHeight="1" outlineLevel="1">
      <c r="A151" s="32"/>
      <c r="B151" s="20" t="s">
        <v>347</v>
      </c>
      <c r="C151" s="32" t="s">
        <v>143</v>
      </c>
      <c r="D151" s="13">
        <v>1</v>
      </c>
      <c r="E151" s="13">
        <v>1</v>
      </c>
      <c r="F151" s="13">
        <f t="shared" si="38"/>
        <v>1</v>
      </c>
      <c r="G151" s="13">
        <f t="shared" si="38"/>
        <v>1</v>
      </c>
      <c r="H151" s="13">
        <f t="shared" si="38"/>
        <v>1</v>
      </c>
      <c r="I151" s="13">
        <f t="shared" si="39"/>
        <v>1</v>
      </c>
      <c r="J151" s="13">
        <f t="shared" si="39"/>
        <v>1</v>
      </c>
      <c r="K151" s="58">
        <f t="shared" si="36"/>
        <v>100</v>
      </c>
      <c r="L151" s="3"/>
    </row>
    <row r="152" spans="1:12" ht="22.5" hidden="1" customHeight="1" outlineLevel="1">
      <c r="A152" s="32"/>
      <c r="B152" s="20" t="s">
        <v>348</v>
      </c>
      <c r="C152" s="32" t="s">
        <v>143</v>
      </c>
      <c r="D152" s="13">
        <f t="shared" ref="D152:J152" si="40">SUM(D154:D158)</f>
        <v>20</v>
      </c>
      <c r="E152" s="13">
        <f t="shared" si="40"/>
        <v>21</v>
      </c>
      <c r="F152" s="13">
        <f t="shared" si="40"/>
        <v>25</v>
      </c>
      <c r="G152" s="13">
        <f t="shared" si="40"/>
        <v>21</v>
      </c>
      <c r="H152" s="13">
        <f t="shared" si="40"/>
        <v>21</v>
      </c>
      <c r="I152" s="13">
        <f t="shared" si="40"/>
        <v>24</v>
      </c>
      <c r="J152" s="13">
        <f t="shared" si="40"/>
        <v>24</v>
      </c>
      <c r="K152" s="58">
        <f t="shared" si="36"/>
        <v>100</v>
      </c>
      <c r="L152" s="3"/>
    </row>
    <row r="153" spans="1:12" ht="22.5" hidden="1" customHeight="1" outlineLevel="1">
      <c r="A153" s="32"/>
      <c r="B153" s="62" t="s">
        <v>341</v>
      </c>
      <c r="C153" s="32"/>
      <c r="D153" s="13"/>
      <c r="E153" s="13"/>
      <c r="F153" s="13"/>
      <c r="G153" s="13"/>
      <c r="H153" s="13"/>
      <c r="I153" s="13"/>
      <c r="J153" s="13"/>
      <c r="K153" s="58" t="str">
        <f t="shared" si="36"/>
        <v/>
      </c>
      <c r="L153" s="3"/>
    </row>
    <row r="154" spans="1:12" ht="22.5" hidden="1" customHeight="1" outlineLevel="1">
      <c r="A154" s="32"/>
      <c r="B154" s="20" t="s">
        <v>343</v>
      </c>
      <c r="C154" s="32" t="s">
        <v>143</v>
      </c>
      <c r="D154" s="13">
        <v>5</v>
      </c>
      <c r="E154" s="13">
        <v>6</v>
      </c>
      <c r="F154" s="13">
        <v>8</v>
      </c>
      <c r="G154" s="13">
        <v>6</v>
      </c>
      <c r="H154" s="13">
        <v>6</v>
      </c>
      <c r="I154" s="13">
        <v>7</v>
      </c>
      <c r="J154" s="13">
        <v>7</v>
      </c>
      <c r="K154" s="58">
        <f t="shared" si="36"/>
        <v>99.999999999999986</v>
      </c>
      <c r="L154" s="3"/>
    </row>
    <row r="155" spans="1:12" ht="22.5" hidden="1" customHeight="1" outlineLevel="1">
      <c r="A155" s="32"/>
      <c r="B155" s="20" t="s">
        <v>344</v>
      </c>
      <c r="C155" s="32" t="s">
        <v>143</v>
      </c>
      <c r="D155" s="13">
        <v>9</v>
      </c>
      <c r="E155" s="13">
        <v>9</v>
      </c>
      <c r="F155" s="13">
        <v>10</v>
      </c>
      <c r="G155" s="13">
        <v>9</v>
      </c>
      <c r="H155" s="13">
        <v>9</v>
      </c>
      <c r="I155" s="13">
        <v>10</v>
      </c>
      <c r="J155" s="13">
        <v>10</v>
      </c>
      <c r="K155" s="58">
        <f t="shared" si="36"/>
        <v>100</v>
      </c>
      <c r="L155" s="3"/>
    </row>
    <row r="156" spans="1:12" ht="22.5" hidden="1" customHeight="1" outlineLevel="1">
      <c r="A156" s="32"/>
      <c r="B156" s="20" t="s">
        <v>345</v>
      </c>
      <c r="C156" s="32" t="s">
        <v>143</v>
      </c>
      <c r="D156" s="13">
        <v>4</v>
      </c>
      <c r="E156" s="13">
        <v>4</v>
      </c>
      <c r="F156" s="13">
        <v>5</v>
      </c>
      <c r="G156" s="13">
        <v>4</v>
      </c>
      <c r="H156" s="13">
        <v>4</v>
      </c>
      <c r="I156" s="13">
        <v>5</v>
      </c>
      <c r="J156" s="13">
        <v>5</v>
      </c>
      <c r="K156" s="58">
        <f t="shared" si="36"/>
        <v>100</v>
      </c>
      <c r="L156" s="3"/>
    </row>
    <row r="157" spans="1:12" ht="22.5" hidden="1" customHeight="1" outlineLevel="1">
      <c r="A157" s="32"/>
      <c r="B157" s="20" t="s">
        <v>346</v>
      </c>
      <c r="C157" s="32" t="s">
        <v>143</v>
      </c>
      <c r="D157" s="13">
        <v>1</v>
      </c>
      <c r="E157" s="13">
        <v>1</v>
      </c>
      <c r="F157" s="13">
        <v>1</v>
      </c>
      <c r="G157" s="13">
        <v>1</v>
      </c>
      <c r="H157" s="13">
        <v>1</v>
      </c>
      <c r="I157" s="13">
        <v>1</v>
      </c>
      <c r="J157" s="13">
        <v>1</v>
      </c>
      <c r="K157" s="58">
        <f t="shared" si="36"/>
        <v>100</v>
      </c>
      <c r="L157" s="3"/>
    </row>
    <row r="158" spans="1:12" ht="22.5" hidden="1" customHeight="1" outlineLevel="1">
      <c r="A158" s="32"/>
      <c r="B158" s="20" t="s">
        <v>347</v>
      </c>
      <c r="C158" s="32" t="s">
        <v>143</v>
      </c>
      <c r="D158" s="13">
        <v>1</v>
      </c>
      <c r="E158" s="13">
        <v>1</v>
      </c>
      <c r="F158" s="13">
        <v>1</v>
      </c>
      <c r="G158" s="13">
        <v>1</v>
      </c>
      <c r="H158" s="13">
        <v>1</v>
      </c>
      <c r="I158" s="13">
        <v>1</v>
      </c>
      <c r="J158" s="13">
        <v>1</v>
      </c>
      <c r="K158" s="58">
        <f t="shared" si="36"/>
        <v>100</v>
      </c>
      <c r="L158" s="3"/>
    </row>
    <row r="159" spans="1:12" ht="22.5" customHeight="1" collapsed="1">
      <c r="A159" s="32">
        <v>2</v>
      </c>
      <c r="B159" s="20" t="s">
        <v>144</v>
      </c>
      <c r="C159" s="32" t="s">
        <v>33</v>
      </c>
      <c r="D159" s="74">
        <f t="shared" ref="D159:J159" si="41">D152/D145%</f>
        <v>54.054054054054056</v>
      </c>
      <c r="E159" s="55">
        <f t="shared" si="41"/>
        <v>55.263157894736842</v>
      </c>
      <c r="F159" s="55">
        <f t="shared" si="41"/>
        <v>65.78947368421052</v>
      </c>
      <c r="G159" s="55">
        <f t="shared" si="41"/>
        <v>55.263157894736842</v>
      </c>
      <c r="H159" s="55">
        <f t="shared" si="41"/>
        <v>55.263157894736842</v>
      </c>
      <c r="I159" s="55">
        <f t="shared" si="41"/>
        <v>63.157894736842103</v>
      </c>
      <c r="J159" s="55">
        <f t="shared" si="41"/>
        <v>63.157894736842103</v>
      </c>
      <c r="K159" s="58">
        <f t="shared" si="36"/>
        <v>100</v>
      </c>
      <c r="L159" s="3"/>
    </row>
    <row r="160" spans="1:12" ht="22.5" hidden="1" customHeight="1" outlineLevel="1">
      <c r="A160" s="32"/>
      <c r="B160" s="62" t="s">
        <v>341</v>
      </c>
      <c r="C160" s="32"/>
      <c r="D160" s="55"/>
      <c r="E160" s="55"/>
      <c r="F160" s="55"/>
      <c r="G160" s="55"/>
      <c r="H160" s="55"/>
      <c r="I160" s="55"/>
      <c r="J160" s="55"/>
      <c r="K160" s="58" t="str">
        <f t="shared" si="36"/>
        <v/>
      </c>
      <c r="L160" s="3"/>
    </row>
    <row r="161" spans="1:12" ht="22.5" hidden="1" customHeight="1" outlineLevel="1">
      <c r="A161" s="32"/>
      <c r="B161" s="20" t="s">
        <v>343</v>
      </c>
      <c r="C161" s="32" t="s">
        <v>33</v>
      </c>
      <c r="D161" s="55">
        <f t="shared" ref="D161:J165" si="42">D154/D147%</f>
        <v>38.46153846153846</v>
      </c>
      <c r="E161" s="55">
        <f t="shared" si="42"/>
        <v>46.153846153846153</v>
      </c>
      <c r="F161" s="55">
        <f t="shared" si="42"/>
        <v>61.538461538461533</v>
      </c>
      <c r="G161" s="55">
        <f t="shared" si="42"/>
        <v>46.153846153846153</v>
      </c>
      <c r="H161" s="55">
        <f t="shared" si="42"/>
        <v>46.153846153846153</v>
      </c>
      <c r="I161" s="55">
        <f t="shared" si="42"/>
        <v>53.846153846153847</v>
      </c>
      <c r="J161" s="55">
        <f t="shared" si="42"/>
        <v>53.846153846153847</v>
      </c>
      <c r="K161" s="58">
        <f t="shared" si="36"/>
        <v>100</v>
      </c>
      <c r="L161" s="3"/>
    </row>
    <row r="162" spans="1:12" ht="22.5" hidden="1" customHeight="1" outlineLevel="1">
      <c r="A162" s="32"/>
      <c r="B162" s="20" t="s">
        <v>344</v>
      </c>
      <c r="C162" s="32" t="s">
        <v>33</v>
      </c>
      <c r="D162" s="55">
        <f t="shared" si="42"/>
        <v>69.230769230769226</v>
      </c>
      <c r="E162" s="55">
        <f t="shared" si="42"/>
        <v>64.285714285714278</v>
      </c>
      <c r="F162" s="55">
        <f t="shared" si="42"/>
        <v>71.428571428571416</v>
      </c>
      <c r="G162" s="55">
        <f t="shared" si="42"/>
        <v>64.285714285714278</v>
      </c>
      <c r="H162" s="55">
        <f t="shared" si="42"/>
        <v>64.285714285714278</v>
      </c>
      <c r="I162" s="55">
        <f t="shared" si="42"/>
        <v>71.428571428571416</v>
      </c>
      <c r="J162" s="55">
        <f t="shared" si="42"/>
        <v>71.428571428571416</v>
      </c>
      <c r="K162" s="58">
        <f t="shared" si="36"/>
        <v>100</v>
      </c>
      <c r="L162" s="3"/>
    </row>
    <row r="163" spans="1:12" ht="22.5" hidden="1" customHeight="1" outlineLevel="1">
      <c r="A163" s="32"/>
      <c r="B163" s="20" t="s">
        <v>345</v>
      </c>
      <c r="C163" s="32" t="s">
        <v>33</v>
      </c>
      <c r="D163" s="55">
        <f t="shared" si="42"/>
        <v>44.444444444444443</v>
      </c>
      <c r="E163" s="55">
        <f t="shared" si="42"/>
        <v>44.444444444444443</v>
      </c>
      <c r="F163" s="55">
        <f t="shared" si="42"/>
        <v>55.555555555555557</v>
      </c>
      <c r="G163" s="55">
        <f t="shared" si="42"/>
        <v>44.444444444444443</v>
      </c>
      <c r="H163" s="55">
        <f t="shared" si="42"/>
        <v>44.444444444444443</v>
      </c>
      <c r="I163" s="55">
        <f t="shared" si="42"/>
        <v>55.555555555555557</v>
      </c>
      <c r="J163" s="55">
        <f t="shared" si="42"/>
        <v>55.555555555555557</v>
      </c>
      <c r="K163" s="58">
        <f t="shared" si="36"/>
        <v>100</v>
      </c>
      <c r="L163" s="3"/>
    </row>
    <row r="164" spans="1:12" ht="22.5" hidden="1" customHeight="1" outlineLevel="1">
      <c r="A164" s="32"/>
      <c r="B164" s="20" t="s">
        <v>346</v>
      </c>
      <c r="C164" s="32" t="s">
        <v>33</v>
      </c>
      <c r="D164" s="55">
        <f t="shared" si="42"/>
        <v>100</v>
      </c>
      <c r="E164" s="55">
        <f t="shared" si="42"/>
        <v>100</v>
      </c>
      <c r="F164" s="55">
        <f t="shared" si="42"/>
        <v>100</v>
      </c>
      <c r="G164" s="55">
        <f t="shared" si="42"/>
        <v>100</v>
      </c>
      <c r="H164" s="55">
        <f t="shared" si="42"/>
        <v>100</v>
      </c>
      <c r="I164" s="55">
        <f t="shared" si="42"/>
        <v>100</v>
      </c>
      <c r="J164" s="55">
        <f t="shared" si="42"/>
        <v>100</v>
      </c>
      <c r="K164" s="58">
        <f t="shared" si="36"/>
        <v>100</v>
      </c>
      <c r="L164" s="3"/>
    </row>
    <row r="165" spans="1:12" ht="22.5" hidden="1" customHeight="1" outlineLevel="1">
      <c r="A165" s="32"/>
      <c r="B165" s="20" t="s">
        <v>347</v>
      </c>
      <c r="C165" s="32" t="s">
        <v>33</v>
      </c>
      <c r="D165" s="55">
        <f t="shared" si="42"/>
        <v>100</v>
      </c>
      <c r="E165" s="55">
        <f t="shared" si="42"/>
        <v>100</v>
      </c>
      <c r="F165" s="55">
        <f t="shared" si="42"/>
        <v>100</v>
      </c>
      <c r="G165" s="55">
        <f t="shared" si="42"/>
        <v>100</v>
      </c>
      <c r="H165" s="55">
        <f t="shared" si="42"/>
        <v>100</v>
      </c>
      <c r="I165" s="55">
        <f t="shared" si="42"/>
        <v>100</v>
      </c>
      <c r="J165" s="55">
        <f t="shared" si="42"/>
        <v>100</v>
      </c>
      <c r="K165" s="58">
        <f t="shared" si="36"/>
        <v>100</v>
      </c>
      <c r="L165" s="3"/>
    </row>
    <row r="166" spans="1:12" ht="22.5" customHeight="1" collapsed="1">
      <c r="A166" s="32">
        <v>3</v>
      </c>
      <c r="B166" s="48" t="s">
        <v>390</v>
      </c>
      <c r="C166" s="32"/>
      <c r="D166" s="13"/>
      <c r="E166" s="13"/>
      <c r="F166" s="13"/>
      <c r="G166" s="13"/>
      <c r="H166" s="13"/>
      <c r="I166" s="13"/>
      <c r="J166" s="13"/>
      <c r="K166" s="58" t="str">
        <f t="shared" si="36"/>
        <v/>
      </c>
      <c r="L166" s="3"/>
    </row>
    <row r="167" spans="1:12" ht="22.5" customHeight="1">
      <c r="A167" s="73" t="s">
        <v>34</v>
      </c>
      <c r="B167" s="68" t="s">
        <v>188</v>
      </c>
      <c r="C167" s="32" t="s">
        <v>33</v>
      </c>
      <c r="D167" s="153"/>
      <c r="E167" s="153"/>
      <c r="F167" s="153"/>
      <c r="G167" s="153"/>
      <c r="H167" s="153"/>
      <c r="I167" s="153"/>
      <c r="J167" s="153"/>
      <c r="K167" s="58" t="str">
        <f t="shared" si="36"/>
        <v/>
      </c>
      <c r="L167" s="3"/>
    </row>
    <row r="168" spans="1:12" ht="22.5" customHeight="1">
      <c r="A168" s="73"/>
      <c r="B168" s="70" t="s">
        <v>189</v>
      </c>
      <c r="C168" s="32" t="s">
        <v>33</v>
      </c>
      <c r="D168" s="153">
        <v>11.7</v>
      </c>
      <c r="E168" s="153">
        <v>12.1</v>
      </c>
      <c r="F168" s="153">
        <v>12.5</v>
      </c>
      <c r="G168" s="153">
        <v>17.34</v>
      </c>
      <c r="H168" s="153">
        <v>17.34</v>
      </c>
      <c r="I168" s="153">
        <v>17.5</v>
      </c>
      <c r="J168" s="153">
        <v>17.5</v>
      </c>
      <c r="K168" s="58">
        <f t="shared" si="36"/>
        <v>100</v>
      </c>
      <c r="L168" s="3"/>
    </row>
    <row r="169" spans="1:12" ht="22.5" customHeight="1">
      <c r="A169" s="73"/>
      <c r="B169" s="70" t="s">
        <v>190</v>
      </c>
      <c r="C169" s="32" t="s">
        <v>33</v>
      </c>
      <c r="D169" s="153">
        <v>97.9</v>
      </c>
      <c r="E169" s="153">
        <v>97.2</v>
      </c>
      <c r="F169" s="153">
        <v>98</v>
      </c>
      <c r="G169" s="153">
        <v>97.6</v>
      </c>
      <c r="H169" s="153">
        <v>97.6</v>
      </c>
      <c r="I169" s="153">
        <v>98</v>
      </c>
      <c r="J169" s="153">
        <v>98</v>
      </c>
      <c r="K169" s="58">
        <f t="shared" si="36"/>
        <v>100</v>
      </c>
      <c r="L169" s="3"/>
    </row>
    <row r="170" spans="1:12" ht="22.5" customHeight="1">
      <c r="A170" s="73" t="s">
        <v>35</v>
      </c>
      <c r="B170" s="68" t="s">
        <v>272</v>
      </c>
      <c r="C170" s="32" t="s">
        <v>33</v>
      </c>
      <c r="D170" s="153">
        <v>99.9</v>
      </c>
      <c r="E170" s="153">
        <v>100</v>
      </c>
      <c r="F170" s="153">
        <v>100</v>
      </c>
      <c r="G170" s="153">
        <v>100</v>
      </c>
      <c r="H170" s="153">
        <v>100</v>
      </c>
      <c r="I170" s="153">
        <v>100</v>
      </c>
      <c r="J170" s="153">
        <v>100</v>
      </c>
      <c r="K170" s="58">
        <f t="shared" si="36"/>
        <v>100</v>
      </c>
      <c r="L170" s="3"/>
    </row>
    <row r="171" spans="1:12" ht="22.5" customHeight="1">
      <c r="A171" s="73" t="s">
        <v>36</v>
      </c>
      <c r="B171" s="68" t="s">
        <v>391</v>
      </c>
      <c r="C171" s="32" t="s">
        <v>33</v>
      </c>
      <c r="D171" s="153">
        <v>96.2</v>
      </c>
      <c r="E171" s="153">
        <v>99.8</v>
      </c>
      <c r="F171" s="153">
        <v>100</v>
      </c>
      <c r="G171" s="153">
        <v>99.8</v>
      </c>
      <c r="H171" s="153">
        <v>99.9</v>
      </c>
      <c r="I171" s="153">
        <v>99.9</v>
      </c>
      <c r="J171" s="153">
        <v>99.9</v>
      </c>
      <c r="K171" s="58">
        <f t="shared" si="36"/>
        <v>100</v>
      </c>
      <c r="L171" s="3"/>
    </row>
    <row r="172" spans="1:12" ht="22.5" customHeight="1">
      <c r="A172" s="11" t="s">
        <v>50</v>
      </c>
      <c r="B172" s="15" t="s">
        <v>350</v>
      </c>
      <c r="C172" s="32"/>
      <c r="D172" s="13"/>
      <c r="E172" s="13"/>
      <c r="F172" s="13"/>
      <c r="G172" s="13"/>
      <c r="H172" s="13"/>
      <c r="I172" s="13"/>
      <c r="J172" s="13"/>
      <c r="K172" s="66" t="str">
        <f t="shared" si="36"/>
        <v/>
      </c>
      <c r="L172" s="3"/>
    </row>
    <row r="173" spans="1:12" ht="22.5" customHeight="1">
      <c r="A173" s="32">
        <v>1</v>
      </c>
      <c r="B173" s="20" t="s">
        <v>351</v>
      </c>
      <c r="C173" s="32" t="s">
        <v>145</v>
      </c>
      <c r="D173" s="13">
        <f>D174+D175</f>
        <v>130</v>
      </c>
      <c r="E173" s="13">
        <f t="shared" ref="E173:J173" si="43">E174+E175</f>
        <v>130</v>
      </c>
      <c r="F173" s="13">
        <f t="shared" si="43"/>
        <v>130</v>
      </c>
      <c r="G173" s="13">
        <f t="shared" si="43"/>
        <v>130</v>
      </c>
      <c r="H173" s="13">
        <f t="shared" si="43"/>
        <v>130</v>
      </c>
      <c r="I173" s="13">
        <f t="shared" si="43"/>
        <v>175</v>
      </c>
      <c r="J173" s="13">
        <f t="shared" si="43"/>
        <v>175</v>
      </c>
      <c r="K173" s="58">
        <f t="shared" si="36"/>
        <v>100</v>
      </c>
      <c r="L173" s="3"/>
    </row>
    <row r="174" spans="1:12" ht="22.5" customHeight="1">
      <c r="A174" s="32"/>
      <c r="B174" s="20" t="s">
        <v>851</v>
      </c>
      <c r="C174" s="32" t="s">
        <v>145</v>
      </c>
      <c r="D174" s="13">
        <v>85</v>
      </c>
      <c r="E174" s="13">
        <v>85</v>
      </c>
      <c r="F174" s="13">
        <v>85</v>
      </c>
      <c r="G174" s="13">
        <v>85</v>
      </c>
      <c r="H174" s="13">
        <v>85</v>
      </c>
      <c r="I174" s="13">
        <v>130</v>
      </c>
      <c r="J174" s="13">
        <v>130</v>
      </c>
      <c r="K174" s="58">
        <f t="shared" si="36"/>
        <v>100</v>
      </c>
      <c r="L174" s="3"/>
    </row>
    <row r="175" spans="1:12" ht="22.5" customHeight="1">
      <c r="A175" s="32"/>
      <c r="B175" s="20" t="s">
        <v>852</v>
      </c>
      <c r="C175" s="32" t="s">
        <v>145</v>
      </c>
      <c r="D175" s="13">
        <v>45</v>
      </c>
      <c r="E175" s="13">
        <v>45</v>
      </c>
      <c r="F175" s="13">
        <v>45</v>
      </c>
      <c r="G175" s="13">
        <v>45</v>
      </c>
      <c r="H175" s="13">
        <v>45</v>
      </c>
      <c r="I175" s="13">
        <v>45</v>
      </c>
      <c r="J175" s="13">
        <v>45</v>
      </c>
      <c r="K175" s="58">
        <f t="shared" si="36"/>
        <v>100</v>
      </c>
      <c r="L175" s="3"/>
    </row>
    <row r="176" spans="1:12" ht="24" customHeight="1">
      <c r="A176" s="32">
        <v>2</v>
      </c>
      <c r="B176" s="20" t="s">
        <v>451</v>
      </c>
      <c r="C176" s="32" t="s">
        <v>349</v>
      </c>
      <c r="D176" s="13">
        <v>2</v>
      </c>
      <c r="E176" s="13">
        <v>4</v>
      </c>
      <c r="F176" s="13">
        <v>7</v>
      </c>
      <c r="G176" s="13">
        <v>4</v>
      </c>
      <c r="H176" s="13">
        <v>7</v>
      </c>
      <c r="I176" s="13">
        <v>7</v>
      </c>
      <c r="J176" s="13">
        <v>4</v>
      </c>
      <c r="K176" s="58">
        <f t="shared" si="36"/>
        <v>57.142857142857139</v>
      </c>
      <c r="L176" s="3"/>
    </row>
    <row r="177" spans="1:13" ht="21" customHeight="1">
      <c r="A177" s="32"/>
      <c r="B177" s="47" t="s">
        <v>452</v>
      </c>
      <c r="C177" s="32" t="s">
        <v>33</v>
      </c>
      <c r="D177" s="55">
        <f t="shared" ref="D177:J177" si="44">D176/9%</f>
        <v>22.222222222222221</v>
      </c>
      <c r="E177" s="55">
        <f t="shared" si="44"/>
        <v>44.444444444444443</v>
      </c>
      <c r="F177" s="55">
        <f t="shared" si="44"/>
        <v>77.777777777777786</v>
      </c>
      <c r="G177" s="55">
        <f t="shared" si="44"/>
        <v>44.444444444444443</v>
      </c>
      <c r="H177" s="55">
        <f t="shared" si="44"/>
        <v>77.777777777777786</v>
      </c>
      <c r="I177" s="55">
        <f t="shared" si="44"/>
        <v>77.777777777777786</v>
      </c>
      <c r="J177" s="55">
        <f t="shared" si="44"/>
        <v>44.444444444444443</v>
      </c>
      <c r="K177" s="58">
        <f t="shared" si="36"/>
        <v>57.142857142857132</v>
      </c>
      <c r="L177" s="3"/>
    </row>
    <row r="178" spans="1:13" ht="21.75" customHeight="1">
      <c r="A178" s="32">
        <v>3</v>
      </c>
      <c r="B178" s="46" t="s">
        <v>187</v>
      </c>
      <c r="C178" s="32" t="s">
        <v>33</v>
      </c>
      <c r="D178" s="55">
        <v>83.5</v>
      </c>
      <c r="E178" s="55">
        <v>85</v>
      </c>
      <c r="F178" s="55">
        <v>90</v>
      </c>
      <c r="G178" s="55"/>
      <c r="H178" s="55">
        <v>86</v>
      </c>
      <c r="I178" s="55">
        <v>91</v>
      </c>
      <c r="J178" s="55">
        <v>91</v>
      </c>
      <c r="K178" s="58">
        <f t="shared" si="36"/>
        <v>100</v>
      </c>
      <c r="L178" s="3"/>
    </row>
    <row r="179" spans="1:13" ht="31.5">
      <c r="A179" s="32">
        <v>4</v>
      </c>
      <c r="B179" s="46" t="s">
        <v>412</v>
      </c>
      <c r="C179" s="32" t="s">
        <v>33</v>
      </c>
      <c r="D179" s="74">
        <v>33.1</v>
      </c>
      <c r="E179" s="55">
        <v>31.8</v>
      </c>
      <c r="F179" s="55">
        <v>31.3</v>
      </c>
      <c r="G179" s="55"/>
      <c r="H179" s="55">
        <f>F179</f>
        <v>31.3</v>
      </c>
      <c r="I179" s="55">
        <v>31</v>
      </c>
      <c r="J179" s="55">
        <v>31</v>
      </c>
      <c r="K179" s="58">
        <f t="shared" si="36"/>
        <v>100</v>
      </c>
      <c r="L179" s="3"/>
    </row>
    <row r="180" spans="1:13" ht="31.5">
      <c r="A180" s="32">
        <v>5</v>
      </c>
      <c r="B180" s="46" t="s">
        <v>413</v>
      </c>
      <c r="C180" s="32" t="s">
        <v>33</v>
      </c>
      <c r="D180" s="74">
        <v>20.6</v>
      </c>
      <c r="E180" s="55">
        <v>20</v>
      </c>
      <c r="F180" s="55">
        <v>19.5</v>
      </c>
      <c r="G180" s="55"/>
      <c r="H180" s="55">
        <f>F180</f>
        <v>19.5</v>
      </c>
      <c r="I180" s="55">
        <v>19</v>
      </c>
      <c r="J180" s="55">
        <v>19</v>
      </c>
      <c r="K180" s="58">
        <f t="shared" si="36"/>
        <v>100</v>
      </c>
      <c r="L180" s="3"/>
    </row>
    <row r="181" spans="1:13" ht="31.5">
      <c r="A181" s="11" t="s">
        <v>51</v>
      </c>
      <c r="B181" s="142" t="s">
        <v>192</v>
      </c>
      <c r="C181" s="12"/>
      <c r="D181" s="13"/>
      <c r="E181" s="13"/>
      <c r="F181" s="13"/>
      <c r="G181" s="13"/>
      <c r="H181" s="13"/>
      <c r="I181" s="13"/>
      <c r="J181" s="13"/>
      <c r="K181" s="66" t="str">
        <f t="shared" si="36"/>
        <v/>
      </c>
      <c r="L181" s="3"/>
    </row>
    <row r="182" spans="1:13" ht="22.5" customHeight="1">
      <c r="A182" s="11">
        <v>1</v>
      </c>
      <c r="B182" s="63" t="s">
        <v>193</v>
      </c>
      <c r="C182" s="12"/>
      <c r="D182" s="13"/>
      <c r="E182" s="13"/>
      <c r="F182" s="13"/>
      <c r="G182" s="13"/>
      <c r="H182" s="13"/>
      <c r="I182" s="13"/>
      <c r="J182" s="13"/>
      <c r="K182" s="66" t="str">
        <f t="shared" si="36"/>
        <v/>
      </c>
      <c r="L182" s="3"/>
    </row>
    <row r="183" spans="1:13" ht="22.5" customHeight="1">
      <c r="A183" s="19"/>
      <c r="B183" s="48" t="s">
        <v>194</v>
      </c>
      <c r="C183" s="21" t="s">
        <v>16</v>
      </c>
      <c r="D183" s="59">
        <v>1560</v>
      </c>
      <c r="E183" s="59">
        <v>1560</v>
      </c>
      <c r="F183" s="59">
        <f>E183</f>
        <v>1560</v>
      </c>
      <c r="G183" s="59">
        <v>1248</v>
      </c>
      <c r="H183" s="59">
        <f>F183</f>
        <v>1560</v>
      </c>
      <c r="I183" s="59">
        <f>H183</f>
        <v>1560</v>
      </c>
      <c r="J183" s="59">
        <f>I183</f>
        <v>1560</v>
      </c>
      <c r="K183" s="58">
        <f t="shared" si="36"/>
        <v>100</v>
      </c>
      <c r="L183" s="3"/>
    </row>
    <row r="184" spans="1:13" ht="22.5" customHeight="1">
      <c r="A184" s="19"/>
      <c r="B184" s="48" t="s">
        <v>195</v>
      </c>
      <c r="C184" s="21" t="s">
        <v>16</v>
      </c>
      <c r="D184" s="59">
        <v>21800</v>
      </c>
      <c r="E184" s="59">
        <v>21800</v>
      </c>
      <c r="F184" s="59">
        <f>E184</f>
        <v>21800</v>
      </c>
      <c r="G184" s="59">
        <v>16320</v>
      </c>
      <c r="H184" s="59">
        <f>F184</f>
        <v>21800</v>
      </c>
      <c r="I184" s="59">
        <f>H184</f>
        <v>21800</v>
      </c>
      <c r="J184" s="59">
        <f>I184</f>
        <v>21800</v>
      </c>
      <c r="K184" s="58">
        <f t="shared" si="36"/>
        <v>100</v>
      </c>
      <c r="L184" s="3"/>
      <c r="M184" s="77"/>
    </row>
    <row r="185" spans="1:13" ht="22.5" customHeight="1">
      <c r="A185" s="11">
        <v>2</v>
      </c>
      <c r="B185" s="63" t="s">
        <v>196</v>
      </c>
      <c r="C185" s="21"/>
      <c r="D185" s="59"/>
      <c r="E185" s="59"/>
      <c r="F185" s="59"/>
      <c r="G185" s="59"/>
      <c r="H185" s="59"/>
      <c r="I185" s="59"/>
      <c r="J185" s="59"/>
      <c r="K185" s="66" t="str">
        <f t="shared" si="36"/>
        <v/>
      </c>
      <c r="L185" s="3"/>
    </row>
    <row r="186" spans="1:13" ht="22.5" hidden="1" customHeight="1" outlineLevel="1">
      <c r="A186" s="32"/>
      <c r="B186" s="48" t="s">
        <v>198</v>
      </c>
      <c r="C186" s="21" t="s">
        <v>199</v>
      </c>
      <c r="D186" s="59">
        <v>9233</v>
      </c>
      <c r="E186" s="59">
        <f t="shared" ref="E186:J186" si="45">E121*E187%</f>
        <v>9781.42</v>
      </c>
      <c r="F186" s="59">
        <f t="shared" si="45"/>
        <v>10744.2</v>
      </c>
      <c r="G186" s="59">
        <f t="shared" si="45"/>
        <v>0</v>
      </c>
      <c r="H186" s="59">
        <f t="shared" si="45"/>
        <v>10215</v>
      </c>
      <c r="I186" s="59">
        <f t="shared" si="45"/>
        <v>10485</v>
      </c>
      <c r="J186" s="59">
        <f t="shared" si="45"/>
        <v>10485</v>
      </c>
      <c r="K186" s="58">
        <f t="shared" si="36"/>
        <v>100</v>
      </c>
      <c r="L186" s="3"/>
    </row>
    <row r="187" spans="1:13" ht="22.5" customHeight="1" collapsed="1">
      <c r="A187" s="32" t="s">
        <v>197</v>
      </c>
      <c r="B187" s="48" t="s">
        <v>200</v>
      </c>
      <c r="C187" s="41" t="s">
        <v>33</v>
      </c>
      <c r="D187" s="59">
        <v>85.6</v>
      </c>
      <c r="E187" s="58">
        <v>86.5</v>
      </c>
      <c r="F187" s="58">
        <v>90</v>
      </c>
      <c r="G187" s="58"/>
      <c r="H187" s="58">
        <f>F187</f>
        <v>90</v>
      </c>
      <c r="I187" s="58">
        <v>90</v>
      </c>
      <c r="J187" s="58">
        <v>90</v>
      </c>
      <c r="K187" s="58">
        <f t="shared" si="36"/>
        <v>100</v>
      </c>
      <c r="L187" s="3"/>
    </row>
    <row r="188" spans="1:13" ht="22.5" hidden="1" customHeight="1" outlineLevel="1">
      <c r="A188" s="32"/>
      <c r="B188" s="48" t="s">
        <v>202</v>
      </c>
      <c r="C188" s="21" t="s">
        <v>203</v>
      </c>
      <c r="D188" s="59">
        <v>58</v>
      </c>
      <c r="E188" s="58">
        <f>67*E189%</f>
        <v>57.954999999999998</v>
      </c>
      <c r="F188" s="58">
        <f>67*F189%</f>
        <v>60.97</v>
      </c>
      <c r="G188" s="58">
        <f>67*G189%</f>
        <v>0</v>
      </c>
      <c r="H188" s="58">
        <f>67*H189%</f>
        <v>60.97</v>
      </c>
      <c r="I188" s="59">
        <v>61</v>
      </c>
      <c r="J188" s="59">
        <v>61</v>
      </c>
      <c r="K188" s="58">
        <f t="shared" si="36"/>
        <v>100</v>
      </c>
      <c r="L188" s="3"/>
    </row>
    <row r="189" spans="1:13" ht="22.5" customHeight="1" collapsed="1">
      <c r="A189" s="32" t="s">
        <v>201</v>
      </c>
      <c r="B189" s="48" t="s">
        <v>171</v>
      </c>
      <c r="C189" s="41" t="s">
        <v>33</v>
      </c>
      <c r="D189" s="59">
        <f>D188/67%</f>
        <v>86.567164179104466</v>
      </c>
      <c r="E189" s="58">
        <v>86.5</v>
      </c>
      <c r="F189" s="58">
        <v>91</v>
      </c>
      <c r="G189" s="58"/>
      <c r="H189" s="58">
        <v>91</v>
      </c>
      <c r="I189" s="58">
        <v>91</v>
      </c>
      <c r="J189" s="58">
        <v>91</v>
      </c>
      <c r="K189" s="58">
        <f t="shared" si="36"/>
        <v>100</v>
      </c>
      <c r="L189" s="3"/>
    </row>
    <row r="190" spans="1:13" ht="22.5" customHeight="1">
      <c r="A190" s="32" t="s">
        <v>204</v>
      </c>
      <c r="B190" s="48" t="s">
        <v>205</v>
      </c>
      <c r="C190" s="21" t="s">
        <v>206</v>
      </c>
      <c r="D190" s="59">
        <v>88</v>
      </c>
      <c r="E190" s="59">
        <v>90</v>
      </c>
      <c r="F190" s="59">
        <v>90</v>
      </c>
      <c r="G190" s="59">
        <v>88</v>
      </c>
      <c r="H190" s="59">
        <f>F190</f>
        <v>90</v>
      </c>
      <c r="I190" s="59">
        <v>90</v>
      </c>
      <c r="J190" s="59">
        <v>90</v>
      </c>
      <c r="K190" s="58">
        <f t="shared" si="36"/>
        <v>100</v>
      </c>
      <c r="L190" s="3"/>
    </row>
    <row r="191" spans="1:13" ht="22.5" customHeight="1">
      <c r="A191" s="32" t="s">
        <v>354</v>
      </c>
      <c r="B191" s="20" t="s">
        <v>356</v>
      </c>
      <c r="C191" s="32" t="s">
        <v>61</v>
      </c>
      <c r="D191" s="59">
        <v>4</v>
      </c>
      <c r="E191" s="59">
        <v>4</v>
      </c>
      <c r="F191" s="59">
        <v>4</v>
      </c>
      <c r="G191" s="59">
        <v>4</v>
      </c>
      <c r="H191" s="59">
        <v>4</v>
      </c>
      <c r="I191" s="59">
        <v>5</v>
      </c>
      <c r="J191" s="59">
        <v>5</v>
      </c>
      <c r="K191" s="58">
        <f t="shared" si="36"/>
        <v>100</v>
      </c>
      <c r="L191" s="3"/>
    </row>
    <row r="192" spans="1:13" ht="10.5" customHeight="1">
      <c r="A192" s="4"/>
      <c r="B192" s="64"/>
      <c r="C192" s="4"/>
      <c r="D192" s="64"/>
      <c r="E192" s="64"/>
      <c r="F192" s="64"/>
      <c r="G192" s="64"/>
      <c r="H192" s="64"/>
      <c r="I192" s="64"/>
      <c r="J192" s="64"/>
      <c r="K192" s="64"/>
      <c r="L192" s="64"/>
    </row>
  </sheetData>
  <mergeCells count="13">
    <mergeCell ref="J5:J6"/>
    <mergeCell ref="K5:K6"/>
    <mergeCell ref="L5:L6"/>
    <mergeCell ref="A1:L1"/>
    <mergeCell ref="A2:L2"/>
    <mergeCell ref="A3:L3"/>
    <mergeCell ref="A5:A6"/>
    <mergeCell ref="B5:B6"/>
    <mergeCell ref="C5:C6"/>
    <mergeCell ref="D5:D6"/>
    <mergeCell ref="E5:E6"/>
    <mergeCell ref="F5:H5"/>
    <mergeCell ref="I5:I6"/>
  </mergeCells>
  <pageMargins left="0.47244094488188981" right="0.39370078740157483" top="0.78740157480314965" bottom="0.47244094488188981" header="0.31496062992125984" footer="0.31496062992125984"/>
  <pageSetup paperSize="9" scale="91" fitToHeight="0" orientation="landscape" r:id="rId1"/>
  <headerFooter>
    <oddFooter>&amp;R&amp;"Times New Roman,Regular"&amp;14&amp;P/&amp;N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rgb="FFFFFF00"/>
    <pageSetUpPr fitToPage="1"/>
  </sheetPr>
  <dimension ref="A1:L613"/>
  <sheetViews>
    <sheetView zoomScale="85" zoomScaleNormal="85" zoomScaleSheetLayoutView="100" workbookViewId="0">
      <pane xSplit="3" ySplit="6" topLeftCell="D7" activePane="bottomRight" state="frozen"/>
      <selection activeCell="B62" sqref="B62"/>
      <selection pane="topRight" activeCell="B62" sqref="B62"/>
      <selection pane="bottomLeft" activeCell="B62" sqref="B62"/>
      <selection pane="bottomRight" activeCell="B19" sqref="B19"/>
    </sheetView>
  </sheetViews>
  <sheetFormatPr defaultColWidth="9.140625" defaultRowHeight="14.1" customHeight="1" outlineLevelRow="1"/>
  <cols>
    <col min="1" max="1" width="5.7109375" style="387" customWidth="1"/>
    <col min="2" max="2" width="51.28515625" style="388" customWidth="1"/>
    <col min="3" max="3" width="12.140625" style="387" customWidth="1"/>
    <col min="4" max="4" width="13.7109375" style="388" customWidth="1"/>
    <col min="5" max="5" width="18.85546875" style="388" customWidth="1"/>
    <col min="6" max="6" width="12.28515625" style="388" customWidth="1"/>
    <col min="7" max="16384" width="9.140625" style="388"/>
  </cols>
  <sheetData>
    <row r="1" spans="1:12" ht="20.25" customHeight="1" outlineLevel="1">
      <c r="A1" s="820" t="s">
        <v>67</v>
      </c>
      <c r="B1" s="821"/>
      <c r="D1" s="619"/>
    </row>
    <row r="2" spans="1:12" s="191" customFormat="1" ht="18.75" outlineLevel="1">
      <c r="A2" s="822" t="s">
        <v>840</v>
      </c>
      <c r="B2" s="823"/>
      <c r="C2" s="823"/>
      <c r="D2" s="823"/>
      <c r="E2" s="823"/>
      <c r="G2" s="389"/>
      <c r="H2" s="389"/>
      <c r="I2" s="389"/>
      <c r="J2" s="389"/>
      <c r="K2" s="389"/>
      <c r="L2" s="389"/>
    </row>
    <row r="3" spans="1:12" s="191" customFormat="1" ht="21" customHeight="1" outlineLevel="1">
      <c r="A3" s="817" t="s">
        <v>914</v>
      </c>
      <c r="B3" s="817"/>
      <c r="C3" s="817"/>
      <c r="D3" s="817"/>
      <c r="E3" s="817"/>
    </row>
    <row r="4" spans="1:12" ht="14.1" customHeight="1" outlineLevel="1"/>
    <row r="5" spans="1:12" s="390" customFormat="1" ht="15" customHeight="1">
      <c r="A5" s="824" t="s">
        <v>68</v>
      </c>
      <c r="B5" s="825" t="s">
        <v>69</v>
      </c>
      <c r="C5" s="824" t="s">
        <v>66</v>
      </c>
      <c r="D5" s="815" t="s">
        <v>841</v>
      </c>
      <c r="E5" s="818" t="s">
        <v>75</v>
      </c>
    </row>
    <row r="6" spans="1:12" s="390" customFormat="1" ht="27" customHeight="1">
      <c r="A6" s="810"/>
      <c r="B6" s="826"/>
      <c r="C6" s="810"/>
      <c r="D6" s="816"/>
      <c r="E6" s="819"/>
    </row>
    <row r="7" spans="1:12" ht="24" customHeight="1">
      <c r="A7" s="209" t="s">
        <v>40</v>
      </c>
      <c r="B7" s="391" t="s">
        <v>295</v>
      </c>
      <c r="C7" s="392"/>
      <c r="D7" s="393"/>
      <c r="E7" s="242"/>
    </row>
    <row r="8" spans="1:12" ht="24" customHeight="1">
      <c r="A8" s="1">
        <v>1</v>
      </c>
      <c r="B8" s="394" t="s">
        <v>168</v>
      </c>
      <c r="C8" s="395" t="s">
        <v>76</v>
      </c>
      <c r="D8" s="396">
        <f>'B02'!D10</f>
        <v>7617</v>
      </c>
      <c r="E8" s="206"/>
    </row>
    <row r="9" spans="1:12" ht="24" customHeight="1">
      <c r="A9" s="167"/>
      <c r="B9" s="397" t="s">
        <v>296</v>
      </c>
      <c r="C9" s="398" t="s">
        <v>169</v>
      </c>
      <c r="D9" s="396">
        <f>D8/D19*1000</f>
        <v>152.34</v>
      </c>
      <c r="E9" s="206"/>
    </row>
    <row r="10" spans="1:12" ht="21" customHeight="1">
      <c r="A10" s="1">
        <v>2</v>
      </c>
      <c r="B10" s="399" t="s">
        <v>294</v>
      </c>
      <c r="C10" s="400" t="s">
        <v>32</v>
      </c>
      <c r="D10" s="396">
        <f>'6 tháng 2021'!J116</f>
        <v>850000</v>
      </c>
      <c r="E10" s="206"/>
    </row>
    <row r="11" spans="1:12" ht="21.95" customHeight="1">
      <c r="A11" s="1">
        <v>3</v>
      </c>
      <c r="B11" s="401" t="s">
        <v>71</v>
      </c>
      <c r="C11" s="400" t="s">
        <v>32</v>
      </c>
      <c r="D11" s="402">
        <f>'6 tháng 2021'!J123</f>
        <v>900000</v>
      </c>
      <c r="E11" s="206" t="s">
        <v>52</v>
      </c>
    </row>
    <row r="12" spans="1:12" ht="21.95" customHeight="1">
      <c r="A12" s="1">
        <v>4</v>
      </c>
      <c r="B12" s="401" t="s">
        <v>172</v>
      </c>
      <c r="C12" s="400" t="s">
        <v>130</v>
      </c>
      <c r="D12" s="402">
        <f>'6 tháng 2021'!J10</f>
        <v>316850</v>
      </c>
      <c r="E12" s="206"/>
    </row>
    <row r="13" spans="1:12" s="406" customFormat="1" ht="21.95" customHeight="1">
      <c r="A13" s="173"/>
      <c r="B13" s="403" t="s">
        <v>359</v>
      </c>
      <c r="C13" s="404" t="s">
        <v>130</v>
      </c>
      <c r="D13" s="405">
        <f>'6 tháng 2021'!J11</f>
        <v>110000</v>
      </c>
      <c r="E13" s="189"/>
    </row>
    <row r="14" spans="1:12" s="406" customFormat="1" ht="21.95" customHeight="1">
      <c r="A14" s="173"/>
      <c r="B14" s="403" t="s">
        <v>430</v>
      </c>
      <c r="C14" s="404" t="s">
        <v>130</v>
      </c>
      <c r="D14" s="405">
        <f>'6 tháng 2021'!J12</f>
        <v>82174</v>
      </c>
      <c r="E14" s="189"/>
    </row>
    <row r="15" spans="1:12" ht="21.95" customHeight="1">
      <c r="A15" s="1">
        <v>5</v>
      </c>
      <c r="B15" s="401" t="s">
        <v>174</v>
      </c>
      <c r="C15" s="400" t="s">
        <v>130</v>
      </c>
      <c r="D15" s="402">
        <f>'6 tháng 2021'!J13</f>
        <v>289202</v>
      </c>
      <c r="E15" s="206"/>
    </row>
    <row r="16" spans="1:12" s="406" customFormat="1" ht="21.95" customHeight="1">
      <c r="A16" s="173"/>
      <c r="B16" s="403" t="s">
        <v>175</v>
      </c>
      <c r="C16" s="404" t="s">
        <v>130</v>
      </c>
      <c r="D16" s="405">
        <f>'6 tháng 2021'!J14</f>
        <v>260609</v>
      </c>
      <c r="E16" s="189"/>
      <c r="F16" s="407"/>
      <c r="G16" s="407"/>
    </row>
    <row r="17" spans="1:7" ht="15.75">
      <c r="A17" s="1"/>
      <c r="B17" s="403"/>
      <c r="C17" s="404"/>
      <c r="D17" s="402"/>
      <c r="E17" s="206"/>
      <c r="F17" s="408"/>
      <c r="G17" s="408"/>
    </row>
    <row r="18" spans="1:7" ht="22.5" customHeight="1">
      <c r="A18" s="167" t="s">
        <v>43</v>
      </c>
      <c r="B18" s="409" t="s">
        <v>297</v>
      </c>
      <c r="C18" s="410"/>
      <c r="D18" s="401"/>
      <c r="E18" s="206"/>
    </row>
    <row r="19" spans="1:7" ht="20.25" customHeight="1">
      <c r="A19" s="1">
        <v>1</v>
      </c>
      <c r="B19" s="401" t="s">
        <v>72</v>
      </c>
      <c r="C19" s="411" t="s">
        <v>73</v>
      </c>
      <c r="D19" s="402">
        <f>'B04'!D11</f>
        <v>50000</v>
      </c>
      <c r="E19" s="206"/>
    </row>
    <row r="20" spans="1:7" ht="21" customHeight="1">
      <c r="A20" s="1">
        <v>2</v>
      </c>
      <c r="B20" s="401" t="s">
        <v>267</v>
      </c>
      <c r="C20" s="411" t="s">
        <v>33</v>
      </c>
      <c r="D20" s="412" t="str">
        <f>'B04'!D17</f>
        <v>&gt;3</v>
      </c>
      <c r="E20" s="170"/>
    </row>
    <row r="21" spans="1:7" ht="33.75" customHeight="1">
      <c r="A21" s="1">
        <v>3</v>
      </c>
      <c r="B21" s="401" t="s">
        <v>314</v>
      </c>
      <c r="C21" s="411" t="s">
        <v>33</v>
      </c>
      <c r="D21" s="412">
        <f>'6 tháng 2021'!J180</f>
        <v>100</v>
      </c>
      <c r="E21" s="206"/>
    </row>
    <row r="22" spans="1:7" ht="22.5" customHeight="1">
      <c r="A22" s="1">
        <v>4</v>
      </c>
      <c r="B22" s="401" t="s">
        <v>429</v>
      </c>
      <c r="C22" s="411" t="s">
        <v>145</v>
      </c>
      <c r="D22" s="402">
        <f>'B04'!D39</f>
        <v>195</v>
      </c>
      <c r="E22" s="206"/>
    </row>
    <row r="23" spans="1:7" ht="22.5" customHeight="1">
      <c r="A23" s="1">
        <v>5</v>
      </c>
      <c r="B23" s="401" t="s">
        <v>842</v>
      </c>
      <c r="C23" s="411" t="s">
        <v>61</v>
      </c>
      <c r="D23" s="402">
        <v>3</v>
      </c>
      <c r="E23" s="206"/>
    </row>
    <row r="24" spans="1:7" ht="22.5" customHeight="1">
      <c r="A24" s="1">
        <v>6</v>
      </c>
      <c r="B24" s="401" t="s">
        <v>298</v>
      </c>
      <c r="C24" s="411" t="s">
        <v>33</v>
      </c>
      <c r="D24" s="412">
        <f>'B04'!D58</f>
        <v>100</v>
      </c>
      <c r="E24" s="206"/>
    </row>
    <row r="25" spans="1:7" ht="20.25" customHeight="1">
      <c r="A25" s="1">
        <v>7</v>
      </c>
      <c r="B25" s="401" t="s">
        <v>7</v>
      </c>
      <c r="C25" s="411" t="s">
        <v>8</v>
      </c>
      <c r="D25" s="402">
        <f>'B04'!D65</f>
        <v>14805</v>
      </c>
      <c r="E25" s="206"/>
    </row>
    <row r="26" spans="1:7" ht="20.25" customHeight="1">
      <c r="A26" s="1">
        <v>8</v>
      </c>
      <c r="B26" s="401" t="s">
        <v>144</v>
      </c>
      <c r="C26" s="410" t="s">
        <v>33</v>
      </c>
      <c r="D26" s="413">
        <f>'B04'!D81</f>
        <v>76.5</v>
      </c>
      <c r="E26" s="206"/>
    </row>
    <row r="27" spans="1:7" ht="18.75" customHeight="1">
      <c r="A27" s="1">
        <v>9</v>
      </c>
      <c r="B27" s="401" t="s">
        <v>299</v>
      </c>
      <c r="C27" s="410" t="s">
        <v>33</v>
      </c>
      <c r="D27" s="402">
        <v>100</v>
      </c>
      <c r="E27" s="206"/>
    </row>
    <row r="28" spans="1:7" ht="7.5" customHeight="1">
      <c r="A28" s="414"/>
      <c r="B28" s="415"/>
      <c r="C28" s="416"/>
      <c r="D28" s="415"/>
      <c r="E28" s="265"/>
    </row>
    <row r="29" spans="1:7" ht="14.1" customHeight="1">
      <c r="B29" s="417"/>
      <c r="C29" s="418"/>
      <c r="D29" s="417"/>
    </row>
    <row r="30" spans="1:7" ht="14.1" customHeight="1">
      <c r="B30" s="417"/>
      <c r="C30" s="418"/>
      <c r="D30" s="417"/>
    </row>
    <row r="31" spans="1:7" ht="14.1" customHeight="1">
      <c r="B31" s="417"/>
      <c r="C31" s="418"/>
      <c r="D31" s="417"/>
    </row>
    <row r="32" spans="1:7" ht="14.1" customHeight="1">
      <c r="B32" s="417"/>
      <c r="C32" s="418"/>
      <c r="D32" s="417"/>
    </row>
    <row r="33" spans="2:4" ht="14.1" customHeight="1">
      <c r="B33" s="417"/>
      <c r="C33" s="418"/>
      <c r="D33" s="417"/>
    </row>
    <row r="34" spans="2:4" ht="14.1" customHeight="1">
      <c r="B34" s="417"/>
      <c r="C34" s="418"/>
      <c r="D34" s="417"/>
    </row>
    <row r="35" spans="2:4" ht="14.1" customHeight="1">
      <c r="B35" s="417"/>
      <c r="C35" s="418"/>
      <c r="D35" s="417"/>
    </row>
    <row r="36" spans="2:4" ht="14.1" customHeight="1">
      <c r="B36" s="417"/>
      <c r="C36" s="418"/>
      <c r="D36" s="417"/>
    </row>
    <row r="37" spans="2:4" ht="14.1" customHeight="1">
      <c r="B37" s="417"/>
      <c r="C37" s="418"/>
      <c r="D37" s="417"/>
    </row>
    <row r="38" spans="2:4" ht="14.1" customHeight="1">
      <c r="B38" s="417"/>
      <c r="C38" s="418"/>
      <c r="D38" s="417"/>
    </row>
    <row r="39" spans="2:4" ht="14.1" customHeight="1">
      <c r="B39" s="417"/>
      <c r="C39" s="418"/>
      <c r="D39" s="417"/>
    </row>
    <row r="40" spans="2:4" ht="14.1" customHeight="1">
      <c r="B40" s="417"/>
      <c r="C40" s="418"/>
      <c r="D40" s="417"/>
    </row>
    <row r="41" spans="2:4" ht="14.1" customHeight="1">
      <c r="B41" s="417"/>
      <c r="C41" s="418"/>
      <c r="D41" s="417"/>
    </row>
    <row r="42" spans="2:4" ht="14.1" customHeight="1">
      <c r="B42" s="417"/>
      <c r="C42" s="418"/>
      <c r="D42" s="417"/>
    </row>
    <row r="43" spans="2:4" ht="14.1" customHeight="1">
      <c r="B43" s="417"/>
      <c r="C43" s="418"/>
      <c r="D43" s="417"/>
    </row>
    <row r="44" spans="2:4" ht="14.1" customHeight="1">
      <c r="B44" s="417"/>
      <c r="C44" s="418"/>
      <c r="D44" s="417"/>
    </row>
    <row r="45" spans="2:4" ht="14.1" customHeight="1">
      <c r="B45" s="417"/>
      <c r="C45" s="418"/>
      <c r="D45" s="417"/>
    </row>
    <row r="46" spans="2:4" ht="14.1" customHeight="1">
      <c r="B46" s="417"/>
      <c r="C46" s="418"/>
      <c r="D46" s="417"/>
    </row>
    <row r="47" spans="2:4" ht="14.1" customHeight="1">
      <c r="B47" s="417"/>
      <c r="C47" s="418"/>
      <c r="D47" s="417"/>
    </row>
    <row r="48" spans="2:4" ht="14.1" customHeight="1">
      <c r="B48" s="417"/>
      <c r="C48" s="418"/>
      <c r="D48" s="417"/>
    </row>
    <row r="49" spans="2:4" ht="14.1" customHeight="1">
      <c r="B49" s="417"/>
      <c r="C49" s="418"/>
      <c r="D49" s="417"/>
    </row>
    <row r="50" spans="2:4" ht="14.1" customHeight="1">
      <c r="B50" s="417"/>
      <c r="C50" s="418"/>
      <c r="D50" s="417"/>
    </row>
    <row r="51" spans="2:4" ht="14.1" customHeight="1">
      <c r="B51" s="417"/>
      <c r="C51" s="418"/>
      <c r="D51" s="417"/>
    </row>
    <row r="52" spans="2:4" ht="14.1" customHeight="1">
      <c r="B52" s="417"/>
      <c r="C52" s="418"/>
      <c r="D52" s="417"/>
    </row>
    <row r="53" spans="2:4" ht="14.1" customHeight="1">
      <c r="B53" s="417"/>
      <c r="C53" s="418"/>
      <c r="D53" s="417"/>
    </row>
    <row r="54" spans="2:4" ht="14.1" customHeight="1">
      <c r="B54" s="417"/>
      <c r="C54" s="418"/>
      <c r="D54" s="417"/>
    </row>
    <row r="55" spans="2:4" ht="14.1" customHeight="1">
      <c r="B55" s="417"/>
      <c r="C55" s="418"/>
      <c r="D55" s="417"/>
    </row>
    <row r="56" spans="2:4" ht="14.1" customHeight="1">
      <c r="B56" s="417"/>
      <c r="C56" s="418"/>
      <c r="D56" s="417"/>
    </row>
    <row r="57" spans="2:4" ht="14.1" customHeight="1">
      <c r="B57" s="417"/>
      <c r="C57" s="418"/>
      <c r="D57" s="417"/>
    </row>
    <row r="58" spans="2:4" ht="14.1" customHeight="1">
      <c r="B58" s="417"/>
      <c r="C58" s="418"/>
      <c r="D58" s="417"/>
    </row>
    <row r="59" spans="2:4" ht="14.1" customHeight="1">
      <c r="B59" s="417"/>
      <c r="C59" s="418"/>
      <c r="D59" s="417"/>
    </row>
    <row r="60" spans="2:4" ht="14.1" customHeight="1">
      <c r="B60" s="417"/>
      <c r="C60" s="418"/>
      <c r="D60" s="417"/>
    </row>
    <row r="61" spans="2:4" ht="14.1" customHeight="1">
      <c r="B61" s="417"/>
      <c r="C61" s="418"/>
      <c r="D61" s="417"/>
    </row>
    <row r="62" spans="2:4" ht="14.1" customHeight="1">
      <c r="B62" s="417"/>
      <c r="C62" s="418"/>
      <c r="D62" s="417"/>
    </row>
    <row r="63" spans="2:4" ht="14.1" customHeight="1">
      <c r="B63" s="417"/>
      <c r="C63" s="418"/>
      <c r="D63" s="417"/>
    </row>
    <row r="64" spans="2:4" ht="14.1" customHeight="1">
      <c r="B64" s="417"/>
      <c r="C64" s="418"/>
      <c r="D64" s="417"/>
    </row>
    <row r="65" spans="2:4" ht="14.1" customHeight="1">
      <c r="B65" s="417"/>
      <c r="C65" s="418"/>
      <c r="D65" s="417"/>
    </row>
    <row r="66" spans="2:4" ht="14.1" customHeight="1">
      <c r="B66" s="417"/>
      <c r="C66" s="418"/>
      <c r="D66" s="417"/>
    </row>
    <row r="67" spans="2:4" ht="14.1" customHeight="1">
      <c r="B67" s="417"/>
      <c r="C67" s="418"/>
      <c r="D67" s="417"/>
    </row>
    <row r="68" spans="2:4" ht="14.1" customHeight="1">
      <c r="B68" s="417"/>
      <c r="C68" s="418"/>
      <c r="D68" s="417"/>
    </row>
    <row r="69" spans="2:4" ht="14.1" customHeight="1">
      <c r="B69" s="417"/>
      <c r="C69" s="418"/>
      <c r="D69" s="417"/>
    </row>
    <row r="70" spans="2:4" ht="14.1" customHeight="1">
      <c r="B70" s="417"/>
      <c r="C70" s="418"/>
      <c r="D70" s="417"/>
    </row>
    <row r="71" spans="2:4" ht="14.1" customHeight="1">
      <c r="B71" s="417"/>
      <c r="C71" s="418"/>
      <c r="D71" s="417"/>
    </row>
    <row r="72" spans="2:4" ht="14.1" customHeight="1">
      <c r="B72" s="417"/>
      <c r="C72" s="418"/>
      <c r="D72" s="417"/>
    </row>
    <row r="73" spans="2:4" ht="14.1" customHeight="1">
      <c r="B73" s="417"/>
      <c r="C73" s="418"/>
      <c r="D73" s="417"/>
    </row>
    <row r="74" spans="2:4" ht="14.1" customHeight="1">
      <c r="B74" s="417"/>
      <c r="C74" s="418"/>
      <c r="D74" s="417"/>
    </row>
    <row r="75" spans="2:4" ht="14.1" customHeight="1">
      <c r="B75" s="417"/>
      <c r="C75" s="418"/>
      <c r="D75" s="417"/>
    </row>
    <row r="76" spans="2:4" ht="14.1" customHeight="1">
      <c r="B76" s="417"/>
      <c r="C76" s="418"/>
      <c r="D76" s="417"/>
    </row>
    <row r="77" spans="2:4" ht="14.1" customHeight="1">
      <c r="B77" s="417"/>
      <c r="C77" s="418"/>
      <c r="D77" s="417"/>
    </row>
    <row r="78" spans="2:4" ht="14.1" customHeight="1">
      <c r="B78" s="417"/>
      <c r="C78" s="418"/>
      <c r="D78" s="417"/>
    </row>
    <row r="79" spans="2:4" ht="14.1" customHeight="1">
      <c r="B79" s="417"/>
      <c r="C79" s="418"/>
      <c r="D79" s="417"/>
    </row>
    <row r="80" spans="2:4" ht="14.1" customHeight="1">
      <c r="B80" s="417"/>
      <c r="C80" s="418"/>
      <c r="D80" s="417"/>
    </row>
    <row r="81" spans="2:4" ht="14.1" customHeight="1">
      <c r="B81" s="417"/>
      <c r="C81" s="418"/>
      <c r="D81" s="417"/>
    </row>
    <row r="82" spans="2:4" ht="14.1" customHeight="1">
      <c r="B82" s="417"/>
      <c r="C82" s="418"/>
      <c r="D82" s="417"/>
    </row>
    <row r="83" spans="2:4" ht="14.1" customHeight="1">
      <c r="B83" s="417"/>
      <c r="C83" s="418"/>
      <c r="D83" s="417"/>
    </row>
    <row r="84" spans="2:4" ht="14.1" customHeight="1">
      <c r="B84" s="417"/>
      <c r="C84" s="418"/>
      <c r="D84" s="417"/>
    </row>
    <row r="85" spans="2:4" ht="14.1" customHeight="1">
      <c r="B85" s="417"/>
      <c r="C85" s="418"/>
      <c r="D85" s="417"/>
    </row>
    <row r="86" spans="2:4" ht="14.1" customHeight="1">
      <c r="B86" s="417"/>
      <c r="C86" s="418"/>
      <c r="D86" s="417"/>
    </row>
    <row r="87" spans="2:4" ht="14.1" customHeight="1">
      <c r="B87" s="417"/>
      <c r="C87" s="418"/>
      <c r="D87" s="417"/>
    </row>
    <row r="88" spans="2:4" ht="14.1" customHeight="1">
      <c r="B88" s="417"/>
      <c r="C88" s="418"/>
      <c r="D88" s="417"/>
    </row>
    <row r="89" spans="2:4" ht="14.1" customHeight="1">
      <c r="B89" s="417"/>
      <c r="C89" s="418"/>
      <c r="D89" s="417"/>
    </row>
    <row r="90" spans="2:4" ht="14.1" customHeight="1">
      <c r="B90" s="417"/>
      <c r="C90" s="418"/>
      <c r="D90" s="417"/>
    </row>
    <row r="91" spans="2:4" ht="14.1" customHeight="1">
      <c r="B91" s="417"/>
      <c r="C91" s="418"/>
      <c r="D91" s="417"/>
    </row>
    <row r="92" spans="2:4" ht="14.1" customHeight="1">
      <c r="B92" s="417"/>
      <c r="C92" s="418"/>
      <c r="D92" s="417"/>
    </row>
    <row r="93" spans="2:4" ht="14.1" customHeight="1">
      <c r="B93" s="417"/>
      <c r="C93" s="418"/>
      <c r="D93" s="417"/>
    </row>
    <row r="94" spans="2:4" ht="14.1" customHeight="1">
      <c r="B94" s="417"/>
      <c r="C94" s="418"/>
      <c r="D94" s="417"/>
    </row>
    <row r="95" spans="2:4" ht="14.1" customHeight="1">
      <c r="B95" s="417"/>
      <c r="C95" s="418"/>
      <c r="D95" s="417"/>
    </row>
    <row r="96" spans="2:4" ht="14.1" customHeight="1">
      <c r="B96" s="417"/>
      <c r="C96" s="418"/>
      <c r="D96" s="417"/>
    </row>
    <row r="97" spans="2:4" ht="14.1" customHeight="1">
      <c r="B97" s="417"/>
      <c r="C97" s="418"/>
      <c r="D97" s="417"/>
    </row>
    <row r="98" spans="2:4" ht="14.1" customHeight="1">
      <c r="B98" s="417"/>
      <c r="C98" s="418"/>
      <c r="D98" s="417"/>
    </row>
    <row r="99" spans="2:4" ht="14.1" customHeight="1">
      <c r="B99" s="417"/>
      <c r="C99" s="418"/>
      <c r="D99" s="417"/>
    </row>
    <row r="100" spans="2:4" ht="14.1" customHeight="1">
      <c r="B100" s="417"/>
      <c r="C100" s="418"/>
      <c r="D100" s="417"/>
    </row>
    <row r="101" spans="2:4" ht="14.1" customHeight="1">
      <c r="B101" s="417"/>
      <c r="C101" s="418"/>
      <c r="D101" s="417"/>
    </row>
    <row r="102" spans="2:4" ht="14.1" customHeight="1">
      <c r="B102" s="417"/>
      <c r="C102" s="418"/>
      <c r="D102" s="417"/>
    </row>
    <row r="103" spans="2:4" ht="14.1" customHeight="1">
      <c r="B103" s="417"/>
      <c r="C103" s="418"/>
      <c r="D103" s="417"/>
    </row>
    <row r="104" spans="2:4" ht="14.1" customHeight="1">
      <c r="B104" s="417"/>
      <c r="C104" s="418"/>
      <c r="D104" s="417"/>
    </row>
    <row r="105" spans="2:4" ht="14.1" customHeight="1">
      <c r="B105" s="417"/>
      <c r="C105" s="418"/>
      <c r="D105" s="417"/>
    </row>
    <row r="106" spans="2:4" ht="14.1" customHeight="1">
      <c r="B106" s="417"/>
      <c r="C106" s="418"/>
      <c r="D106" s="417"/>
    </row>
    <row r="107" spans="2:4" ht="14.1" customHeight="1">
      <c r="B107" s="417"/>
      <c r="C107" s="418"/>
      <c r="D107" s="417"/>
    </row>
    <row r="108" spans="2:4" ht="14.1" customHeight="1">
      <c r="B108" s="417"/>
      <c r="C108" s="418"/>
      <c r="D108" s="417"/>
    </row>
    <row r="109" spans="2:4" ht="14.1" customHeight="1">
      <c r="B109" s="417"/>
      <c r="C109" s="418"/>
      <c r="D109" s="417"/>
    </row>
    <row r="110" spans="2:4" ht="14.1" customHeight="1">
      <c r="B110" s="417"/>
      <c r="C110" s="418"/>
      <c r="D110" s="417"/>
    </row>
    <row r="111" spans="2:4" ht="14.1" customHeight="1">
      <c r="B111" s="417"/>
      <c r="C111" s="418"/>
      <c r="D111" s="417"/>
    </row>
    <row r="112" spans="2:4" ht="14.1" customHeight="1">
      <c r="B112" s="417"/>
      <c r="C112" s="418"/>
      <c r="D112" s="417"/>
    </row>
    <row r="113" spans="2:4" ht="14.1" customHeight="1">
      <c r="B113" s="417"/>
      <c r="C113" s="418"/>
      <c r="D113" s="417"/>
    </row>
    <row r="114" spans="2:4" ht="14.1" customHeight="1">
      <c r="B114" s="417"/>
      <c r="C114" s="418"/>
      <c r="D114" s="417"/>
    </row>
    <row r="115" spans="2:4" ht="14.1" customHeight="1">
      <c r="B115" s="417"/>
      <c r="C115" s="418"/>
      <c r="D115" s="417"/>
    </row>
    <row r="116" spans="2:4" ht="14.1" customHeight="1">
      <c r="B116" s="417"/>
      <c r="C116" s="418"/>
      <c r="D116" s="417"/>
    </row>
    <row r="117" spans="2:4" ht="14.1" customHeight="1">
      <c r="B117" s="417"/>
      <c r="C117" s="418"/>
      <c r="D117" s="417"/>
    </row>
    <row r="118" spans="2:4" ht="14.1" customHeight="1">
      <c r="B118" s="417"/>
      <c r="C118" s="418"/>
      <c r="D118" s="417"/>
    </row>
    <row r="119" spans="2:4" ht="14.1" customHeight="1">
      <c r="B119" s="417"/>
      <c r="C119" s="418"/>
      <c r="D119" s="417"/>
    </row>
    <row r="120" spans="2:4" ht="14.1" customHeight="1">
      <c r="B120" s="417"/>
      <c r="C120" s="418"/>
      <c r="D120" s="417"/>
    </row>
    <row r="121" spans="2:4" ht="14.1" customHeight="1">
      <c r="B121" s="417"/>
      <c r="C121" s="418"/>
      <c r="D121" s="417"/>
    </row>
    <row r="122" spans="2:4" ht="14.1" customHeight="1">
      <c r="B122" s="417"/>
      <c r="C122" s="418"/>
      <c r="D122" s="417"/>
    </row>
    <row r="123" spans="2:4" ht="14.1" customHeight="1">
      <c r="B123" s="417"/>
      <c r="C123" s="418"/>
      <c r="D123" s="417"/>
    </row>
    <row r="124" spans="2:4" ht="14.1" customHeight="1">
      <c r="B124" s="417"/>
      <c r="C124" s="418"/>
      <c r="D124" s="417"/>
    </row>
    <row r="125" spans="2:4" ht="14.1" customHeight="1">
      <c r="B125" s="417"/>
      <c r="C125" s="418"/>
      <c r="D125" s="417"/>
    </row>
    <row r="126" spans="2:4" ht="14.1" customHeight="1">
      <c r="B126" s="417"/>
      <c r="C126" s="418"/>
      <c r="D126" s="417"/>
    </row>
    <row r="127" spans="2:4" ht="14.1" customHeight="1">
      <c r="B127" s="417"/>
      <c r="C127" s="418"/>
      <c r="D127" s="417"/>
    </row>
    <row r="128" spans="2:4" ht="14.1" customHeight="1">
      <c r="B128" s="417"/>
      <c r="C128" s="418"/>
      <c r="D128" s="417"/>
    </row>
    <row r="129" spans="2:4" ht="14.1" customHeight="1">
      <c r="B129" s="417"/>
      <c r="C129" s="418"/>
      <c r="D129" s="417"/>
    </row>
    <row r="130" spans="2:4" ht="14.1" customHeight="1">
      <c r="B130" s="417"/>
      <c r="C130" s="418"/>
      <c r="D130" s="417"/>
    </row>
    <row r="131" spans="2:4" ht="14.1" customHeight="1">
      <c r="B131" s="417"/>
      <c r="C131" s="418"/>
      <c r="D131" s="417"/>
    </row>
    <row r="132" spans="2:4" ht="14.1" customHeight="1">
      <c r="B132" s="417"/>
      <c r="C132" s="418"/>
      <c r="D132" s="417"/>
    </row>
    <row r="133" spans="2:4" ht="14.1" customHeight="1">
      <c r="B133" s="417"/>
      <c r="C133" s="418"/>
      <c r="D133" s="417"/>
    </row>
    <row r="134" spans="2:4" ht="14.1" customHeight="1">
      <c r="B134" s="417"/>
      <c r="C134" s="418"/>
      <c r="D134" s="417"/>
    </row>
    <row r="135" spans="2:4" ht="14.1" customHeight="1">
      <c r="B135" s="417"/>
      <c r="C135" s="418"/>
      <c r="D135" s="417"/>
    </row>
    <row r="136" spans="2:4" ht="14.1" customHeight="1">
      <c r="B136" s="417"/>
      <c r="C136" s="418"/>
      <c r="D136" s="417"/>
    </row>
    <row r="137" spans="2:4" ht="14.1" customHeight="1">
      <c r="B137" s="417"/>
      <c r="C137" s="418"/>
      <c r="D137" s="417"/>
    </row>
    <row r="138" spans="2:4" ht="14.1" customHeight="1">
      <c r="B138" s="417"/>
      <c r="C138" s="418"/>
      <c r="D138" s="417"/>
    </row>
    <row r="139" spans="2:4" ht="14.1" customHeight="1">
      <c r="B139" s="417"/>
      <c r="C139" s="418"/>
      <c r="D139" s="417"/>
    </row>
    <row r="140" spans="2:4" ht="14.1" customHeight="1">
      <c r="B140" s="417"/>
      <c r="C140" s="418"/>
      <c r="D140" s="417"/>
    </row>
    <row r="141" spans="2:4" ht="14.1" customHeight="1">
      <c r="B141" s="417"/>
      <c r="C141" s="418"/>
      <c r="D141" s="417"/>
    </row>
    <row r="142" spans="2:4" ht="14.1" customHeight="1">
      <c r="B142" s="417"/>
      <c r="C142" s="418"/>
      <c r="D142" s="417"/>
    </row>
    <row r="143" spans="2:4" ht="14.1" customHeight="1">
      <c r="B143" s="417"/>
      <c r="C143" s="418"/>
      <c r="D143" s="417"/>
    </row>
    <row r="144" spans="2:4" ht="14.1" customHeight="1">
      <c r="B144" s="417"/>
      <c r="C144" s="418"/>
      <c r="D144" s="417"/>
    </row>
    <row r="145" spans="2:4" ht="14.1" customHeight="1">
      <c r="B145" s="417"/>
      <c r="C145" s="418"/>
      <c r="D145" s="417"/>
    </row>
    <row r="146" spans="2:4" ht="14.1" customHeight="1">
      <c r="B146" s="417"/>
      <c r="C146" s="418"/>
      <c r="D146" s="417"/>
    </row>
    <row r="147" spans="2:4" ht="14.1" customHeight="1">
      <c r="B147" s="417"/>
      <c r="C147" s="418"/>
      <c r="D147" s="417"/>
    </row>
    <row r="148" spans="2:4" ht="14.1" customHeight="1">
      <c r="B148" s="417"/>
      <c r="C148" s="418"/>
      <c r="D148" s="417"/>
    </row>
    <row r="149" spans="2:4" ht="14.1" customHeight="1">
      <c r="B149" s="417"/>
      <c r="C149" s="418"/>
      <c r="D149" s="417"/>
    </row>
    <row r="150" spans="2:4" ht="14.1" customHeight="1">
      <c r="B150" s="417"/>
      <c r="C150" s="418"/>
      <c r="D150" s="417"/>
    </row>
    <row r="151" spans="2:4" ht="14.1" customHeight="1">
      <c r="B151" s="417"/>
      <c r="C151" s="418"/>
      <c r="D151" s="417"/>
    </row>
    <row r="152" spans="2:4" ht="14.1" customHeight="1">
      <c r="B152" s="417"/>
      <c r="C152" s="418"/>
      <c r="D152" s="417"/>
    </row>
    <row r="153" spans="2:4" ht="14.1" customHeight="1">
      <c r="B153" s="417"/>
      <c r="C153" s="418"/>
      <c r="D153" s="417"/>
    </row>
    <row r="154" spans="2:4" ht="14.1" customHeight="1">
      <c r="B154" s="417"/>
      <c r="C154" s="418"/>
      <c r="D154" s="417"/>
    </row>
    <row r="155" spans="2:4" ht="14.1" customHeight="1">
      <c r="B155" s="417"/>
      <c r="C155" s="418"/>
      <c r="D155" s="417"/>
    </row>
    <row r="156" spans="2:4" ht="14.1" customHeight="1">
      <c r="B156" s="417"/>
      <c r="C156" s="418"/>
      <c r="D156" s="417"/>
    </row>
    <row r="157" spans="2:4" ht="14.1" customHeight="1">
      <c r="B157" s="417"/>
      <c r="C157" s="418"/>
      <c r="D157" s="417"/>
    </row>
    <row r="158" spans="2:4" ht="14.1" customHeight="1">
      <c r="B158" s="417"/>
      <c r="C158" s="418"/>
      <c r="D158" s="417"/>
    </row>
    <row r="159" spans="2:4" ht="14.1" customHeight="1">
      <c r="B159" s="417"/>
      <c r="C159" s="418"/>
      <c r="D159" s="417"/>
    </row>
    <row r="160" spans="2:4" ht="14.1" customHeight="1">
      <c r="B160" s="417"/>
      <c r="C160" s="418"/>
      <c r="D160" s="417"/>
    </row>
    <row r="161" spans="2:4" ht="14.1" customHeight="1">
      <c r="B161" s="417"/>
      <c r="C161" s="418"/>
      <c r="D161" s="417"/>
    </row>
    <row r="162" spans="2:4" ht="14.1" customHeight="1">
      <c r="B162" s="417"/>
      <c r="C162" s="418"/>
      <c r="D162" s="417"/>
    </row>
    <row r="163" spans="2:4" ht="14.1" customHeight="1">
      <c r="B163" s="417"/>
      <c r="C163" s="418"/>
      <c r="D163" s="417"/>
    </row>
    <row r="164" spans="2:4" ht="14.1" customHeight="1">
      <c r="B164" s="417"/>
      <c r="C164" s="418"/>
      <c r="D164" s="417"/>
    </row>
    <row r="165" spans="2:4" ht="14.1" customHeight="1">
      <c r="B165" s="417"/>
      <c r="C165" s="418"/>
      <c r="D165" s="417"/>
    </row>
    <row r="166" spans="2:4" ht="14.1" customHeight="1">
      <c r="B166" s="417"/>
      <c r="C166" s="418"/>
      <c r="D166" s="417"/>
    </row>
    <row r="167" spans="2:4" ht="14.1" customHeight="1">
      <c r="B167" s="417"/>
      <c r="C167" s="418"/>
      <c r="D167" s="417"/>
    </row>
    <row r="168" spans="2:4" ht="14.1" customHeight="1">
      <c r="B168" s="417"/>
      <c r="C168" s="418"/>
      <c r="D168" s="417"/>
    </row>
    <row r="169" spans="2:4" ht="14.1" customHeight="1">
      <c r="B169" s="417"/>
      <c r="C169" s="418"/>
      <c r="D169" s="417"/>
    </row>
    <row r="170" spans="2:4" ht="14.1" customHeight="1">
      <c r="B170" s="417"/>
      <c r="C170" s="418"/>
      <c r="D170" s="417"/>
    </row>
    <row r="171" spans="2:4" ht="14.1" customHeight="1">
      <c r="B171" s="417"/>
      <c r="C171" s="418"/>
      <c r="D171" s="417"/>
    </row>
    <row r="172" spans="2:4" ht="14.1" customHeight="1">
      <c r="B172" s="417"/>
      <c r="C172" s="418"/>
      <c r="D172" s="417"/>
    </row>
    <row r="173" spans="2:4" ht="14.1" customHeight="1">
      <c r="B173" s="417"/>
      <c r="C173" s="418"/>
      <c r="D173" s="417"/>
    </row>
    <row r="174" spans="2:4" ht="14.1" customHeight="1">
      <c r="B174" s="417"/>
      <c r="C174" s="418"/>
      <c r="D174" s="417"/>
    </row>
    <row r="175" spans="2:4" ht="14.1" customHeight="1">
      <c r="B175" s="417"/>
      <c r="C175" s="418"/>
      <c r="D175" s="417"/>
    </row>
    <row r="176" spans="2:4" ht="14.1" customHeight="1">
      <c r="B176" s="417"/>
      <c r="C176" s="418"/>
      <c r="D176" s="417"/>
    </row>
    <row r="177" spans="2:4" ht="14.1" customHeight="1">
      <c r="B177" s="417"/>
      <c r="C177" s="418"/>
      <c r="D177" s="417"/>
    </row>
    <row r="178" spans="2:4" ht="14.1" customHeight="1">
      <c r="B178" s="417"/>
      <c r="C178" s="418"/>
      <c r="D178" s="417"/>
    </row>
    <row r="179" spans="2:4" ht="14.1" customHeight="1">
      <c r="B179" s="417"/>
      <c r="C179" s="418"/>
      <c r="D179" s="417"/>
    </row>
    <row r="180" spans="2:4" ht="14.1" customHeight="1">
      <c r="B180" s="417"/>
      <c r="C180" s="418"/>
      <c r="D180" s="417"/>
    </row>
    <row r="181" spans="2:4" ht="14.1" customHeight="1">
      <c r="B181" s="417"/>
      <c r="C181" s="418"/>
      <c r="D181" s="417"/>
    </row>
    <row r="182" spans="2:4" ht="14.1" customHeight="1">
      <c r="B182" s="417"/>
      <c r="C182" s="418"/>
      <c r="D182" s="417"/>
    </row>
    <row r="183" spans="2:4" ht="14.1" customHeight="1">
      <c r="B183" s="417"/>
      <c r="C183" s="418"/>
      <c r="D183" s="417"/>
    </row>
    <row r="184" spans="2:4" ht="14.1" customHeight="1">
      <c r="B184" s="417"/>
      <c r="C184" s="418"/>
      <c r="D184" s="417"/>
    </row>
    <row r="185" spans="2:4" ht="14.1" customHeight="1">
      <c r="B185" s="417"/>
      <c r="C185" s="418"/>
      <c r="D185" s="417"/>
    </row>
    <row r="186" spans="2:4" ht="14.1" customHeight="1">
      <c r="B186" s="417"/>
      <c r="C186" s="418"/>
      <c r="D186" s="417"/>
    </row>
    <row r="187" spans="2:4" ht="14.1" customHeight="1">
      <c r="B187" s="417"/>
      <c r="C187" s="418"/>
      <c r="D187" s="417"/>
    </row>
    <row r="188" spans="2:4" ht="14.1" customHeight="1">
      <c r="B188" s="417"/>
      <c r="C188" s="418"/>
      <c r="D188" s="417"/>
    </row>
    <row r="189" spans="2:4" ht="14.1" customHeight="1">
      <c r="B189" s="417"/>
      <c r="C189" s="418"/>
      <c r="D189" s="417"/>
    </row>
    <row r="190" spans="2:4" ht="14.1" customHeight="1">
      <c r="B190" s="417"/>
      <c r="C190" s="418"/>
      <c r="D190" s="417"/>
    </row>
    <row r="191" spans="2:4" ht="14.1" customHeight="1">
      <c r="B191" s="417"/>
      <c r="C191" s="418"/>
      <c r="D191" s="417"/>
    </row>
    <row r="192" spans="2:4" ht="14.1" customHeight="1">
      <c r="B192" s="417"/>
      <c r="C192" s="418"/>
      <c r="D192" s="417"/>
    </row>
    <row r="193" spans="2:4" ht="14.1" customHeight="1">
      <c r="B193" s="417"/>
      <c r="C193" s="418"/>
      <c r="D193" s="417"/>
    </row>
    <row r="194" spans="2:4" ht="14.1" customHeight="1">
      <c r="B194" s="417"/>
      <c r="C194" s="418"/>
      <c r="D194" s="417"/>
    </row>
    <row r="195" spans="2:4" ht="14.1" customHeight="1">
      <c r="B195" s="417"/>
      <c r="C195" s="418"/>
      <c r="D195" s="417"/>
    </row>
    <row r="196" spans="2:4" ht="14.1" customHeight="1">
      <c r="B196" s="417"/>
      <c r="C196" s="418"/>
      <c r="D196" s="417"/>
    </row>
    <row r="197" spans="2:4" ht="14.1" customHeight="1">
      <c r="B197" s="417"/>
      <c r="C197" s="418"/>
      <c r="D197" s="417"/>
    </row>
    <row r="198" spans="2:4" ht="14.1" customHeight="1">
      <c r="B198" s="417"/>
      <c r="C198" s="418"/>
      <c r="D198" s="417"/>
    </row>
    <row r="199" spans="2:4" ht="14.1" customHeight="1">
      <c r="B199" s="417"/>
      <c r="C199" s="418"/>
      <c r="D199" s="417"/>
    </row>
    <row r="200" spans="2:4" ht="14.1" customHeight="1">
      <c r="B200" s="417"/>
      <c r="C200" s="418"/>
      <c r="D200" s="417"/>
    </row>
    <row r="201" spans="2:4" ht="14.1" customHeight="1">
      <c r="B201" s="417"/>
      <c r="C201" s="418"/>
      <c r="D201" s="417"/>
    </row>
    <row r="202" spans="2:4" ht="14.1" customHeight="1">
      <c r="B202" s="417"/>
      <c r="C202" s="418"/>
      <c r="D202" s="417"/>
    </row>
    <row r="203" spans="2:4" ht="14.1" customHeight="1">
      <c r="B203" s="417"/>
      <c r="C203" s="418"/>
      <c r="D203" s="417"/>
    </row>
    <row r="204" spans="2:4" ht="14.1" customHeight="1">
      <c r="B204" s="417"/>
      <c r="C204" s="418"/>
      <c r="D204" s="417"/>
    </row>
    <row r="205" spans="2:4" ht="14.1" customHeight="1">
      <c r="B205" s="417"/>
      <c r="C205" s="418"/>
      <c r="D205" s="417"/>
    </row>
    <row r="206" spans="2:4" ht="14.1" customHeight="1">
      <c r="B206" s="417"/>
      <c r="C206" s="418"/>
      <c r="D206" s="417"/>
    </row>
    <row r="207" spans="2:4" ht="14.1" customHeight="1">
      <c r="B207" s="417"/>
      <c r="C207" s="418"/>
      <c r="D207" s="417"/>
    </row>
    <row r="208" spans="2:4" ht="14.1" customHeight="1">
      <c r="B208" s="417"/>
      <c r="C208" s="418"/>
      <c r="D208" s="417"/>
    </row>
    <row r="209" spans="2:4" ht="14.1" customHeight="1">
      <c r="B209" s="417"/>
      <c r="C209" s="418"/>
      <c r="D209" s="417"/>
    </row>
    <row r="210" spans="2:4" ht="14.1" customHeight="1">
      <c r="B210" s="417"/>
      <c r="C210" s="418"/>
      <c r="D210" s="417"/>
    </row>
    <row r="211" spans="2:4" ht="14.1" customHeight="1">
      <c r="B211" s="417"/>
      <c r="C211" s="418"/>
      <c r="D211" s="417"/>
    </row>
    <row r="212" spans="2:4" ht="14.1" customHeight="1">
      <c r="B212" s="417"/>
      <c r="C212" s="418"/>
      <c r="D212" s="417"/>
    </row>
    <row r="213" spans="2:4" ht="14.1" customHeight="1">
      <c r="B213" s="417"/>
      <c r="C213" s="418"/>
      <c r="D213" s="417"/>
    </row>
    <row r="214" spans="2:4" ht="14.1" customHeight="1">
      <c r="B214" s="417"/>
      <c r="C214" s="418"/>
      <c r="D214" s="417"/>
    </row>
    <row r="215" spans="2:4" ht="14.1" customHeight="1">
      <c r="B215" s="417"/>
      <c r="C215" s="418"/>
      <c r="D215" s="417"/>
    </row>
    <row r="216" spans="2:4" ht="14.1" customHeight="1">
      <c r="B216" s="417"/>
      <c r="C216" s="418"/>
      <c r="D216" s="417"/>
    </row>
    <row r="217" spans="2:4" ht="14.1" customHeight="1">
      <c r="B217" s="417"/>
      <c r="C217" s="418"/>
      <c r="D217" s="417"/>
    </row>
    <row r="218" spans="2:4" ht="14.1" customHeight="1">
      <c r="B218" s="417"/>
      <c r="C218" s="418"/>
      <c r="D218" s="417"/>
    </row>
    <row r="219" spans="2:4" ht="14.1" customHeight="1">
      <c r="B219" s="417"/>
      <c r="C219" s="418"/>
      <c r="D219" s="417"/>
    </row>
    <row r="220" spans="2:4" ht="14.1" customHeight="1">
      <c r="B220" s="417"/>
      <c r="C220" s="418"/>
      <c r="D220" s="417"/>
    </row>
    <row r="221" spans="2:4" ht="14.1" customHeight="1">
      <c r="B221" s="417"/>
      <c r="C221" s="418"/>
      <c r="D221" s="417"/>
    </row>
    <row r="222" spans="2:4" ht="14.1" customHeight="1">
      <c r="B222" s="417"/>
      <c r="C222" s="418"/>
      <c r="D222" s="417"/>
    </row>
    <row r="223" spans="2:4" ht="14.1" customHeight="1">
      <c r="B223" s="417"/>
      <c r="C223" s="418"/>
      <c r="D223" s="417"/>
    </row>
    <row r="224" spans="2:4" ht="14.1" customHeight="1">
      <c r="B224" s="417"/>
      <c r="C224" s="418"/>
      <c r="D224" s="417"/>
    </row>
    <row r="225" spans="2:4" ht="14.1" customHeight="1">
      <c r="B225" s="417"/>
      <c r="C225" s="418"/>
      <c r="D225" s="417"/>
    </row>
    <row r="226" spans="2:4" ht="14.1" customHeight="1">
      <c r="B226" s="417"/>
      <c r="C226" s="418"/>
      <c r="D226" s="417"/>
    </row>
    <row r="227" spans="2:4" ht="14.1" customHeight="1">
      <c r="B227" s="417"/>
      <c r="C227" s="418"/>
      <c r="D227" s="417"/>
    </row>
    <row r="228" spans="2:4" ht="14.1" customHeight="1">
      <c r="B228" s="417"/>
      <c r="C228" s="418"/>
      <c r="D228" s="417"/>
    </row>
    <row r="229" spans="2:4" ht="14.1" customHeight="1">
      <c r="B229" s="417"/>
      <c r="C229" s="418"/>
      <c r="D229" s="417"/>
    </row>
    <row r="230" spans="2:4" ht="14.1" customHeight="1">
      <c r="B230" s="417"/>
      <c r="C230" s="418"/>
      <c r="D230" s="417"/>
    </row>
    <row r="231" spans="2:4" ht="14.1" customHeight="1">
      <c r="B231" s="417"/>
      <c r="C231" s="418"/>
      <c r="D231" s="417"/>
    </row>
    <row r="232" spans="2:4" ht="14.1" customHeight="1">
      <c r="B232" s="417"/>
      <c r="C232" s="418"/>
      <c r="D232" s="417"/>
    </row>
    <row r="233" spans="2:4" ht="14.1" customHeight="1">
      <c r="B233" s="417"/>
      <c r="C233" s="418"/>
      <c r="D233" s="417"/>
    </row>
    <row r="234" spans="2:4" ht="14.1" customHeight="1">
      <c r="B234" s="417"/>
      <c r="C234" s="418"/>
      <c r="D234" s="417"/>
    </row>
    <row r="235" spans="2:4" ht="14.1" customHeight="1">
      <c r="B235" s="417"/>
      <c r="C235" s="418"/>
      <c r="D235" s="417"/>
    </row>
    <row r="236" spans="2:4" ht="14.1" customHeight="1">
      <c r="B236" s="417"/>
      <c r="C236" s="418"/>
      <c r="D236" s="417"/>
    </row>
    <row r="237" spans="2:4" ht="14.1" customHeight="1">
      <c r="B237" s="417"/>
      <c r="C237" s="418"/>
      <c r="D237" s="417"/>
    </row>
    <row r="238" spans="2:4" ht="14.1" customHeight="1">
      <c r="B238" s="417"/>
      <c r="C238" s="418"/>
      <c r="D238" s="417"/>
    </row>
    <row r="239" spans="2:4" ht="14.1" customHeight="1">
      <c r="B239" s="417"/>
      <c r="C239" s="418"/>
      <c r="D239" s="417"/>
    </row>
    <row r="240" spans="2:4" ht="14.1" customHeight="1">
      <c r="B240" s="417"/>
      <c r="C240" s="418"/>
      <c r="D240" s="417"/>
    </row>
    <row r="241" spans="2:4" ht="14.1" customHeight="1">
      <c r="B241" s="417"/>
      <c r="C241" s="418"/>
      <c r="D241" s="417"/>
    </row>
    <row r="242" spans="2:4" ht="14.1" customHeight="1">
      <c r="B242" s="417"/>
      <c r="C242" s="418"/>
      <c r="D242" s="417"/>
    </row>
    <row r="243" spans="2:4" ht="14.1" customHeight="1">
      <c r="B243" s="417"/>
      <c r="C243" s="418"/>
      <c r="D243" s="417"/>
    </row>
    <row r="244" spans="2:4" ht="14.1" customHeight="1">
      <c r="B244" s="417"/>
      <c r="C244" s="418"/>
      <c r="D244" s="417"/>
    </row>
    <row r="245" spans="2:4" ht="14.1" customHeight="1">
      <c r="B245" s="417"/>
      <c r="C245" s="418"/>
      <c r="D245" s="417"/>
    </row>
    <row r="246" spans="2:4" ht="14.1" customHeight="1">
      <c r="B246" s="417"/>
      <c r="C246" s="418"/>
      <c r="D246" s="417"/>
    </row>
    <row r="247" spans="2:4" ht="14.1" customHeight="1">
      <c r="B247" s="417"/>
      <c r="C247" s="418"/>
      <c r="D247" s="417"/>
    </row>
    <row r="248" spans="2:4" ht="14.1" customHeight="1">
      <c r="B248" s="417"/>
      <c r="C248" s="418"/>
      <c r="D248" s="417"/>
    </row>
    <row r="249" spans="2:4" ht="14.1" customHeight="1">
      <c r="B249" s="417"/>
      <c r="C249" s="418"/>
      <c r="D249" s="417"/>
    </row>
    <row r="250" spans="2:4" ht="14.1" customHeight="1">
      <c r="B250" s="417"/>
      <c r="C250" s="418"/>
      <c r="D250" s="417"/>
    </row>
    <row r="251" spans="2:4" ht="14.1" customHeight="1">
      <c r="B251" s="417"/>
      <c r="C251" s="418"/>
      <c r="D251" s="417"/>
    </row>
    <row r="252" spans="2:4" ht="14.1" customHeight="1">
      <c r="B252" s="417"/>
      <c r="C252" s="418"/>
      <c r="D252" s="417"/>
    </row>
    <row r="253" spans="2:4" ht="14.1" customHeight="1">
      <c r="B253" s="417"/>
      <c r="C253" s="418"/>
      <c r="D253" s="417"/>
    </row>
    <row r="254" spans="2:4" ht="14.1" customHeight="1">
      <c r="B254" s="417"/>
      <c r="C254" s="418"/>
      <c r="D254" s="417"/>
    </row>
    <row r="255" spans="2:4" ht="14.1" customHeight="1">
      <c r="B255" s="417"/>
      <c r="C255" s="418"/>
      <c r="D255" s="417"/>
    </row>
    <row r="256" spans="2:4" ht="14.1" customHeight="1">
      <c r="B256" s="417"/>
      <c r="C256" s="418"/>
      <c r="D256" s="417"/>
    </row>
    <row r="257" spans="2:4" ht="14.1" customHeight="1">
      <c r="B257" s="417"/>
      <c r="C257" s="418"/>
      <c r="D257" s="417"/>
    </row>
    <row r="258" spans="2:4" ht="14.1" customHeight="1">
      <c r="B258" s="417"/>
      <c r="C258" s="418"/>
      <c r="D258" s="417"/>
    </row>
    <row r="259" spans="2:4" ht="14.1" customHeight="1">
      <c r="B259" s="417"/>
      <c r="C259" s="418"/>
      <c r="D259" s="417"/>
    </row>
    <row r="260" spans="2:4" ht="14.1" customHeight="1">
      <c r="B260" s="417"/>
      <c r="C260" s="418"/>
      <c r="D260" s="417"/>
    </row>
    <row r="261" spans="2:4" ht="14.1" customHeight="1">
      <c r="B261" s="417"/>
      <c r="C261" s="418"/>
      <c r="D261" s="417"/>
    </row>
    <row r="262" spans="2:4" ht="14.1" customHeight="1">
      <c r="B262" s="417"/>
      <c r="C262" s="418"/>
      <c r="D262" s="417"/>
    </row>
    <row r="263" spans="2:4" ht="14.1" customHeight="1">
      <c r="B263" s="417"/>
      <c r="C263" s="418"/>
      <c r="D263" s="417"/>
    </row>
    <row r="264" spans="2:4" ht="14.1" customHeight="1">
      <c r="B264" s="417"/>
      <c r="C264" s="418"/>
      <c r="D264" s="417"/>
    </row>
    <row r="265" spans="2:4" ht="14.1" customHeight="1">
      <c r="B265" s="417"/>
      <c r="C265" s="418"/>
      <c r="D265" s="417"/>
    </row>
    <row r="266" spans="2:4" ht="14.1" customHeight="1">
      <c r="B266" s="417"/>
      <c r="C266" s="418"/>
      <c r="D266" s="417"/>
    </row>
    <row r="267" spans="2:4" ht="14.1" customHeight="1">
      <c r="B267" s="417"/>
      <c r="C267" s="418"/>
      <c r="D267" s="417"/>
    </row>
    <row r="268" spans="2:4" ht="14.1" customHeight="1">
      <c r="B268" s="417"/>
      <c r="C268" s="418"/>
      <c r="D268" s="417"/>
    </row>
    <row r="269" spans="2:4" ht="14.1" customHeight="1">
      <c r="B269" s="417"/>
      <c r="C269" s="418"/>
      <c r="D269" s="417"/>
    </row>
    <row r="270" spans="2:4" ht="14.1" customHeight="1">
      <c r="B270" s="417"/>
      <c r="C270" s="418"/>
      <c r="D270" s="417"/>
    </row>
    <row r="271" spans="2:4" ht="14.1" customHeight="1">
      <c r="B271" s="417"/>
      <c r="C271" s="418"/>
      <c r="D271" s="417"/>
    </row>
    <row r="272" spans="2:4" ht="14.1" customHeight="1">
      <c r="B272" s="417"/>
      <c r="C272" s="418"/>
      <c r="D272" s="417"/>
    </row>
    <row r="273" spans="2:4" ht="14.1" customHeight="1">
      <c r="B273" s="417"/>
      <c r="C273" s="418"/>
      <c r="D273" s="417"/>
    </row>
    <row r="274" spans="2:4" ht="14.1" customHeight="1">
      <c r="B274" s="417"/>
      <c r="C274" s="418"/>
      <c r="D274" s="417"/>
    </row>
    <row r="275" spans="2:4" ht="14.1" customHeight="1">
      <c r="B275" s="417"/>
      <c r="C275" s="418"/>
      <c r="D275" s="417"/>
    </row>
    <row r="276" spans="2:4" ht="14.1" customHeight="1">
      <c r="B276" s="417"/>
      <c r="C276" s="418"/>
      <c r="D276" s="417"/>
    </row>
    <row r="277" spans="2:4" ht="14.1" customHeight="1">
      <c r="B277" s="417"/>
      <c r="C277" s="418"/>
      <c r="D277" s="417"/>
    </row>
    <row r="278" spans="2:4" ht="14.1" customHeight="1">
      <c r="B278" s="417"/>
      <c r="C278" s="418"/>
      <c r="D278" s="417"/>
    </row>
    <row r="279" spans="2:4" ht="14.1" customHeight="1">
      <c r="B279" s="417"/>
      <c r="C279" s="418"/>
      <c r="D279" s="417"/>
    </row>
    <row r="280" spans="2:4" ht="14.1" customHeight="1">
      <c r="B280" s="417"/>
      <c r="C280" s="418"/>
      <c r="D280" s="417"/>
    </row>
    <row r="281" spans="2:4" ht="14.1" customHeight="1">
      <c r="B281" s="417"/>
      <c r="C281" s="418"/>
      <c r="D281" s="417"/>
    </row>
    <row r="282" spans="2:4" ht="14.1" customHeight="1">
      <c r="B282" s="417"/>
      <c r="C282" s="418"/>
      <c r="D282" s="417"/>
    </row>
    <row r="283" spans="2:4" ht="14.1" customHeight="1">
      <c r="B283" s="417"/>
      <c r="C283" s="418"/>
      <c r="D283" s="417"/>
    </row>
    <row r="284" spans="2:4" ht="14.1" customHeight="1">
      <c r="B284" s="417"/>
      <c r="C284" s="418"/>
      <c r="D284" s="417"/>
    </row>
    <row r="285" spans="2:4" ht="14.1" customHeight="1">
      <c r="B285" s="417"/>
      <c r="C285" s="418"/>
      <c r="D285" s="417"/>
    </row>
    <row r="286" spans="2:4" ht="14.1" customHeight="1">
      <c r="B286" s="417"/>
      <c r="C286" s="418"/>
      <c r="D286" s="417"/>
    </row>
    <row r="287" spans="2:4" ht="14.1" customHeight="1">
      <c r="B287" s="417"/>
      <c r="C287" s="418"/>
      <c r="D287" s="417"/>
    </row>
    <row r="288" spans="2:4" ht="14.1" customHeight="1">
      <c r="B288" s="417"/>
      <c r="C288" s="418"/>
      <c r="D288" s="417"/>
    </row>
    <row r="289" spans="2:4" ht="14.1" customHeight="1">
      <c r="B289" s="417"/>
      <c r="C289" s="418"/>
      <c r="D289" s="417"/>
    </row>
    <row r="290" spans="2:4" ht="14.1" customHeight="1">
      <c r="B290" s="417"/>
      <c r="C290" s="418"/>
      <c r="D290" s="417"/>
    </row>
    <row r="291" spans="2:4" ht="14.1" customHeight="1">
      <c r="B291" s="417"/>
      <c r="C291" s="418"/>
      <c r="D291" s="417"/>
    </row>
    <row r="292" spans="2:4" ht="14.1" customHeight="1">
      <c r="B292" s="417"/>
      <c r="C292" s="418"/>
      <c r="D292" s="417"/>
    </row>
    <row r="293" spans="2:4" ht="14.1" customHeight="1">
      <c r="B293" s="417"/>
      <c r="C293" s="418"/>
      <c r="D293" s="417"/>
    </row>
    <row r="294" spans="2:4" ht="14.1" customHeight="1">
      <c r="B294" s="417"/>
      <c r="C294" s="418"/>
      <c r="D294" s="417"/>
    </row>
    <row r="295" spans="2:4" ht="14.1" customHeight="1">
      <c r="B295" s="417"/>
      <c r="C295" s="418"/>
      <c r="D295" s="417"/>
    </row>
    <row r="296" spans="2:4" ht="14.1" customHeight="1">
      <c r="B296" s="417"/>
      <c r="C296" s="418"/>
      <c r="D296" s="417"/>
    </row>
    <row r="297" spans="2:4" ht="14.1" customHeight="1">
      <c r="B297" s="417"/>
      <c r="C297" s="418"/>
      <c r="D297" s="417"/>
    </row>
    <row r="298" spans="2:4" ht="14.1" customHeight="1">
      <c r="B298" s="417"/>
      <c r="C298" s="418"/>
      <c r="D298" s="417"/>
    </row>
    <row r="299" spans="2:4" ht="14.1" customHeight="1">
      <c r="B299" s="417"/>
      <c r="C299" s="418"/>
      <c r="D299" s="417"/>
    </row>
    <row r="300" spans="2:4" ht="14.1" customHeight="1">
      <c r="B300" s="417"/>
      <c r="C300" s="418"/>
      <c r="D300" s="417"/>
    </row>
    <row r="301" spans="2:4" ht="14.1" customHeight="1">
      <c r="B301" s="417"/>
      <c r="C301" s="418"/>
      <c r="D301" s="417"/>
    </row>
    <row r="302" spans="2:4" ht="14.1" customHeight="1">
      <c r="B302" s="417"/>
      <c r="C302" s="418"/>
      <c r="D302" s="417"/>
    </row>
    <row r="303" spans="2:4" ht="14.1" customHeight="1">
      <c r="B303" s="417"/>
      <c r="C303" s="418"/>
      <c r="D303" s="417"/>
    </row>
    <row r="304" spans="2:4" ht="14.1" customHeight="1">
      <c r="B304" s="417"/>
      <c r="C304" s="418"/>
      <c r="D304" s="417"/>
    </row>
    <row r="305" spans="2:4" ht="14.1" customHeight="1">
      <c r="B305" s="417"/>
      <c r="C305" s="418"/>
      <c r="D305" s="417"/>
    </row>
    <row r="306" spans="2:4" ht="14.1" customHeight="1">
      <c r="B306" s="417"/>
      <c r="C306" s="418"/>
      <c r="D306" s="417"/>
    </row>
    <row r="307" spans="2:4" ht="14.1" customHeight="1">
      <c r="B307" s="417"/>
      <c r="C307" s="418"/>
      <c r="D307" s="417"/>
    </row>
    <row r="308" spans="2:4" ht="14.1" customHeight="1">
      <c r="B308" s="417"/>
      <c r="C308" s="418"/>
      <c r="D308" s="417"/>
    </row>
    <row r="309" spans="2:4" ht="14.1" customHeight="1">
      <c r="B309" s="417"/>
      <c r="C309" s="418"/>
      <c r="D309" s="417"/>
    </row>
    <row r="310" spans="2:4" ht="14.1" customHeight="1">
      <c r="B310" s="417"/>
      <c r="C310" s="418"/>
      <c r="D310" s="417"/>
    </row>
    <row r="311" spans="2:4" ht="14.1" customHeight="1">
      <c r="B311" s="417"/>
      <c r="C311" s="418"/>
      <c r="D311" s="417"/>
    </row>
    <row r="312" spans="2:4" ht="14.1" customHeight="1">
      <c r="B312" s="417"/>
      <c r="C312" s="418"/>
      <c r="D312" s="417"/>
    </row>
    <row r="313" spans="2:4" ht="14.1" customHeight="1">
      <c r="B313" s="417"/>
      <c r="C313" s="418"/>
      <c r="D313" s="417"/>
    </row>
    <row r="314" spans="2:4" ht="14.1" customHeight="1">
      <c r="B314" s="417"/>
      <c r="C314" s="418"/>
      <c r="D314" s="417"/>
    </row>
    <row r="315" spans="2:4" ht="14.1" customHeight="1">
      <c r="B315" s="417"/>
      <c r="C315" s="418"/>
      <c r="D315" s="417"/>
    </row>
    <row r="316" spans="2:4" ht="14.1" customHeight="1">
      <c r="B316" s="417"/>
      <c r="C316" s="418"/>
      <c r="D316" s="417"/>
    </row>
    <row r="317" spans="2:4" ht="14.1" customHeight="1">
      <c r="B317" s="417"/>
      <c r="C317" s="418"/>
      <c r="D317" s="417"/>
    </row>
    <row r="318" spans="2:4" ht="14.1" customHeight="1">
      <c r="B318" s="417"/>
      <c r="C318" s="418"/>
      <c r="D318" s="417"/>
    </row>
    <row r="319" spans="2:4" ht="14.1" customHeight="1">
      <c r="B319" s="417"/>
      <c r="C319" s="418"/>
      <c r="D319" s="417"/>
    </row>
    <row r="320" spans="2:4" ht="14.1" customHeight="1">
      <c r="B320" s="417"/>
      <c r="C320" s="418"/>
      <c r="D320" s="417"/>
    </row>
    <row r="321" spans="2:4" ht="14.1" customHeight="1">
      <c r="B321" s="417"/>
      <c r="C321" s="418"/>
      <c r="D321" s="417"/>
    </row>
    <row r="322" spans="2:4" ht="14.1" customHeight="1">
      <c r="B322" s="417"/>
      <c r="C322" s="418"/>
      <c r="D322" s="417"/>
    </row>
    <row r="323" spans="2:4" ht="14.1" customHeight="1">
      <c r="B323" s="417"/>
      <c r="C323" s="418"/>
      <c r="D323" s="417"/>
    </row>
    <row r="324" spans="2:4" ht="14.1" customHeight="1">
      <c r="B324" s="417"/>
      <c r="C324" s="418"/>
      <c r="D324" s="417"/>
    </row>
    <row r="325" spans="2:4" ht="14.1" customHeight="1">
      <c r="B325" s="417"/>
      <c r="C325" s="418"/>
      <c r="D325" s="417"/>
    </row>
    <row r="326" spans="2:4" ht="14.1" customHeight="1">
      <c r="B326" s="417"/>
      <c r="C326" s="418"/>
      <c r="D326" s="417"/>
    </row>
    <row r="327" spans="2:4" ht="14.1" customHeight="1">
      <c r="B327" s="417"/>
      <c r="C327" s="418"/>
      <c r="D327" s="417"/>
    </row>
    <row r="328" spans="2:4" ht="14.1" customHeight="1">
      <c r="B328" s="417"/>
      <c r="C328" s="418"/>
      <c r="D328" s="417"/>
    </row>
    <row r="329" spans="2:4" ht="14.1" customHeight="1">
      <c r="B329" s="417"/>
      <c r="C329" s="418"/>
      <c r="D329" s="417"/>
    </row>
    <row r="330" spans="2:4" ht="14.1" customHeight="1">
      <c r="B330" s="417"/>
      <c r="C330" s="418"/>
      <c r="D330" s="417"/>
    </row>
    <row r="331" spans="2:4" ht="14.1" customHeight="1">
      <c r="B331" s="417"/>
      <c r="C331" s="418"/>
      <c r="D331" s="417"/>
    </row>
    <row r="332" spans="2:4" ht="14.1" customHeight="1">
      <c r="B332" s="417"/>
      <c r="C332" s="418"/>
      <c r="D332" s="417"/>
    </row>
    <row r="333" spans="2:4" ht="14.1" customHeight="1">
      <c r="B333" s="417"/>
      <c r="C333" s="418"/>
      <c r="D333" s="417"/>
    </row>
    <row r="334" spans="2:4" ht="14.1" customHeight="1">
      <c r="B334" s="417"/>
      <c r="C334" s="418"/>
      <c r="D334" s="417"/>
    </row>
    <row r="335" spans="2:4" ht="14.1" customHeight="1">
      <c r="B335" s="417"/>
      <c r="C335" s="418"/>
      <c r="D335" s="417"/>
    </row>
    <row r="336" spans="2:4" ht="14.1" customHeight="1">
      <c r="B336" s="417"/>
      <c r="C336" s="418"/>
      <c r="D336" s="417"/>
    </row>
    <row r="337" spans="2:4" ht="14.1" customHeight="1">
      <c r="B337" s="417"/>
      <c r="C337" s="418"/>
      <c r="D337" s="417"/>
    </row>
    <row r="338" spans="2:4" ht="14.1" customHeight="1">
      <c r="B338" s="417"/>
      <c r="C338" s="418"/>
      <c r="D338" s="417"/>
    </row>
    <row r="339" spans="2:4" ht="14.1" customHeight="1">
      <c r="B339" s="417"/>
      <c r="C339" s="418"/>
      <c r="D339" s="417"/>
    </row>
    <row r="340" spans="2:4" ht="14.1" customHeight="1">
      <c r="B340" s="417"/>
      <c r="C340" s="418"/>
      <c r="D340" s="417"/>
    </row>
    <row r="341" spans="2:4" ht="14.1" customHeight="1">
      <c r="B341" s="417"/>
      <c r="C341" s="418"/>
      <c r="D341" s="417"/>
    </row>
    <row r="342" spans="2:4" ht="14.1" customHeight="1">
      <c r="B342" s="417"/>
      <c r="C342" s="418"/>
      <c r="D342" s="417"/>
    </row>
    <row r="343" spans="2:4" ht="14.1" customHeight="1">
      <c r="B343" s="417"/>
      <c r="C343" s="418"/>
      <c r="D343" s="417"/>
    </row>
    <row r="344" spans="2:4" ht="14.1" customHeight="1">
      <c r="B344" s="417"/>
      <c r="C344" s="418"/>
      <c r="D344" s="417"/>
    </row>
    <row r="345" spans="2:4" ht="14.1" customHeight="1">
      <c r="B345" s="417"/>
      <c r="C345" s="418"/>
      <c r="D345" s="417"/>
    </row>
    <row r="346" spans="2:4" ht="14.1" customHeight="1">
      <c r="B346" s="417"/>
      <c r="C346" s="418"/>
      <c r="D346" s="417"/>
    </row>
    <row r="347" spans="2:4" ht="14.1" customHeight="1">
      <c r="B347" s="417"/>
      <c r="C347" s="418"/>
      <c r="D347" s="417"/>
    </row>
    <row r="348" spans="2:4" ht="14.1" customHeight="1">
      <c r="B348" s="417"/>
      <c r="C348" s="418"/>
      <c r="D348" s="417"/>
    </row>
    <row r="349" spans="2:4" ht="14.1" customHeight="1">
      <c r="B349" s="417"/>
      <c r="C349" s="418"/>
      <c r="D349" s="417"/>
    </row>
    <row r="350" spans="2:4" ht="14.1" customHeight="1">
      <c r="B350" s="417"/>
      <c r="C350" s="418"/>
      <c r="D350" s="417"/>
    </row>
    <row r="351" spans="2:4" ht="14.1" customHeight="1">
      <c r="B351" s="417"/>
      <c r="C351" s="418"/>
      <c r="D351" s="417"/>
    </row>
    <row r="352" spans="2:4" ht="14.1" customHeight="1">
      <c r="B352" s="417"/>
      <c r="C352" s="418"/>
      <c r="D352" s="417"/>
    </row>
    <row r="353" spans="2:4" ht="14.1" customHeight="1">
      <c r="B353" s="417"/>
      <c r="C353" s="418"/>
      <c r="D353" s="417"/>
    </row>
    <row r="354" spans="2:4" ht="14.1" customHeight="1">
      <c r="B354" s="417"/>
      <c r="C354" s="418"/>
      <c r="D354" s="417"/>
    </row>
    <row r="355" spans="2:4" ht="14.1" customHeight="1">
      <c r="B355" s="417"/>
      <c r="C355" s="418"/>
      <c r="D355" s="417"/>
    </row>
    <row r="356" spans="2:4" ht="14.1" customHeight="1">
      <c r="B356" s="417"/>
      <c r="C356" s="418"/>
      <c r="D356" s="417"/>
    </row>
    <row r="357" spans="2:4" ht="14.1" customHeight="1">
      <c r="B357" s="417"/>
      <c r="C357" s="418"/>
      <c r="D357" s="417"/>
    </row>
    <row r="358" spans="2:4" ht="14.1" customHeight="1">
      <c r="B358" s="417"/>
      <c r="C358" s="418"/>
      <c r="D358" s="417"/>
    </row>
    <row r="359" spans="2:4" ht="14.1" customHeight="1">
      <c r="B359" s="417"/>
      <c r="C359" s="418"/>
      <c r="D359" s="417"/>
    </row>
    <row r="360" spans="2:4" ht="14.1" customHeight="1">
      <c r="B360" s="417"/>
      <c r="C360" s="418"/>
      <c r="D360" s="417"/>
    </row>
    <row r="361" spans="2:4" ht="14.1" customHeight="1">
      <c r="B361" s="417"/>
      <c r="C361" s="418"/>
      <c r="D361" s="417"/>
    </row>
    <row r="362" spans="2:4" ht="14.1" customHeight="1">
      <c r="B362" s="417"/>
      <c r="C362" s="418"/>
      <c r="D362" s="417"/>
    </row>
    <row r="363" spans="2:4" ht="14.1" customHeight="1">
      <c r="B363" s="417"/>
      <c r="C363" s="418"/>
      <c r="D363" s="417"/>
    </row>
    <row r="364" spans="2:4" ht="14.1" customHeight="1">
      <c r="B364" s="417"/>
      <c r="C364" s="418"/>
      <c r="D364" s="417"/>
    </row>
    <row r="365" spans="2:4" ht="14.1" customHeight="1">
      <c r="B365" s="417"/>
      <c r="C365" s="418"/>
      <c r="D365" s="417"/>
    </row>
    <row r="366" spans="2:4" ht="14.1" customHeight="1">
      <c r="B366" s="417"/>
      <c r="C366" s="418"/>
      <c r="D366" s="417"/>
    </row>
    <row r="367" spans="2:4" ht="14.1" customHeight="1">
      <c r="B367" s="417"/>
      <c r="C367" s="418"/>
      <c r="D367" s="417"/>
    </row>
    <row r="368" spans="2:4" ht="14.1" customHeight="1">
      <c r="B368" s="417"/>
      <c r="C368" s="418"/>
      <c r="D368" s="417"/>
    </row>
    <row r="369" spans="2:4" ht="14.1" customHeight="1">
      <c r="B369" s="417"/>
      <c r="C369" s="418"/>
      <c r="D369" s="417"/>
    </row>
    <row r="370" spans="2:4" ht="14.1" customHeight="1">
      <c r="B370" s="417"/>
      <c r="C370" s="418"/>
      <c r="D370" s="417"/>
    </row>
    <row r="371" spans="2:4" ht="14.1" customHeight="1">
      <c r="B371" s="417"/>
      <c r="C371" s="418"/>
      <c r="D371" s="417"/>
    </row>
    <row r="372" spans="2:4" ht="14.1" customHeight="1">
      <c r="B372" s="417"/>
      <c r="C372" s="418"/>
      <c r="D372" s="417"/>
    </row>
    <row r="373" spans="2:4" ht="14.1" customHeight="1">
      <c r="B373" s="417"/>
      <c r="C373" s="418"/>
      <c r="D373" s="417"/>
    </row>
    <row r="374" spans="2:4" ht="14.1" customHeight="1">
      <c r="B374" s="417"/>
      <c r="C374" s="418"/>
      <c r="D374" s="417"/>
    </row>
    <row r="375" spans="2:4" ht="14.1" customHeight="1">
      <c r="B375" s="417"/>
      <c r="C375" s="418"/>
      <c r="D375" s="417"/>
    </row>
    <row r="376" spans="2:4" ht="14.1" customHeight="1">
      <c r="B376" s="417"/>
      <c r="C376" s="418"/>
      <c r="D376" s="417"/>
    </row>
    <row r="377" spans="2:4" ht="14.1" customHeight="1">
      <c r="B377" s="417"/>
      <c r="C377" s="418"/>
      <c r="D377" s="417"/>
    </row>
    <row r="378" spans="2:4" ht="14.1" customHeight="1">
      <c r="B378" s="417"/>
      <c r="C378" s="418"/>
      <c r="D378" s="417"/>
    </row>
    <row r="379" spans="2:4" ht="14.1" customHeight="1">
      <c r="B379" s="417"/>
      <c r="C379" s="418"/>
      <c r="D379" s="417"/>
    </row>
    <row r="380" spans="2:4" ht="14.1" customHeight="1">
      <c r="B380" s="417"/>
      <c r="C380" s="418"/>
      <c r="D380" s="417"/>
    </row>
    <row r="381" spans="2:4" ht="14.1" customHeight="1">
      <c r="B381" s="417"/>
      <c r="C381" s="418"/>
      <c r="D381" s="417"/>
    </row>
    <row r="382" spans="2:4" ht="14.1" customHeight="1">
      <c r="B382" s="417"/>
      <c r="C382" s="418"/>
      <c r="D382" s="417"/>
    </row>
    <row r="383" spans="2:4" ht="14.1" customHeight="1">
      <c r="B383" s="417"/>
      <c r="C383" s="418"/>
      <c r="D383" s="417"/>
    </row>
    <row r="384" spans="2:4" ht="14.1" customHeight="1">
      <c r="B384" s="417"/>
      <c r="C384" s="418"/>
      <c r="D384" s="417"/>
    </row>
    <row r="385" spans="2:4" ht="14.1" customHeight="1">
      <c r="B385" s="417"/>
      <c r="C385" s="418"/>
      <c r="D385" s="417"/>
    </row>
    <row r="386" spans="2:4" ht="14.1" customHeight="1">
      <c r="B386" s="417"/>
      <c r="C386" s="418"/>
      <c r="D386" s="417"/>
    </row>
    <row r="387" spans="2:4" ht="14.1" customHeight="1">
      <c r="B387" s="417"/>
      <c r="C387" s="418"/>
      <c r="D387" s="417"/>
    </row>
    <row r="388" spans="2:4" ht="14.1" customHeight="1">
      <c r="B388" s="417"/>
      <c r="C388" s="418"/>
      <c r="D388" s="417"/>
    </row>
    <row r="389" spans="2:4" ht="14.1" customHeight="1">
      <c r="B389" s="417"/>
      <c r="C389" s="418"/>
      <c r="D389" s="417"/>
    </row>
    <row r="390" spans="2:4" ht="14.1" customHeight="1">
      <c r="B390" s="417"/>
      <c r="C390" s="418"/>
      <c r="D390" s="417"/>
    </row>
    <row r="391" spans="2:4" ht="14.1" customHeight="1">
      <c r="B391" s="417"/>
      <c r="C391" s="418"/>
      <c r="D391" s="417"/>
    </row>
    <row r="392" spans="2:4" ht="14.1" customHeight="1">
      <c r="B392" s="417"/>
      <c r="C392" s="418"/>
      <c r="D392" s="417"/>
    </row>
    <row r="393" spans="2:4" ht="14.1" customHeight="1">
      <c r="B393" s="417"/>
      <c r="C393" s="418"/>
      <c r="D393" s="417"/>
    </row>
    <row r="394" spans="2:4" ht="14.1" customHeight="1">
      <c r="B394" s="417"/>
      <c r="C394" s="418"/>
      <c r="D394" s="417"/>
    </row>
    <row r="395" spans="2:4" ht="14.1" customHeight="1">
      <c r="B395" s="417"/>
      <c r="C395" s="418"/>
      <c r="D395" s="417"/>
    </row>
    <row r="396" spans="2:4" ht="14.1" customHeight="1">
      <c r="B396" s="417"/>
      <c r="C396" s="418"/>
      <c r="D396" s="417"/>
    </row>
    <row r="397" spans="2:4" ht="14.1" customHeight="1">
      <c r="B397" s="417"/>
      <c r="C397" s="418"/>
      <c r="D397" s="417"/>
    </row>
    <row r="398" spans="2:4" ht="14.1" customHeight="1">
      <c r="B398" s="417"/>
      <c r="C398" s="418"/>
      <c r="D398" s="417"/>
    </row>
    <row r="399" spans="2:4" ht="14.1" customHeight="1">
      <c r="B399" s="417"/>
      <c r="C399" s="418"/>
      <c r="D399" s="417"/>
    </row>
    <row r="400" spans="2:4" ht="14.1" customHeight="1">
      <c r="B400" s="417"/>
      <c r="C400" s="418"/>
      <c r="D400" s="417"/>
    </row>
    <row r="401" spans="2:4" ht="14.1" customHeight="1">
      <c r="B401" s="417"/>
      <c r="C401" s="418"/>
      <c r="D401" s="417"/>
    </row>
    <row r="402" spans="2:4" ht="14.1" customHeight="1">
      <c r="B402" s="417"/>
      <c r="C402" s="418"/>
      <c r="D402" s="417"/>
    </row>
    <row r="403" spans="2:4" ht="14.1" customHeight="1">
      <c r="B403" s="417"/>
      <c r="C403" s="418"/>
      <c r="D403" s="417"/>
    </row>
    <row r="404" spans="2:4" ht="14.1" customHeight="1">
      <c r="B404" s="417"/>
      <c r="C404" s="418"/>
      <c r="D404" s="417"/>
    </row>
    <row r="405" spans="2:4" ht="14.1" customHeight="1">
      <c r="B405" s="417"/>
      <c r="C405" s="418"/>
      <c r="D405" s="417"/>
    </row>
    <row r="406" spans="2:4" ht="14.1" customHeight="1">
      <c r="B406" s="417"/>
      <c r="C406" s="418"/>
      <c r="D406" s="417"/>
    </row>
    <row r="407" spans="2:4" ht="14.1" customHeight="1">
      <c r="B407" s="417"/>
      <c r="C407" s="418"/>
      <c r="D407" s="417"/>
    </row>
    <row r="408" spans="2:4" ht="14.1" customHeight="1">
      <c r="B408" s="417"/>
      <c r="C408" s="418"/>
      <c r="D408" s="417"/>
    </row>
    <row r="409" spans="2:4" ht="14.1" customHeight="1">
      <c r="B409" s="417"/>
      <c r="C409" s="418"/>
      <c r="D409" s="417"/>
    </row>
    <row r="410" spans="2:4" ht="14.1" customHeight="1">
      <c r="B410" s="417"/>
      <c r="C410" s="418"/>
      <c r="D410" s="417"/>
    </row>
    <row r="411" spans="2:4" ht="14.1" customHeight="1">
      <c r="B411" s="417"/>
      <c r="C411" s="418"/>
      <c r="D411" s="417"/>
    </row>
    <row r="412" spans="2:4" ht="14.1" customHeight="1">
      <c r="B412" s="417"/>
      <c r="C412" s="418"/>
      <c r="D412" s="417"/>
    </row>
    <row r="413" spans="2:4" ht="14.1" customHeight="1">
      <c r="B413" s="417"/>
      <c r="C413" s="418"/>
      <c r="D413" s="417"/>
    </row>
    <row r="414" spans="2:4" ht="14.1" customHeight="1">
      <c r="B414" s="417"/>
      <c r="C414" s="418"/>
      <c r="D414" s="417"/>
    </row>
    <row r="415" spans="2:4" ht="14.1" customHeight="1">
      <c r="B415" s="417"/>
      <c r="C415" s="418"/>
      <c r="D415" s="417"/>
    </row>
    <row r="416" spans="2:4" ht="14.1" customHeight="1">
      <c r="B416" s="417"/>
      <c r="C416" s="418"/>
      <c r="D416" s="417"/>
    </row>
    <row r="417" spans="2:4" ht="14.1" customHeight="1">
      <c r="B417" s="417"/>
      <c r="C417" s="418"/>
      <c r="D417" s="417"/>
    </row>
    <row r="418" spans="2:4" ht="14.1" customHeight="1">
      <c r="B418" s="417"/>
      <c r="C418" s="418"/>
      <c r="D418" s="417"/>
    </row>
    <row r="419" spans="2:4" ht="14.1" customHeight="1">
      <c r="B419" s="417"/>
      <c r="C419" s="418"/>
      <c r="D419" s="417"/>
    </row>
    <row r="420" spans="2:4" ht="14.1" customHeight="1">
      <c r="B420" s="417"/>
      <c r="C420" s="418"/>
      <c r="D420" s="417"/>
    </row>
    <row r="421" spans="2:4" ht="14.1" customHeight="1">
      <c r="B421" s="417"/>
      <c r="C421" s="418"/>
      <c r="D421" s="417"/>
    </row>
    <row r="422" spans="2:4" ht="14.1" customHeight="1">
      <c r="B422" s="417"/>
      <c r="C422" s="418"/>
      <c r="D422" s="417"/>
    </row>
    <row r="423" spans="2:4" ht="14.1" customHeight="1">
      <c r="B423" s="417"/>
      <c r="C423" s="418"/>
      <c r="D423" s="417"/>
    </row>
    <row r="424" spans="2:4" ht="14.1" customHeight="1">
      <c r="B424" s="417"/>
      <c r="C424" s="418"/>
      <c r="D424" s="417"/>
    </row>
    <row r="425" spans="2:4" ht="14.1" customHeight="1">
      <c r="B425" s="417"/>
      <c r="C425" s="418"/>
      <c r="D425" s="417"/>
    </row>
    <row r="426" spans="2:4" ht="14.1" customHeight="1">
      <c r="B426" s="417"/>
      <c r="C426" s="418"/>
      <c r="D426" s="417"/>
    </row>
    <row r="427" spans="2:4" ht="14.1" customHeight="1">
      <c r="B427" s="417"/>
      <c r="C427" s="418"/>
      <c r="D427" s="417"/>
    </row>
    <row r="428" spans="2:4" ht="14.1" customHeight="1">
      <c r="B428" s="417"/>
      <c r="C428" s="418"/>
      <c r="D428" s="417"/>
    </row>
    <row r="429" spans="2:4" ht="14.1" customHeight="1">
      <c r="B429" s="417"/>
      <c r="C429" s="418"/>
      <c r="D429" s="417"/>
    </row>
    <row r="430" spans="2:4" ht="14.1" customHeight="1">
      <c r="B430" s="417"/>
      <c r="C430" s="418"/>
      <c r="D430" s="417"/>
    </row>
    <row r="431" spans="2:4" ht="14.1" customHeight="1">
      <c r="B431" s="417"/>
      <c r="C431" s="418"/>
      <c r="D431" s="417"/>
    </row>
    <row r="432" spans="2:4" ht="14.1" customHeight="1">
      <c r="B432" s="417"/>
      <c r="C432" s="418"/>
      <c r="D432" s="417"/>
    </row>
    <row r="433" spans="2:4" ht="14.1" customHeight="1">
      <c r="B433" s="417"/>
      <c r="C433" s="418"/>
      <c r="D433" s="417"/>
    </row>
    <row r="434" spans="2:4" ht="14.1" customHeight="1">
      <c r="B434" s="417"/>
      <c r="C434" s="418"/>
      <c r="D434" s="417"/>
    </row>
    <row r="435" spans="2:4" ht="14.1" customHeight="1">
      <c r="B435" s="417"/>
      <c r="C435" s="418"/>
      <c r="D435" s="417"/>
    </row>
    <row r="436" spans="2:4" ht="14.1" customHeight="1">
      <c r="B436" s="417"/>
      <c r="C436" s="418"/>
      <c r="D436" s="417"/>
    </row>
    <row r="437" spans="2:4" ht="14.1" customHeight="1">
      <c r="B437" s="417"/>
      <c r="C437" s="418"/>
      <c r="D437" s="417"/>
    </row>
    <row r="438" spans="2:4" ht="14.1" customHeight="1">
      <c r="B438" s="417"/>
      <c r="C438" s="418"/>
      <c r="D438" s="417"/>
    </row>
    <row r="439" spans="2:4" ht="14.1" customHeight="1">
      <c r="B439" s="417"/>
      <c r="C439" s="418"/>
      <c r="D439" s="417"/>
    </row>
    <row r="440" spans="2:4" ht="14.1" customHeight="1">
      <c r="B440" s="417"/>
      <c r="C440" s="418"/>
      <c r="D440" s="417"/>
    </row>
    <row r="441" spans="2:4" ht="14.1" customHeight="1">
      <c r="B441" s="417"/>
      <c r="C441" s="418"/>
      <c r="D441" s="417"/>
    </row>
    <row r="442" spans="2:4" ht="14.1" customHeight="1">
      <c r="B442" s="417"/>
      <c r="C442" s="418"/>
      <c r="D442" s="417"/>
    </row>
    <row r="443" spans="2:4" ht="14.1" customHeight="1">
      <c r="B443" s="417"/>
      <c r="C443" s="418"/>
      <c r="D443" s="417"/>
    </row>
    <row r="444" spans="2:4" ht="14.1" customHeight="1">
      <c r="B444" s="417"/>
      <c r="C444" s="418"/>
      <c r="D444" s="417"/>
    </row>
    <row r="445" spans="2:4" ht="14.1" customHeight="1">
      <c r="B445" s="417"/>
      <c r="C445" s="418"/>
      <c r="D445" s="417"/>
    </row>
    <row r="446" spans="2:4" ht="14.1" customHeight="1">
      <c r="B446" s="417"/>
      <c r="C446" s="418"/>
      <c r="D446" s="417"/>
    </row>
    <row r="447" spans="2:4" ht="14.1" customHeight="1">
      <c r="B447" s="417"/>
      <c r="C447" s="418"/>
      <c r="D447" s="417"/>
    </row>
    <row r="448" spans="2:4" ht="14.1" customHeight="1">
      <c r="B448" s="417"/>
      <c r="C448" s="418"/>
      <c r="D448" s="417"/>
    </row>
    <row r="449" spans="2:4" ht="14.1" customHeight="1">
      <c r="B449" s="417"/>
      <c r="C449" s="418"/>
      <c r="D449" s="417"/>
    </row>
    <row r="450" spans="2:4" ht="14.1" customHeight="1">
      <c r="B450" s="417"/>
      <c r="C450" s="418"/>
      <c r="D450" s="417"/>
    </row>
    <row r="451" spans="2:4" ht="14.1" customHeight="1">
      <c r="B451" s="417"/>
      <c r="C451" s="418"/>
      <c r="D451" s="417"/>
    </row>
    <row r="452" spans="2:4" ht="14.1" customHeight="1">
      <c r="B452" s="417"/>
      <c r="C452" s="418"/>
      <c r="D452" s="417"/>
    </row>
    <row r="453" spans="2:4" ht="14.1" customHeight="1">
      <c r="B453" s="417"/>
      <c r="C453" s="418"/>
      <c r="D453" s="417"/>
    </row>
    <row r="454" spans="2:4" ht="14.1" customHeight="1">
      <c r="B454" s="417"/>
      <c r="C454" s="418"/>
      <c r="D454" s="417"/>
    </row>
    <row r="455" spans="2:4" ht="14.1" customHeight="1">
      <c r="B455" s="417"/>
      <c r="C455" s="418"/>
      <c r="D455" s="417"/>
    </row>
    <row r="456" spans="2:4" ht="14.1" customHeight="1">
      <c r="B456" s="417"/>
      <c r="C456" s="418"/>
      <c r="D456" s="417"/>
    </row>
    <row r="457" spans="2:4" ht="14.1" customHeight="1">
      <c r="B457" s="417"/>
      <c r="C457" s="418"/>
      <c r="D457" s="417"/>
    </row>
    <row r="458" spans="2:4" ht="14.1" customHeight="1">
      <c r="B458" s="417"/>
      <c r="C458" s="418"/>
      <c r="D458" s="417"/>
    </row>
    <row r="459" spans="2:4" ht="14.1" customHeight="1">
      <c r="B459" s="417"/>
      <c r="C459" s="418"/>
      <c r="D459" s="417"/>
    </row>
    <row r="460" spans="2:4" ht="14.1" customHeight="1">
      <c r="B460" s="417"/>
      <c r="C460" s="418"/>
      <c r="D460" s="417"/>
    </row>
    <row r="461" spans="2:4" ht="14.1" customHeight="1">
      <c r="B461" s="417"/>
      <c r="C461" s="418"/>
      <c r="D461" s="417"/>
    </row>
    <row r="462" spans="2:4" ht="14.1" customHeight="1">
      <c r="B462" s="417"/>
      <c r="C462" s="418"/>
      <c r="D462" s="417"/>
    </row>
    <row r="463" spans="2:4" ht="14.1" customHeight="1">
      <c r="B463" s="417"/>
      <c r="C463" s="418"/>
      <c r="D463" s="417"/>
    </row>
    <row r="464" spans="2:4" ht="14.1" customHeight="1">
      <c r="B464" s="417"/>
      <c r="C464" s="418"/>
      <c r="D464" s="417"/>
    </row>
    <row r="465" spans="2:4" ht="14.1" customHeight="1">
      <c r="B465" s="417"/>
      <c r="C465" s="418"/>
      <c r="D465" s="417"/>
    </row>
    <row r="466" spans="2:4" ht="14.1" customHeight="1">
      <c r="B466" s="417"/>
      <c r="C466" s="418"/>
      <c r="D466" s="417"/>
    </row>
    <row r="467" spans="2:4" ht="14.1" customHeight="1">
      <c r="B467" s="417"/>
      <c r="C467" s="418"/>
      <c r="D467" s="417"/>
    </row>
    <row r="468" spans="2:4" ht="14.1" customHeight="1">
      <c r="B468" s="417"/>
      <c r="C468" s="418"/>
      <c r="D468" s="417"/>
    </row>
    <row r="469" spans="2:4" ht="14.1" customHeight="1">
      <c r="B469" s="417"/>
      <c r="C469" s="418"/>
      <c r="D469" s="417"/>
    </row>
    <row r="470" spans="2:4" ht="14.1" customHeight="1">
      <c r="B470" s="417"/>
      <c r="C470" s="418"/>
      <c r="D470" s="417"/>
    </row>
    <row r="471" spans="2:4" ht="14.1" customHeight="1">
      <c r="B471" s="417"/>
      <c r="C471" s="418"/>
      <c r="D471" s="417"/>
    </row>
    <row r="472" spans="2:4" ht="14.1" customHeight="1">
      <c r="B472" s="417"/>
      <c r="C472" s="418"/>
      <c r="D472" s="417"/>
    </row>
    <row r="473" spans="2:4" ht="14.1" customHeight="1">
      <c r="B473" s="417"/>
      <c r="C473" s="418"/>
      <c r="D473" s="417"/>
    </row>
    <row r="474" spans="2:4" ht="14.1" customHeight="1">
      <c r="B474" s="417"/>
      <c r="C474" s="418"/>
      <c r="D474" s="417"/>
    </row>
    <row r="475" spans="2:4" ht="14.1" customHeight="1">
      <c r="B475" s="417"/>
      <c r="C475" s="418"/>
      <c r="D475" s="417"/>
    </row>
    <row r="476" spans="2:4" ht="14.1" customHeight="1">
      <c r="B476" s="417"/>
      <c r="C476" s="418"/>
      <c r="D476" s="417"/>
    </row>
    <row r="477" spans="2:4" ht="14.1" customHeight="1">
      <c r="B477" s="417"/>
      <c r="C477" s="418"/>
      <c r="D477" s="417"/>
    </row>
    <row r="478" spans="2:4" ht="14.1" customHeight="1">
      <c r="B478" s="417"/>
      <c r="C478" s="418"/>
      <c r="D478" s="417"/>
    </row>
    <row r="479" spans="2:4" ht="14.1" customHeight="1">
      <c r="B479" s="417"/>
      <c r="C479" s="418"/>
      <c r="D479" s="417"/>
    </row>
    <row r="480" spans="2:4" ht="14.1" customHeight="1">
      <c r="B480" s="417"/>
      <c r="C480" s="418"/>
      <c r="D480" s="417"/>
    </row>
    <row r="481" spans="2:4" ht="14.1" customHeight="1">
      <c r="B481" s="417"/>
      <c r="C481" s="418"/>
      <c r="D481" s="417"/>
    </row>
    <row r="482" spans="2:4" ht="14.1" customHeight="1">
      <c r="B482" s="417"/>
      <c r="C482" s="418"/>
      <c r="D482" s="417"/>
    </row>
    <row r="483" spans="2:4" ht="14.1" customHeight="1">
      <c r="B483" s="417"/>
      <c r="C483" s="418"/>
      <c r="D483" s="417"/>
    </row>
    <row r="484" spans="2:4" ht="14.1" customHeight="1">
      <c r="B484" s="417"/>
      <c r="C484" s="418"/>
      <c r="D484" s="417"/>
    </row>
    <row r="485" spans="2:4" ht="14.1" customHeight="1">
      <c r="B485" s="417"/>
      <c r="C485" s="418"/>
      <c r="D485" s="417"/>
    </row>
    <row r="486" spans="2:4" ht="14.1" customHeight="1">
      <c r="B486" s="417"/>
      <c r="C486" s="418"/>
      <c r="D486" s="417"/>
    </row>
    <row r="487" spans="2:4" ht="14.1" customHeight="1">
      <c r="B487" s="417"/>
      <c r="C487" s="418"/>
      <c r="D487" s="417"/>
    </row>
    <row r="488" spans="2:4" ht="14.1" customHeight="1">
      <c r="B488" s="417"/>
      <c r="C488" s="418"/>
      <c r="D488" s="417"/>
    </row>
    <row r="489" spans="2:4" ht="14.1" customHeight="1">
      <c r="B489" s="417"/>
      <c r="C489" s="418"/>
      <c r="D489" s="417"/>
    </row>
    <row r="490" spans="2:4" ht="14.1" customHeight="1">
      <c r="B490" s="417"/>
      <c r="C490" s="418"/>
      <c r="D490" s="417"/>
    </row>
    <row r="491" spans="2:4" ht="14.1" customHeight="1">
      <c r="B491" s="417"/>
      <c r="C491" s="418"/>
      <c r="D491" s="417"/>
    </row>
    <row r="492" spans="2:4" ht="14.1" customHeight="1">
      <c r="B492" s="417"/>
      <c r="C492" s="418"/>
      <c r="D492" s="417"/>
    </row>
    <row r="493" spans="2:4" ht="14.1" customHeight="1">
      <c r="B493" s="417"/>
      <c r="C493" s="418"/>
      <c r="D493" s="417"/>
    </row>
    <row r="494" spans="2:4" ht="14.1" customHeight="1">
      <c r="B494" s="417"/>
      <c r="C494" s="418"/>
      <c r="D494" s="417"/>
    </row>
    <row r="495" spans="2:4" ht="14.1" customHeight="1">
      <c r="B495" s="417"/>
      <c r="C495" s="418"/>
      <c r="D495" s="417"/>
    </row>
    <row r="496" spans="2:4" ht="14.1" customHeight="1">
      <c r="B496" s="417"/>
      <c r="C496" s="418"/>
      <c r="D496" s="417"/>
    </row>
    <row r="497" spans="2:4" ht="14.1" customHeight="1">
      <c r="B497" s="417"/>
      <c r="C497" s="418"/>
      <c r="D497" s="417"/>
    </row>
    <row r="498" spans="2:4" ht="14.1" customHeight="1">
      <c r="B498" s="417"/>
      <c r="C498" s="418"/>
      <c r="D498" s="417"/>
    </row>
    <row r="499" spans="2:4" ht="14.1" customHeight="1">
      <c r="B499" s="417"/>
      <c r="C499" s="418"/>
      <c r="D499" s="417"/>
    </row>
    <row r="500" spans="2:4" ht="14.1" customHeight="1">
      <c r="B500" s="417"/>
      <c r="C500" s="418"/>
      <c r="D500" s="417"/>
    </row>
    <row r="501" spans="2:4" ht="14.1" customHeight="1">
      <c r="B501" s="417"/>
      <c r="C501" s="418"/>
      <c r="D501" s="417"/>
    </row>
    <row r="502" spans="2:4" ht="14.1" customHeight="1">
      <c r="B502" s="417"/>
      <c r="C502" s="418"/>
      <c r="D502" s="417"/>
    </row>
    <row r="503" spans="2:4" ht="14.1" customHeight="1">
      <c r="B503" s="417"/>
      <c r="C503" s="418"/>
      <c r="D503" s="417"/>
    </row>
    <row r="504" spans="2:4" ht="14.1" customHeight="1">
      <c r="B504" s="417"/>
      <c r="C504" s="418"/>
      <c r="D504" s="417"/>
    </row>
    <row r="505" spans="2:4" ht="14.1" customHeight="1">
      <c r="B505" s="417"/>
      <c r="C505" s="418"/>
      <c r="D505" s="417"/>
    </row>
    <row r="506" spans="2:4" ht="14.1" customHeight="1">
      <c r="B506" s="417"/>
      <c r="C506" s="418"/>
      <c r="D506" s="417"/>
    </row>
    <row r="507" spans="2:4" ht="14.1" customHeight="1">
      <c r="B507" s="417"/>
      <c r="C507" s="418"/>
      <c r="D507" s="417"/>
    </row>
    <row r="508" spans="2:4" ht="14.1" customHeight="1">
      <c r="B508" s="417"/>
      <c r="C508" s="418"/>
      <c r="D508" s="417"/>
    </row>
    <row r="509" spans="2:4" ht="14.1" customHeight="1">
      <c r="B509" s="417"/>
      <c r="C509" s="418"/>
      <c r="D509" s="417"/>
    </row>
    <row r="510" spans="2:4" ht="14.1" customHeight="1">
      <c r="B510" s="417"/>
      <c r="C510" s="418"/>
      <c r="D510" s="417"/>
    </row>
    <row r="511" spans="2:4" ht="14.1" customHeight="1">
      <c r="B511" s="417"/>
      <c r="C511" s="418"/>
      <c r="D511" s="417"/>
    </row>
    <row r="512" spans="2:4" ht="14.1" customHeight="1">
      <c r="B512" s="417"/>
      <c r="C512" s="418"/>
      <c r="D512" s="417"/>
    </row>
    <row r="513" spans="2:4" ht="14.1" customHeight="1">
      <c r="B513" s="417"/>
      <c r="C513" s="418"/>
      <c r="D513" s="417"/>
    </row>
    <row r="514" spans="2:4" ht="14.1" customHeight="1">
      <c r="B514" s="417"/>
      <c r="C514" s="418"/>
      <c r="D514" s="417"/>
    </row>
    <row r="515" spans="2:4" ht="14.1" customHeight="1">
      <c r="B515" s="417"/>
      <c r="C515" s="418"/>
      <c r="D515" s="417"/>
    </row>
    <row r="516" spans="2:4" ht="14.1" customHeight="1">
      <c r="B516" s="417"/>
      <c r="C516" s="418"/>
      <c r="D516" s="417"/>
    </row>
    <row r="517" spans="2:4" ht="14.1" customHeight="1">
      <c r="B517" s="417"/>
      <c r="C517" s="418"/>
      <c r="D517" s="417"/>
    </row>
    <row r="518" spans="2:4" ht="14.1" customHeight="1">
      <c r="B518" s="417"/>
      <c r="C518" s="418"/>
      <c r="D518" s="417"/>
    </row>
    <row r="519" spans="2:4" ht="14.1" customHeight="1">
      <c r="B519" s="417"/>
      <c r="C519" s="418"/>
      <c r="D519" s="417"/>
    </row>
    <row r="520" spans="2:4" ht="14.1" customHeight="1">
      <c r="B520" s="417"/>
      <c r="C520" s="418"/>
      <c r="D520" s="417"/>
    </row>
    <row r="521" spans="2:4" ht="14.1" customHeight="1">
      <c r="B521" s="417"/>
      <c r="C521" s="418"/>
      <c r="D521" s="417"/>
    </row>
    <row r="522" spans="2:4" ht="14.1" customHeight="1">
      <c r="B522" s="417"/>
      <c r="C522" s="418"/>
      <c r="D522" s="417"/>
    </row>
    <row r="523" spans="2:4" ht="14.1" customHeight="1">
      <c r="B523" s="417"/>
      <c r="C523" s="418"/>
      <c r="D523" s="417"/>
    </row>
    <row r="524" spans="2:4" ht="14.1" customHeight="1">
      <c r="B524" s="417"/>
      <c r="C524" s="418"/>
      <c r="D524" s="417"/>
    </row>
    <row r="525" spans="2:4" ht="14.1" customHeight="1">
      <c r="B525" s="417"/>
      <c r="C525" s="418"/>
      <c r="D525" s="417"/>
    </row>
    <row r="526" spans="2:4" ht="14.1" customHeight="1">
      <c r="B526" s="417"/>
      <c r="C526" s="418"/>
      <c r="D526" s="417"/>
    </row>
    <row r="527" spans="2:4" ht="14.1" customHeight="1">
      <c r="B527" s="417"/>
      <c r="C527" s="418"/>
      <c r="D527" s="417"/>
    </row>
    <row r="528" spans="2:4" ht="14.1" customHeight="1">
      <c r="B528" s="417"/>
      <c r="C528" s="418"/>
      <c r="D528" s="417"/>
    </row>
    <row r="529" spans="2:4" ht="14.1" customHeight="1">
      <c r="B529" s="417"/>
      <c r="C529" s="418"/>
      <c r="D529" s="417"/>
    </row>
    <row r="530" spans="2:4" ht="14.1" customHeight="1">
      <c r="B530" s="417"/>
      <c r="C530" s="418"/>
      <c r="D530" s="417"/>
    </row>
    <row r="531" spans="2:4" ht="14.1" customHeight="1">
      <c r="B531" s="417"/>
      <c r="C531" s="418"/>
      <c r="D531" s="417"/>
    </row>
    <row r="532" spans="2:4" ht="14.1" customHeight="1">
      <c r="B532" s="417"/>
      <c r="C532" s="418"/>
      <c r="D532" s="417"/>
    </row>
    <row r="533" spans="2:4" ht="14.1" customHeight="1">
      <c r="B533" s="417"/>
      <c r="C533" s="418"/>
      <c r="D533" s="417"/>
    </row>
    <row r="534" spans="2:4" ht="14.1" customHeight="1">
      <c r="B534" s="417"/>
      <c r="C534" s="418"/>
      <c r="D534" s="417"/>
    </row>
    <row r="535" spans="2:4" ht="14.1" customHeight="1">
      <c r="B535" s="417"/>
      <c r="C535" s="418"/>
      <c r="D535" s="417"/>
    </row>
    <row r="536" spans="2:4" ht="14.1" customHeight="1">
      <c r="B536" s="417"/>
      <c r="C536" s="418"/>
      <c r="D536" s="417"/>
    </row>
    <row r="537" spans="2:4" ht="14.1" customHeight="1">
      <c r="B537" s="417"/>
      <c r="C537" s="418"/>
      <c r="D537" s="417"/>
    </row>
    <row r="538" spans="2:4" ht="14.1" customHeight="1">
      <c r="B538" s="417"/>
      <c r="C538" s="418"/>
      <c r="D538" s="417"/>
    </row>
    <row r="539" spans="2:4" ht="14.1" customHeight="1">
      <c r="B539" s="417"/>
      <c r="C539" s="418"/>
      <c r="D539" s="417"/>
    </row>
    <row r="540" spans="2:4" ht="14.1" customHeight="1">
      <c r="B540" s="417"/>
      <c r="C540" s="418"/>
      <c r="D540" s="417"/>
    </row>
    <row r="541" spans="2:4" ht="14.1" customHeight="1">
      <c r="B541" s="417"/>
      <c r="C541" s="418"/>
      <c r="D541" s="417"/>
    </row>
    <row r="542" spans="2:4" ht="14.1" customHeight="1">
      <c r="B542" s="417"/>
      <c r="C542" s="418"/>
      <c r="D542" s="417"/>
    </row>
    <row r="543" spans="2:4" ht="14.1" customHeight="1">
      <c r="B543" s="417"/>
      <c r="C543" s="418"/>
      <c r="D543" s="417"/>
    </row>
    <row r="544" spans="2:4" ht="14.1" customHeight="1">
      <c r="B544" s="417"/>
      <c r="C544" s="418"/>
      <c r="D544" s="417"/>
    </row>
    <row r="545" spans="2:4" ht="14.1" customHeight="1">
      <c r="B545" s="417"/>
      <c r="C545" s="418"/>
      <c r="D545" s="417"/>
    </row>
    <row r="546" spans="2:4" ht="14.1" customHeight="1">
      <c r="B546" s="417"/>
      <c r="C546" s="418"/>
      <c r="D546" s="417"/>
    </row>
    <row r="547" spans="2:4" ht="14.1" customHeight="1">
      <c r="B547" s="417"/>
      <c r="C547" s="418"/>
      <c r="D547" s="417"/>
    </row>
    <row r="548" spans="2:4" ht="14.1" customHeight="1">
      <c r="B548" s="417"/>
      <c r="C548" s="418"/>
      <c r="D548" s="417"/>
    </row>
    <row r="549" spans="2:4" ht="14.1" customHeight="1">
      <c r="B549" s="417"/>
      <c r="C549" s="418"/>
      <c r="D549" s="417"/>
    </row>
    <row r="550" spans="2:4" ht="14.1" customHeight="1">
      <c r="B550" s="417"/>
      <c r="C550" s="418"/>
      <c r="D550" s="417"/>
    </row>
    <row r="551" spans="2:4" ht="14.1" customHeight="1">
      <c r="B551" s="417"/>
      <c r="C551" s="418"/>
      <c r="D551" s="417"/>
    </row>
    <row r="552" spans="2:4" ht="14.1" customHeight="1">
      <c r="B552" s="417"/>
      <c r="C552" s="418"/>
      <c r="D552" s="417"/>
    </row>
    <row r="553" spans="2:4" ht="14.1" customHeight="1">
      <c r="B553" s="417"/>
      <c r="C553" s="418"/>
      <c r="D553" s="417"/>
    </row>
    <row r="554" spans="2:4" ht="14.1" customHeight="1">
      <c r="B554" s="417"/>
      <c r="C554" s="418"/>
      <c r="D554" s="417"/>
    </row>
    <row r="555" spans="2:4" ht="14.1" customHeight="1">
      <c r="B555" s="417"/>
      <c r="C555" s="418"/>
      <c r="D555" s="417"/>
    </row>
    <row r="556" spans="2:4" ht="14.1" customHeight="1">
      <c r="B556" s="417"/>
      <c r="C556" s="418"/>
      <c r="D556" s="417"/>
    </row>
    <row r="557" spans="2:4" ht="14.1" customHeight="1">
      <c r="B557" s="417"/>
      <c r="C557" s="418"/>
      <c r="D557" s="417"/>
    </row>
    <row r="558" spans="2:4" ht="14.1" customHeight="1">
      <c r="B558" s="417"/>
      <c r="C558" s="418"/>
      <c r="D558" s="417"/>
    </row>
    <row r="559" spans="2:4" ht="14.1" customHeight="1">
      <c r="B559" s="417"/>
      <c r="C559" s="418"/>
      <c r="D559" s="417"/>
    </row>
    <row r="560" spans="2:4" ht="14.1" customHeight="1">
      <c r="B560" s="417"/>
      <c r="C560" s="418"/>
      <c r="D560" s="417"/>
    </row>
    <row r="561" spans="2:4" ht="14.1" customHeight="1">
      <c r="B561" s="417"/>
      <c r="C561" s="418"/>
      <c r="D561" s="417"/>
    </row>
    <row r="562" spans="2:4" ht="14.1" customHeight="1">
      <c r="B562" s="417"/>
      <c r="C562" s="418"/>
      <c r="D562" s="417"/>
    </row>
    <row r="563" spans="2:4" ht="14.1" customHeight="1">
      <c r="B563" s="417"/>
      <c r="C563" s="418"/>
      <c r="D563" s="417"/>
    </row>
    <row r="564" spans="2:4" ht="14.1" customHeight="1">
      <c r="B564" s="417"/>
      <c r="C564" s="418"/>
      <c r="D564" s="417"/>
    </row>
    <row r="565" spans="2:4" ht="14.1" customHeight="1">
      <c r="B565" s="417"/>
      <c r="C565" s="418"/>
      <c r="D565" s="417"/>
    </row>
    <row r="566" spans="2:4" ht="14.1" customHeight="1">
      <c r="B566" s="417"/>
      <c r="C566" s="418"/>
      <c r="D566" s="417"/>
    </row>
    <row r="567" spans="2:4" ht="14.1" customHeight="1">
      <c r="B567" s="417"/>
      <c r="C567" s="418"/>
      <c r="D567" s="417"/>
    </row>
    <row r="568" spans="2:4" ht="14.1" customHeight="1">
      <c r="B568" s="417"/>
      <c r="C568" s="418"/>
      <c r="D568" s="417"/>
    </row>
    <row r="569" spans="2:4" ht="14.1" customHeight="1">
      <c r="B569" s="417"/>
      <c r="C569" s="418"/>
      <c r="D569" s="417"/>
    </row>
    <row r="570" spans="2:4" ht="14.1" customHeight="1">
      <c r="B570" s="417"/>
      <c r="C570" s="418"/>
      <c r="D570" s="417"/>
    </row>
    <row r="571" spans="2:4" ht="14.1" customHeight="1">
      <c r="B571" s="417"/>
      <c r="C571" s="418"/>
      <c r="D571" s="417"/>
    </row>
    <row r="572" spans="2:4" ht="14.1" customHeight="1">
      <c r="B572" s="417"/>
      <c r="C572" s="418"/>
      <c r="D572" s="417"/>
    </row>
    <row r="573" spans="2:4" ht="14.1" customHeight="1">
      <c r="B573" s="417"/>
      <c r="C573" s="418"/>
      <c r="D573" s="417"/>
    </row>
    <row r="574" spans="2:4" ht="14.1" customHeight="1">
      <c r="B574" s="417"/>
      <c r="C574" s="418"/>
      <c r="D574" s="417"/>
    </row>
    <row r="575" spans="2:4" ht="14.1" customHeight="1">
      <c r="B575" s="417"/>
      <c r="C575" s="418"/>
      <c r="D575" s="417"/>
    </row>
    <row r="576" spans="2:4" ht="14.1" customHeight="1">
      <c r="B576" s="417"/>
      <c r="C576" s="418"/>
      <c r="D576" s="417"/>
    </row>
    <row r="577" spans="2:4" ht="14.1" customHeight="1">
      <c r="B577" s="417"/>
      <c r="C577" s="418"/>
      <c r="D577" s="417"/>
    </row>
    <row r="578" spans="2:4" ht="14.1" customHeight="1">
      <c r="B578" s="417"/>
      <c r="C578" s="418"/>
      <c r="D578" s="417"/>
    </row>
    <row r="579" spans="2:4" ht="14.1" customHeight="1">
      <c r="B579" s="417"/>
      <c r="C579" s="418"/>
      <c r="D579" s="417"/>
    </row>
    <row r="580" spans="2:4" ht="14.1" customHeight="1">
      <c r="B580" s="417"/>
      <c r="C580" s="418"/>
      <c r="D580" s="417"/>
    </row>
    <row r="581" spans="2:4" ht="14.1" customHeight="1">
      <c r="B581" s="417"/>
      <c r="C581" s="418"/>
      <c r="D581" s="417"/>
    </row>
    <row r="582" spans="2:4" ht="14.1" customHeight="1">
      <c r="B582" s="417"/>
      <c r="C582" s="418"/>
      <c r="D582" s="417"/>
    </row>
    <row r="583" spans="2:4" ht="14.1" customHeight="1">
      <c r="B583" s="417"/>
      <c r="C583" s="418"/>
      <c r="D583" s="417"/>
    </row>
    <row r="584" spans="2:4" ht="14.1" customHeight="1">
      <c r="B584" s="417"/>
      <c r="C584" s="418"/>
      <c r="D584" s="417"/>
    </row>
    <row r="585" spans="2:4" ht="14.1" customHeight="1">
      <c r="B585" s="417"/>
      <c r="C585" s="418"/>
      <c r="D585" s="417"/>
    </row>
    <row r="586" spans="2:4" ht="14.1" customHeight="1">
      <c r="B586" s="417"/>
      <c r="C586" s="418"/>
      <c r="D586" s="417"/>
    </row>
    <row r="587" spans="2:4" ht="14.1" customHeight="1">
      <c r="B587" s="417"/>
      <c r="C587" s="418"/>
      <c r="D587" s="417"/>
    </row>
    <row r="588" spans="2:4" ht="14.1" customHeight="1">
      <c r="B588" s="417"/>
      <c r="C588" s="418"/>
      <c r="D588" s="417"/>
    </row>
    <row r="589" spans="2:4" ht="14.1" customHeight="1">
      <c r="B589" s="417"/>
      <c r="C589" s="418"/>
      <c r="D589" s="417"/>
    </row>
    <row r="590" spans="2:4" ht="14.1" customHeight="1">
      <c r="B590" s="417"/>
      <c r="C590" s="418"/>
      <c r="D590" s="417"/>
    </row>
    <row r="591" spans="2:4" ht="14.1" customHeight="1">
      <c r="B591" s="417"/>
      <c r="C591" s="418"/>
      <c r="D591" s="417"/>
    </row>
    <row r="592" spans="2:4" ht="14.1" customHeight="1">
      <c r="B592" s="417"/>
      <c r="C592" s="418"/>
      <c r="D592" s="417"/>
    </row>
    <row r="593" spans="2:4" ht="14.1" customHeight="1">
      <c r="B593" s="417"/>
      <c r="C593" s="418"/>
      <c r="D593" s="417"/>
    </row>
    <row r="594" spans="2:4" ht="14.1" customHeight="1">
      <c r="B594" s="417"/>
      <c r="C594" s="418"/>
      <c r="D594" s="417"/>
    </row>
    <row r="595" spans="2:4" ht="14.1" customHeight="1">
      <c r="B595" s="417"/>
      <c r="C595" s="418"/>
      <c r="D595" s="417"/>
    </row>
    <row r="596" spans="2:4" ht="14.1" customHeight="1">
      <c r="B596" s="417"/>
      <c r="C596" s="418"/>
      <c r="D596" s="417"/>
    </row>
    <row r="597" spans="2:4" ht="14.1" customHeight="1">
      <c r="B597" s="417"/>
      <c r="C597" s="418"/>
      <c r="D597" s="417"/>
    </row>
    <row r="598" spans="2:4" ht="14.1" customHeight="1">
      <c r="B598" s="417"/>
      <c r="C598" s="418"/>
      <c r="D598" s="417"/>
    </row>
    <row r="599" spans="2:4" ht="14.1" customHeight="1">
      <c r="B599" s="417"/>
      <c r="C599" s="418"/>
      <c r="D599" s="417"/>
    </row>
    <row r="600" spans="2:4" ht="14.1" customHeight="1">
      <c r="B600" s="417"/>
      <c r="C600" s="418"/>
      <c r="D600" s="417"/>
    </row>
    <row r="601" spans="2:4" ht="14.1" customHeight="1">
      <c r="B601" s="417"/>
      <c r="C601" s="418"/>
      <c r="D601" s="417"/>
    </row>
    <row r="602" spans="2:4" ht="14.1" customHeight="1">
      <c r="B602" s="417"/>
      <c r="C602" s="418"/>
      <c r="D602" s="417"/>
    </row>
    <row r="603" spans="2:4" ht="14.1" customHeight="1">
      <c r="B603" s="417"/>
      <c r="C603" s="418"/>
      <c r="D603" s="417"/>
    </row>
    <row r="604" spans="2:4" ht="14.1" customHeight="1">
      <c r="B604" s="417"/>
      <c r="C604" s="418"/>
      <c r="D604" s="417"/>
    </row>
    <row r="605" spans="2:4" ht="14.1" customHeight="1">
      <c r="B605" s="417"/>
      <c r="C605" s="418"/>
      <c r="D605" s="417"/>
    </row>
    <row r="606" spans="2:4" ht="14.1" customHeight="1">
      <c r="B606" s="417"/>
      <c r="C606" s="418"/>
      <c r="D606" s="417"/>
    </row>
    <row r="607" spans="2:4" ht="14.1" customHeight="1">
      <c r="B607" s="417"/>
      <c r="C607" s="418"/>
      <c r="D607" s="417"/>
    </row>
    <row r="608" spans="2:4" ht="14.1" customHeight="1">
      <c r="B608" s="417"/>
      <c r="C608" s="418"/>
      <c r="D608" s="417"/>
    </row>
    <row r="609" spans="2:4" ht="14.1" customHeight="1">
      <c r="B609" s="417"/>
      <c r="C609" s="418"/>
      <c r="D609" s="417"/>
    </row>
    <row r="610" spans="2:4" ht="14.1" customHeight="1">
      <c r="B610" s="417"/>
      <c r="C610" s="418"/>
      <c r="D610" s="417"/>
    </row>
    <row r="611" spans="2:4" ht="14.1" customHeight="1">
      <c r="B611" s="417"/>
      <c r="C611" s="418"/>
      <c r="D611" s="417"/>
    </row>
    <row r="612" spans="2:4" ht="14.1" customHeight="1">
      <c r="B612" s="417"/>
      <c r="C612" s="418"/>
      <c r="D612" s="417"/>
    </row>
    <row r="613" spans="2:4" ht="14.1" customHeight="1">
      <c r="B613" s="417"/>
      <c r="C613" s="418"/>
      <c r="D613" s="417"/>
    </row>
  </sheetData>
  <mergeCells count="8">
    <mergeCell ref="D5:D6"/>
    <mergeCell ref="A3:E3"/>
    <mergeCell ref="E5:E6"/>
    <mergeCell ref="A1:B1"/>
    <mergeCell ref="A2:E2"/>
    <mergeCell ref="A5:A6"/>
    <mergeCell ref="B5:B6"/>
    <mergeCell ref="C5:C6"/>
  </mergeCells>
  <phoneticPr fontId="56" type="noConversion"/>
  <pageMargins left="0.86614173228346458" right="0.39370078740157483" top="0.74803149606299213" bottom="0.47244094488188981" header="0.51181102362204722" footer="0.39370078740157483"/>
  <pageSetup paperSize="9" scale="89" fitToHeight="0" orientation="portrait" r:id="rId1"/>
  <headerFooter alignWithMargins="0">
    <oddFooter>&amp;C&amp;P/&amp;N</oddFooter>
  </headerFooter>
  <colBreaks count="1" manualBreakCount="1">
    <brk id="4" max="104857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FF00"/>
    <pageSetUpPr fitToPage="1"/>
  </sheetPr>
  <dimension ref="A1:G74"/>
  <sheetViews>
    <sheetView showZeros="0" zoomScale="85" zoomScaleNormal="85" zoomScaleSheetLayoutView="100" workbookViewId="0">
      <pane xSplit="2" ySplit="6" topLeftCell="C7" activePane="bottomRight" state="frozen"/>
      <selection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9.140625" defaultRowHeight="14.1" customHeight="1" outlineLevelRow="1"/>
  <cols>
    <col min="1" max="1" width="5.140625" style="92" customWidth="1"/>
    <col min="2" max="2" width="42.85546875" style="56" customWidth="1"/>
    <col min="3" max="3" width="14.28515625" style="92" customWidth="1"/>
    <col min="4" max="4" width="13" style="56" customWidth="1"/>
    <col min="5" max="5" width="24" style="56" customWidth="1"/>
    <col min="6" max="16384" width="9.140625" style="56"/>
  </cols>
  <sheetData>
    <row r="1" spans="1:5" ht="14.1" customHeight="1" outlineLevel="1">
      <c r="A1" s="828" t="s">
        <v>74</v>
      </c>
      <c r="B1" s="829"/>
    </row>
    <row r="2" spans="1:5" s="93" customFormat="1" ht="20.25" customHeight="1" outlineLevel="1">
      <c r="A2" s="834" t="s">
        <v>844</v>
      </c>
      <c r="B2" s="834"/>
      <c r="C2" s="834"/>
      <c r="D2" s="834"/>
      <c r="E2" s="834"/>
    </row>
    <row r="3" spans="1:5" s="93" customFormat="1" ht="15" customHeight="1" outlineLevel="1">
      <c r="A3" s="833" t="str">
        <f>'B01'!A3:E3</f>
        <v>(Kèm theo Quyết định số 569/QĐ-UBND, ngày 17/12/2018 của UBND huyện Đăk Tô)</v>
      </c>
      <c r="B3" s="833"/>
      <c r="C3" s="833"/>
      <c r="D3" s="833"/>
      <c r="E3" s="833"/>
    </row>
    <row r="4" spans="1:5" ht="15.75" outlineLevel="1"/>
    <row r="5" spans="1:5" s="554" customFormat="1" ht="20.100000000000001" customHeight="1">
      <c r="A5" s="830" t="s">
        <v>68</v>
      </c>
      <c r="B5" s="830" t="s">
        <v>69</v>
      </c>
      <c r="C5" s="830" t="s">
        <v>66</v>
      </c>
      <c r="D5" s="772" t="s">
        <v>841</v>
      </c>
      <c r="E5" s="830" t="s">
        <v>75</v>
      </c>
    </row>
    <row r="6" spans="1:5" s="554" customFormat="1" ht="17.25" customHeight="1">
      <c r="A6" s="831"/>
      <c r="B6" s="832"/>
      <c r="C6" s="831"/>
      <c r="D6" s="764"/>
      <c r="E6" s="831"/>
    </row>
    <row r="7" spans="1:5" s="554" customFormat="1" ht="20.100000000000001" customHeight="1">
      <c r="A7" s="78" t="s">
        <v>40</v>
      </c>
      <c r="B7" s="94" t="s">
        <v>78</v>
      </c>
      <c r="C7" s="601"/>
      <c r="D7" s="602"/>
      <c r="E7" s="602"/>
    </row>
    <row r="8" spans="1:5" s="92" customFormat="1" ht="20.100000000000001" customHeight="1">
      <c r="A8" s="11">
        <v>1</v>
      </c>
      <c r="B8" s="54" t="s">
        <v>79</v>
      </c>
      <c r="C8" s="11"/>
      <c r="D8" s="32"/>
      <c r="E8" s="32"/>
    </row>
    <row r="9" spans="1:5" s="597" customFormat="1" ht="15.75">
      <c r="A9" s="39" t="s">
        <v>34</v>
      </c>
      <c r="B9" s="33" t="s">
        <v>80</v>
      </c>
      <c r="C9" s="39"/>
      <c r="D9" s="62"/>
      <c r="E9" s="62"/>
    </row>
    <row r="10" spans="1:5" ht="20.100000000000001" customHeight="1">
      <c r="A10" s="19"/>
      <c r="B10" s="35" t="s">
        <v>81</v>
      </c>
      <c r="C10" s="34" t="s">
        <v>76</v>
      </c>
      <c r="D10" s="22">
        <f>'6 tháng 2021'!J21</f>
        <v>7617</v>
      </c>
      <c r="E10" s="20"/>
    </row>
    <row r="11" spans="1:5" ht="20.100000000000001" customHeight="1">
      <c r="A11" s="32"/>
      <c r="B11" s="35" t="s">
        <v>916</v>
      </c>
      <c r="C11" s="34" t="s">
        <v>76</v>
      </c>
      <c r="D11" s="22">
        <f>'6 tháng 2021'!J22</f>
        <v>6873</v>
      </c>
      <c r="E11" s="20"/>
    </row>
    <row r="12" spans="1:5" ht="20.100000000000001" customHeight="1">
      <c r="A12" s="19"/>
      <c r="B12" s="35" t="s">
        <v>82</v>
      </c>
      <c r="C12" s="34" t="s">
        <v>76</v>
      </c>
      <c r="D12" s="22">
        <f>'6 tháng 2021'!J23</f>
        <v>744</v>
      </c>
      <c r="E12" s="20"/>
    </row>
    <row r="13" spans="1:5" ht="20.100000000000001" customHeight="1">
      <c r="A13" s="19"/>
      <c r="B13" s="35" t="s">
        <v>83</v>
      </c>
      <c r="C13" s="34" t="s">
        <v>76</v>
      </c>
      <c r="D13" s="22">
        <f>'6 tháng 2021'!J51</f>
        <v>76000</v>
      </c>
      <c r="E13" s="20"/>
    </row>
    <row r="14" spans="1:5" ht="20.100000000000001" customHeight="1">
      <c r="A14" s="19"/>
      <c r="B14" s="35" t="s">
        <v>84</v>
      </c>
      <c r="C14" s="34" t="s">
        <v>76</v>
      </c>
      <c r="D14" s="22">
        <f>'6 tháng 2021'!J78</f>
        <v>7094.5</v>
      </c>
      <c r="E14" s="20"/>
    </row>
    <row r="15" spans="1:5" ht="20.100000000000001" hidden="1" customHeight="1">
      <c r="A15" s="19"/>
      <c r="B15" s="35" t="s">
        <v>85</v>
      </c>
      <c r="C15" s="34" t="s">
        <v>76</v>
      </c>
      <c r="D15" s="603"/>
      <c r="E15" s="20"/>
    </row>
    <row r="16" spans="1:5" ht="20.100000000000001" hidden="1" customHeight="1">
      <c r="A16" s="19"/>
      <c r="B16" s="35" t="s">
        <v>86</v>
      </c>
      <c r="C16" s="34" t="s">
        <v>76</v>
      </c>
      <c r="D16" s="603"/>
      <c r="E16" s="20"/>
    </row>
    <row r="17" spans="1:7" ht="20.100000000000001" hidden="1" customHeight="1">
      <c r="A17" s="19"/>
      <c r="B17" s="35" t="s">
        <v>87</v>
      </c>
      <c r="C17" s="34" t="s">
        <v>76</v>
      </c>
      <c r="D17" s="603"/>
      <c r="E17" s="20"/>
    </row>
    <row r="18" spans="1:7" ht="20.100000000000001" hidden="1" customHeight="1">
      <c r="A18" s="32"/>
      <c r="B18" s="35" t="s">
        <v>88</v>
      </c>
      <c r="C18" s="34" t="s">
        <v>76</v>
      </c>
      <c r="D18" s="603"/>
      <c r="E18" s="20"/>
    </row>
    <row r="19" spans="1:7" ht="20.100000000000001" hidden="1" customHeight="1">
      <c r="A19" s="32"/>
      <c r="B19" s="35" t="s">
        <v>85</v>
      </c>
      <c r="C19" s="34" t="s">
        <v>76</v>
      </c>
      <c r="D19" s="603"/>
      <c r="E19" s="20"/>
    </row>
    <row r="20" spans="1:7" ht="20.100000000000001" hidden="1" customHeight="1">
      <c r="A20" s="32"/>
      <c r="B20" s="35" t="s">
        <v>86</v>
      </c>
      <c r="C20" s="34" t="s">
        <v>76</v>
      </c>
      <c r="D20" s="603"/>
      <c r="E20" s="20"/>
    </row>
    <row r="21" spans="1:7" s="597" customFormat="1" ht="20.100000000000001" customHeight="1">
      <c r="A21" s="32"/>
      <c r="B21" s="35" t="s">
        <v>89</v>
      </c>
      <c r="C21" s="34" t="s">
        <v>76</v>
      </c>
      <c r="D21" s="22">
        <f>'6 tháng 2021'!J84</f>
        <v>8187.5</v>
      </c>
      <c r="E21" s="62"/>
      <c r="G21" s="604"/>
    </row>
    <row r="22" spans="1:7" s="597" customFormat="1" ht="15.75">
      <c r="A22" s="39" t="s">
        <v>35</v>
      </c>
      <c r="B22" s="33" t="s">
        <v>312</v>
      </c>
      <c r="C22" s="32"/>
      <c r="D22" s="605"/>
      <c r="E22" s="62"/>
    </row>
    <row r="23" spans="1:7" ht="20.100000000000001" customHeight="1">
      <c r="A23" s="32"/>
      <c r="B23" s="35" t="s">
        <v>90</v>
      </c>
      <c r="C23" s="32" t="s">
        <v>37</v>
      </c>
      <c r="D23" s="22">
        <f>'6 tháng 2021'!J25</f>
        <v>1501</v>
      </c>
      <c r="E23" s="20"/>
    </row>
    <row r="24" spans="1:7" ht="20.100000000000001" customHeight="1">
      <c r="A24" s="32"/>
      <c r="B24" s="35" t="s">
        <v>91</v>
      </c>
      <c r="C24" s="32" t="s">
        <v>37</v>
      </c>
      <c r="D24" s="26">
        <f>'6 tháng 2021'!J40</f>
        <v>140</v>
      </c>
      <c r="E24" s="20"/>
    </row>
    <row r="25" spans="1:7" ht="20.100000000000001" hidden="1" customHeight="1">
      <c r="A25" s="32"/>
      <c r="B25" s="35" t="s">
        <v>92</v>
      </c>
      <c r="C25" s="32" t="s">
        <v>37</v>
      </c>
      <c r="D25" s="603"/>
      <c r="E25" s="20"/>
    </row>
    <row r="26" spans="1:7" ht="20.100000000000001" customHeight="1">
      <c r="A26" s="32"/>
      <c r="B26" s="20" t="s">
        <v>41</v>
      </c>
      <c r="C26" s="32" t="s">
        <v>37</v>
      </c>
      <c r="D26" s="26">
        <f>'6 tháng 2021'!J79</f>
        <v>7586</v>
      </c>
      <c r="E26" s="20"/>
    </row>
    <row r="27" spans="1:7" s="597" customFormat="1" ht="20.100000000000001" customHeight="1">
      <c r="A27" s="39"/>
      <c r="B27" s="33" t="s">
        <v>93</v>
      </c>
      <c r="C27" s="39" t="s">
        <v>37</v>
      </c>
      <c r="D27" s="538">
        <f>'6 tháng 2021'!J80</f>
        <v>0</v>
      </c>
      <c r="E27" s="62"/>
    </row>
    <row r="28" spans="1:7" ht="20.100000000000001" customHeight="1">
      <c r="A28" s="19"/>
      <c r="B28" s="35" t="s">
        <v>94</v>
      </c>
      <c r="C28" s="32" t="s">
        <v>37</v>
      </c>
      <c r="D28" s="22">
        <f>'6 tháng 2021'!J73</f>
        <v>2651</v>
      </c>
      <c r="E28" s="20"/>
    </row>
    <row r="29" spans="1:7" s="597" customFormat="1" ht="20.100000000000001" customHeight="1">
      <c r="A29" s="39"/>
      <c r="B29" s="33" t="s">
        <v>95</v>
      </c>
      <c r="C29" s="39" t="s">
        <v>37</v>
      </c>
      <c r="D29" s="59">
        <f>'6 tháng 2021'!J74</f>
        <v>0</v>
      </c>
      <c r="E29" s="62"/>
    </row>
    <row r="30" spans="1:7" ht="20.100000000000001" hidden="1" customHeight="1">
      <c r="A30" s="32"/>
      <c r="B30" s="35" t="s">
        <v>86</v>
      </c>
      <c r="C30" s="32" t="s">
        <v>37</v>
      </c>
      <c r="D30" s="605"/>
      <c r="E30" s="20"/>
    </row>
    <row r="31" spans="1:7" s="597" customFormat="1" ht="20.100000000000001" hidden="1" customHeight="1">
      <c r="A31" s="39"/>
      <c r="B31" s="33" t="s">
        <v>95</v>
      </c>
      <c r="C31" s="39" t="s">
        <v>37</v>
      </c>
      <c r="D31" s="606"/>
      <c r="E31" s="62"/>
    </row>
    <row r="32" spans="1:7" s="597" customFormat="1" ht="20.100000000000001" customHeight="1">
      <c r="A32" s="39" t="s">
        <v>36</v>
      </c>
      <c r="B32" s="33" t="s">
        <v>96</v>
      </c>
      <c r="C32" s="39"/>
      <c r="D32" s="605"/>
      <c r="E32" s="62"/>
    </row>
    <row r="33" spans="1:5" ht="20.100000000000001" customHeight="1">
      <c r="A33" s="19"/>
      <c r="B33" s="35" t="s">
        <v>97</v>
      </c>
      <c r="C33" s="32" t="s">
        <v>54</v>
      </c>
      <c r="D33" s="22">
        <f>'6 tháng 2021'!J100</f>
        <v>3100</v>
      </c>
      <c r="E33" s="20"/>
    </row>
    <row r="34" spans="1:5" ht="20.100000000000001" customHeight="1">
      <c r="A34" s="19"/>
      <c r="B34" s="35" t="s">
        <v>98</v>
      </c>
      <c r="C34" s="32" t="s">
        <v>54</v>
      </c>
      <c r="D34" s="22">
        <f>'6 tháng 2021'!J101</f>
        <v>5700</v>
      </c>
      <c r="E34" s="20"/>
    </row>
    <row r="35" spans="1:5" ht="20.100000000000001" customHeight="1">
      <c r="A35" s="19"/>
      <c r="B35" s="35" t="s">
        <v>99</v>
      </c>
      <c r="C35" s="32" t="s">
        <v>54</v>
      </c>
      <c r="D35" s="22">
        <f>'6 tháng 2021'!J102</f>
        <v>15500</v>
      </c>
      <c r="E35" s="20"/>
    </row>
    <row r="36" spans="1:5" ht="20.100000000000001" hidden="1" customHeight="1">
      <c r="A36" s="19"/>
      <c r="B36" s="35" t="s">
        <v>917</v>
      </c>
      <c r="C36" s="32" t="s">
        <v>42</v>
      </c>
      <c r="D36" s="22">
        <f>'6 tháng 2021'!J103</f>
        <v>120000</v>
      </c>
      <c r="E36" s="20"/>
    </row>
    <row r="37" spans="1:5" ht="20.100000000000001" hidden="1" customHeight="1">
      <c r="A37" s="32"/>
      <c r="B37" s="33" t="s">
        <v>918</v>
      </c>
      <c r="C37" s="32" t="s">
        <v>42</v>
      </c>
      <c r="D37" s="22" t="e">
        <f>'6 tháng 2021'!#REF!</f>
        <v>#REF!</v>
      </c>
      <c r="E37" s="20"/>
    </row>
    <row r="38" spans="1:5" ht="20.100000000000001" hidden="1" customHeight="1">
      <c r="A38" s="32"/>
      <c r="B38" s="95" t="s">
        <v>100</v>
      </c>
      <c r="C38" s="32" t="s">
        <v>42</v>
      </c>
      <c r="D38" s="22" t="e">
        <f>'6 tháng 2021'!#REF!</f>
        <v>#REF!</v>
      </c>
      <c r="E38" s="20"/>
    </row>
    <row r="39" spans="1:5" ht="20.100000000000001" hidden="1" customHeight="1">
      <c r="A39" s="32"/>
      <c r="B39" s="95" t="s">
        <v>101</v>
      </c>
      <c r="C39" s="32" t="s">
        <v>42</v>
      </c>
      <c r="D39" s="22" t="e">
        <f>'6 tháng 2021'!#REF!</f>
        <v>#REF!</v>
      </c>
      <c r="E39" s="20"/>
    </row>
    <row r="40" spans="1:5" ht="20.100000000000001" hidden="1" customHeight="1">
      <c r="A40" s="32"/>
      <c r="B40" s="95" t="s">
        <v>102</v>
      </c>
      <c r="C40" s="32" t="s">
        <v>42</v>
      </c>
      <c r="D40" s="22" t="e">
        <f>'6 tháng 2021'!#REF!</f>
        <v>#REF!</v>
      </c>
      <c r="E40" s="20"/>
    </row>
    <row r="41" spans="1:5" ht="20.100000000000001" customHeight="1">
      <c r="A41" s="32"/>
      <c r="B41" s="95" t="s">
        <v>103</v>
      </c>
      <c r="C41" s="32" t="s">
        <v>54</v>
      </c>
      <c r="D41" s="22">
        <f>'6 tháng 2021'!J103</f>
        <v>120000</v>
      </c>
      <c r="E41" s="20"/>
    </row>
    <row r="42" spans="1:5" s="558" customFormat="1" ht="20.100000000000001" customHeight="1" outlineLevel="1">
      <c r="A42" s="11">
        <v>2</v>
      </c>
      <c r="B42" s="30" t="s">
        <v>104</v>
      </c>
      <c r="C42" s="11"/>
      <c r="D42" s="605"/>
      <c r="E42" s="15"/>
    </row>
    <row r="43" spans="1:5" s="597" customFormat="1" ht="20.100000000000001" customHeight="1" outlineLevel="1">
      <c r="A43" s="39" t="s">
        <v>34</v>
      </c>
      <c r="B43" s="33" t="s">
        <v>208</v>
      </c>
      <c r="C43" s="39"/>
      <c r="D43" s="75"/>
      <c r="E43" s="62"/>
    </row>
    <row r="44" spans="1:5" ht="20.100000000000001" customHeight="1" outlineLevel="1">
      <c r="A44" s="32"/>
      <c r="B44" s="35" t="s">
        <v>209</v>
      </c>
      <c r="C44" s="32" t="s">
        <v>37</v>
      </c>
      <c r="D44" s="22">
        <f>'6 tháng 2021'!J110</f>
        <v>300</v>
      </c>
      <c r="E44" s="20"/>
    </row>
    <row r="45" spans="1:5" s="597" customFormat="1" ht="20.100000000000001" hidden="1" customHeight="1">
      <c r="A45" s="39" t="s">
        <v>35</v>
      </c>
      <c r="B45" s="33" t="s">
        <v>105</v>
      </c>
      <c r="C45" s="39" t="s">
        <v>37</v>
      </c>
      <c r="D45" s="603"/>
      <c r="E45" s="62"/>
    </row>
    <row r="46" spans="1:5" s="597" customFormat="1" ht="20.100000000000001" hidden="1" customHeight="1">
      <c r="A46" s="39"/>
      <c r="B46" s="33" t="s">
        <v>106</v>
      </c>
      <c r="C46" s="39" t="s">
        <v>37</v>
      </c>
      <c r="D46" s="605"/>
      <c r="E46" s="62"/>
    </row>
    <row r="47" spans="1:5" s="597" customFormat="1" ht="20.100000000000001" hidden="1" customHeight="1">
      <c r="A47" s="39"/>
      <c r="B47" s="33" t="s">
        <v>107</v>
      </c>
      <c r="C47" s="39" t="s">
        <v>37</v>
      </c>
      <c r="D47" s="605"/>
      <c r="E47" s="62"/>
    </row>
    <row r="48" spans="1:5" s="597" customFormat="1" ht="20.100000000000001" hidden="1" customHeight="1">
      <c r="A48" s="39"/>
      <c r="B48" s="33" t="s">
        <v>108</v>
      </c>
      <c r="C48" s="39" t="s">
        <v>37</v>
      </c>
      <c r="D48" s="605"/>
      <c r="E48" s="62"/>
    </row>
    <row r="49" spans="1:5" s="597" customFormat="1" ht="20.100000000000001" hidden="1" customHeight="1">
      <c r="A49" s="39"/>
      <c r="B49" s="33" t="s">
        <v>109</v>
      </c>
      <c r="C49" s="39" t="s">
        <v>37</v>
      </c>
      <c r="D49" s="605"/>
      <c r="E49" s="62"/>
    </row>
    <row r="50" spans="1:5" s="597" customFormat="1" ht="32.25" hidden="1" customHeight="1">
      <c r="A50" s="39" t="s">
        <v>36</v>
      </c>
      <c r="B50" s="607" t="s">
        <v>139</v>
      </c>
      <c r="C50" s="39" t="s">
        <v>37</v>
      </c>
      <c r="D50" s="605"/>
      <c r="E50" s="62"/>
    </row>
    <row r="51" spans="1:5" s="597" customFormat="1" ht="15.75" hidden="1">
      <c r="A51" s="39" t="s">
        <v>53</v>
      </c>
      <c r="B51" s="33" t="s">
        <v>110</v>
      </c>
      <c r="C51" s="39" t="s">
        <v>37</v>
      </c>
      <c r="D51" s="605"/>
      <c r="E51" s="62"/>
    </row>
    <row r="52" spans="1:5" s="558" customFormat="1" ht="25.5" customHeight="1">
      <c r="A52" s="11">
        <v>2</v>
      </c>
      <c r="B52" s="30" t="s">
        <v>313</v>
      </c>
      <c r="C52" s="11"/>
      <c r="D52" s="605"/>
      <c r="E52" s="15"/>
    </row>
    <row r="53" spans="1:5" ht="20.100000000000001" customHeight="1">
      <c r="A53" s="32" t="s">
        <v>34</v>
      </c>
      <c r="B53" s="35" t="s">
        <v>912</v>
      </c>
      <c r="C53" s="32" t="s">
        <v>37</v>
      </c>
      <c r="D53" s="22">
        <f>'6 tháng 2021'!J105</f>
        <v>92</v>
      </c>
      <c r="E53" s="20"/>
    </row>
    <row r="54" spans="1:5" ht="20.100000000000001" customHeight="1">
      <c r="A54" s="32" t="s">
        <v>35</v>
      </c>
      <c r="B54" s="35" t="s">
        <v>212</v>
      </c>
      <c r="C54" s="34" t="s">
        <v>76</v>
      </c>
      <c r="D54" s="22">
        <f>'6 tháng 2021'!J106</f>
        <v>324</v>
      </c>
      <c r="E54" s="20"/>
    </row>
    <row r="55" spans="1:5" s="597" customFormat="1" ht="20.100000000000001" customHeight="1">
      <c r="A55" s="39"/>
      <c r="B55" s="33" t="s">
        <v>210</v>
      </c>
      <c r="C55" s="541" t="s">
        <v>76</v>
      </c>
      <c r="D55" s="22">
        <f>'6 tháng 2021'!J107</f>
        <v>214</v>
      </c>
      <c r="E55" s="62"/>
    </row>
    <row r="56" spans="1:5" s="597" customFormat="1" ht="20.100000000000001" customHeight="1">
      <c r="A56" s="39"/>
      <c r="B56" s="33" t="s">
        <v>211</v>
      </c>
      <c r="C56" s="541" t="s">
        <v>76</v>
      </c>
      <c r="D56" s="22">
        <f>'6 tháng 2021'!J108</f>
        <v>110</v>
      </c>
      <c r="E56" s="62"/>
    </row>
    <row r="57" spans="1:5" s="597" customFormat="1" ht="9.75" customHeight="1">
      <c r="A57" s="39"/>
      <c r="B57" s="33"/>
      <c r="C57" s="541"/>
      <c r="D57" s="22"/>
      <c r="E57" s="62"/>
    </row>
    <row r="58" spans="1:5" s="608" customFormat="1" ht="20.100000000000001" customHeight="1">
      <c r="A58" s="11" t="s">
        <v>43</v>
      </c>
      <c r="B58" s="31" t="s">
        <v>111</v>
      </c>
      <c r="C58" s="96"/>
      <c r="D58" s="603"/>
      <c r="E58" s="96"/>
    </row>
    <row r="59" spans="1:5" s="608" customFormat="1" ht="20.100000000000001" customHeight="1">
      <c r="A59" s="11">
        <v>1</v>
      </c>
      <c r="B59" s="30" t="s">
        <v>112</v>
      </c>
      <c r="C59" s="96"/>
      <c r="D59" s="603"/>
      <c r="E59" s="96"/>
    </row>
    <row r="60" spans="1:5" ht="20.100000000000001" customHeight="1">
      <c r="A60" s="19"/>
      <c r="B60" s="46" t="s">
        <v>380</v>
      </c>
      <c r="C60" s="32" t="s">
        <v>45</v>
      </c>
      <c r="D60" s="22">
        <f>'6 tháng 2021'!J118</f>
        <v>150</v>
      </c>
      <c r="E60" s="20"/>
    </row>
    <row r="61" spans="1:5" ht="20.100000000000001" customHeight="1">
      <c r="A61" s="19"/>
      <c r="B61" s="46" t="s">
        <v>381</v>
      </c>
      <c r="C61" s="32" t="s">
        <v>45</v>
      </c>
      <c r="D61" s="22" t="e">
        <f>'6 tháng 2021'!#REF!</f>
        <v>#REF!</v>
      </c>
      <c r="E61" s="20"/>
    </row>
    <row r="62" spans="1:5" ht="20.100000000000001" customHeight="1">
      <c r="A62" s="19"/>
      <c r="B62" s="37" t="s">
        <v>382</v>
      </c>
      <c r="C62" s="34" t="s">
        <v>76</v>
      </c>
      <c r="D62" s="22">
        <f>'6 tháng 2021'!J119</f>
        <v>52000</v>
      </c>
      <c r="E62" s="20"/>
    </row>
    <row r="63" spans="1:5" ht="20.100000000000001" customHeight="1">
      <c r="A63" s="19"/>
      <c r="B63" s="37" t="s">
        <v>383</v>
      </c>
      <c r="C63" s="34" t="s">
        <v>76</v>
      </c>
      <c r="D63" s="22">
        <f>'6 tháng 2021'!J120</f>
        <v>10000</v>
      </c>
      <c r="E63" s="20"/>
    </row>
    <row r="64" spans="1:5" ht="20.100000000000001" hidden="1" customHeight="1">
      <c r="A64" s="19"/>
      <c r="B64" s="35" t="s">
        <v>113</v>
      </c>
      <c r="C64" s="34" t="s">
        <v>77</v>
      </c>
      <c r="D64" s="603"/>
      <c r="E64" s="20"/>
    </row>
    <row r="65" spans="1:5" ht="20.100000000000001" hidden="1" customHeight="1">
      <c r="A65" s="19"/>
      <c r="B65" s="35" t="s">
        <v>114</v>
      </c>
      <c r="C65" s="32" t="s">
        <v>46</v>
      </c>
      <c r="D65" s="603"/>
      <c r="E65" s="20"/>
    </row>
    <row r="66" spans="1:5" ht="24.75" customHeight="1">
      <c r="A66" s="19"/>
      <c r="B66" s="37" t="s">
        <v>919</v>
      </c>
      <c r="C66" s="32" t="s">
        <v>44</v>
      </c>
      <c r="D66" s="22">
        <f>'6 tháng 2021'!J121</f>
        <v>90000</v>
      </c>
      <c r="E66" s="20"/>
    </row>
    <row r="67" spans="1:5" ht="34.5" hidden="1" customHeight="1">
      <c r="A67" s="76">
        <v>2</v>
      </c>
      <c r="B67" s="30" t="s">
        <v>115</v>
      </c>
      <c r="C67" s="32"/>
      <c r="D67" s="605"/>
      <c r="E67" s="20"/>
    </row>
    <row r="68" spans="1:5" ht="20.100000000000001" hidden="1" customHeight="1">
      <c r="A68" s="19"/>
      <c r="B68" s="35" t="s">
        <v>116</v>
      </c>
      <c r="C68" s="32" t="s">
        <v>65</v>
      </c>
      <c r="D68" s="603"/>
      <c r="E68" s="20"/>
    </row>
    <row r="69" spans="1:5" ht="20.100000000000001" hidden="1" customHeight="1">
      <c r="A69" s="19"/>
      <c r="B69" s="35" t="s">
        <v>117</v>
      </c>
      <c r="C69" s="34" t="s">
        <v>62</v>
      </c>
      <c r="D69" s="603"/>
      <c r="E69" s="20"/>
    </row>
    <row r="70" spans="1:5" ht="20.100000000000001" hidden="1" customHeight="1">
      <c r="A70" s="19"/>
      <c r="B70" s="35" t="s">
        <v>118</v>
      </c>
      <c r="C70" s="34" t="s">
        <v>32</v>
      </c>
      <c r="D70" s="603"/>
      <c r="E70" s="20"/>
    </row>
    <row r="71" spans="1:5" ht="20.25" hidden="1" customHeight="1">
      <c r="A71" s="19"/>
      <c r="B71" s="35" t="s">
        <v>127</v>
      </c>
      <c r="C71" s="34" t="s">
        <v>62</v>
      </c>
      <c r="D71" s="603"/>
      <c r="E71" s="20"/>
    </row>
    <row r="72" spans="1:5" ht="20.100000000000001" hidden="1" customHeight="1">
      <c r="A72" s="32"/>
      <c r="B72" s="35" t="s">
        <v>119</v>
      </c>
      <c r="C72" s="34" t="s">
        <v>32</v>
      </c>
      <c r="D72" s="22"/>
      <c r="E72" s="20"/>
    </row>
    <row r="73" spans="1:5" ht="9.75" customHeight="1">
      <c r="A73" s="97"/>
      <c r="B73" s="98"/>
      <c r="C73" s="97"/>
      <c r="D73" s="98"/>
      <c r="E73" s="98"/>
    </row>
    <row r="74" spans="1:5" ht="14.1" customHeight="1">
      <c r="B74" s="827"/>
      <c r="C74" s="827"/>
      <c r="D74" s="618"/>
    </row>
  </sheetData>
  <mergeCells count="9">
    <mergeCell ref="B74:C74"/>
    <mergeCell ref="A1:B1"/>
    <mergeCell ref="A5:A6"/>
    <mergeCell ref="B5:B6"/>
    <mergeCell ref="C5:C6"/>
    <mergeCell ref="A3:E3"/>
    <mergeCell ref="D5:D6"/>
    <mergeCell ref="A2:E2"/>
    <mergeCell ref="E5:E6"/>
  </mergeCells>
  <phoneticPr fontId="0" type="noConversion"/>
  <printOptions horizontalCentered="1"/>
  <pageMargins left="0.86614173228346458" right="0.23622047244094491" top="0.51181102362204722" bottom="0.23622047244094491" header="0.15748031496062992" footer="0.11811023622047245"/>
  <pageSetup paperSize="9" scale="93" fitToHeight="3" orientation="portrait" r:id="rId1"/>
  <headerFooter alignWithMargins="0">
    <oddFooter>&amp;C&amp;"Times New Roman,Regular"&amp;P/&amp;N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G3" sqref="G3"/>
    </sheetView>
  </sheetViews>
  <sheetFormatPr defaultRowHeight="12.75"/>
  <cols>
    <col min="2" max="2" width="28.28515625" customWidth="1"/>
  </cols>
  <sheetData>
    <row r="1" spans="1:12" ht="17.25" thickBot="1">
      <c r="A1" s="835" t="s">
        <v>524</v>
      </c>
      <c r="B1" s="835" t="s">
        <v>863</v>
      </c>
      <c r="C1" s="837" t="s">
        <v>514</v>
      </c>
      <c r="D1" s="838"/>
      <c r="E1" s="838"/>
      <c r="F1" s="838"/>
      <c r="G1" s="839"/>
      <c r="H1" s="837" t="s">
        <v>864</v>
      </c>
      <c r="I1" s="839"/>
      <c r="J1" s="835" t="s">
        <v>75</v>
      </c>
    </row>
    <row r="2" spans="1:12" ht="33">
      <c r="A2" s="836"/>
      <c r="B2" s="836"/>
      <c r="C2" s="374" t="s">
        <v>865</v>
      </c>
      <c r="D2" s="374" t="s">
        <v>866</v>
      </c>
      <c r="E2" s="374" t="s">
        <v>867</v>
      </c>
      <c r="F2" s="374" t="s">
        <v>868</v>
      </c>
      <c r="G2" s="374" t="s">
        <v>869</v>
      </c>
      <c r="H2" s="374" t="s">
        <v>865</v>
      </c>
      <c r="I2" s="374" t="s">
        <v>866</v>
      </c>
      <c r="J2" s="836"/>
    </row>
    <row r="3" spans="1:12" ht="16.5">
      <c r="A3" s="375">
        <v>1</v>
      </c>
      <c r="B3" s="376" t="s">
        <v>870</v>
      </c>
      <c r="C3" s="377">
        <v>1597</v>
      </c>
      <c r="D3" s="377">
        <v>1528</v>
      </c>
      <c r="E3" s="377">
        <v>1457</v>
      </c>
      <c r="F3" s="378">
        <v>0.91200000000000003</v>
      </c>
      <c r="G3" s="377">
        <v>1276</v>
      </c>
      <c r="H3" s="377">
        <v>1606</v>
      </c>
      <c r="I3" s="377">
        <v>1589</v>
      </c>
      <c r="J3" s="379"/>
      <c r="L3">
        <f>I3/H3%</f>
        <v>98.9414694894147</v>
      </c>
    </row>
    <row r="4" spans="1:12" ht="16.5">
      <c r="A4" s="375">
        <v>2</v>
      </c>
      <c r="B4" s="376" t="s">
        <v>871</v>
      </c>
      <c r="C4" s="377">
        <v>3265</v>
      </c>
      <c r="D4" s="377">
        <v>3170</v>
      </c>
      <c r="E4" s="377">
        <v>2926</v>
      </c>
      <c r="F4" s="378">
        <v>0.89600000000000002</v>
      </c>
      <c r="G4" s="375">
        <v>730</v>
      </c>
      <c r="H4" s="377">
        <v>3265</v>
      </c>
      <c r="I4" s="377">
        <v>3169</v>
      </c>
      <c r="J4" s="380"/>
      <c r="L4">
        <f t="shared" ref="L4:L11" si="0">I4/H4%</f>
        <v>97.059724349157733</v>
      </c>
    </row>
    <row r="5" spans="1:12" ht="16.5">
      <c r="A5" s="375">
        <v>3</v>
      </c>
      <c r="B5" s="381" t="s">
        <v>872</v>
      </c>
      <c r="C5" s="377">
        <v>1881</v>
      </c>
      <c r="D5" s="377">
        <v>1660</v>
      </c>
      <c r="E5" s="377">
        <v>1602</v>
      </c>
      <c r="F5" s="378">
        <v>0.85099999999999998</v>
      </c>
      <c r="G5" s="377">
        <v>1285</v>
      </c>
      <c r="H5" s="377">
        <v>1881</v>
      </c>
      <c r="I5" s="377">
        <v>1617</v>
      </c>
      <c r="J5" s="379"/>
      <c r="L5">
        <f t="shared" si="0"/>
        <v>85.964912280701753</v>
      </c>
    </row>
    <row r="6" spans="1:12" ht="16.5">
      <c r="A6" s="375">
        <v>4</v>
      </c>
      <c r="B6" s="376" t="s">
        <v>873</v>
      </c>
      <c r="C6" s="375">
        <v>898</v>
      </c>
      <c r="D6" s="375">
        <v>886</v>
      </c>
      <c r="E6" s="375">
        <v>750</v>
      </c>
      <c r="F6" s="378">
        <v>0.83499999999999996</v>
      </c>
      <c r="G6" s="375">
        <v>675</v>
      </c>
      <c r="H6" s="375">
        <v>899</v>
      </c>
      <c r="I6" s="375">
        <v>899</v>
      </c>
      <c r="J6" s="379"/>
      <c r="L6">
        <f t="shared" si="0"/>
        <v>100</v>
      </c>
    </row>
    <row r="7" spans="1:12" ht="16.5">
      <c r="A7" s="375">
        <v>5</v>
      </c>
      <c r="B7" s="376" t="s">
        <v>874</v>
      </c>
      <c r="C7" s="375">
        <v>571</v>
      </c>
      <c r="D7" s="375">
        <v>569</v>
      </c>
      <c r="E7" s="375">
        <v>460</v>
      </c>
      <c r="F7" s="378">
        <v>0.80500000000000005</v>
      </c>
      <c r="G7" s="375">
        <v>312</v>
      </c>
      <c r="H7" s="375">
        <v>588</v>
      </c>
      <c r="I7" s="375">
        <v>586</v>
      </c>
      <c r="J7" s="379"/>
      <c r="L7">
        <f t="shared" si="0"/>
        <v>99.659863945578238</v>
      </c>
    </row>
    <row r="8" spans="1:12" ht="16.5">
      <c r="A8" s="375">
        <v>6</v>
      </c>
      <c r="B8" s="376" t="s">
        <v>875</v>
      </c>
      <c r="C8" s="375">
        <v>650</v>
      </c>
      <c r="D8" s="375">
        <v>632</v>
      </c>
      <c r="E8" s="375">
        <v>606</v>
      </c>
      <c r="F8" s="378">
        <v>0.93200000000000005</v>
      </c>
      <c r="G8" s="375">
        <v>171</v>
      </c>
      <c r="H8" s="375">
        <v>650</v>
      </c>
      <c r="I8" s="375">
        <v>650</v>
      </c>
      <c r="J8" s="379"/>
      <c r="L8">
        <f t="shared" si="0"/>
        <v>100</v>
      </c>
    </row>
    <row r="9" spans="1:12" ht="16.5">
      <c r="A9" s="375">
        <v>7</v>
      </c>
      <c r="B9" s="376" t="s">
        <v>876</v>
      </c>
      <c r="C9" s="375">
        <v>770</v>
      </c>
      <c r="D9" s="375">
        <v>770</v>
      </c>
      <c r="E9" s="375">
        <v>608</v>
      </c>
      <c r="F9" s="382">
        <v>0.79</v>
      </c>
      <c r="G9" s="375">
        <v>398</v>
      </c>
      <c r="H9" s="375">
        <v>803</v>
      </c>
      <c r="I9" s="375">
        <v>803</v>
      </c>
      <c r="J9" s="379"/>
      <c r="L9">
        <f t="shared" si="0"/>
        <v>100.00000000000001</v>
      </c>
    </row>
    <row r="10" spans="1:12" ht="16.5">
      <c r="A10" s="383">
        <v>8</v>
      </c>
      <c r="B10" s="376" t="s">
        <v>877</v>
      </c>
      <c r="C10" s="383">
        <v>930</v>
      </c>
      <c r="D10" s="383">
        <v>925</v>
      </c>
      <c r="E10" s="383">
        <v>817</v>
      </c>
      <c r="F10" s="384">
        <v>0.878</v>
      </c>
      <c r="G10" s="383">
        <v>654</v>
      </c>
      <c r="H10" s="383">
        <v>930</v>
      </c>
      <c r="I10" s="383">
        <v>925</v>
      </c>
      <c r="J10" s="379"/>
      <c r="L10">
        <f t="shared" si="0"/>
        <v>99.462365591397841</v>
      </c>
    </row>
    <row r="11" spans="1:12" ht="16.5">
      <c r="A11" s="375">
        <v>9</v>
      </c>
      <c r="B11" s="376" t="s">
        <v>878</v>
      </c>
      <c r="C11" s="375">
        <v>760</v>
      </c>
      <c r="D11" s="375">
        <v>674</v>
      </c>
      <c r="E11" s="375">
        <v>605</v>
      </c>
      <c r="F11" s="382">
        <v>0.8</v>
      </c>
      <c r="G11" s="375">
        <v>52</v>
      </c>
      <c r="H11" s="375">
        <v>760</v>
      </c>
      <c r="I11" s="375">
        <v>753</v>
      </c>
      <c r="J11" s="379"/>
      <c r="L11">
        <f t="shared" si="0"/>
        <v>99.078947368421055</v>
      </c>
    </row>
    <row r="12" spans="1:12" ht="16.5">
      <c r="A12" s="375"/>
      <c r="B12" s="379" t="s">
        <v>879</v>
      </c>
      <c r="C12" s="385">
        <v>11322</v>
      </c>
      <c r="D12" s="385">
        <v>10814</v>
      </c>
      <c r="E12" s="385">
        <v>9831</v>
      </c>
      <c r="F12" s="386">
        <v>0.86799999999999999</v>
      </c>
      <c r="G12" s="385">
        <v>5553</v>
      </c>
      <c r="H12" s="385">
        <v>11382</v>
      </c>
      <c r="I12" s="385">
        <v>10991</v>
      </c>
      <c r="J12" s="379"/>
    </row>
    <row r="16" spans="1:12" ht="13.5" thickBot="1"/>
    <row r="17" spans="1:7" ht="83.25" thickBot="1">
      <c r="A17" s="369" t="s">
        <v>524</v>
      </c>
      <c r="B17" s="370" t="s">
        <v>863</v>
      </c>
      <c r="C17" s="370" t="s">
        <v>880</v>
      </c>
      <c r="D17" s="370" t="s">
        <v>881</v>
      </c>
      <c r="E17" s="370" t="s">
        <v>868</v>
      </c>
      <c r="F17" s="370" t="s">
        <v>882</v>
      </c>
      <c r="G17" s="370" t="s">
        <v>75</v>
      </c>
    </row>
    <row r="18" spans="1:7" ht="17.25" thickBot="1">
      <c r="A18" s="361">
        <v>1</v>
      </c>
      <c r="B18" s="362" t="s">
        <v>870</v>
      </c>
      <c r="C18" s="364">
        <v>8</v>
      </c>
      <c r="D18" s="364">
        <v>8</v>
      </c>
      <c r="E18" s="371">
        <v>1</v>
      </c>
      <c r="F18" s="364">
        <v>8</v>
      </c>
      <c r="G18" s="363"/>
    </row>
    <row r="19" spans="1:7" ht="17.25" thickBot="1">
      <c r="A19" s="361">
        <v>2</v>
      </c>
      <c r="B19" s="362" t="s">
        <v>871</v>
      </c>
      <c r="C19" s="364">
        <v>12</v>
      </c>
      <c r="D19" s="364">
        <v>8</v>
      </c>
      <c r="E19" s="372">
        <v>0.66600000000000004</v>
      </c>
      <c r="F19" s="368">
        <v>12</v>
      </c>
      <c r="G19" s="366"/>
    </row>
    <row r="20" spans="1:7" ht="17.25" thickBot="1">
      <c r="A20" s="361">
        <v>3</v>
      </c>
      <c r="B20" s="367" t="s">
        <v>872</v>
      </c>
      <c r="C20" s="364">
        <v>7</v>
      </c>
      <c r="D20" s="364">
        <v>5</v>
      </c>
      <c r="E20" s="372">
        <v>0.85699999999999998</v>
      </c>
      <c r="F20" s="364">
        <v>7</v>
      </c>
      <c r="G20" s="363"/>
    </row>
    <row r="21" spans="1:7" ht="17.25" thickBot="1">
      <c r="A21" s="361">
        <v>4</v>
      </c>
      <c r="B21" s="362" t="s">
        <v>873</v>
      </c>
      <c r="C21" s="364">
        <v>8</v>
      </c>
      <c r="D21" s="364">
        <v>7</v>
      </c>
      <c r="E21" s="372">
        <v>0.875</v>
      </c>
      <c r="F21" s="368">
        <v>8</v>
      </c>
      <c r="G21" s="363"/>
    </row>
    <row r="22" spans="1:7" ht="17.25" thickBot="1">
      <c r="A22" s="361">
        <v>5</v>
      </c>
      <c r="B22" s="362" t="s">
        <v>874</v>
      </c>
      <c r="C22" s="364">
        <v>6</v>
      </c>
      <c r="D22" s="364">
        <v>5</v>
      </c>
      <c r="E22" s="372">
        <v>0.83299999999999996</v>
      </c>
      <c r="F22" s="365">
        <v>6</v>
      </c>
      <c r="G22" s="363"/>
    </row>
    <row r="23" spans="1:7" ht="17.25" thickBot="1">
      <c r="A23" s="361">
        <v>6</v>
      </c>
      <c r="B23" s="362" t="s">
        <v>875</v>
      </c>
      <c r="C23" s="364">
        <v>6</v>
      </c>
      <c r="D23" s="368">
        <v>6</v>
      </c>
      <c r="E23" s="371">
        <v>1</v>
      </c>
      <c r="F23" s="368">
        <v>6</v>
      </c>
      <c r="G23" s="363"/>
    </row>
    <row r="24" spans="1:7" ht="17.25" thickBot="1">
      <c r="A24" s="361">
        <v>7</v>
      </c>
      <c r="B24" s="362" t="s">
        <v>876</v>
      </c>
      <c r="C24" s="364">
        <v>5</v>
      </c>
      <c r="D24" s="364">
        <v>5</v>
      </c>
      <c r="E24" s="371">
        <v>1</v>
      </c>
      <c r="F24" s="364">
        <v>5</v>
      </c>
      <c r="G24" s="363"/>
    </row>
    <row r="25" spans="1:7" ht="17.25" thickBot="1">
      <c r="A25" s="361">
        <v>8</v>
      </c>
      <c r="B25" s="362" t="s">
        <v>877</v>
      </c>
      <c r="C25" s="364">
        <v>10</v>
      </c>
      <c r="D25" s="364">
        <v>8</v>
      </c>
      <c r="E25" s="371">
        <v>0.8</v>
      </c>
      <c r="F25" s="364">
        <v>10</v>
      </c>
      <c r="G25" s="363"/>
    </row>
    <row r="26" spans="1:7" ht="17.25" thickBot="1">
      <c r="A26" s="361">
        <v>9</v>
      </c>
      <c r="B26" s="362" t="s">
        <v>878</v>
      </c>
      <c r="C26" s="364">
        <v>5</v>
      </c>
      <c r="D26" s="364">
        <v>5</v>
      </c>
      <c r="E26" s="371">
        <v>1</v>
      </c>
      <c r="F26" s="364">
        <v>5</v>
      </c>
      <c r="G26" s="363"/>
    </row>
    <row r="27" spans="1:7" ht="17.25" thickBot="1">
      <c r="A27" s="361"/>
      <c r="B27" s="363" t="s">
        <v>879</v>
      </c>
      <c r="C27" s="360">
        <v>67</v>
      </c>
      <c r="D27" s="360">
        <v>57</v>
      </c>
      <c r="E27" s="373">
        <v>0.86499999999999999</v>
      </c>
      <c r="F27" s="360">
        <v>67</v>
      </c>
      <c r="G27" s="363"/>
    </row>
  </sheetData>
  <mergeCells count="5">
    <mergeCell ref="A1:A2"/>
    <mergeCell ref="B1:B2"/>
    <mergeCell ref="C1:G1"/>
    <mergeCell ref="H1:I1"/>
    <mergeCell ref="J1:J2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C11" sqref="C11"/>
    </sheetView>
  </sheetViews>
  <sheetFormatPr defaultRowHeight="12.75"/>
  <cols>
    <col min="2" max="2" width="28.28515625" customWidth="1"/>
    <col min="3" max="3" width="10.5703125" bestFit="1" customWidth="1"/>
  </cols>
  <sheetData>
    <row r="1" spans="1:4" ht="33.75" thickBot="1">
      <c r="A1" s="703" t="s">
        <v>524</v>
      </c>
      <c r="B1" s="703" t="s">
        <v>863</v>
      </c>
      <c r="C1" s="704" t="s">
        <v>514</v>
      </c>
      <c r="D1" s="703" t="s">
        <v>75</v>
      </c>
    </row>
    <row r="2" spans="1:4" ht="16.5">
      <c r="A2" s="375">
        <v>1</v>
      </c>
      <c r="B2" s="376" t="s">
        <v>870</v>
      </c>
      <c r="C2" s="377">
        <v>16</v>
      </c>
      <c r="D2" s="379"/>
    </row>
    <row r="3" spans="1:4" ht="16.5">
      <c r="A3" s="375">
        <v>2</v>
      </c>
      <c r="B3" s="381" t="s">
        <v>872</v>
      </c>
      <c r="C3" s="377">
        <v>16</v>
      </c>
      <c r="D3" s="379"/>
    </row>
    <row r="4" spans="1:4" ht="16.5">
      <c r="A4" s="375">
        <v>3</v>
      </c>
      <c r="B4" s="376" t="s">
        <v>873</v>
      </c>
      <c r="C4" s="375">
        <v>19</v>
      </c>
      <c r="D4" s="379"/>
    </row>
    <row r="5" spans="1:4" ht="16.5">
      <c r="A5" s="375">
        <v>4</v>
      </c>
      <c r="B5" s="376" t="s">
        <v>874</v>
      </c>
      <c r="C5" s="375">
        <v>8</v>
      </c>
      <c r="D5" s="379"/>
    </row>
    <row r="6" spans="1:4" ht="16.5">
      <c r="A6" s="375">
        <v>5</v>
      </c>
      <c r="B6" s="376" t="s">
        <v>875</v>
      </c>
      <c r="C6" s="375">
        <v>12</v>
      </c>
      <c r="D6" s="379"/>
    </row>
    <row r="7" spans="1:4" ht="16.5">
      <c r="A7" s="375">
        <v>6</v>
      </c>
      <c r="B7" s="376" t="s">
        <v>876</v>
      </c>
      <c r="C7" s="375">
        <v>9</v>
      </c>
      <c r="D7" s="379"/>
    </row>
    <row r="8" spans="1:4" ht="16.5">
      <c r="A8" s="375">
        <v>7</v>
      </c>
      <c r="B8" s="376" t="s">
        <v>877</v>
      </c>
      <c r="C8" s="383">
        <v>9</v>
      </c>
      <c r="D8" s="379"/>
    </row>
    <row r="9" spans="1:4" ht="16.5">
      <c r="A9" s="375">
        <v>8</v>
      </c>
      <c r="B9" s="376" t="s">
        <v>878</v>
      </c>
      <c r="C9" s="375">
        <v>7</v>
      </c>
      <c r="D9" s="379"/>
    </row>
    <row r="10" spans="1:4" ht="16.5">
      <c r="A10" s="375"/>
      <c r="B10" s="379" t="s">
        <v>879</v>
      </c>
      <c r="C10" s="385">
        <f>SUM(C2:C9)</f>
        <v>96</v>
      </c>
      <c r="D10" s="379"/>
    </row>
    <row r="13" spans="1:4">
      <c r="C13" s="705">
        <f>C10/8</f>
        <v>12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71"/>
  <sheetViews>
    <sheetView zoomScale="70" zoomScaleNormal="70" workbookViewId="0">
      <pane xSplit="2" ySplit="9" topLeftCell="C10" activePane="bottomRight" state="frozen"/>
      <selection activeCell="F28" sqref="F28"/>
      <selection pane="topRight" activeCell="F28" sqref="F28"/>
      <selection pane="bottomLeft" activeCell="F28" sqref="F28"/>
      <selection pane="bottomRight" activeCell="F28" sqref="F28"/>
    </sheetView>
  </sheetViews>
  <sheetFormatPr defaultRowHeight="12.75" outlineLevelRow="1"/>
  <cols>
    <col min="1" max="1" width="5.7109375" style="350" customWidth="1"/>
    <col min="2" max="2" width="34.28515625" style="350" customWidth="1"/>
    <col min="3" max="3" width="9.42578125" style="350" customWidth="1"/>
    <col min="4" max="11" width="10.42578125" style="350" customWidth="1"/>
    <col min="12" max="255" width="9.140625" style="350"/>
    <col min="256" max="256" width="5.7109375" style="350" customWidth="1"/>
    <col min="257" max="257" width="34.28515625" style="350" customWidth="1"/>
    <col min="258" max="258" width="9.42578125" style="350" customWidth="1"/>
    <col min="259" max="266" width="10.42578125" style="350" customWidth="1"/>
    <col min="267" max="267" width="9.140625" style="350"/>
    <col min="268" max="268" width="0" style="350" hidden="1" customWidth="1"/>
    <col min="269" max="511" width="9.140625" style="350"/>
    <col min="512" max="512" width="5.7109375" style="350" customWidth="1"/>
    <col min="513" max="513" width="34.28515625" style="350" customWidth="1"/>
    <col min="514" max="514" width="9.42578125" style="350" customWidth="1"/>
    <col min="515" max="522" width="10.42578125" style="350" customWidth="1"/>
    <col min="523" max="523" width="9.140625" style="350"/>
    <col min="524" max="524" width="0" style="350" hidden="1" customWidth="1"/>
    <col min="525" max="767" width="9.140625" style="350"/>
    <col min="768" max="768" width="5.7109375" style="350" customWidth="1"/>
    <col min="769" max="769" width="34.28515625" style="350" customWidth="1"/>
    <col min="770" max="770" width="9.42578125" style="350" customWidth="1"/>
    <col min="771" max="778" width="10.42578125" style="350" customWidth="1"/>
    <col min="779" max="779" width="9.140625" style="350"/>
    <col min="780" max="780" width="0" style="350" hidden="1" customWidth="1"/>
    <col min="781" max="1023" width="9.140625" style="350"/>
    <col min="1024" max="1024" width="5.7109375" style="350" customWidth="1"/>
    <col min="1025" max="1025" width="34.28515625" style="350" customWidth="1"/>
    <col min="1026" max="1026" width="9.42578125" style="350" customWidth="1"/>
    <col min="1027" max="1034" width="10.42578125" style="350" customWidth="1"/>
    <col min="1035" max="1035" width="9.140625" style="350"/>
    <col min="1036" max="1036" width="0" style="350" hidden="1" customWidth="1"/>
    <col min="1037" max="1279" width="9.140625" style="350"/>
    <col min="1280" max="1280" width="5.7109375" style="350" customWidth="1"/>
    <col min="1281" max="1281" width="34.28515625" style="350" customWidth="1"/>
    <col min="1282" max="1282" width="9.42578125" style="350" customWidth="1"/>
    <col min="1283" max="1290" width="10.42578125" style="350" customWidth="1"/>
    <col min="1291" max="1291" width="9.140625" style="350"/>
    <col min="1292" max="1292" width="0" style="350" hidden="1" customWidth="1"/>
    <col min="1293" max="1535" width="9.140625" style="350"/>
    <col min="1536" max="1536" width="5.7109375" style="350" customWidth="1"/>
    <col min="1537" max="1537" width="34.28515625" style="350" customWidth="1"/>
    <col min="1538" max="1538" width="9.42578125" style="350" customWidth="1"/>
    <col min="1539" max="1546" width="10.42578125" style="350" customWidth="1"/>
    <col min="1547" max="1547" width="9.140625" style="350"/>
    <col min="1548" max="1548" width="0" style="350" hidden="1" customWidth="1"/>
    <col min="1549" max="1791" width="9.140625" style="350"/>
    <col min="1792" max="1792" width="5.7109375" style="350" customWidth="1"/>
    <col min="1793" max="1793" width="34.28515625" style="350" customWidth="1"/>
    <col min="1794" max="1794" width="9.42578125" style="350" customWidth="1"/>
    <col min="1795" max="1802" width="10.42578125" style="350" customWidth="1"/>
    <col min="1803" max="1803" width="9.140625" style="350"/>
    <col min="1804" max="1804" width="0" style="350" hidden="1" customWidth="1"/>
    <col min="1805" max="2047" width="9.140625" style="350"/>
    <col min="2048" max="2048" width="5.7109375" style="350" customWidth="1"/>
    <col min="2049" max="2049" width="34.28515625" style="350" customWidth="1"/>
    <col min="2050" max="2050" width="9.42578125" style="350" customWidth="1"/>
    <col min="2051" max="2058" width="10.42578125" style="350" customWidth="1"/>
    <col min="2059" max="2059" width="9.140625" style="350"/>
    <col min="2060" max="2060" width="0" style="350" hidden="1" customWidth="1"/>
    <col min="2061" max="2303" width="9.140625" style="350"/>
    <col min="2304" max="2304" width="5.7109375" style="350" customWidth="1"/>
    <col min="2305" max="2305" width="34.28515625" style="350" customWidth="1"/>
    <col min="2306" max="2306" width="9.42578125" style="350" customWidth="1"/>
    <col min="2307" max="2314" width="10.42578125" style="350" customWidth="1"/>
    <col min="2315" max="2315" width="9.140625" style="350"/>
    <col min="2316" max="2316" width="0" style="350" hidden="1" customWidth="1"/>
    <col min="2317" max="2559" width="9.140625" style="350"/>
    <col min="2560" max="2560" width="5.7109375" style="350" customWidth="1"/>
    <col min="2561" max="2561" width="34.28515625" style="350" customWidth="1"/>
    <col min="2562" max="2562" width="9.42578125" style="350" customWidth="1"/>
    <col min="2563" max="2570" width="10.42578125" style="350" customWidth="1"/>
    <col min="2571" max="2571" width="9.140625" style="350"/>
    <col min="2572" max="2572" width="0" style="350" hidden="1" customWidth="1"/>
    <col min="2573" max="2815" width="9.140625" style="350"/>
    <col min="2816" max="2816" width="5.7109375" style="350" customWidth="1"/>
    <col min="2817" max="2817" width="34.28515625" style="350" customWidth="1"/>
    <col min="2818" max="2818" width="9.42578125" style="350" customWidth="1"/>
    <col min="2819" max="2826" width="10.42578125" style="350" customWidth="1"/>
    <col min="2827" max="2827" width="9.140625" style="350"/>
    <col min="2828" max="2828" width="0" style="350" hidden="1" customWidth="1"/>
    <col min="2829" max="3071" width="9.140625" style="350"/>
    <col min="3072" max="3072" width="5.7109375" style="350" customWidth="1"/>
    <col min="3073" max="3073" width="34.28515625" style="350" customWidth="1"/>
    <col min="3074" max="3074" width="9.42578125" style="350" customWidth="1"/>
    <col min="3075" max="3082" width="10.42578125" style="350" customWidth="1"/>
    <col min="3083" max="3083" width="9.140625" style="350"/>
    <col min="3084" max="3084" width="0" style="350" hidden="1" customWidth="1"/>
    <col min="3085" max="3327" width="9.140625" style="350"/>
    <col min="3328" max="3328" width="5.7109375" style="350" customWidth="1"/>
    <col min="3329" max="3329" width="34.28515625" style="350" customWidth="1"/>
    <col min="3330" max="3330" width="9.42578125" style="350" customWidth="1"/>
    <col min="3331" max="3338" width="10.42578125" style="350" customWidth="1"/>
    <col min="3339" max="3339" width="9.140625" style="350"/>
    <col min="3340" max="3340" width="0" style="350" hidden="1" customWidth="1"/>
    <col min="3341" max="3583" width="9.140625" style="350"/>
    <col min="3584" max="3584" width="5.7109375" style="350" customWidth="1"/>
    <col min="3585" max="3585" width="34.28515625" style="350" customWidth="1"/>
    <col min="3586" max="3586" width="9.42578125" style="350" customWidth="1"/>
    <col min="3587" max="3594" width="10.42578125" style="350" customWidth="1"/>
    <col min="3595" max="3595" width="9.140625" style="350"/>
    <col min="3596" max="3596" width="0" style="350" hidden="1" customWidth="1"/>
    <col min="3597" max="3839" width="9.140625" style="350"/>
    <col min="3840" max="3840" width="5.7109375" style="350" customWidth="1"/>
    <col min="3841" max="3841" width="34.28515625" style="350" customWidth="1"/>
    <col min="3842" max="3842" width="9.42578125" style="350" customWidth="1"/>
    <col min="3843" max="3850" width="10.42578125" style="350" customWidth="1"/>
    <col min="3851" max="3851" width="9.140625" style="350"/>
    <col min="3852" max="3852" width="0" style="350" hidden="1" customWidth="1"/>
    <col min="3853" max="4095" width="9.140625" style="350"/>
    <col min="4096" max="4096" width="5.7109375" style="350" customWidth="1"/>
    <col min="4097" max="4097" width="34.28515625" style="350" customWidth="1"/>
    <col min="4098" max="4098" width="9.42578125" style="350" customWidth="1"/>
    <col min="4099" max="4106" width="10.42578125" style="350" customWidth="1"/>
    <col min="4107" max="4107" width="9.140625" style="350"/>
    <col min="4108" max="4108" width="0" style="350" hidden="1" customWidth="1"/>
    <col min="4109" max="4351" width="9.140625" style="350"/>
    <col min="4352" max="4352" width="5.7109375" style="350" customWidth="1"/>
    <col min="4353" max="4353" width="34.28515625" style="350" customWidth="1"/>
    <col min="4354" max="4354" width="9.42578125" style="350" customWidth="1"/>
    <col min="4355" max="4362" width="10.42578125" style="350" customWidth="1"/>
    <col min="4363" max="4363" width="9.140625" style="350"/>
    <col min="4364" max="4364" width="0" style="350" hidden="1" customWidth="1"/>
    <col min="4365" max="4607" width="9.140625" style="350"/>
    <col min="4608" max="4608" width="5.7109375" style="350" customWidth="1"/>
    <col min="4609" max="4609" width="34.28515625" style="350" customWidth="1"/>
    <col min="4610" max="4610" width="9.42578125" style="350" customWidth="1"/>
    <col min="4611" max="4618" width="10.42578125" style="350" customWidth="1"/>
    <col min="4619" max="4619" width="9.140625" style="350"/>
    <col min="4620" max="4620" width="0" style="350" hidden="1" customWidth="1"/>
    <col min="4621" max="4863" width="9.140625" style="350"/>
    <col min="4864" max="4864" width="5.7109375" style="350" customWidth="1"/>
    <col min="4865" max="4865" width="34.28515625" style="350" customWidth="1"/>
    <col min="4866" max="4866" width="9.42578125" style="350" customWidth="1"/>
    <col min="4867" max="4874" width="10.42578125" style="350" customWidth="1"/>
    <col min="4875" max="4875" width="9.140625" style="350"/>
    <col min="4876" max="4876" width="0" style="350" hidden="1" customWidth="1"/>
    <col min="4877" max="5119" width="9.140625" style="350"/>
    <col min="5120" max="5120" width="5.7109375" style="350" customWidth="1"/>
    <col min="5121" max="5121" width="34.28515625" style="350" customWidth="1"/>
    <col min="5122" max="5122" width="9.42578125" style="350" customWidth="1"/>
    <col min="5123" max="5130" width="10.42578125" style="350" customWidth="1"/>
    <col min="5131" max="5131" width="9.140625" style="350"/>
    <col min="5132" max="5132" width="0" style="350" hidden="1" customWidth="1"/>
    <col min="5133" max="5375" width="9.140625" style="350"/>
    <col min="5376" max="5376" width="5.7109375" style="350" customWidth="1"/>
    <col min="5377" max="5377" width="34.28515625" style="350" customWidth="1"/>
    <col min="5378" max="5378" width="9.42578125" style="350" customWidth="1"/>
    <col min="5379" max="5386" width="10.42578125" style="350" customWidth="1"/>
    <col min="5387" max="5387" width="9.140625" style="350"/>
    <col min="5388" max="5388" width="0" style="350" hidden="1" customWidth="1"/>
    <col min="5389" max="5631" width="9.140625" style="350"/>
    <col min="5632" max="5632" width="5.7109375" style="350" customWidth="1"/>
    <col min="5633" max="5633" width="34.28515625" style="350" customWidth="1"/>
    <col min="5634" max="5634" width="9.42578125" style="350" customWidth="1"/>
    <col min="5635" max="5642" width="10.42578125" style="350" customWidth="1"/>
    <col min="5643" max="5643" width="9.140625" style="350"/>
    <col min="5644" max="5644" width="0" style="350" hidden="1" customWidth="1"/>
    <col min="5645" max="5887" width="9.140625" style="350"/>
    <col min="5888" max="5888" width="5.7109375" style="350" customWidth="1"/>
    <col min="5889" max="5889" width="34.28515625" style="350" customWidth="1"/>
    <col min="5890" max="5890" width="9.42578125" style="350" customWidth="1"/>
    <col min="5891" max="5898" width="10.42578125" style="350" customWidth="1"/>
    <col min="5899" max="5899" width="9.140625" style="350"/>
    <col min="5900" max="5900" width="0" style="350" hidden="1" customWidth="1"/>
    <col min="5901" max="6143" width="9.140625" style="350"/>
    <col min="6144" max="6144" width="5.7109375" style="350" customWidth="1"/>
    <col min="6145" max="6145" width="34.28515625" style="350" customWidth="1"/>
    <col min="6146" max="6146" width="9.42578125" style="350" customWidth="1"/>
    <col min="6147" max="6154" width="10.42578125" style="350" customWidth="1"/>
    <col min="6155" max="6155" width="9.140625" style="350"/>
    <col min="6156" max="6156" width="0" style="350" hidden="1" customWidth="1"/>
    <col min="6157" max="6399" width="9.140625" style="350"/>
    <col min="6400" max="6400" width="5.7109375" style="350" customWidth="1"/>
    <col min="6401" max="6401" width="34.28515625" style="350" customWidth="1"/>
    <col min="6402" max="6402" width="9.42578125" style="350" customWidth="1"/>
    <col min="6403" max="6410" width="10.42578125" style="350" customWidth="1"/>
    <col min="6411" max="6411" width="9.140625" style="350"/>
    <col min="6412" max="6412" width="0" style="350" hidden="1" customWidth="1"/>
    <col min="6413" max="6655" width="9.140625" style="350"/>
    <col min="6656" max="6656" width="5.7109375" style="350" customWidth="1"/>
    <col min="6657" max="6657" width="34.28515625" style="350" customWidth="1"/>
    <col min="6658" max="6658" width="9.42578125" style="350" customWidth="1"/>
    <col min="6659" max="6666" width="10.42578125" style="350" customWidth="1"/>
    <col min="6667" max="6667" width="9.140625" style="350"/>
    <col min="6668" max="6668" width="0" style="350" hidden="1" customWidth="1"/>
    <col min="6669" max="6911" width="9.140625" style="350"/>
    <col min="6912" max="6912" width="5.7109375" style="350" customWidth="1"/>
    <col min="6913" max="6913" width="34.28515625" style="350" customWidth="1"/>
    <col min="6914" max="6914" width="9.42578125" style="350" customWidth="1"/>
    <col min="6915" max="6922" width="10.42578125" style="350" customWidth="1"/>
    <col min="6923" max="6923" width="9.140625" style="350"/>
    <col min="6924" max="6924" width="0" style="350" hidden="1" customWidth="1"/>
    <col min="6925" max="7167" width="9.140625" style="350"/>
    <col min="7168" max="7168" width="5.7109375" style="350" customWidth="1"/>
    <col min="7169" max="7169" width="34.28515625" style="350" customWidth="1"/>
    <col min="7170" max="7170" width="9.42578125" style="350" customWidth="1"/>
    <col min="7171" max="7178" width="10.42578125" style="350" customWidth="1"/>
    <col min="7179" max="7179" width="9.140625" style="350"/>
    <col min="7180" max="7180" width="0" style="350" hidden="1" customWidth="1"/>
    <col min="7181" max="7423" width="9.140625" style="350"/>
    <col min="7424" max="7424" width="5.7109375" style="350" customWidth="1"/>
    <col min="7425" max="7425" width="34.28515625" style="350" customWidth="1"/>
    <col min="7426" max="7426" width="9.42578125" style="350" customWidth="1"/>
    <col min="7427" max="7434" width="10.42578125" style="350" customWidth="1"/>
    <col min="7435" max="7435" width="9.140625" style="350"/>
    <col min="7436" max="7436" width="0" style="350" hidden="1" customWidth="1"/>
    <col min="7437" max="7679" width="9.140625" style="350"/>
    <col min="7680" max="7680" width="5.7109375" style="350" customWidth="1"/>
    <col min="7681" max="7681" width="34.28515625" style="350" customWidth="1"/>
    <col min="7682" max="7682" width="9.42578125" style="350" customWidth="1"/>
    <col min="7683" max="7690" width="10.42578125" style="350" customWidth="1"/>
    <col min="7691" max="7691" width="9.140625" style="350"/>
    <col min="7692" max="7692" width="0" style="350" hidden="1" customWidth="1"/>
    <col min="7693" max="7935" width="9.140625" style="350"/>
    <col min="7936" max="7936" width="5.7109375" style="350" customWidth="1"/>
    <col min="7937" max="7937" width="34.28515625" style="350" customWidth="1"/>
    <col min="7938" max="7938" width="9.42578125" style="350" customWidth="1"/>
    <col min="7939" max="7946" width="10.42578125" style="350" customWidth="1"/>
    <col min="7947" max="7947" width="9.140625" style="350"/>
    <col min="7948" max="7948" width="0" style="350" hidden="1" customWidth="1"/>
    <col min="7949" max="8191" width="9.140625" style="350"/>
    <col min="8192" max="8192" width="5.7109375" style="350" customWidth="1"/>
    <col min="8193" max="8193" width="34.28515625" style="350" customWidth="1"/>
    <col min="8194" max="8194" width="9.42578125" style="350" customWidth="1"/>
    <col min="8195" max="8202" width="10.42578125" style="350" customWidth="1"/>
    <col min="8203" max="8203" width="9.140625" style="350"/>
    <col min="8204" max="8204" width="0" style="350" hidden="1" customWidth="1"/>
    <col min="8205" max="8447" width="9.140625" style="350"/>
    <col min="8448" max="8448" width="5.7109375" style="350" customWidth="1"/>
    <col min="8449" max="8449" width="34.28515625" style="350" customWidth="1"/>
    <col min="8450" max="8450" width="9.42578125" style="350" customWidth="1"/>
    <col min="8451" max="8458" width="10.42578125" style="350" customWidth="1"/>
    <col min="8459" max="8459" width="9.140625" style="350"/>
    <col min="8460" max="8460" width="0" style="350" hidden="1" customWidth="1"/>
    <col min="8461" max="8703" width="9.140625" style="350"/>
    <col min="8704" max="8704" width="5.7109375" style="350" customWidth="1"/>
    <col min="8705" max="8705" width="34.28515625" style="350" customWidth="1"/>
    <col min="8706" max="8706" width="9.42578125" style="350" customWidth="1"/>
    <col min="8707" max="8714" width="10.42578125" style="350" customWidth="1"/>
    <col min="8715" max="8715" width="9.140625" style="350"/>
    <col min="8716" max="8716" width="0" style="350" hidden="1" customWidth="1"/>
    <col min="8717" max="8959" width="9.140625" style="350"/>
    <col min="8960" max="8960" width="5.7109375" style="350" customWidth="1"/>
    <col min="8961" max="8961" width="34.28515625" style="350" customWidth="1"/>
    <col min="8962" max="8962" width="9.42578125" style="350" customWidth="1"/>
    <col min="8963" max="8970" width="10.42578125" style="350" customWidth="1"/>
    <col min="8971" max="8971" width="9.140625" style="350"/>
    <col min="8972" max="8972" width="0" style="350" hidden="1" customWidth="1"/>
    <col min="8973" max="9215" width="9.140625" style="350"/>
    <col min="9216" max="9216" width="5.7109375" style="350" customWidth="1"/>
    <col min="9217" max="9217" width="34.28515625" style="350" customWidth="1"/>
    <col min="9218" max="9218" width="9.42578125" style="350" customWidth="1"/>
    <col min="9219" max="9226" width="10.42578125" style="350" customWidth="1"/>
    <col min="9227" max="9227" width="9.140625" style="350"/>
    <col min="9228" max="9228" width="0" style="350" hidden="1" customWidth="1"/>
    <col min="9229" max="9471" width="9.140625" style="350"/>
    <col min="9472" max="9472" width="5.7109375" style="350" customWidth="1"/>
    <col min="9473" max="9473" width="34.28515625" style="350" customWidth="1"/>
    <col min="9474" max="9474" width="9.42578125" style="350" customWidth="1"/>
    <col min="9475" max="9482" width="10.42578125" style="350" customWidth="1"/>
    <col min="9483" max="9483" width="9.140625" style="350"/>
    <col min="9484" max="9484" width="0" style="350" hidden="1" customWidth="1"/>
    <col min="9485" max="9727" width="9.140625" style="350"/>
    <col min="9728" max="9728" width="5.7109375" style="350" customWidth="1"/>
    <col min="9729" max="9729" width="34.28515625" style="350" customWidth="1"/>
    <col min="9730" max="9730" width="9.42578125" style="350" customWidth="1"/>
    <col min="9731" max="9738" width="10.42578125" style="350" customWidth="1"/>
    <col min="9739" max="9739" width="9.140625" style="350"/>
    <col min="9740" max="9740" width="0" style="350" hidden="1" customWidth="1"/>
    <col min="9741" max="9983" width="9.140625" style="350"/>
    <col min="9984" max="9984" width="5.7109375" style="350" customWidth="1"/>
    <col min="9985" max="9985" width="34.28515625" style="350" customWidth="1"/>
    <col min="9986" max="9986" width="9.42578125" style="350" customWidth="1"/>
    <col min="9987" max="9994" width="10.42578125" style="350" customWidth="1"/>
    <col min="9995" max="9995" width="9.140625" style="350"/>
    <col min="9996" max="9996" width="0" style="350" hidden="1" customWidth="1"/>
    <col min="9997" max="10239" width="9.140625" style="350"/>
    <col min="10240" max="10240" width="5.7109375" style="350" customWidth="1"/>
    <col min="10241" max="10241" width="34.28515625" style="350" customWidth="1"/>
    <col min="10242" max="10242" width="9.42578125" style="350" customWidth="1"/>
    <col min="10243" max="10250" width="10.42578125" style="350" customWidth="1"/>
    <col min="10251" max="10251" width="9.140625" style="350"/>
    <col min="10252" max="10252" width="0" style="350" hidden="1" customWidth="1"/>
    <col min="10253" max="10495" width="9.140625" style="350"/>
    <col min="10496" max="10496" width="5.7109375" style="350" customWidth="1"/>
    <col min="10497" max="10497" width="34.28515625" style="350" customWidth="1"/>
    <col min="10498" max="10498" width="9.42578125" style="350" customWidth="1"/>
    <col min="10499" max="10506" width="10.42578125" style="350" customWidth="1"/>
    <col min="10507" max="10507" width="9.140625" style="350"/>
    <col min="10508" max="10508" width="0" style="350" hidden="1" customWidth="1"/>
    <col min="10509" max="10751" width="9.140625" style="350"/>
    <col min="10752" max="10752" width="5.7109375" style="350" customWidth="1"/>
    <col min="10753" max="10753" width="34.28515625" style="350" customWidth="1"/>
    <col min="10754" max="10754" width="9.42578125" style="350" customWidth="1"/>
    <col min="10755" max="10762" width="10.42578125" style="350" customWidth="1"/>
    <col min="10763" max="10763" width="9.140625" style="350"/>
    <col min="10764" max="10764" width="0" style="350" hidden="1" customWidth="1"/>
    <col min="10765" max="11007" width="9.140625" style="350"/>
    <col min="11008" max="11008" width="5.7109375" style="350" customWidth="1"/>
    <col min="11009" max="11009" width="34.28515625" style="350" customWidth="1"/>
    <col min="11010" max="11010" width="9.42578125" style="350" customWidth="1"/>
    <col min="11011" max="11018" width="10.42578125" style="350" customWidth="1"/>
    <col min="11019" max="11019" width="9.140625" style="350"/>
    <col min="11020" max="11020" width="0" style="350" hidden="1" customWidth="1"/>
    <col min="11021" max="11263" width="9.140625" style="350"/>
    <col min="11264" max="11264" width="5.7109375" style="350" customWidth="1"/>
    <col min="11265" max="11265" width="34.28515625" style="350" customWidth="1"/>
    <col min="11266" max="11266" width="9.42578125" style="350" customWidth="1"/>
    <col min="11267" max="11274" width="10.42578125" style="350" customWidth="1"/>
    <col min="11275" max="11275" width="9.140625" style="350"/>
    <col min="11276" max="11276" width="0" style="350" hidden="1" customWidth="1"/>
    <col min="11277" max="11519" width="9.140625" style="350"/>
    <col min="11520" max="11520" width="5.7109375" style="350" customWidth="1"/>
    <col min="11521" max="11521" width="34.28515625" style="350" customWidth="1"/>
    <col min="11522" max="11522" width="9.42578125" style="350" customWidth="1"/>
    <col min="11523" max="11530" width="10.42578125" style="350" customWidth="1"/>
    <col min="11531" max="11531" width="9.140625" style="350"/>
    <col min="11532" max="11532" width="0" style="350" hidden="1" customWidth="1"/>
    <col min="11533" max="11775" width="9.140625" style="350"/>
    <col min="11776" max="11776" width="5.7109375" style="350" customWidth="1"/>
    <col min="11777" max="11777" width="34.28515625" style="350" customWidth="1"/>
    <col min="11778" max="11778" width="9.42578125" style="350" customWidth="1"/>
    <col min="11779" max="11786" width="10.42578125" style="350" customWidth="1"/>
    <col min="11787" max="11787" width="9.140625" style="350"/>
    <col min="11788" max="11788" width="0" style="350" hidden="1" customWidth="1"/>
    <col min="11789" max="12031" width="9.140625" style="350"/>
    <col min="12032" max="12032" width="5.7109375" style="350" customWidth="1"/>
    <col min="12033" max="12033" width="34.28515625" style="350" customWidth="1"/>
    <col min="12034" max="12034" width="9.42578125" style="350" customWidth="1"/>
    <col min="12035" max="12042" width="10.42578125" style="350" customWidth="1"/>
    <col min="12043" max="12043" width="9.140625" style="350"/>
    <col min="12044" max="12044" width="0" style="350" hidden="1" customWidth="1"/>
    <col min="12045" max="12287" width="9.140625" style="350"/>
    <col min="12288" max="12288" width="5.7109375" style="350" customWidth="1"/>
    <col min="12289" max="12289" width="34.28515625" style="350" customWidth="1"/>
    <col min="12290" max="12290" width="9.42578125" style="350" customWidth="1"/>
    <col min="12291" max="12298" width="10.42578125" style="350" customWidth="1"/>
    <col min="12299" max="12299" width="9.140625" style="350"/>
    <col min="12300" max="12300" width="0" style="350" hidden="1" customWidth="1"/>
    <col min="12301" max="12543" width="9.140625" style="350"/>
    <col min="12544" max="12544" width="5.7109375" style="350" customWidth="1"/>
    <col min="12545" max="12545" width="34.28515625" style="350" customWidth="1"/>
    <col min="12546" max="12546" width="9.42578125" style="350" customWidth="1"/>
    <col min="12547" max="12554" width="10.42578125" style="350" customWidth="1"/>
    <col min="12555" max="12555" width="9.140625" style="350"/>
    <col min="12556" max="12556" width="0" style="350" hidden="1" customWidth="1"/>
    <col min="12557" max="12799" width="9.140625" style="350"/>
    <col min="12800" max="12800" width="5.7109375" style="350" customWidth="1"/>
    <col min="12801" max="12801" width="34.28515625" style="350" customWidth="1"/>
    <col min="12802" max="12802" width="9.42578125" style="350" customWidth="1"/>
    <col min="12803" max="12810" width="10.42578125" style="350" customWidth="1"/>
    <col min="12811" max="12811" width="9.140625" style="350"/>
    <col min="12812" max="12812" width="0" style="350" hidden="1" customWidth="1"/>
    <col min="12813" max="13055" width="9.140625" style="350"/>
    <col min="13056" max="13056" width="5.7109375" style="350" customWidth="1"/>
    <col min="13057" max="13057" width="34.28515625" style="350" customWidth="1"/>
    <col min="13058" max="13058" width="9.42578125" style="350" customWidth="1"/>
    <col min="13059" max="13066" width="10.42578125" style="350" customWidth="1"/>
    <col min="13067" max="13067" width="9.140625" style="350"/>
    <col min="13068" max="13068" width="0" style="350" hidden="1" customWidth="1"/>
    <col min="13069" max="13311" width="9.140625" style="350"/>
    <col min="13312" max="13312" width="5.7109375" style="350" customWidth="1"/>
    <col min="13313" max="13313" width="34.28515625" style="350" customWidth="1"/>
    <col min="13314" max="13314" width="9.42578125" style="350" customWidth="1"/>
    <col min="13315" max="13322" width="10.42578125" style="350" customWidth="1"/>
    <col min="13323" max="13323" width="9.140625" style="350"/>
    <col min="13324" max="13324" width="0" style="350" hidden="1" customWidth="1"/>
    <col min="13325" max="13567" width="9.140625" style="350"/>
    <col min="13568" max="13568" width="5.7109375" style="350" customWidth="1"/>
    <col min="13569" max="13569" width="34.28515625" style="350" customWidth="1"/>
    <col min="13570" max="13570" width="9.42578125" style="350" customWidth="1"/>
    <col min="13571" max="13578" width="10.42578125" style="350" customWidth="1"/>
    <col min="13579" max="13579" width="9.140625" style="350"/>
    <col min="13580" max="13580" width="0" style="350" hidden="1" customWidth="1"/>
    <col min="13581" max="13823" width="9.140625" style="350"/>
    <col min="13824" max="13824" width="5.7109375" style="350" customWidth="1"/>
    <col min="13825" max="13825" width="34.28515625" style="350" customWidth="1"/>
    <col min="13826" max="13826" width="9.42578125" style="350" customWidth="1"/>
    <col min="13827" max="13834" width="10.42578125" style="350" customWidth="1"/>
    <col min="13835" max="13835" width="9.140625" style="350"/>
    <col min="13836" max="13836" width="0" style="350" hidden="1" customWidth="1"/>
    <col min="13837" max="14079" width="9.140625" style="350"/>
    <col min="14080" max="14080" width="5.7109375" style="350" customWidth="1"/>
    <col min="14081" max="14081" width="34.28515625" style="350" customWidth="1"/>
    <col min="14082" max="14082" width="9.42578125" style="350" customWidth="1"/>
    <col min="14083" max="14090" width="10.42578125" style="350" customWidth="1"/>
    <col min="14091" max="14091" width="9.140625" style="350"/>
    <col min="14092" max="14092" width="0" style="350" hidden="1" customWidth="1"/>
    <col min="14093" max="14335" width="9.140625" style="350"/>
    <col min="14336" max="14336" width="5.7109375" style="350" customWidth="1"/>
    <col min="14337" max="14337" width="34.28515625" style="350" customWidth="1"/>
    <col min="14338" max="14338" width="9.42578125" style="350" customWidth="1"/>
    <col min="14339" max="14346" width="10.42578125" style="350" customWidth="1"/>
    <col min="14347" max="14347" width="9.140625" style="350"/>
    <col min="14348" max="14348" width="0" style="350" hidden="1" customWidth="1"/>
    <col min="14349" max="14591" width="9.140625" style="350"/>
    <col min="14592" max="14592" width="5.7109375" style="350" customWidth="1"/>
    <col min="14593" max="14593" width="34.28515625" style="350" customWidth="1"/>
    <col min="14594" max="14594" width="9.42578125" style="350" customWidth="1"/>
    <col min="14595" max="14602" width="10.42578125" style="350" customWidth="1"/>
    <col min="14603" max="14603" width="9.140625" style="350"/>
    <col min="14604" max="14604" width="0" style="350" hidden="1" customWidth="1"/>
    <col min="14605" max="14847" width="9.140625" style="350"/>
    <col min="14848" max="14848" width="5.7109375" style="350" customWidth="1"/>
    <col min="14849" max="14849" width="34.28515625" style="350" customWidth="1"/>
    <col min="14850" max="14850" width="9.42578125" style="350" customWidth="1"/>
    <col min="14851" max="14858" width="10.42578125" style="350" customWidth="1"/>
    <col min="14859" max="14859" width="9.140625" style="350"/>
    <col min="14860" max="14860" width="0" style="350" hidden="1" customWidth="1"/>
    <col min="14861" max="15103" width="9.140625" style="350"/>
    <col min="15104" max="15104" width="5.7109375" style="350" customWidth="1"/>
    <col min="15105" max="15105" width="34.28515625" style="350" customWidth="1"/>
    <col min="15106" max="15106" width="9.42578125" style="350" customWidth="1"/>
    <col min="15107" max="15114" width="10.42578125" style="350" customWidth="1"/>
    <col min="15115" max="15115" width="9.140625" style="350"/>
    <col min="15116" max="15116" width="0" style="350" hidden="1" customWidth="1"/>
    <col min="15117" max="15359" width="9.140625" style="350"/>
    <col min="15360" max="15360" width="5.7109375" style="350" customWidth="1"/>
    <col min="15361" max="15361" width="34.28515625" style="350" customWidth="1"/>
    <col min="15362" max="15362" width="9.42578125" style="350" customWidth="1"/>
    <col min="15363" max="15370" width="10.42578125" style="350" customWidth="1"/>
    <col min="15371" max="15371" width="9.140625" style="350"/>
    <col min="15372" max="15372" width="0" style="350" hidden="1" customWidth="1"/>
    <col min="15373" max="15615" width="9.140625" style="350"/>
    <col min="15616" max="15616" width="5.7109375" style="350" customWidth="1"/>
    <col min="15617" max="15617" width="34.28515625" style="350" customWidth="1"/>
    <col min="15618" max="15618" width="9.42578125" style="350" customWidth="1"/>
    <col min="15619" max="15626" width="10.42578125" style="350" customWidth="1"/>
    <col min="15627" max="15627" width="9.140625" style="350"/>
    <col min="15628" max="15628" width="0" style="350" hidden="1" customWidth="1"/>
    <col min="15629" max="15871" width="9.140625" style="350"/>
    <col min="15872" max="15872" width="5.7109375" style="350" customWidth="1"/>
    <col min="15873" max="15873" width="34.28515625" style="350" customWidth="1"/>
    <col min="15874" max="15874" width="9.42578125" style="350" customWidth="1"/>
    <col min="15875" max="15882" width="10.42578125" style="350" customWidth="1"/>
    <col min="15883" max="15883" width="9.140625" style="350"/>
    <col min="15884" max="15884" width="0" style="350" hidden="1" customWidth="1"/>
    <col min="15885" max="16127" width="9.140625" style="350"/>
    <col min="16128" max="16128" width="5.7109375" style="350" customWidth="1"/>
    <col min="16129" max="16129" width="34.28515625" style="350" customWidth="1"/>
    <col min="16130" max="16130" width="9.42578125" style="350" customWidth="1"/>
    <col min="16131" max="16138" width="10.42578125" style="350" customWidth="1"/>
    <col min="16139" max="16139" width="9.140625" style="350"/>
    <col min="16140" max="16140" width="0" style="350" hidden="1" customWidth="1"/>
    <col min="16141" max="16384" width="9.140625" style="350"/>
  </cols>
  <sheetData>
    <row r="1" spans="1:11" ht="15.75" outlineLevel="1">
      <c r="A1" s="781" t="s">
        <v>749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</row>
    <row r="2" spans="1:11" ht="15.75" outlineLevel="1">
      <c r="A2" s="782" t="s">
        <v>750</v>
      </c>
      <c r="B2" s="782"/>
      <c r="C2" s="782"/>
      <c r="D2" s="782"/>
      <c r="E2" s="782"/>
      <c r="F2" s="782"/>
      <c r="G2" s="782"/>
      <c r="H2" s="782"/>
      <c r="I2" s="782"/>
      <c r="J2" s="782"/>
      <c r="K2" s="782"/>
    </row>
    <row r="3" spans="1:11" ht="15.75" outlineLevel="1">
      <c r="A3" s="783" t="s">
        <v>796</v>
      </c>
      <c r="B3" s="783"/>
      <c r="C3" s="783"/>
      <c r="D3" s="783"/>
      <c r="E3" s="783"/>
      <c r="F3" s="783"/>
      <c r="G3" s="783"/>
      <c r="H3" s="783"/>
      <c r="I3" s="783"/>
      <c r="J3" s="783"/>
      <c r="K3" s="783"/>
    </row>
    <row r="4" spans="1:11" ht="15.75" outlineLevel="1">
      <c r="A4" s="65"/>
      <c r="B4" s="323"/>
      <c r="C4" s="323"/>
      <c r="D4" s="323"/>
      <c r="E4" s="323"/>
      <c r="F4" s="323"/>
      <c r="G4" s="323"/>
      <c r="H4" s="323"/>
      <c r="I4" s="323"/>
      <c r="J4" s="323"/>
      <c r="K4" s="323"/>
    </row>
    <row r="5" spans="1:11" ht="15.75">
      <c r="A5" s="784" t="s">
        <v>55</v>
      </c>
      <c r="B5" s="784" t="s">
        <v>751</v>
      </c>
      <c r="C5" s="784" t="s">
        <v>66</v>
      </c>
      <c r="D5" s="784" t="s">
        <v>415</v>
      </c>
      <c r="E5" s="784" t="s">
        <v>387</v>
      </c>
      <c r="F5" s="784" t="s">
        <v>797</v>
      </c>
      <c r="G5" s="785" t="s">
        <v>798</v>
      </c>
      <c r="H5" s="771" t="s">
        <v>475</v>
      </c>
      <c r="I5" s="771"/>
      <c r="J5" s="771"/>
      <c r="K5" s="764" t="s">
        <v>800</v>
      </c>
    </row>
    <row r="6" spans="1:11">
      <c r="A6" s="784"/>
      <c r="B6" s="784"/>
      <c r="C6" s="784"/>
      <c r="D6" s="784"/>
      <c r="E6" s="784"/>
      <c r="F6" s="784"/>
      <c r="G6" s="786"/>
      <c r="H6" s="771" t="s">
        <v>431</v>
      </c>
      <c r="I6" s="771" t="s">
        <v>799</v>
      </c>
      <c r="J6" s="784" t="s">
        <v>752</v>
      </c>
      <c r="K6" s="788"/>
    </row>
    <row r="7" spans="1:11" ht="47.25" customHeight="1">
      <c r="A7" s="784"/>
      <c r="B7" s="784"/>
      <c r="C7" s="784"/>
      <c r="D7" s="784"/>
      <c r="E7" s="784"/>
      <c r="F7" s="784"/>
      <c r="G7" s="787"/>
      <c r="H7" s="771"/>
      <c r="I7" s="771"/>
      <c r="J7" s="784"/>
      <c r="K7" s="765"/>
    </row>
    <row r="8" spans="1:11" ht="15.75">
      <c r="A8" s="324" t="s">
        <v>40</v>
      </c>
      <c r="B8" s="325" t="s">
        <v>43</v>
      </c>
      <c r="C8" s="325" t="s">
        <v>176</v>
      </c>
      <c r="D8" s="326">
        <v>1</v>
      </c>
      <c r="E8" s="326">
        <v>2</v>
      </c>
      <c r="F8" s="326">
        <v>3</v>
      </c>
      <c r="G8" s="326">
        <v>4</v>
      </c>
      <c r="H8" s="326" t="s">
        <v>753</v>
      </c>
      <c r="I8" s="327" t="s">
        <v>754</v>
      </c>
      <c r="J8" s="327" t="s">
        <v>755</v>
      </c>
      <c r="K8" s="326">
        <v>8</v>
      </c>
    </row>
    <row r="9" spans="1:11" ht="15.75">
      <c r="A9" s="78" t="s">
        <v>38</v>
      </c>
      <c r="B9" s="328" t="s">
        <v>295</v>
      </c>
      <c r="C9" s="302"/>
      <c r="D9" s="329"/>
      <c r="E9" s="329"/>
      <c r="F9" s="329"/>
      <c r="G9" s="329"/>
      <c r="H9" s="330"/>
      <c r="I9" s="330"/>
      <c r="J9" s="331"/>
      <c r="K9" s="79"/>
    </row>
    <row r="10" spans="1:11" ht="15.75">
      <c r="A10" s="11">
        <v>1</v>
      </c>
      <c r="B10" s="142" t="s">
        <v>756</v>
      </c>
      <c r="C10" s="21" t="s">
        <v>33</v>
      </c>
      <c r="D10" s="332"/>
      <c r="E10" s="332"/>
      <c r="F10" s="332"/>
      <c r="G10" s="332"/>
      <c r="H10" s="58" t="str">
        <f>IFERROR(G10/D10%,"")</f>
        <v/>
      </c>
      <c r="I10" s="58" t="str">
        <f>IFERROR(F10/E10%,"")</f>
        <v/>
      </c>
      <c r="J10" s="58" t="str">
        <f>IFERROR(G10/E10%,"")</f>
        <v/>
      </c>
      <c r="K10" s="20"/>
    </row>
    <row r="11" spans="1:11" ht="15.75">
      <c r="A11" s="32"/>
      <c r="B11" s="40" t="s">
        <v>70</v>
      </c>
      <c r="C11" s="21"/>
      <c r="D11" s="332"/>
      <c r="E11" s="38"/>
      <c r="F11" s="332"/>
      <c r="G11" s="332"/>
      <c r="H11" s="58" t="str">
        <f t="shared" ref="H11:H71" si="0">IFERROR(G11/D11%,"")</f>
        <v/>
      </c>
      <c r="I11" s="58" t="str">
        <f t="shared" ref="I11:I71" si="1">IFERROR(F11/E11%,"")</f>
        <v/>
      </c>
      <c r="J11" s="58" t="str">
        <f t="shared" ref="J11:J71" si="2">IFERROR(G11/E11%,"")</f>
        <v/>
      </c>
      <c r="K11" s="20"/>
    </row>
    <row r="12" spans="1:11" ht="15.75">
      <c r="A12" s="19"/>
      <c r="B12" s="40" t="s">
        <v>757</v>
      </c>
      <c r="C12" s="21" t="s">
        <v>33</v>
      </c>
      <c r="D12" s="332"/>
      <c r="E12" s="332"/>
      <c r="F12" s="332"/>
      <c r="G12" s="332"/>
      <c r="H12" s="58" t="str">
        <f t="shared" si="0"/>
        <v/>
      </c>
      <c r="I12" s="58" t="str">
        <f t="shared" si="1"/>
        <v/>
      </c>
      <c r="J12" s="58" t="str">
        <f t="shared" si="2"/>
        <v/>
      </c>
      <c r="K12" s="20"/>
    </row>
    <row r="13" spans="1:11" ht="15.75">
      <c r="A13" s="19"/>
      <c r="B13" s="40" t="s">
        <v>758</v>
      </c>
      <c r="C13" s="21" t="s">
        <v>33</v>
      </c>
      <c r="D13" s="332"/>
      <c r="E13" s="332"/>
      <c r="F13" s="332"/>
      <c r="G13" s="332"/>
      <c r="H13" s="58" t="str">
        <f t="shared" si="0"/>
        <v/>
      </c>
      <c r="I13" s="58" t="str">
        <f t="shared" si="1"/>
        <v/>
      </c>
      <c r="J13" s="58" t="str">
        <f t="shared" si="2"/>
        <v/>
      </c>
      <c r="K13" s="20"/>
    </row>
    <row r="14" spans="1:11" ht="15.75">
      <c r="A14" s="19"/>
      <c r="B14" s="40" t="s">
        <v>759</v>
      </c>
      <c r="C14" s="21" t="s">
        <v>33</v>
      </c>
      <c r="D14" s="332"/>
      <c r="E14" s="332"/>
      <c r="F14" s="332"/>
      <c r="G14" s="332"/>
      <c r="H14" s="58" t="str">
        <f t="shared" si="0"/>
        <v/>
      </c>
      <c r="I14" s="58" t="str">
        <f t="shared" si="1"/>
        <v/>
      </c>
      <c r="J14" s="58" t="str">
        <f t="shared" si="2"/>
        <v/>
      </c>
      <c r="K14" s="20"/>
    </row>
    <row r="15" spans="1:11" ht="15.75">
      <c r="A15" s="11">
        <v>2</v>
      </c>
      <c r="B15" s="142" t="s">
        <v>760</v>
      </c>
      <c r="C15" s="21"/>
      <c r="D15" s="332"/>
      <c r="E15" s="332"/>
      <c r="F15" s="332"/>
      <c r="G15" s="332"/>
      <c r="H15" s="58" t="str">
        <f t="shared" si="0"/>
        <v/>
      </c>
      <c r="I15" s="58" t="str">
        <f t="shared" si="1"/>
        <v/>
      </c>
      <c r="J15" s="58" t="str">
        <f t="shared" si="2"/>
        <v/>
      </c>
      <c r="K15" s="20"/>
    </row>
    <row r="16" spans="1:11" ht="15.75">
      <c r="A16" s="32"/>
      <c r="B16" s="40" t="s">
        <v>757</v>
      </c>
      <c r="C16" s="21" t="s">
        <v>33</v>
      </c>
      <c r="D16" s="332"/>
      <c r="E16" s="332"/>
      <c r="F16" s="332"/>
      <c r="G16" s="332"/>
      <c r="H16" s="58" t="str">
        <f t="shared" si="0"/>
        <v/>
      </c>
      <c r="I16" s="58" t="str">
        <f t="shared" si="1"/>
        <v/>
      </c>
      <c r="J16" s="58" t="str">
        <f t="shared" si="2"/>
        <v/>
      </c>
      <c r="K16" s="20"/>
    </row>
    <row r="17" spans="1:20" ht="15.75">
      <c r="A17" s="32"/>
      <c r="B17" s="40" t="s">
        <v>758</v>
      </c>
      <c r="C17" s="21" t="s">
        <v>33</v>
      </c>
      <c r="D17" s="332"/>
      <c r="E17" s="332"/>
      <c r="F17" s="332"/>
      <c r="G17" s="332"/>
      <c r="H17" s="58" t="str">
        <f t="shared" si="0"/>
        <v/>
      </c>
      <c r="I17" s="58" t="str">
        <f t="shared" si="1"/>
        <v/>
      </c>
      <c r="J17" s="58" t="str">
        <f t="shared" si="2"/>
        <v/>
      </c>
      <c r="K17" s="20"/>
    </row>
    <row r="18" spans="1:20" ht="15.75">
      <c r="A18" s="32"/>
      <c r="B18" s="40" t="s">
        <v>759</v>
      </c>
      <c r="C18" s="21" t="s">
        <v>33</v>
      </c>
      <c r="D18" s="332"/>
      <c r="E18" s="332"/>
      <c r="F18" s="332"/>
      <c r="G18" s="332"/>
      <c r="H18" s="58" t="str">
        <f t="shared" si="0"/>
        <v/>
      </c>
      <c r="I18" s="58" t="str">
        <f t="shared" si="1"/>
        <v/>
      </c>
      <c r="J18" s="58" t="str">
        <f t="shared" si="2"/>
        <v/>
      </c>
      <c r="K18" s="20"/>
    </row>
    <row r="19" spans="1:20" ht="15.75">
      <c r="A19" s="11">
        <v>3</v>
      </c>
      <c r="B19" s="142" t="s">
        <v>761</v>
      </c>
      <c r="C19" s="21" t="s">
        <v>762</v>
      </c>
      <c r="D19" s="22"/>
      <c r="E19" s="22"/>
      <c r="F19" s="22"/>
      <c r="G19" s="22"/>
      <c r="H19" s="58" t="str">
        <f t="shared" si="0"/>
        <v/>
      </c>
      <c r="I19" s="58" t="str">
        <f t="shared" si="1"/>
        <v/>
      </c>
      <c r="J19" s="58" t="str">
        <f t="shared" si="2"/>
        <v/>
      </c>
      <c r="K19" s="20"/>
    </row>
    <row r="20" spans="1:20" ht="21.75" customHeight="1">
      <c r="A20" s="11">
        <v>4</v>
      </c>
      <c r="B20" s="15" t="s">
        <v>763</v>
      </c>
      <c r="C20" s="21" t="s">
        <v>762</v>
      </c>
      <c r="D20" s="57">
        <v>381012</v>
      </c>
      <c r="E20" s="57">
        <v>277205</v>
      </c>
      <c r="F20" s="57">
        <v>197732</v>
      </c>
      <c r="G20" s="57">
        <v>336725</v>
      </c>
      <c r="H20" s="66">
        <f t="shared" si="0"/>
        <v>88.376481580632628</v>
      </c>
      <c r="I20" s="66">
        <f t="shared" si="1"/>
        <v>71.330603704839376</v>
      </c>
      <c r="J20" s="66">
        <f t="shared" si="2"/>
        <v>121.47147417975866</v>
      </c>
      <c r="K20" s="57">
        <v>300113</v>
      </c>
      <c r="M20" s="351"/>
      <c r="N20" s="351"/>
      <c r="O20" s="351"/>
      <c r="P20" s="351"/>
      <c r="Q20" s="351"/>
      <c r="R20" s="351"/>
      <c r="S20" s="351"/>
      <c r="T20" s="351"/>
    </row>
    <row r="21" spans="1:20" ht="47.25">
      <c r="A21" s="19"/>
      <c r="B21" s="62" t="s">
        <v>764</v>
      </c>
      <c r="C21" s="21" t="s">
        <v>762</v>
      </c>
      <c r="D21" s="59">
        <v>108450</v>
      </c>
      <c r="E21" s="59">
        <v>82860</v>
      </c>
      <c r="F21" s="59">
        <v>82108</v>
      </c>
      <c r="G21" s="59">
        <v>97237</v>
      </c>
      <c r="H21" s="58">
        <f t="shared" si="0"/>
        <v>89.660673121254035</v>
      </c>
      <c r="I21" s="58">
        <f t="shared" si="1"/>
        <v>99.092445088100405</v>
      </c>
      <c r="J21" s="58">
        <f t="shared" si="2"/>
        <v>117.35095341539946</v>
      </c>
      <c r="K21" s="59">
        <v>90225</v>
      </c>
    </row>
    <row r="22" spans="1:20" ht="15.75">
      <c r="A22" s="11">
        <v>5</v>
      </c>
      <c r="B22" s="15" t="s">
        <v>765</v>
      </c>
      <c r="C22" s="21" t="s">
        <v>762</v>
      </c>
      <c r="D22" s="57">
        <v>343325</v>
      </c>
      <c r="E22" s="57">
        <v>265473</v>
      </c>
      <c r="F22" s="57">
        <v>166553</v>
      </c>
      <c r="G22" s="57">
        <v>295234</v>
      </c>
      <c r="H22" s="66">
        <f t="shared" si="0"/>
        <v>85.992572635258142</v>
      </c>
      <c r="I22" s="66">
        <f t="shared" si="1"/>
        <v>62.73820689862999</v>
      </c>
      <c r="J22" s="66">
        <f t="shared" si="2"/>
        <v>111.21055625242492</v>
      </c>
      <c r="K22" s="57">
        <v>300113</v>
      </c>
    </row>
    <row r="23" spans="1:20" ht="15.75">
      <c r="A23" s="19"/>
      <c r="B23" s="20" t="s">
        <v>285</v>
      </c>
      <c r="C23" s="21"/>
      <c r="D23" s="59"/>
      <c r="E23" s="59"/>
      <c r="F23" s="59"/>
      <c r="G23" s="59"/>
      <c r="H23" s="58" t="str">
        <f t="shared" si="0"/>
        <v/>
      </c>
      <c r="I23" s="58" t="str">
        <f t="shared" si="1"/>
        <v/>
      </c>
      <c r="J23" s="58" t="str">
        <f t="shared" si="2"/>
        <v/>
      </c>
      <c r="K23" s="59"/>
    </row>
    <row r="24" spans="1:20" ht="15.75">
      <c r="A24" s="32"/>
      <c r="B24" s="352" t="s">
        <v>766</v>
      </c>
      <c r="C24" s="21" t="s">
        <v>762</v>
      </c>
      <c r="D24" s="59">
        <v>304884</v>
      </c>
      <c r="E24" s="59">
        <v>232779</v>
      </c>
      <c r="F24" s="59">
        <v>142348</v>
      </c>
      <c r="G24" s="59">
        <v>246827</v>
      </c>
      <c r="H24" s="58">
        <f t="shared" si="0"/>
        <v>80.957675706170207</v>
      </c>
      <c r="I24" s="58">
        <f t="shared" si="1"/>
        <v>61.151564359327949</v>
      </c>
      <c r="J24" s="58">
        <f t="shared" si="2"/>
        <v>106.03490864725769</v>
      </c>
      <c r="K24" s="59">
        <v>260231</v>
      </c>
    </row>
    <row r="25" spans="1:20" ht="15.75">
      <c r="A25" s="19"/>
      <c r="B25" s="40" t="s">
        <v>767</v>
      </c>
      <c r="C25" s="21" t="s">
        <v>762</v>
      </c>
      <c r="D25" s="59">
        <f>36880-D30</f>
        <v>17108.75</v>
      </c>
      <c r="E25" s="59">
        <v>8240</v>
      </c>
      <c r="F25" s="59">
        <v>7178</v>
      </c>
      <c r="G25" s="59">
        <v>19458</v>
      </c>
      <c r="H25" s="58">
        <f t="shared" si="0"/>
        <v>113.73127785489881</v>
      </c>
      <c r="I25" s="58">
        <f t="shared" si="1"/>
        <v>87.111650485436883</v>
      </c>
      <c r="J25" s="58">
        <f t="shared" si="2"/>
        <v>236.14077669902912</v>
      </c>
      <c r="K25" s="59">
        <v>9504</v>
      </c>
    </row>
    <row r="26" spans="1:20" ht="15.75">
      <c r="A26" s="19"/>
      <c r="B26" s="40" t="s">
        <v>545</v>
      </c>
      <c r="C26" s="21" t="s">
        <v>762</v>
      </c>
      <c r="D26" s="59">
        <v>232548</v>
      </c>
      <c r="E26" s="59">
        <v>219215</v>
      </c>
      <c r="F26" s="59">
        <v>133735</v>
      </c>
      <c r="G26" s="59">
        <v>222286</v>
      </c>
      <c r="H26" s="58">
        <f t="shared" si="0"/>
        <v>95.587147599635344</v>
      </c>
      <c r="I26" s="58">
        <f t="shared" si="1"/>
        <v>61.006317998312156</v>
      </c>
      <c r="J26" s="58">
        <f t="shared" si="2"/>
        <v>101.40090778459503</v>
      </c>
      <c r="K26" s="59">
        <v>244635</v>
      </c>
    </row>
    <row r="27" spans="1:20" ht="15.75">
      <c r="A27" s="32"/>
      <c r="B27" s="40" t="s">
        <v>768</v>
      </c>
      <c r="C27" s="21" t="s">
        <v>762</v>
      </c>
      <c r="D27" s="59"/>
      <c r="E27" s="59">
        <v>4650</v>
      </c>
      <c r="F27" s="59"/>
      <c r="G27" s="59">
        <v>2500</v>
      </c>
      <c r="H27" s="58" t="str">
        <f t="shared" si="0"/>
        <v/>
      </c>
      <c r="I27" s="58">
        <f t="shared" si="1"/>
        <v>0</v>
      </c>
      <c r="J27" s="58">
        <f t="shared" si="2"/>
        <v>53.763440860215056</v>
      </c>
      <c r="K27" s="59">
        <v>4893</v>
      </c>
    </row>
    <row r="28" spans="1:20" ht="15.75" customHeight="1">
      <c r="A28" s="32"/>
      <c r="B28" s="40" t="s">
        <v>769</v>
      </c>
      <c r="C28" s="21" t="s">
        <v>762</v>
      </c>
      <c r="D28" s="59"/>
      <c r="E28" s="59">
        <v>674</v>
      </c>
      <c r="F28" s="59"/>
      <c r="G28" s="59">
        <v>1147</v>
      </c>
      <c r="H28" s="58" t="str">
        <f t="shared" si="0"/>
        <v/>
      </c>
      <c r="I28" s="58">
        <f t="shared" si="1"/>
        <v>0</v>
      </c>
      <c r="J28" s="58">
        <f t="shared" si="2"/>
        <v>170.17804154302669</v>
      </c>
      <c r="K28" s="59">
        <v>1200</v>
      </c>
    </row>
    <row r="29" spans="1:20" ht="31.5">
      <c r="A29" s="32"/>
      <c r="B29" s="352" t="s">
        <v>770</v>
      </c>
      <c r="C29" s="21" t="s">
        <v>762</v>
      </c>
      <c r="D29" s="59">
        <v>23255</v>
      </c>
      <c r="E29" s="59">
        <f>16314+16380</f>
        <v>32694</v>
      </c>
      <c r="F29" s="59">
        <f>19488+4717</f>
        <v>24205</v>
      </c>
      <c r="G29" s="59">
        <f>31065+17342</f>
        <v>48407</v>
      </c>
      <c r="H29" s="58">
        <f t="shared" si="0"/>
        <v>208.15738550849278</v>
      </c>
      <c r="I29" s="58">
        <f t="shared" si="1"/>
        <v>74.034991129870932</v>
      </c>
      <c r="J29" s="58">
        <f t="shared" si="2"/>
        <v>148.06080626414632</v>
      </c>
      <c r="K29" s="59">
        <v>39881.5</v>
      </c>
    </row>
    <row r="30" spans="1:20" ht="15.75">
      <c r="A30" s="32"/>
      <c r="B30" s="40" t="s">
        <v>771</v>
      </c>
      <c r="C30" s="21" t="s">
        <v>762</v>
      </c>
      <c r="D30" s="59">
        <f>19771.25</f>
        <v>19771.25</v>
      </c>
      <c r="E30" s="59">
        <f>8581+6565+5013</f>
        <v>20159</v>
      </c>
      <c r="F30" s="59">
        <f>7056+520+1017+2612</f>
        <v>11205</v>
      </c>
      <c r="G30" s="59">
        <f>12531+550+6575+5536</f>
        <v>25192</v>
      </c>
      <c r="H30" s="58">
        <f t="shared" si="0"/>
        <v>127.41733577796042</v>
      </c>
      <c r="I30" s="58">
        <f t="shared" si="1"/>
        <v>55.583114241777864</v>
      </c>
      <c r="J30" s="58">
        <f t="shared" si="2"/>
        <v>124.96651619623989</v>
      </c>
      <c r="K30" s="59">
        <f>3320+16403</f>
        <v>19723</v>
      </c>
    </row>
    <row r="31" spans="1:20" ht="15.75">
      <c r="A31" s="32"/>
      <c r="B31" s="40" t="s">
        <v>772</v>
      </c>
      <c r="C31" s="21" t="s">
        <v>762</v>
      </c>
      <c r="D31" s="59">
        <f>D29-D30</f>
        <v>3483.75</v>
      </c>
      <c r="E31" s="59">
        <f>E29-E30</f>
        <v>12535</v>
      </c>
      <c r="F31" s="59">
        <f>F29-F30</f>
        <v>13000</v>
      </c>
      <c r="G31" s="59">
        <f>G29-G30</f>
        <v>23215</v>
      </c>
      <c r="H31" s="58">
        <f t="shared" si="0"/>
        <v>666.37961966271985</v>
      </c>
      <c r="I31" s="58">
        <f t="shared" si="1"/>
        <v>103.70961308336658</v>
      </c>
      <c r="J31" s="58">
        <f t="shared" si="2"/>
        <v>185.20143597925809</v>
      </c>
      <c r="K31" s="59">
        <f>K29-K30</f>
        <v>20158.5</v>
      </c>
    </row>
    <row r="32" spans="1:20" ht="31.5">
      <c r="A32" s="32"/>
      <c r="B32" s="353" t="s">
        <v>773</v>
      </c>
      <c r="C32" s="21" t="s">
        <v>762</v>
      </c>
      <c r="D32" s="38"/>
      <c r="E32" s="22"/>
      <c r="F32" s="38"/>
      <c r="G32" s="38"/>
      <c r="H32" s="58" t="str">
        <f t="shared" si="0"/>
        <v/>
      </c>
      <c r="I32" s="58" t="str">
        <f t="shared" si="1"/>
        <v/>
      </c>
      <c r="J32" s="58" t="str">
        <f t="shared" si="2"/>
        <v/>
      </c>
      <c r="K32" s="20"/>
    </row>
    <row r="33" spans="1:11" ht="31.5">
      <c r="A33" s="32"/>
      <c r="B33" s="353" t="s">
        <v>774</v>
      </c>
      <c r="C33" s="21" t="s">
        <v>762</v>
      </c>
      <c r="D33" s="38"/>
      <c r="E33" s="22"/>
      <c r="F33" s="38"/>
      <c r="G33" s="38"/>
      <c r="H33" s="58" t="str">
        <f t="shared" si="0"/>
        <v/>
      </c>
      <c r="I33" s="58" t="str">
        <f t="shared" si="1"/>
        <v/>
      </c>
      <c r="J33" s="58" t="str">
        <f t="shared" si="2"/>
        <v/>
      </c>
      <c r="K33" s="20"/>
    </row>
    <row r="34" spans="1:11" ht="31.5">
      <c r="A34" s="11">
        <v>7</v>
      </c>
      <c r="B34" s="142" t="s">
        <v>168</v>
      </c>
      <c r="C34" s="21" t="s">
        <v>76</v>
      </c>
      <c r="D34" s="22">
        <f>'6 tháng 2021'!E21</f>
        <v>7129.6886000000004</v>
      </c>
      <c r="E34" s="22">
        <f>'6 tháng 2021'!F21</f>
        <v>7071.0429999999997</v>
      </c>
      <c r="F34" s="22">
        <f>'6 tháng 2021'!H21</f>
        <v>3120.1059380221645</v>
      </c>
      <c r="G34" s="22">
        <f>'6 tháng 2021'!I21</f>
        <v>7374.5459380221637</v>
      </c>
      <c r="H34" s="58">
        <f t="shared" si="0"/>
        <v>103.43433425720954</v>
      </c>
      <c r="I34" s="58">
        <f t="shared" si="1"/>
        <v>44.125116167758627</v>
      </c>
      <c r="J34" s="58">
        <f t="shared" si="2"/>
        <v>104.29219477271123</v>
      </c>
      <c r="K34" s="75">
        <f>'6 tháng 2021'!J21</f>
        <v>7617</v>
      </c>
    </row>
    <row r="35" spans="1:11" ht="15.75">
      <c r="A35" s="32"/>
      <c r="B35" s="40" t="s">
        <v>775</v>
      </c>
      <c r="C35" s="21" t="s">
        <v>57</v>
      </c>
      <c r="D35" s="22">
        <f>'6 tháng 2021'!E24</f>
        <v>155.57664284545305</v>
      </c>
      <c r="E35" s="22">
        <f>'6 tháng 2021'!F24</f>
        <v>150.66410270068715</v>
      </c>
      <c r="F35" s="22">
        <f>'6 tháng 2021'!H24</f>
        <v>66.749514649569775</v>
      </c>
      <c r="G35" s="22">
        <f>'6 tháng 2021'!I24</f>
        <v>157.01213460275429</v>
      </c>
      <c r="H35" s="58">
        <f t="shared" si="0"/>
        <v>100.92269104863462</v>
      </c>
      <c r="I35" s="58">
        <f t="shared" si="1"/>
        <v>44.30352914401643</v>
      </c>
      <c r="J35" s="58">
        <f t="shared" si="2"/>
        <v>104.21336721108563</v>
      </c>
      <c r="K35" s="22">
        <f>'6 tháng 2021'!J24</f>
        <v>152.34</v>
      </c>
    </row>
    <row r="36" spans="1:11" ht="31.5">
      <c r="A36" s="11">
        <v>8</v>
      </c>
      <c r="B36" s="142" t="s">
        <v>776</v>
      </c>
      <c r="C36" s="21" t="s">
        <v>762</v>
      </c>
      <c r="D36" s="22">
        <f>'6 tháng 2021'!E123</f>
        <v>595000</v>
      </c>
      <c r="E36" s="22">
        <f>'6 tháng 2021'!F123</f>
        <v>696000</v>
      </c>
      <c r="F36" s="22">
        <f>'6 tháng 2021'!H123</f>
        <v>450000</v>
      </c>
      <c r="G36" s="22">
        <f>'6 tháng 2021'!I123</f>
        <v>698000</v>
      </c>
      <c r="H36" s="58">
        <f t="shared" si="0"/>
        <v>117.31092436974789</v>
      </c>
      <c r="I36" s="58">
        <f t="shared" si="1"/>
        <v>64.65517241379311</v>
      </c>
      <c r="J36" s="58">
        <f t="shared" si="2"/>
        <v>100.28735632183908</v>
      </c>
      <c r="K36" s="22">
        <f>'6 tháng 2021'!J123</f>
        <v>900000</v>
      </c>
    </row>
    <row r="37" spans="1:11" ht="15.75">
      <c r="A37" s="11" t="s">
        <v>39</v>
      </c>
      <c r="B37" s="142" t="s">
        <v>777</v>
      </c>
      <c r="C37" s="21"/>
      <c r="D37" s="22"/>
      <c r="E37" s="22"/>
      <c r="F37" s="22"/>
      <c r="G37" s="22"/>
      <c r="H37" s="58" t="str">
        <f t="shared" si="0"/>
        <v/>
      </c>
      <c r="I37" s="58" t="str">
        <f t="shared" si="1"/>
        <v/>
      </c>
      <c r="J37" s="58" t="str">
        <f t="shared" si="2"/>
        <v/>
      </c>
      <c r="K37" s="20"/>
    </row>
    <row r="38" spans="1:11" ht="15.75">
      <c r="A38" s="11">
        <v>1</v>
      </c>
      <c r="B38" s="142" t="s">
        <v>778</v>
      </c>
      <c r="C38" s="21"/>
      <c r="D38" s="26"/>
      <c r="E38" s="26"/>
      <c r="F38" s="26"/>
      <c r="G38" s="26"/>
      <c r="H38" s="58" t="str">
        <f t="shared" si="0"/>
        <v/>
      </c>
      <c r="I38" s="58" t="str">
        <f t="shared" si="1"/>
        <v/>
      </c>
      <c r="J38" s="58" t="str">
        <f t="shared" si="2"/>
        <v/>
      </c>
      <c r="K38" s="20"/>
    </row>
    <row r="39" spans="1:11" ht="15.75">
      <c r="A39" s="32" t="s">
        <v>155</v>
      </c>
      <c r="B39" s="40" t="s">
        <v>779</v>
      </c>
      <c r="C39" s="21" t="s">
        <v>73</v>
      </c>
      <c r="D39" s="26">
        <f>'6 tháng 2021'!E130</f>
        <v>45827.5</v>
      </c>
      <c r="E39" s="26">
        <f>'6 tháng 2021'!F130</f>
        <v>46932.5</v>
      </c>
      <c r="F39" s="26">
        <f>'6 tháng 2021'!H130</f>
        <v>46743.5</v>
      </c>
      <c r="G39" s="26">
        <f>'6 tháng 2021'!I130</f>
        <v>46968</v>
      </c>
      <c r="H39" s="58">
        <f t="shared" si="0"/>
        <v>102.48868037750259</v>
      </c>
      <c r="I39" s="58">
        <f t="shared" si="1"/>
        <v>99.597293986043795</v>
      </c>
      <c r="J39" s="58">
        <f t="shared" si="2"/>
        <v>100.07564054759496</v>
      </c>
      <c r="K39" s="26">
        <f>'6 tháng 2021'!J130</f>
        <v>50000</v>
      </c>
    </row>
    <row r="40" spans="1:11" ht="15.75">
      <c r="A40" s="32" t="s">
        <v>155</v>
      </c>
      <c r="B40" s="40" t="s">
        <v>392</v>
      </c>
      <c r="C40" s="21" t="s">
        <v>170</v>
      </c>
      <c r="D40" s="58">
        <f>'6 tháng 2021'!E131</f>
        <v>22.92</v>
      </c>
      <c r="E40" s="58">
        <f>'6 tháng 2021'!F131</f>
        <v>22</v>
      </c>
      <c r="F40" s="58">
        <f>'6 tháng 2021'!H131</f>
        <v>22</v>
      </c>
      <c r="G40" s="58">
        <f>'6 tháng 2021'!I131</f>
        <v>22</v>
      </c>
      <c r="H40" s="58">
        <f t="shared" si="0"/>
        <v>95.986038394415345</v>
      </c>
      <c r="I40" s="58">
        <f t="shared" si="1"/>
        <v>100</v>
      </c>
      <c r="J40" s="58">
        <f t="shared" si="2"/>
        <v>100</v>
      </c>
      <c r="K40" s="58">
        <f>'6 tháng 2021'!J131</f>
        <v>1.8</v>
      </c>
    </row>
    <row r="41" spans="1:11" ht="15.75">
      <c r="A41" s="32" t="s">
        <v>155</v>
      </c>
      <c r="B41" s="40" t="s">
        <v>780</v>
      </c>
      <c r="C41" s="21" t="s">
        <v>585</v>
      </c>
      <c r="D41" s="38"/>
      <c r="E41" s="38"/>
      <c r="F41" s="38"/>
      <c r="G41" s="38"/>
      <c r="H41" s="58" t="str">
        <f t="shared" si="0"/>
        <v/>
      </c>
      <c r="I41" s="58" t="str">
        <f t="shared" si="1"/>
        <v/>
      </c>
      <c r="J41" s="58" t="str">
        <f t="shared" si="2"/>
        <v/>
      </c>
      <c r="K41" s="38"/>
    </row>
    <row r="42" spans="1:11" ht="15.75">
      <c r="A42" s="32" t="s">
        <v>155</v>
      </c>
      <c r="B42" s="40" t="s">
        <v>781</v>
      </c>
      <c r="C42" s="21" t="s">
        <v>33</v>
      </c>
      <c r="D42" s="38">
        <f>'6 tháng 2021'!E180</f>
        <v>44.444444444444443</v>
      </c>
      <c r="E42" s="38">
        <f>'6 tháng 2021'!F180</f>
        <v>77.777777777777786</v>
      </c>
      <c r="F42" s="38">
        <f>'6 tháng 2021'!H180</f>
        <v>44.444444444444443</v>
      </c>
      <c r="G42" s="38">
        <f>'6 tháng 2021'!I180</f>
        <v>77.777777777777786</v>
      </c>
      <c r="H42" s="58">
        <f t="shared" si="0"/>
        <v>175.00000000000003</v>
      </c>
      <c r="I42" s="58">
        <f t="shared" si="1"/>
        <v>57.142857142857132</v>
      </c>
      <c r="J42" s="58">
        <f t="shared" si="2"/>
        <v>100</v>
      </c>
      <c r="K42" s="38">
        <f>'6 tháng 2021'!J180</f>
        <v>100</v>
      </c>
    </row>
    <row r="43" spans="1:11" ht="15.75">
      <c r="A43" s="32" t="s">
        <v>155</v>
      </c>
      <c r="B43" s="40" t="s">
        <v>782</v>
      </c>
      <c r="C43" s="21" t="s">
        <v>33</v>
      </c>
      <c r="D43" s="38">
        <f>'6 tháng 2021'!E183</f>
        <v>20</v>
      </c>
      <c r="E43" s="38">
        <f>'6 tháng 2021'!F183</f>
        <v>19.5</v>
      </c>
      <c r="F43" s="38">
        <f>'6 tháng 2021'!H183</f>
        <v>0</v>
      </c>
      <c r="G43" s="38">
        <f>'6 tháng 2021'!I183</f>
        <v>19.5</v>
      </c>
      <c r="H43" s="58">
        <f t="shared" si="0"/>
        <v>97.5</v>
      </c>
      <c r="I43" s="58">
        <f t="shared" si="1"/>
        <v>0</v>
      </c>
      <c r="J43" s="58">
        <f t="shared" si="2"/>
        <v>100</v>
      </c>
      <c r="K43" s="38">
        <f>'6 tháng 2021'!J183</f>
        <v>18.600000000000001</v>
      </c>
    </row>
    <row r="44" spans="1:11" ht="15.75">
      <c r="A44" s="11">
        <v>2</v>
      </c>
      <c r="B44" s="142" t="s">
        <v>6</v>
      </c>
      <c r="C44" s="21"/>
      <c r="D44" s="58"/>
      <c r="E44" s="58"/>
      <c r="F44" s="58"/>
      <c r="G44" s="58"/>
      <c r="H44" s="58" t="str">
        <f t="shared" si="0"/>
        <v/>
      </c>
      <c r="I44" s="58" t="str">
        <f t="shared" si="1"/>
        <v/>
      </c>
      <c r="J44" s="58" t="str">
        <f t="shared" si="2"/>
        <v/>
      </c>
      <c r="K44" s="20"/>
    </row>
    <row r="45" spans="1:11" ht="15.75">
      <c r="A45" s="32" t="s">
        <v>155</v>
      </c>
      <c r="B45" s="40" t="s">
        <v>390</v>
      </c>
      <c r="C45" s="40"/>
      <c r="D45" s="40"/>
      <c r="E45" s="40"/>
      <c r="F45" s="40"/>
      <c r="G45" s="40"/>
      <c r="H45" s="58" t="str">
        <f t="shared" si="0"/>
        <v/>
      </c>
      <c r="I45" s="58" t="str">
        <f t="shared" si="1"/>
        <v/>
      </c>
      <c r="J45" s="58" t="str">
        <f t="shared" si="2"/>
        <v/>
      </c>
      <c r="K45" s="20"/>
    </row>
    <row r="46" spans="1:11" ht="15.75">
      <c r="A46" s="32"/>
      <c r="B46" s="40" t="s">
        <v>188</v>
      </c>
      <c r="C46" s="21" t="s">
        <v>33</v>
      </c>
      <c r="D46" s="40"/>
      <c r="E46" s="40"/>
      <c r="F46" s="40"/>
      <c r="G46" s="40"/>
      <c r="H46" s="58" t="str">
        <f t="shared" si="0"/>
        <v/>
      </c>
      <c r="I46" s="58" t="str">
        <f t="shared" si="1"/>
        <v/>
      </c>
      <c r="J46" s="58" t="str">
        <f t="shared" si="2"/>
        <v/>
      </c>
      <c r="K46" s="20"/>
    </row>
    <row r="47" spans="1:11" s="354" customFormat="1" ht="15.75">
      <c r="A47" s="39"/>
      <c r="B47" s="210" t="s">
        <v>189</v>
      </c>
      <c r="C47" s="41" t="s">
        <v>33</v>
      </c>
      <c r="D47" s="58" t="e">
        <f>'6 tháng 2021'!#REF!</f>
        <v>#REF!</v>
      </c>
      <c r="E47" s="58" t="e">
        <f>'6 tháng 2021'!#REF!</f>
        <v>#REF!</v>
      </c>
      <c r="F47" s="58" t="e">
        <f>'6 tháng 2021'!#REF!</f>
        <v>#REF!</v>
      </c>
      <c r="G47" s="58" t="e">
        <f>'6 tháng 2021'!#REF!</f>
        <v>#REF!</v>
      </c>
      <c r="H47" s="58" t="str">
        <f t="shared" si="0"/>
        <v/>
      </c>
      <c r="I47" s="58" t="str">
        <f t="shared" si="1"/>
        <v/>
      </c>
      <c r="J47" s="58" t="str">
        <f t="shared" si="2"/>
        <v/>
      </c>
      <c r="K47" s="58" t="e">
        <f>'6 tháng 2021'!#REF!</f>
        <v>#REF!</v>
      </c>
    </row>
    <row r="48" spans="1:11" s="354" customFormat="1" ht="15.75">
      <c r="A48" s="39"/>
      <c r="B48" s="210" t="s">
        <v>190</v>
      </c>
      <c r="C48" s="41" t="s">
        <v>33</v>
      </c>
      <c r="D48" s="58" t="e">
        <f>'6 tháng 2021'!#REF!</f>
        <v>#REF!</v>
      </c>
      <c r="E48" s="58" t="e">
        <f>'6 tháng 2021'!#REF!</f>
        <v>#REF!</v>
      </c>
      <c r="F48" s="58" t="e">
        <f>'6 tháng 2021'!#REF!</f>
        <v>#REF!</v>
      </c>
      <c r="G48" s="58" t="e">
        <f>'6 tháng 2021'!#REF!</f>
        <v>#REF!</v>
      </c>
      <c r="H48" s="58" t="str">
        <f t="shared" si="0"/>
        <v/>
      </c>
      <c r="I48" s="58" t="str">
        <f t="shared" si="1"/>
        <v/>
      </c>
      <c r="J48" s="58" t="str">
        <f t="shared" si="2"/>
        <v/>
      </c>
      <c r="K48" s="58" t="e">
        <f>'6 tháng 2021'!#REF!</f>
        <v>#REF!</v>
      </c>
    </row>
    <row r="49" spans="1:11" ht="15.75">
      <c r="A49" s="32"/>
      <c r="B49" s="40" t="s">
        <v>272</v>
      </c>
      <c r="C49" s="21" t="s">
        <v>33</v>
      </c>
      <c r="D49" s="58">
        <f>'6 tháng 2021'!E173</f>
        <v>100</v>
      </c>
      <c r="E49" s="58">
        <f>'6 tháng 2021'!F173</f>
        <v>100</v>
      </c>
      <c r="F49" s="58">
        <f>'6 tháng 2021'!H173</f>
        <v>100</v>
      </c>
      <c r="G49" s="58">
        <f>'6 tháng 2021'!I173</f>
        <v>100</v>
      </c>
      <c r="H49" s="58">
        <f t="shared" si="0"/>
        <v>100</v>
      </c>
      <c r="I49" s="58">
        <f t="shared" si="1"/>
        <v>100</v>
      </c>
      <c r="J49" s="58">
        <f t="shared" si="2"/>
        <v>100</v>
      </c>
      <c r="K49" s="58">
        <f>'6 tháng 2021'!J173</f>
        <v>99.8</v>
      </c>
    </row>
    <row r="50" spans="1:11" ht="15.75">
      <c r="A50" s="32"/>
      <c r="B50" s="40" t="s">
        <v>391</v>
      </c>
      <c r="C50" s="21" t="s">
        <v>33</v>
      </c>
      <c r="D50" s="58">
        <f>'6 tháng 2021'!E174</f>
        <v>99.8</v>
      </c>
      <c r="E50" s="58">
        <f>'6 tháng 2021'!F174</f>
        <v>100</v>
      </c>
      <c r="F50" s="58">
        <f>'6 tháng 2021'!H174</f>
        <v>99.8</v>
      </c>
      <c r="G50" s="58">
        <f>'6 tháng 2021'!I174</f>
        <v>99.9</v>
      </c>
      <c r="H50" s="58">
        <f t="shared" si="0"/>
        <v>100.10020040080161</v>
      </c>
      <c r="I50" s="58">
        <f t="shared" si="1"/>
        <v>99.8</v>
      </c>
      <c r="J50" s="58">
        <f t="shared" si="2"/>
        <v>99.9</v>
      </c>
      <c r="K50" s="58">
        <f>'6 tháng 2021'!J174</f>
        <v>94</v>
      </c>
    </row>
    <row r="51" spans="1:11" ht="15.75">
      <c r="A51" s="32"/>
      <c r="B51" s="40" t="s">
        <v>785</v>
      </c>
      <c r="C51" s="21"/>
      <c r="D51" s="58"/>
      <c r="E51" s="58"/>
      <c r="F51" s="58"/>
      <c r="G51" s="58"/>
      <c r="H51" s="58"/>
      <c r="I51" s="58"/>
      <c r="J51" s="58"/>
      <c r="K51" s="58"/>
    </row>
    <row r="52" spans="1:11" ht="15.75">
      <c r="A52" s="32" t="s">
        <v>155</v>
      </c>
      <c r="B52" s="40" t="s">
        <v>783</v>
      </c>
      <c r="C52" s="21" t="s">
        <v>33</v>
      </c>
      <c r="D52" s="58">
        <f>'6 tháng 2021'!E164</f>
        <v>55.263157894736842</v>
      </c>
      <c r="E52" s="58">
        <f>'6 tháng 2021'!F164</f>
        <v>65.78947368421052</v>
      </c>
      <c r="F52" s="58">
        <f>'6 tháng 2021'!H164</f>
        <v>55.263157894736842</v>
      </c>
      <c r="G52" s="58">
        <f>'6 tháng 2021'!I164</f>
        <v>55.263157894736842</v>
      </c>
      <c r="H52" s="58">
        <f t="shared" si="0"/>
        <v>99.999999999999986</v>
      </c>
      <c r="I52" s="58">
        <f t="shared" si="1"/>
        <v>84.000000000000014</v>
      </c>
      <c r="J52" s="58">
        <f t="shared" si="2"/>
        <v>84.000000000000014</v>
      </c>
      <c r="K52" s="58">
        <f>'6 tháng 2021'!J164</f>
        <v>76.5</v>
      </c>
    </row>
    <row r="53" spans="1:11" ht="15.75">
      <c r="A53" s="32" t="s">
        <v>557</v>
      </c>
      <c r="B53" s="40" t="s">
        <v>188</v>
      </c>
      <c r="C53" s="21" t="s">
        <v>49</v>
      </c>
      <c r="D53" s="58">
        <f>'6 tháng 2021'!E166</f>
        <v>46.153846153846153</v>
      </c>
      <c r="E53" s="58">
        <f>'6 tháng 2021'!F166</f>
        <v>61.538461538461533</v>
      </c>
      <c r="F53" s="58">
        <f>'6 tháng 2021'!H166</f>
        <v>46.153846153846153</v>
      </c>
      <c r="G53" s="58">
        <f>'6 tháng 2021'!I166</f>
        <v>46.153846153846153</v>
      </c>
      <c r="H53" s="58">
        <f t="shared" si="0"/>
        <v>100</v>
      </c>
      <c r="I53" s="58">
        <f t="shared" si="1"/>
        <v>75.000000000000014</v>
      </c>
      <c r="J53" s="58">
        <f t="shared" si="2"/>
        <v>75.000000000000014</v>
      </c>
      <c r="K53" s="58">
        <f>'6 tháng 2021'!J166</f>
        <v>53.846153846153847</v>
      </c>
    </row>
    <row r="54" spans="1:11" ht="15.75">
      <c r="A54" s="32" t="s">
        <v>557</v>
      </c>
      <c r="B54" s="40" t="s">
        <v>784</v>
      </c>
      <c r="C54" s="21" t="s">
        <v>49</v>
      </c>
      <c r="D54" s="58">
        <f>'6 tháng 2021'!E167</f>
        <v>64.285714285714278</v>
      </c>
      <c r="E54" s="58">
        <f>'6 tháng 2021'!F167</f>
        <v>71.428571428571416</v>
      </c>
      <c r="F54" s="58">
        <f>'6 tháng 2021'!H167</f>
        <v>64.285714285714278</v>
      </c>
      <c r="G54" s="58">
        <f>'6 tháng 2021'!I167</f>
        <v>64.285714285714278</v>
      </c>
      <c r="H54" s="58">
        <f t="shared" si="0"/>
        <v>100</v>
      </c>
      <c r="I54" s="58">
        <f t="shared" si="1"/>
        <v>90</v>
      </c>
      <c r="J54" s="58">
        <f t="shared" si="2"/>
        <v>90</v>
      </c>
      <c r="K54" s="58">
        <f>'6 tháng 2021'!J167</f>
        <v>71.428571428571416</v>
      </c>
    </row>
    <row r="55" spans="1:11" ht="15.75">
      <c r="A55" s="32" t="s">
        <v>557</v>
      </c>
      <c r="B55" s="40" t="s">
        <v>391</v>
      </c>
      <c r="C55" s="21" t="s">
        <v>49</v>
      </c>
      <c r="D55" s="58">
        <f>'6 tháng 2021'!E168</f>
        <v>44.444444444444443</v>
      </c>
      <c r="E55" s="58">
        <f>'6 tháng 2021'!F168</f>
        <v>55.555555555555557</v>
      </c>
      <c r="F55" s="58">
        <f>'6 tháng 2021'!H168</f>
        <v>44.444444444444443</v>
      </c>
      <c r="G55" s="58">
        <f>'6 tháng 2021'!I168</f>
        <v>44.444444444444443</v>
      </c>
      <c r="H55" s="58">
        <f t="shared" si="0"/>
        <v>100</v>
      </c>
      <c r="I55" s="58">
        <f t="shared" si="1"/>
        <v>80</v>
      </c>
      <c r="J55" s="58">
        <f t="shared" si="2"/>
        <v>80</v>
      </c>
      <c r="K55" s="58">
        <f>'6 tháng 2021'!J168</f>
        <v>55.555555555555557</v>
      </c>
    </row>
    <row r="56" spans="1:11" ht="15.75">
      <c r="A56" s="32" t="s">
        <v>557</v>
      </c>
      <c r="B56" s="40" t="s">
        <v>785</v>
      </c>
      <c r="C56" s="21" t="s">
        <v>49</v>
      </c>
      <c r="D56" s="58">
        <f>'6 tháng 2021'!E169</f>
        <v>100</v>
      </c>
      <c r="E56" s="58">
        <f>'6 tháng 2021'!F169</f>
        <v>100</v>
      </c>
      <c r="F56" s="58">
        <f>'6 tháng 2021'!H169</f>
        <v>100</v>
      </c>
      <c r="G56" s="58">
        <f>'6 tháng 2021'!I169</f>
        <v>100</v>
      </c>
      <c r="H56" s="58">
        <f t="shared" si="0"/>
        <v>100</v>
      </c>
      <c r="I56" s="58">
        <f t="shared" si="1"/>
        <v>100</v>
      </c>
      <c r="J56" s="58">
        <f t="shared" si="2"/>
        <v>100</v>
      </c>
      <c r="K56" s="58">
        <f>'6 tháng 2021'!J169</f>
        <v>100</v>
      </c>
    </row>
    <row r="57" spans="1:11" ht="15.75">
      <c r="A57" s="11">
        <v>3</v>
      </c>
      <c r="B57" s="142" t="s">
        <v>786</v>
      </c>
      <c r="C57" s="21"/>
      <c r="D57" s="58"/>
      <c r="E57" s="58"/>
      <c r="F57" s="58"/>
      <c r="G57" s="58"/>
      <c r="H57" s="58" t="str">
        <f t="shared" si="0"/>
        <v/>
      </c>
      <c r="I57" s="58" t="str">
        <f t="shared" si="1"/>
        <v/>
      </c>
      <c r="J57" s="58" t="str">
        <f t="shared" si="2"/>
        <v/>
      </c>
      <c r="K57" s="20"/>
    </row>
    <row r="58" spans="1:11" ht="15.75">
      <c r="A58" s="32" t="s">
        <v>155</v>
      </c>
      <c r="B58" s="20" t="s">
        <v>393</v>
      </c>
      <c r="C58" s="32" t="s">
        <v>33</v>
      </c>
      <c r="D58" s="58">
        <f>'6 tháng 2021'!E133</f>
        <v>43</v>
      </c>
      <c r="E58" s="58">
        <f>'6 tháng 2021'!F133</f>
        <v>44</v>
      </c>
      <c r="F58" s="58">
        <f>'6 tháng 2021'!H133</f>
        <v>43</v>
      </c>
      <c r="G58" s="58">
        <f>'6 tháng 2021'!I133</f>
        <v>44</v>
      </c>
      <c r="H58" s="58">
        <f t="shared" si="0"/>
        <v>102.32558139534883</v>
      </c>
      <c r="I58" s="58">
        <f t="shared" si="1"/>
        <v>97.727272727272734</v>
      </c>
      <c r="J58" s="58">
        <f t="shared" si="2"/>
        <v>100</v>
      </c>
      <c r="K58" s="58">
        <f>'6 tháng 2021'!J133</f>
        <v>45.5</v>
      </c>
    </row>
    <row r="59" spans="1:11" ht="31.5">
      <c r="A59" s="39" t="s">
        <v>557</v>
      </c>
      <c r="B59" s="20" t="s">
        <v>394</v>
      </c>
      <c r="C59" s="32" t="s">
        <v>33</v>
      </c>
      <c r="D59" s="58">
        <f>'6 tháng 2021'!E134</f>
        <v>35</v>
      </c>
      <c r="E59" s="58">
        <f>'6 tháng 2021'!F134</f>
        <v>36</v>
      </c>
      <c r="F59" s="58">
        <f>'6 tháng 2021'!H134</f>
        <v>35</v>
      </c>
      <c r="G59" s="58">
        <f>'6 tháng 2021'!I134</f>
        <v>36</v>
      </c>
      <c r="H59" s="58">
        <f>IFERROR(G59/D59%,"")</f>
        <v>102.85714285714286</v>
      </c>
      <c r="I59" s="58">
        <f>IFERROR(F59/E59%,"")</f>
        <v>97.222222222222229</v>
      </c>
      <c r="J59" s="58">
        <f>IFERROR(G59/E59%,"")</f>
        <v>100</v>
      </c>
      <c r="K59" s="58">
        <f>'6 tháng 2021'!J134</f>
        <v>0</v>
      </c>
    </row>
    <row r="60" spans="1:11" ht="31.5">
      <c r="A60" s="32" t="s">
        <v>155</v>
      </c>
      <c r="B60" s="40" t="s">
        <v>787</v>
      </c>
      <c r="C60" s="21"/>
      <c r="D60" s="59">
        <f>'6 tháng 2021'!E136</f>
        <v>115</v>
      </c>
      <c r="E60" s="59">
        <f>'6 tháng 2021'!F136</f>
        <v>120</v>
      </c>
      <c r="F60" s="59">
        <f>'6 tháng 2021'!H136</f>
        <v>115</v>
      </c>
      <c r="G60" s="59">
        <f>'6 tháng 2021'!I136</f>
        <v>120</v>
      </c>
      <c r="H60" s="58">
        <f t="shared" si="0"/>
        <v>104.34782608695653</v>
      </c>
      <c r="I60" s="58">
        <f t="shared" si="1"/>
        <v>95.833333333333343</v>
      </c>
      <c r="J60" s="58">
        <f t="shared" si="2"/>
        <v>100</v>
      </c>
      <c r="K60" s="59">
        <f>'6 tháng 2021'!J136</f>
        <v>0</v>
      </c>
    </row>
    <row r="61" spans="1:11" ht="19.5" customHeight="1">
      <c r="A61" s="32" t="s">
        <v>155</v>
      </c>
      <c r="B61" s="40" t="s">
        <v>395</v>
      </c>
      <c r="C61" s="21" t="s">
        <v>33</v>
      </c>
      <c r="D61" s="80">
        <f>'6 tháng 2021'!E139</f>
        <v>14.14</v>
      </c>
      <c r="E61" s="80">
        <f>'6 tháng 2021'!F139</f>
        <v>11.14</v>
      </c>
      <c r="F61" s="80">
        <f>'6 tháng 2021'!H139</f>
        <v>0</v>
      </c>
      <c r="G61" s="80">
        <f>'6 tháng 2021'!I139</f>
        <v>12</v>
      </c>
      <c r="H61" s="58">
        <f t="shared" si="0"/>
        <v>84.865629420084872</v>
      </c>
      <c r="I61" s="58">
        <f t="shared" si="1"/>
        <v>0</v>
      </c>
      <c r="J61" s="58">
        <f t="shared" si="2"/>
        <v>107.71992818671454</v>
      </c>
      <c r="K61" s="80">
        <f>'6 tháng 2021'!J139</f>
        <v>0</v>
      </c>
    </row>
    <row r="62" spans="1:11" ht="24.75" customHeight="1">
      <c r="A62" s="32" t="s">
        <v>155</v>
      </c>
      <c r="B62" s="40" t="s">
        <v>788</v>
      </c>
      <c r="C62" s="21" t="s">
        <v>61</v>
      </c>
      <c r="D62" s="58">
        <v>2</v>
      </c>
      <c r="E62" s="58">
        <v>2</v>
      </c>
      <c r="F62" s="58">
        <v>2</v>
      </c>
      <c r="G62" s="58">
        <v>2</v>
      </c>
      <c r="H62" s="58">
        <f t="shared" si="0"/>
        <v>100</v>
      </c>
      <c r="I62" s="58">
        <f t="shared" si="1"/>
        <v>100</v>
      </c>
      <c r="J62" s="58">
        <f t="shared" si="2"/>
        <v>100</v>
      </c>
      <c r="K62" s="20">
        <v>3</v>
      </c>
    </row>
    <row r="63" spans="1:11" ht="15.75">
      <c r="A63" s="11">
        <v>4</v>
      </c>
      <c r="B63" s="142" t="s">
        <v>789</v>
      </c>
      <c r="C63" s="21"/>
      <c r="D63" s="58"/>
      <c r="E63" s="58"/>
      <c r="F63" s="58"/>
      <c r="G63" s="58"/>
      <c r="H63" s="58" t="str">
        <f t="shared" si="0"/>
        <v/>
      </c>
      <c r="I63" s="58" t="str">
        <f t="shared" si="1"/>
        <v/>
      </c>
      <c r="J63" s="58" t="str">
        <f t="shared" si="2"/>
        <v/>
      </c>
      <c r="K63" s="20"/>
    </row>
    <row r="64" spans="1:11" ht="15.75">
      <c r="A64" s="32" t="s">
        <v>155</v>
      </c>
      <c r="B64" s="40" t="s">
        <v>790</v>
      </c>
      <c r="C64" s="21" t="s">
        <v>33</v>
      </c>
      <c r="D64" s="59">
        <f>'6 tháng 2021'!E193/9%</f>
        <v>44.444444444444443</v>
      </c>
      <c r="E64" s="59">
        <f>'6 tháng 2021'!F193/9%</f>
        <v>44.444444444444443</v>
      </c>
      <c r="F64" s="59">
        <f>'6 tháng 2021'!H193/9%</f>
        <v>44.444444444444443</v>
      </c>
      <c r="G64" s="59">
        <f>'6 tháng 2021'!I193/9%</f>
        <v>44.444444444444443</v>
      </c>
      <c r="H64" s="58">
        <f t="shared" si="0"/>
        <v>100</v>
      </c>
      <c r="I64" s="58">
        <f t="shared" si="1"/>
        <v>100</v>
      </c>
      <c r="J64" s="58">
        <f t="shared" si="2"/>
        <v>100</v>
      </c>
      <c r="K64" s="59">
        <f>'6 tháng 2021'!J193/9%</f>
        <v>88.888888888888886</v>
      </c>
    </row>
    <row r="65" spans="1:11" ht="31.5">
      <c r="A65" s="32" t="s">
        <v>155</v>
      </c>
      <c r="B65" s="40" t="s">
        <v>791</v>
      </c>
      <c r="C65" s="21" t="s">
        <v>33</v>
      </c>
      <c r="D65" s="59">
        <f>'6 tháng 2021'!E192</f>
        <v>86.5</v>
      </c>
      <c r="E65" s="59">
        <f>'6 tháng 2021'!F192</f>
        <v>91</v>
      </c>
      <c r="F65" s="59">
        <f>'6 tháng 2021'!H192</f>
        <v>0</v>
      </c>
      <c r="G65" s="59">
        <f>'6 tháng 2021'!I192</f>
        <v>91</v>
      </c>
      <c r="H65" s="58">
        <f t="shared" si="0"/>
        <v>105.20231213872833</v>
      </c>
      <c r="I65" s="58">
        <f t="shared" si="1"/>
        <v>0</v>
      </c>
      <c r="J65" s="58">
        <f t="shared" si="2"/>
        <v>100</v>
      </c>
      <c r="K65" s="59">
        <f>'6 tháng 2021'!J192</f>
        <v>100</v>
      </c>
    </row>
    <row r="66" spans="1:11" ht="22.5" customHeight="1">
      <c r="A66" s="32" t="s">
        <v>155</v>
      </c>
      <c r="B66" s="40" t="s">
        <v>792</v>
      </c>
      <c r="C66" s="21" t="s">
        <v>33</v>
      </c>
      <c r="D66" s="59">
        <f>'6 tháng 2021'!E190</f>
        <v>86.5</v>
      </c>
      <c r="E66" s="59">
        <f>'6 tháng 2021'!F190</f>
        <v>90</v>
      </c>
      <c r="F66" s="59">
        <f>'6 tháng 2021'!H190</f>
        <v>0</v>
      </c>
      <c r="G66" s="59">
        <f>'6 tháng 2021'!I190</f>
        <v>90</v>
      </c>
      <c r="H66" s="58">
        <f t="shared" si="0"/>
        <v>104.04624277456648</v>
      </c>
      <c r="I66" s="58">
        <f t="shared" si="1"/>
        <v>0</v>
      </c>
      <c r="J66" s="58">
        <f t="shared" si="2"/>
        <v>100</v>
      </c>
      <c r="K66" s="59">
        <f>'6 tháng 2021'!J190</f>
        <v>90.3</v>
      </c>
    </row>
    <row r="67" spans="1:11" ht="15.75">
      <c r="A67" s="11" t="s">
        <v>47</v>
      </c>
      <c r="B67" s="142" t="s">
        <v>793</v>
      </c>
      <c r="C67" s="21"/>
      <c r="D67" s="59"/>
      <c r="E67" s="59"/>
      <c r="F67" s="59"/>
      <c r="G67" s="59"/>
      <c r="H67" s="58" t="str">
        <f t="shared" si="0"/>
        <v/>
      </c>
      <c r="I67" s="58" t="str">
        <f t="shared" si="1"/>
        <v/>
      </c>
      <c r="J67" s="58" t="str">
        <f t="shared" si="2"/>
        <v/>
      </c>
      <c r="K67" s="20"/>
    </row>
    <row r="68" spans="1:11" ht="31.5">
      <c r="A68" s="32">
        <v>1</v>
      </c>
      <c r="B68" s="40" t="s">
        <v>725</v>
      </c>
      <c r="C68" s="21" t="s">
        <v>33</v>
      </c>
      <c r="D68" s="58">
        <f>'2. CN NN DV'!D33</f>
        <v>89.1</v>
      </c>
      <c r="E68" s="58">
        <f>'2. CN NN DV'!E33</f>
        <v>91.1</v>
      </c>
      <c r="F68" s="58">
        <f>'2. CN NN DV'!F33</f>
        <v>91.1</v>
      </c>
      <c r="G68" s="58">
        <f>'2. CN NN DV'!G33</f>
        <v>91.1</v>
      </c>
      <c r="H68" s="58">
        <f>IFERROR(G68/D68%,"")</f>
        <v>102.24466891133558</v>
      </c>
      <c r="I68" s="58">
        <f>IFERROR(F68/E68%,"")</f>
        <v>100</v>
      </c>
      <c r="J68" s="58">
        <f>IFERROR(G68/E68%,"")</f>
        <v>100</v>
      </c>
      <c r="K68" s="55">
        <f>'2. CN NN DV'!I33</f>
        <v>91.5</v>
      </c>
    </row>
    <row r="69" spans="1:11" ht="15.75">
      <c r="A69" s="32">
        <v>2</v>
      </c>
      <c r="B69" s="40" t="s">
        <v>794</v>
      </c>
      <c r="C69" s="21" t="s">
        <v>33</v>
      </c>
      <c r="D69" s="58">
        <f>'6 tháng 2021'!E114</f>
        <v>31.37105055292259</v>
      </c>
      <c r="E69" s="58">
        <f>'6 tháng 2021'!F114</f>
        <v>31.370458135860982</v>
      </c>
      <c r="F69" s="58">
        <f>'6 tháng 2021'!H114</f>
        <v>31.370458135860982</v>
      </c>
      <c r="G69" s="58">
        <f>'6 tháng 2021'!I114</f>
        <v>31.370458135860982</v>
      </c>
      <c r="H69" s="58">
        <f t="shared" si="0"/>
        <v>99.998111580418353</v>
      </c>
      <c r="I69" s="58">
        <f t="shared" si="1"/>
        <v>99.999999999999986</v>
      </c>
      <c r="J69" s="58">
        <f t="shared" si="2"/>
        <v>99.999999999999986</v>
      </c>
      <c r="K69" s="58">
        <f>'6 tháng 2021'!J114</f>
        <v>47.34</v>
      </c>
    </row>
    <row r="70" spans="1:11" ht="31.5">
      <c r="A70" s="32">
        <v>3</v>
      </c>
      <c r="B70" s="40" t="s">
        <v>795</v>
      </c>
      <c r="C70" s="21" t="s">
        <v>33</v>
      </c>
      <c r="D70" s="58"/>
      <c r="E70" s="58"/>
      <c r="F70" s="58"/>
      <c r="G70" s="58"/>
      <c r="H70" s="58" t="str">
        <f t="shared" si="0"/>
        <v/>
      </c>
      <c r="I70" s="58" t="str">
        <f t="shared" si="1"/>
        <v/>
      </c>
      <c r="J70" s="58" t="str">
        <f t="shared" si="2"/>
        <v/>
      </c>
      <c r="K70" s="20"/>
    </row>
    <row r="71" spans="1:11" ht="9" customHeight="1">
      <c r="A71" s="355"/>
      <c r="B71" s="355"/>
      <c r="C71" s="355"/>
      <c r="D71" s="355"/>
      <c r="E71" s="355"/>
      <c r="F71" s="355"/>
      <c r="G71" s="355"/>
      <c r="H71" s="356" t="str">
        <f t="shared" si="0"/>
        <v/>
      </c>
      <c r="I71" s="356" t="str">
        <f t="shared" si="1"/>
        <v/>
      </c>
      <c r="J71" s="356" t="str">
        <f t="shared" si="2"/>
        <v/>
      </c>
      <c r="K71" s="355"/>
    </row>
  </sheetData>
  <mergeCells count="15">
    <mergeCell ref="A1:K1"/>
    <mergeCell ref="A2:K2"/>
    <mergeCell ref="A3:K3"/>
    <mergeCell ref="A5:A7"/>
    <mergeCell ref="B5:B7"/>
    <mergeCell ref="C5:C7"/>
    <mergeCell ref="D5:D7"/>
    <mergeCell ref="E5:E7"/>
    <mergeCell ref="F5:F7"/>
    <mergeCell ref="G5:G7"/>
    <mergeCell ref="H5:J5"/>
    <mergeCell ref="K5:K7"/>
    <mergeCell ref="H6:H7"/>
    <mergeCell ref="I6:I7"/>
    <mergeCell ref="J6:J7"/>
  </mergeCells>
  <pageMargins left="0.47244094488188981" right="0.31496062992125984" top="0.78740157480314965" bottom="0.59055118110236227" header="0.19685039370078741" footer="0.19685039370078741"/>
  <pageSetup paperSize="9" scale="73" fitToHeight="0" orientation="portrait" r:id="rId1"/>
  <headerFooter>
    <oddFooter>&amp;C&amp;P/&amp;N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rgb="FFFFFF00"/>
    <pageSetUpPr fitToPage="1"/>
  </sheetPr>
  <dimension ref="A1:H108"/>
  <sheetViews>
    <sheetView zoomScale="70" zoomScaleNormal="70" zoomScaleSheetLayoutView="70" workbookViewId="0">
      <pane xSplit="2" ySplit="6" topLeftCell="C7" activePane="bottomRight" state="frozen"/>
      <selection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9.140625" defaultRowHeight="14.1" customHeight="1" outlineLevelRow="1"/>
  <cols>
    <col min="1" max="1" width="6.28515625" style="387" customWidth="1"/>
    <col min="2" max="2" width="59.5703125" style="388" customWidth="1"/>
    <col min="3" max="3" width="11.5703125" style="387" customWidth="1"/>
    <col min="4" max="4" width="13.5703125" style="388" customWidth="1"/>
    <col min="5" max="5" width="17.85546875" style="388" customWidth="1"/>
    <col min="6" max="7" width="13.140625" style="56" bestFit="1" customWidth="1"/>
    <col min="8" max="16384" width="9.140625" style="56"/>
  </cols>
  <sheetData>
    <row r="1" spans="1:8" ht="15.75" outlineLevel="1">
      <c r="A1" s="843" t="s">
        <v>19</v>
      </c>
      <c r="B1" s="844"/>
      <c r="D1" s="841"/>
      <c r="E1" s="841"/>
    </row>
    <row r="2" spans="1:8" s="93" customFormat="1" ht="18.75" outlineLevel="1">
      <c r="A2" s="823" t="s">
        <v>846</v>
      </c>
      <c r="B2" s="842"/>
      <c r="C2" s="842"/>
      <c r="D2" s="842"/>
      <c r="E2" s="842"/>
    </row>
    <row r="3" spans="1:8" s="93" customFormat="1" ht="16.5" outlineLevel="1">
      <c r="A3" s="817" t="str">
        <f>'B02'!A3:E3</f>
        <v>(Kèm theo Quyết định số 569/QĐ-UBND, ngày 17/12/2018 của UBND huyện Đăk Tô)</v>
      </c>
      <c r="B3" s="817"/>
      <c r="C3" s="817"/>
      <c r="D3" s="817"/>
      <c r="E3" s="817"/>
    </row>
    <row r="4" spans="1:8" ht="15.75" outlineLevel="1"/>
    <row r="5" spans="1:8" s="554" customFormat="1" ht="15" customHeight="1">
      <c r="A5" s="815" t="s">
        <v>68</v>
      </c>
      <c r="B5" s="815" t="s">
        <v>69</v>
      </c>
      <c r="C5" s="815" t="s">
        <v>66</v>
      </c>
      <c r="D5" s="815" t="s">
        <v>841</v>
      </c>
      <c r="E5" s="815" t="s">
        <v>75</v>
      </c>
    </row>
    <row r="6" spans="1:8" s="554" customFormat="1" ht="15.75">
      <c r="A6" s="816"/>
      <c r="B6" s="840"/>
      <c r="C6" s="816"/>
      <c r="D6" s="816"/>
      <c r="E6" s="816"/>
    </row>
    <row r="7" spans="1:8" ht="18" customHeight="1">
      <c r="A7" s="78" t="s">
        <v>38</v>
      </c>
      <c r="B7" s="555" t="s">
        <v>161</v>
      </c>
      <c r="C7" s="556"/>
      <c r="D7" s="557"/>
      <c r="E7" s="301"/>
    </row>
    <row r="8" spans="1:8" s="558" customFormat="1" ht="18" customHeight="1">
      <c r="A8" s="32">
        <v>1</v>
      </c>
      <c r="B8" s="35" t="s">
        <v>121</v>
      </c>
      <c r="C8" s="34" t="s">
        <v>62</v>
      </c>
      <c r="D8" s="22">
        <f>'B05'!E11</f>
        <v>11650</v>
      </c>
      <c r="E8" s="32"/>
    </row>
    <row r="9" spans="1:8" s="558" customFormat="1" ht="18" customHeight="1">
      <c r="A9" s="32">
        <v>2</v>
      </c>
      <c r="B9" s="35" t="s">
        <v>131</v>
      </c>
      <c r="C9" s="34" t="s">
        <v>73</v>
      </c>
      <c r="D9" s="22">
        <f>'6 tháng 2021'!J128</f>
        <v>49394</v>
      </c>
      <c r="E9" s="32"/>
    </row>
    <row r="10" spans="1:8" s="558" customFormat="1" ht="18" customHeight="1">
      <c r="A10" s="32">
        <v>3</v>
      </c>
      <c r="B10" s="35" t="s">
        <v>132</v>
      </c>
      <c r="C10" s="34" t="s">
        <v>73</v>
      </c>
      <c r="D10" s="22">
        <f>'6 tháng 2021'!J129</f>
        <v>50606</v>
      </c>
      <c r="E10" s="32"/>
    </row>
    <row r="11" spans="1:8" s="558" customFormat="1" ht="18" customHeight="1">
      <c r="A11" s="32">
        <v>4</v>
      </c>
      <c r="B11" s="35" t="s">
        <v>133</v>
      </c>
      <c r="C11" s="34" t="s">
        <v>73</v>
      </c>
      <c r="D11" s="22">
        <f>'6 tháng 2021'!J130</f>
        <v>50000</v>
      </c>
      <c r="E11" s="32"/>
      <c r="F11" s="559"/>
    </row>
    <row r="12" spans="1:8" s="558" customFormat="1" ht="18" customHeight="1">
      <c r="A12" s="32"/>
      <c r="B12" s="560" t="s">
        <v>162</v>
      </c>
      <c r="C12" s="561" t="s">
        <v>33</v>
      </c>
      <c r="D12" s="38">
        <f>'6 tháng 2021'!J131/10</f>
        <v>0.18</v>
      </c>
      <c r="E12" s="32"/>
    </row>
    <row r="13" spans="1:8" s="558" customFormat="1" ht="18.75" customHeight="1">
      <c r="A13" s="167" t="s">
        <v>39</v>
      </c>
      <c r="B13" s="204" t="s">
        <v>163</v>
      </c>
      <c r="C13" s="562"/>
      <c r="D13" s="563"/>
      <c r="E13" s="564"/>
    </row>
    <row r="14" spans="1:8" s="558" customFormat="1" ht="19.5" customHeight="1">
      <c r="A14" s="565">
        <v>1</v>
      </c>
      <c r="B14" s="216" t="s">
        <v>311</v>
      </c>
      <c r="C14" s="562" t="s">
        <v>33</v>
      </c>
      <c r="D14" s="566">
        <f>'6 tháng 2021'!J133</f>
        <v>45.5</v>
      </c>
      <c r="E14" s="564"/>
    </row>
    <row r="15" spans="1:8" ht="36" customHeight="1">
      <c r="A15" s="567">
        <v>2</v>
      </c>
      <c r="B15" s="568" t="s">
        <v>357</v>
      </c>
      <c r="C15" s="562" t="s">
        <v>120</v>
      </c>
      <c r="D15" s="563">
        <f>'6 tháng 2021'!J135</f>
        <v>270</v>
      </c>
      <c r="E15" s="569"/>
      <c r="F15" s="570"/>
      <c r="G15" s="570"/>
      <c r="H15" s="570"/>
    </row>
    <row r="16" spans="1:8" s="558" customFormat="1" ht="21.75" customHeight="1">
      <c r="A16" s="167" t="s">
        <v>47</v>
      </c>
      <c r="B16" s="204" t="s">
        <v>288</v>
      </c>
      <c r="C16" s="167"/>
      <c r="D16" s="563"/>
      <c r="E16" s="564"/>
    </row>
    <row r="17" spans="1:5" s="558" customFormat="1" ht="25.5" customHeight="1">
      <c r="A17" s="60">
        <v>1</v>
      </c>
      <c r="B17" s="61" t="s">
        <v>375</v>
      </c>
      <c r="C17" s="60" t="s">
        <v>33</v>
      </c>
      <c r="D17" s="571" t="str">
        <f>'6 tháng 2021'!J138</f>
        <v>&gt;3</v>
      </c>
      <c r="E17" s="564"/>
    </row>
    <row r="18" spans="1:5" s="558" customFormat="1" ht="23.25" customHeight="1">
      <c r="A18" s="572" t="s">
        <v>48</v>
      </c>
      <c r="B18" s="573" t="s">
        <v>289</v>
      </c>
      <c r="C18" s="1"/>
      <c r="D18" s="563"/>
      <c r="E18" s="564"/>
    </row>
    <row r="19" spans="1:5" s="558" customFormat="1" ht="21.75" customHeight="1">
      <c r="A19" s="60"/>
      <c r="B19" s="61" t="s">
        <v>376</v>
      </c>
      <c r="C19" s="1" t="s">
        <v>61</v>
      </c>
      <c r="D19" s="563">
        <v>9</v>
      </c>
      <c r="E19" s="564"/>
    </row>
    <row r="20" spans="1:5" ht="24" customHeight="1">
      <c r="A20" s="574" t="s">
        <v>50</v>
      </c>
      <c r="B20" s="575" t="s">
        <v>379</v>
      </c>
      <c r="C20" s="564"/>
      <c r="D20" s="563"/>
      <c r="E20" s="564"/>
    </row>
    <row r="21" spans="1:5" ht="21" customHeight="1">
      <c r="A21" s="564">
        <v>1</v>
      </c>
      <c r="B21" s="568" t="s">
        <v>377</v>
      </c>
      <c r="C21" s="562" t="s">
        <v>150</v>
      </c>
      <c r="D21" s="563">
        <v>9</v>
      </c>
      <c r="E21" s="564"/>
    </row>
    <row r="22" spans="1:5" ht="19.5" customHeight="1">
      <c r="A22" s="574"/>
      <c r="B22" s="576" t="s">
        <v>70</v>
      </c>
      <c r="C22" s="564"/>
      <c r="D22" s="563"/>
      <c r="E22" s="564"/>
    </row>
    <row r="23" spans="1:5" ht="31.5">
      <c r="A23" s="574"/>
      <c r="B23" s="568" t="s">
        <v>378</v>
      </c>
      <c r="C23" s="1" t="s">
        <v>61</v>
      </c>
      <c r="D23" s="563">
        <v>4</v>
      </c>
      <c r="E23" s="564"/>
    </row>
    <row r="24" spans="1:5" ht="22.5" customHeight="1">
      <c r="A24" s="567">
        <v>2</v>
      </c>
      <c r="B24" s="577" t="s">
        <v>149</v>
      </c>
      <c r="C24" s="562" t="s">
        <v>150</v>
      </c>
      <c r="D24" s="563">
        <v>9</v>
      </c>
      <c r="E24" s="564"/>
    </row>
    <row r="25" spans="1:5" ht="15.75">
      <c r="A25" s="567"/>
      <c r="B25" s="568" t="s">
        <v>151</v>
      </c>
      <c r="C25" s="564" t="s">
        <v>33</v>
      </c>
      <c r="D25" s="563">
        <v>100</v>
      </c>
      <c r="E25" s="564"/>
    </row>
    <row r="26" spans="1:5" ht="21.75" customHeight="1">
      <c r="A26" s="567">
        <v>3</v>
      </c>
      <c r="B26" s="568" t="s">
        <v>148</v>
      </c>
      <c r="C26" s="562" t="s">
        <v>61</v>
      </c>
      <c r="D26" s="563">
        <v>9</v>
      </c>
      <c r="E26" s="564"/>
    </row>
    <row r="27" spans="1:5" ht="19.5" customHeight="1">
      <c r="A27" s="567"/>
      <c r="B27" s="568" t="s">
        <v>152</v>
      </c>
      <c r="C27" s="564" t="s">
        <v>33</v>
      </c>
      <c r="D27" s="563">
        <v>100</v>
      </c>
      <c r="E27" s="564"/>
    </row>
    <row r="28" spans="1:5" s="558" customFormat="1" ht="18" customHeight="1">
      <c r="A28" s="567">
        <v>4</v>
      </c>
      <c r="B28" s="568" t="s">
        <v>153</v>
      </c>
      <c r="C28" s="564"/>
      <c r="D28" s="578"/>
      <c r="E28" s="564"/>
    </row>
    <row r="29" spans="1:5" s="558" customFormat="1" ht="18" customHeight="1">
      <c r="A29" s="567"/>
      <c r="B29" s="568" t="s">
        <v>0</v>
      </c>
      <c r="C29" s="562" t="s">
        <v>150</v>
      </c>
      <c r="D29" s="563">
        <v>9</v>
      </c>
      <c r="E29" s="564"/>
    </row>
    <row r="30" spans="1:5" s="558" customFormat="1" ht="18" customHeight="1">
      <c r="A30" s="567"/>
      <c r="B30" s="568" t="s">
        <v>1</v>
      </c>
      <c r="C30" s="562" t="s">
        <v>150</v>
      </c>
      <c r="D30" s="563">
        <v>9</v>
      </c>
      <c r="E30" s="564"/>
    </row>
    <row r="31" spans="1:5" s="558" customFormat="1" ht="18" customHeight="1">
      <c r="A31" s="567"/>
      <c r="B31" s="568" t="s">
        <v>2</v>
      </c>
      <c r="C31" s="562" t="s">
        <v>150</v>
      </c>
      <c r="D31" s="563">
        <v>9</v>
      </c>
      <c r="E31" s="564"/>
    </row>
    <row r="32" spans="1:5" s="558" customFormat="1" ht="18" customHeight="1">
      <c r="A32" s="567"/>
      <c r="B32" s="568" t="s">
        <v>3</v>
      </c>
      <c r="C32" s="562" t="s">
        <v>150</v>
      </c>
      <c r="D32" s="563">
        <v>9</v>
      </c>
      <c r="E32" s="564"/>
    </row>
    <row r="33" spans="1:7" ht="18" customHeight="1">
      <c r="A33" s="567">
        <v>5</v>
      </c>
      <c r="B33" s="568" t="s">
        <v>158</v>
      </c>
      <c r="C33" s="562" t="s">
        <v>61</v>
      </c>
      <c r="D33" s="563">
        <v>7</v>
      </c>
      <c r="E33" s="569"/>
    </row>
    <row r="34" spans="1:7" ht="18" customHeight="1">
      <c r="A34" s="567"/>
      <c r="B34" s="220" t="s">
        <v>159</v>
      </c>
      <c r="C34" s="564" t="s">
        <v>33</v>
      </c>
      <c r="D34" s="571">
        <f>D33/9*100</f>
        <v>77.777777777777786</v>
      </c>
      <c r="E34" s="569"/>
    </row>
    <row r="35" spans="1:7" ht="18" customHeight="1">
      <c r="A35" s="567">
        <v>6</v>
      </c>
      <c r="B35" s="568" t="s">
        <v>154</v>
      </c>
      <c r="C35" s="562" t="s">
        <v>150</v>
      </c>
      <c r="D35" s="563">
        <v>9</v>
      </c>
      <c r="E35" s="569"/>
    </row>
    <row r="36" spans="1:7" ht="18" customHeight="1">
      <c r="A36" s="567"/>
      <c r="B36" s="568" t="s">
        <v>4</v>
      </c>
      <c r="C36" s="564" t="s">
        <v>33</v>
      </c>
      <c r="D36" s="563">
        <v>100</v>
      </c>
      <c r="E36" s="569"/>
    </row>
    <row r="37" spans="1:7" ht="18" customHeight="1">
      <c r="A37" s="567">
        <v>7</v>
      </c>
      <c r="B37" s="568" t="s">
        <v>5</v>
      </c>
      <c r="C37" s="562" t="s">
        <v>61</v>
      </c>
      <c r="D37" s="563">
        <v>1</v>
      </c>
      <c r="E37" s="569"/>
    </row>
    <row r="38" spans="1:7" ht="18" customHeight="1">
      <c r="A38" s="574" t="s">
        <v>51</v>
      </c>
      <c r="B38" s="575" t="s">
        <v>165</v>
      </c>
      <c r="C38" s="564"/>
      <c r="D38" s="563"/>
      <c r="E38" s="220"/>
    </row>
    <row r="39" spans="1:7" ht="18" customHeight="1">
      <c r="A39" s="567">
        <v>1</v>
      </c>
      <c r="B39" s="568" t="s">
        <v>164</v>
      </c>
      <c r="C39" s="562" t="s">
        <v>145</v>
      </c>
      <c r="D39" s="563">
        <f>'6 tháng 2021'!J176</f>
        <v>195</v>
      </c>
      <c r="E39" s="579" t="s">
        <v>52</v>
      </c>
    </row>
    <row r="40" spans="1:7" ht="18" customHeight="1">
      <c r="A40" s="567"/>
      <c r="B40" s="568" t="s">
        <v>285</v>
      </c>
      <c r="C40" s="562"/>
      <c r="D40" s="563"/>
      <c r="E40" s="579"/>
    </row>
    <row r="41" spans="1:7" ht="18" customHeight="1">
      <c r="A41" s="567"/>
      <c r="B41" s="580" t="s">
        <v>286</v>
      </c>
      <c r="C41" s="562" t="s">
        <v>145</v>
      </c>
      <c r="D41" s="563">
        <f>'6 tháng 2021'!J177</f>
        <v>150</v>
      </c>
      <c r="E41" s="579"/>
      <c r="G41" s="581"/>
    </row>
    <row r="42" spans="1:7" ht="18" customHeight="1">
      <c r="A42" s="567"/>
      <c r="B42" s="580" t="s">
        <v>287</v>
      </c>
      <c r="C42" s="562" t="s">
        <v>145</v>
      </c>
      <c r="D42" s="563">
        <f>'6 tháng 2021'!J178</f>
        <v>45</v>
      </c>
      <c r="E42" s="579"/>
    </row>
    <row r="43" spans="1:7" ht="18" customHeight="1">
      <c r="A43" s="567">
        <v>2</v>
      </c>
      <c r="B43" s="580" t="s">
        <v>854</v>
      </c>
      <c r="C43" s="562"/>
      <c r="D43" s="563"/>
      <c r="E43" s="579"/>
    </row>
    <row r="44" spans="1:7" s="558" customFormat="1" ht="21" customHeight="1">
      <c r="A44" s="567" t="s">
        <v>197</v>
      </c>
      <c r="B44" s="46" t="s">
        <v>853</v>
      </c>
      <c r="C44" s="219" t="s">
        <v>33</v>
      </c>
      <c r="D44" s="582">
        <f>'6 tháng 2021'!J181</f>
        <v>90.25</v>
      </c>
      <c r="E44" s="583"/>
    </row>
    <row r="45" spans="1:7" s="558" customFormat="1" ht="19.5" customHeight="1">
      <c r="A45" s="567" t="s">
        <v>201</v>
      </c>
      <c r="B45" s="46" t="s">
        <v>855</v>
      </c>
      <c r="C45" s="219" t="s">
        <v>73</v>
      </c>
      <c r="D45" s="584">
        <v>2585</v>
      </c>
      <c r="E45" s="583"/>
    </row>
    <row r="46" spans="1:7" s="558" customFormat="1" ht="30.75" customHeight="1">
      <c r="A46" s="567"/>
      <c r="B46" s="47" t="s">
        <v>856</v>
      </c>
      <c r="C46" s="585" t="s">
        <v>33</v>
      </c>
      <c r="D46" s="584">
        <v>10.28</v>
      </c>
      <c r="E46" s="583"/>
    </row>
    <row r="47" spans="1:7" s="558" customFormat="1" ht="31.5">
      <c r="A47" s="567"/>
      <c r="B47" s="47" t="s">
        <v>857</v>
      </c>
      <c r="C47" s="586" t="s">
        <v>33</v>
      </c>
      <c r="D47" s="584">
        <v>92</v>
      </c>
      <c r="E47" s="583"/>
    </row>
    <row r="48" spans="1:7" s="558" customFormat="1" ht="21" customHeight="1">
      <c r="A48" s="567" t="s">
        <v>204</v>
      </c>
      <c r="B48" s="587" t="s">
        <v>860</v>
      </c>
      <c r="C48" s="586" t="s">
        <v>73</v>
      </c>
      <c r="D48" s="584">
        <v>110</v>
      </c>
      <c r="E48" s="583"/>
    </row>
    <row r="49" spans="1:6" s="558" customFormat="1" ht="21" customHeight="1">
      <c r="A49" s="567" t="s">
        <v>354</v>
      </c>
      <c r="B49" s="587" t="s">
        <v>861</v>
      </c>
      <c r="C49" s="586" t="s">
        <v>73</v>
      </c>
      <c r="D49" s="584">
        <v>2040</v>
      </c>
      <c r="E49" s="583"/>
    </row>
    <row r="50" spans="1:6" s="558" customFormat="1" ht="31.5">
      <c r="A50" s="567"/>
      <c r="B50" s="588" t="s">
        <v>858</v>
      </c>
      <c r="C50" s="586" t="s">
        <v>33</v>
      </c>
      <c r="D50" s="584">
        <v>7.78</v>
      </c>
      <c r="E50" s="583"/>
    </row>
    <row r="51" spans="1:6" s="558" customFormat="1" ht="31.5">
      <c r="A51" s="567"/>
      <c r="B51" s="588" t="s">
        <v>859</v>
      </c>
      <c r="C51" s="586" t="s">
        <v>33</v>
      </c>
      <c r="D51" s="584">
        <v>91.891891891891902</v>
      </c>
      <c r="E51" s="583"/>
    </row>
    <row r="52" spans="1:6" s="558" customFormat="1" ht="32.25" customHeight="1">
      <c r="A52" s="567">
        <v>5</v>
      </c>
      <c r="B52" s="46" t="s">
        <v>281</v>
      </c>
      <c r="C52" s="21" t="s">
        <v>185</v>
      </c>
      <c r="D52" s="582">
        <f>'6 tháng 2021'!J179</f>
        <v>9</v>
      </c>
      <c r="E52" s="583"/>
    </row>
    <row r="53" spans="1:6" s="558" customFormat="1" ht="19.5" customHeight="1">
      <c r="A53" s="567"/>
      <c r="B53" s="47" t="s">
        <v>186</v>
      </c>
      <c r="C53" s="219" t="s">
        <v>33</v>
      </c>
      <c r="D53" s="582">
        <f>'6 tháng 2021'!J180</f>
        <v>100</v>
      </c>
      <c r="E53" s="583"/>
    </row>
    <row r="54" spans="1:6" s="558" customFormat="1" ht="18" customHeight="1">
      <c r="A54" s="574" t="s">
        <v>63</v>
      </c>
      <c r="B54" s="575" t="s">
        <v>160</v>
      </c>
      <c r="C54" s="564"/>
      <c r="D54" s="563"/>
      <c r="E54" s="583"/>
    </row>
    <row r="55" spans="1:6" s="558" customFormat="1" ht="17.25" customHeight="1">
      <c r="A55" s="564">
        <v>1</v>
      </c>
      <c r="B55" s="568" t="s">
        <v>156</v>
      </c>
      <c r="C55" s="589" t="s">
        <v>33</v>
      </c>
      <c r="D55" s="563">
        <f>'6 tháng 2021'!J190</f>
        <v>90.3</v>
      </c>
      <c r="E55" s="583"/>
    </row>
    <row r="56" spans="1:6" s="558" customFormat="1" ht="18" customHeight="1">
      <c r="A56" s="564">
        <v>2</v>
      </c>
      <c r="B56" s="568" t="s">
        <v>157</v>
      </c>
      <c r="C56" s="589" t="s">
        <v>33</v>
      </c>
      <c r="D56" s="563">
        <f>'6 tháng 2021'!J192</f>
        <v>100</v>
      </c>
      <c r="E56" s="583"/>
    </row>
    <row r="57" spans="1:6" s="558" customFormat="1" ht="19.5" customHeight="1">
      <c r="A57" s="564">
        <v>3</v>
      </c>
      <c r="B57" s="568" t="s">
        <v>14</v>
      </c>
      <c r="C57" s="562" t="s">
        <v>61</v>
      </c>
      <c r="D57" s="563">
        <f>'6 tháng 2021'!J193</f>
        <v>8</v>
      </c>
      <c r="E57" s="583"/>
    </row>
    <row r="58" spans="1:6" s="558" customFormat="1" ht="19.5" customHeight="1">
      <c r="A58" s="564"/>
      <c r="B58" s="576" t="s">
        <v>298</v>
      </c>
      <c r="C58" s="590" t="s">
        <v>33</v>
      </c>
      <c r="D58" s="571">
        <f>D57/8*100</f>
        <v>100</v>
      </c>
      <c r="E58" s="583"/>
    </row>
    <row r="59" spans="1:6" s="558" customFormat="1" ht="18" customHeight="1">
      <c r="A59" s="564">
        <v>4</v>
      </c>
      <c r="B59" s="568" t="s">
        <v>15</v>
      </c>
      <c r="C59" s="562" t="s">
        <v>16</v>
      </c>
      <c r="D59" s="563">
        <f>'6 tháng 2021'!J186</f>
        <v>1560</v>
      </c>
      <c r="E59" s="564"/>
    </row>
    <row r="60" spans="1:6" s="558" customFormat="1" ht="18" customHeight="1">
      <c r="A60" s="564">
        <v>5</v>
      </c>
      <c r="B60" s="568" t="s">
        <v>17</v>
      </c>
      <c r="C60" s="562" t="s">
        <v>16</v>
      </c>
      <c r="D60" s="563">
        <f>'6 tháng 2021'!J187</f>
        <v>21800</v>
      </c>
      <c r="E60" s="564"/>
    </row>
    <row r="61" spans="1:6" ht="18" customHeight="1">
      <c r="A61" s="564">
        <v>6</v>
      </c>
      <c r="B61" s="220" t="s">
        <v>284</v>
      </c>
      <c r="C61" s="564" t="s">
        <v>862</v>
      </c>
      <c r="D61" s="563">
        <v>67</v>
      </c>
      <c r="E61" s="564"/>
    </row>
    <row r="62" spans="1:6" ht="18" customHeight="1">
      <c r="A62" s="564">
        <v>7</v>
      </c>
      <c r="B62" s="220" t="s">
        <v>146</v>
      </c>
      <c r="C62" s="564" t="s">
        <v>33</v>
      </c>
      <c r="D62" s="563">
        <v>100</v>
      </c>
      <c r="E62" s="566"/>
    </row>
    <row r="63" spans="1:6" ht="18" customHeight="1">
      <c r="A63" s="564">
        <v>8</v>
      </c>
      <c r="B63" s="220" t="s">
        <v>147</v>
      </c>
      <c r="C63" s="564" t="s">
        <v>33</v>
      </c>
      <c r="D63" s="563">
        <v>100</v>
      </c>
      <c r="E63" s="566"/>
    </row>
    <row r="64" spans="1:6" ht="18" customHeight="1">
      <c r="A64" s="574" t="s">
        <v>64</v>
      </c>
      <c r="B64" s="575" t="s">
        <v>6</v>
      </c>
      <c r="C64" s="564"/>
      <c r="D64" s="563"/>
      <c r="E64" s="569"/>
      <c r="F64" s="591"/>
    </row>
    <row r="65" spans="1:6" ht="15.75" customHeight="1">
      <c r="A65" s="567">
        <v>1</v>
      </c>
      <c r="B65" s="568" t="s">
        <v>7</v>
      </c>
      <c r="C65" s="562" t="s">
        <v>8</v>
      </c>
      <c r="D65" s="563">
        <f>D66+D71</f>
        <v>14805</v>
      </c>
      <c r="E65" s="569"/>
    </row>
    <row r="66" spans="1:6" ht="18" customHeight="1">
      <c r="A66" s="564" t="s">
        <v>34</v>
      </c>
      <c r="B66" s="568" t="s">
        <v>128</v>
      </c>
      <c r="C66" s="564" t="s">
        <v>49</v>
      </c>
      <c r="D66" s="563">
        <f>D67+D68+D70</f>
        <v>10382</v>
      </c>
      <c r="E66" s="569"/>
      <c r="F66" s="581"/>
    </row>
    <row r="67" spans="1:6" ht="18" customHeight="1">
      <c r="A67" s="567"/>
      <c r="B67" s="568" t="s">
        <v>9</v>
      </c>
      <c r="C67" s="564" t="s">
        <v>49</v>
      </c>
      <c r="D67" s="563">
        <f>'6 tháng 2021'!J147</f>
        <v>6492</v>
      </c>
      <c r="E67" s="569"/>
    </row>
    <row r="68" spans="1:6" ht="18" customHeight="1">
      <c r="A68" s="567"/>
      <c r="B68" s="577" t="s">
        <v>10</v>
      </c>
      <c r="C68" s="564" t="s">
        <v>49</v>
      </c>
      <c r="D68" s="563">
        <f>'6 tháng 2021'!J148</f>
        <v>3850</v>
      </c>
      <c r="E68" s="569"/>
    </row>
    <row r="69" spans="1:6" s="597" customFormat="1" ht="18" customHeight="1">
      <c r="A69" s="592"/>
      <c r="B69" s="593" t="s">
        <v>432</v>
      </c>
      <c r="C69" s="594"/>
      <c r="D69" s="595" t="e">
        <f>'6 tháng 2021'!#REF!</f>
        <v>#REF!</v>
      </c>
      <c r="E69" s="596"/>
    </row>
    <row r="70" spans="1:6" ht="18" customHeight="1">
      <c r="A70" s="567"/>
      <c r="B70" s="577" t="s">
        <v>11</v>
      </c>
      <c r="C70" s="564" t="s">
        <v>49</v>
      </c>
      <c r="D70" s="563">
        <f>'6 tháng 2021'!J149</f>
        <v>40</v>
      </c>
      <c r="E70" s="569"/>
    </row>
    <row r="71" spans="1:6" ht="18" customHeight="1">
      <c r="A71" s="564" t="s">
        <v>35</v>
      </c>
      <c r="B71" s="577" t="s">
        <v>140</v>
      </c>
      <c r="C71" s="562" t="s">
        <v>12</v>
      </c>
      <c r="D71" s="563">
        <f>D72+D74</f>
        <v>4423</v>
      </c>
      <c r="E71" s="569"/>
    </row>
    <row r="72" spans="1:6" ht="18" customHeight="1">
      <c r="A72" s="567"/>
      <c r="B72" s="577" t="s">
        <v>135</v>
      </c>
      <c r="C72" s="594" t="s">
        <v>49</v>
      </c>
      <c r="D72" s="563">
        <f>'6 tháng 2021'!J143</f>
        <v>523</v>
      </c>
      <c r="E72" s="596"/>
    </row>
    <row r="73" spans="1:6" ht="18" customHeight="1">
      <c r="A73" s="567"/>
      <c r="B73" s="593" t="s">
        <v>435</v>
      </c>
      <c r="C73" s="594"/>
      <c r="D73" s="563">
        <f>'6 tháng 2021'!J144</f>
        <v>400</v>
      </c>
      <c r="E73" s="596"/>
    </row>
    <row r="74" spans="1:6" ht="18" customHeight="1">
      <c r="A74" s="567"/>
      <c r="B74" s="577" t="s">
        <v>134</v>
      </c>
      <c r="C74" s="594" t="s">
        <v>49</v>
      </c>
      <c r="D74" s="563">
        <f>'6 tháng 2021'!J145</f>
        <v>3900</v>
      </c>
      <c r="E74" s="596"/>
    </row>
    <row r="75" spans="1:6" ht="18" customHeight="1">
      <c r="A75" s="567"/>
      <c r="B75" s="593" t="s">
        <v>435</v>
      </c>
      <c r="C75" s="594"/>
      <c r="D75" s="563">
        <f>'6 tháng 2021'!J146</f>
        <v>3900</v>
      </c>
      <c r="E75" s="596"/>
    </row>
    <row r="76" spans="1:6" ht="18" customHeight="1">
      <c r="A76" s="19">
        <v>2</v>
      </c>
      <c r="B76" s="35" t="s">
        <v>138</v>
      </c>
      <c r="C76" s="32" t="s">
        <v>33</v>
      </c>
      <c r="D76" s="38">
        <v>97.5</v>
      </c>
      <c r="E76" s="598"/>
    </row>
    <row r="77" spans="1:6" s="558" customFormat="1" ht="18" customHeight="1">
      <c r="A77" s="19">
        <v>3</v>
      </c>
      <c r="B77" s="35" t="s">
        <v>13</v>
      </c>
      <c r="C77" s="32"/>
      <c r="D77" s="22"/>
      <c r="E77" s="15"/>
    </row>
    <row r="78" spans="1:6" s="558" customFormat="1" ht="18" customHeight="1">
      <c r="A78" s="19"/>
      <c r="B78" s="20" t="s">
        <v>58</v>
      </c>
      <c r="C78" s="32" t="s">
        <v>33</v>
      </c>
      <c r="D78" s="38">
        <v>98</v>
      </c>
      <c r="E78" s="15"/>
    </row>
    <row r="79" spans="1:6" s="558" customFormat="1" ht="18" customHeight="1">
      <c r="A79" s="19"/>
      <c r="B79" s="20" t="s">
        <v>59</v>
      </c>
      <c r="C79" s="32" t="s">
        <v>33</v>
      </c>
      <c r="D79" s="38">
        <v>93.5</v>
      </c>
      <c r="E79" s="15"/>
    </row>
    <row r="80" spans="1:6" s="558" customFormat="1" ht="18" customHeight="1">
      <c r="A80" s="19"/>
      <c r="B80" s="20" t="s">
        <v>60</v>
      </c>
      <c r="C80" s="32" t="s">
        <v>33</v>
      </c>
      <c r="D80" s="38">
        <v>95</v>
      </c>
      <c r="E80" s="15"/>
    </row>
    <row r="81" spans="1:5" ht="22.5" customHeight="1">
      <c r="A81" s="1">
        <v>4</v>
      </c>
      <c r="B81" s="206" t="s">
        <v>144</v>
      </c>
      <c r="C81" s="1" t="s">
        <v>33</v>
      </c>
      <c r="D81" s="599">
        <f>'6 tháng 2021'!J164</f>
        <v>76.5</v>
      </c>
      <c r="E81" s="206"/>
    </row>
    <row r="82" spans="1:5" ht="9" customHeight="1">
      <c r="A82" s="414"/>
      <c r="B82" s="265"/>
      <c r="C82" s="414"/>
      <c r="D82" s="265"/>
      <c r="E82" s="265"/>
    </row>
    <row r="104" spans="1:5" s="558" customFormat="1" ht="18" hidden="1" customHeight="1">
      <c r="A104" s="567">
        <v>7</v>
      </c>
      <c r="B104" s="220" t="s">
        <v>144</v>
      </c>
      <c r="C104" s="564"/>
      <c r="D104" s="600"/>
      <c r="E104" s="583"/>
    </row>
    <row r="105" spans="1:5" s="558" customFormat="1" ht="18" hidden="1" customHeight="1">
      <c r="A105" s="567"/>
      <c r="B105" s="220" t="s">
        <v>141</v>
      </c>
      <c r="C105" s="564" t="s">
        <v>33</v>
      </c>
      <c r="D105" s="600"/>
      <c r="E105" s="583"/>
    </row>
    <row r="106" spans="1:5" s="558" customFormat="1" ht="18" hidden="1" customHeight="1">
      <c r="A106" s="567"/>
      <c r="B106" s="220" t="s">
        <v>58</v>
      </c>
      <c r="C106" s="564" t="s">
        <v>33</v>
      </c>
      <c r="D106" s="600"/>
      <c r="E106" s="583"/>
    </row>
    <row r="107" spans="1:5" s="558" customFormat="1" ht="18" hidden="1" customHeight="1">
      <c r="A107" s="567"/>
      <c r="B107" s="220" t="s">
        <v>59</v>
      </c>
      <c r="C107" s="564" t="s">
        <v>33</v>
      </c>
      <c r="D107" s="600"/>
      <c r="E107" s="583"/>
    </row>
    <row r="108" spans="1:5" s="558" customFormat="1" ht="18" hidden="1" customHeight="1">
      <c r="A108" s="567"/>
      <c r="B108" s="220" t="s">
        <v>142</v>
      </c>
      <c r="C108" s="564" t="s">
        <v>33</v>
      </c>
      <c r="D108" s="600"/>
      <c r="E108" s="583"/>
    </row>
  </sheetData>
  <mergeCells count="9">
    <mergeCell ref="B5:B6"/>
    <mergeCell ref="C5:C6"/>
    <mergeCell ref="D5:D6"/>
    <mergeCell ref="A3:E3"/>
    <mergeCell ref="D1:E1"/>
    <mergeCell ref="A2:E2"/>
    <mergeCell ref="E5:E6"/>
    <mergeCell ref="A1:B1"/>
    <mergeCell ref="A5:A6"/>
  </mergeCells>
  <phoneticPr fontId="0" type="noConversion"/>
  <pageMargins left="0.86614173228346458" right="0.39370078740157483" top="0.59055118110236227" bottom="0.59055118110236227" header="0.15748031496062992" footer="0.39370078740157483"/>
  <pageSetup scale="86" fitToHeight="0" orientation="portrait" horizontalDpi="300" verticalDpi="300" r:id="rId1"/>
  <headerFooter alignWithMargins="0">
    <oddFooter>&amp;C&amp;"Times New Roman,Regular"&amp;P/&amp;N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rgb="FF0000FF"/>
    <pageSetUpPr fitToPage="1"/>
  </sheetPr>
  <dimension ref="A1:T159"/>
  <sheetViews>
    <sheetView zoomScale="70" zoomScaleNormal="70" zoomScaleSheetLayoutView="85" workbookViewId="0">
      <pane xSplit="3" ySplit="7" topLeftCell="E60" activePane="bottomRight" state="frozen"/>
      <selection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9.140625" defaultRowHeight="15" outlineLevelRow="1" outlineLevelCol="1"/>
  <cols>
    <col min="1" max="1" width="5" style="529" customWidth="1"/>
    <col min="2" max="2" width="38.5703125" style="474" customWidth="1"/>
    <col min="3" max="3" width="8.140625" style="529" customWidth="1"/>
    <col min="4" max="4" width="13" style="529" hidden="1" customWidth="1" outlineLevel="1"/>
    <col min="5" max="5" width="12.140625" style="493" customWidth="1" collapsed="1"/>
    <col min="6" max="6" width="10" style="474" customWidth="1"/>
    <col min="7" max="7" width="11" style="474" customWidth="1"/>
    <col min="8" max="8" width="10" style="474" customWidth="1"/>
    <col min="9" max="9" width="10.7109375" style="474" customWidth="1"/>
    <col min="10" max="11" width="10" style="474" customWidth="1"/>
    <col min="12" max="12" width="10.5703125" style="474" customWidth="1"/>
    <col min="13" max="14" width="10" style="474" customWidth="1"/>
    <col min="15" max="15" width="9.7109375" style="474" customWidth="1"/>
    <col min="16" max="16" width="8.7109375" style="474" bestFit="1" customWidth="1"/>
    <col min="17" max="17" width="10.42578125" style="474" bestFit="1" customWidth="1"/>
    <col min="18" max="16384" width="9.140625" style="474"/>
  </cols>
  <sheetData>
    <row r="1" spans="1:18" ht="15.75" outlineLevel="1">
      <c r="A1" s="845" t="s">
        <v>213</v>
      </c>
      <c r="B1" s="845"/>
      <c r="C1" s="845"/>
      <c r="D1" s="845"/>
      <c r="E1" s="845"/>
      <c r="F1" s="845"/>
      <c r="G1" s="845"/>
      <c r="H1" s="845"/>
      <c r="I1" s="845"/>
      <c r="J1" s="845"/>
      <c r="K1" s="845"/>
      <c r="L1" s="845"/>
      <c r="M1" s="845"/>
      <c r="N1" s="845"/>
      <c r="O1" s="845"/>
      <c r="P1" s="845"/>
    </row>
    <row r="2" spans="1:18" s="475" customFormat="1" ht="23.25" outlineLevel="1">
      <c r="A2" s="846" t="s">
        <v>845</v>
      </c>
      <c r="B2" s="846"/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</row>
    <row r="3" spans="1:18" s="475" customFormat="1" ht="23.25" outlineLevel="1">
      <c r="A3" s="847" t="str">
        <f>'B01'!A3:E3</f>
        <v>(Kèm theo Quyết định số 569/QĐ-UBND, ngày 17/12/2018 của UBND huyện Đăk Tô)</v>
      </c>
      <c r="B3" s="847"/>
      <c r="C3" s="847"/>
      <c r="D3" s="847"/>
      <c r="E3" s="847"/>
      <c r="F3" s="847"/>
      <c r="G3" s="847"/>
      <c r="H3" s="847"/>
      <c r="I3" s="847"/>
      <c r="J3" s="847"/>
      <c r="K3" s="847"/>
      <c r="L3" s="847"/>
      <c r="M3" s="847"/>
      <c r="N3" s="847"/>
      <c r="O3" s="847"/>
      <c r="P3" s="847"/>
    </row>
    <row r="4" spans="1:18" outlineLevel="1">
      <c r="A4" s="476"/>
      <c r="B4" s="476"/>
      <c r="C4" s="474"/>
      <c r="D4" s="474"/>
      <c r="F4" s="477"/>
      <c r="G4" s="477"/>
      <c r="I4" s="477"/>
      <c r="J4" s="477"/>
      <c r="K4" s="531"/>
    </row>
    <row r="5" spans="1:18" s="8" customFormat="1" ht="21.75" customHeight="1">
      <c r="A5" s="771" t="s">
        <v>55</v>
      </c>
      <c r="B5" s="772" t="s">
        <v>69</v>
      </c>
      <c r="C5" s="772" t="s">
        <v>18</v>
      </c>
      <c r="D5" s="772" t="s">
        <v>841</v>
      </c>
      <c r="E5" s="772" t="s">
        <v>841</v>
      </c>
      <c r="F5" s="772" t="s">
        <v>214</v>
      </c>
      <c r="G5" s="771"/>
      <c r="H5" s="771"/>
      <c r="I5" s="771"/>
      <c r="J5" s="771"/>
      <c r="K5" s="771"/>
      <c r="L5" s="771"/>
      <c r="M5" s="771"/>
      <c r="N5" s="771"/>
      <c r="O5" s="771"/>
      <c r="P5" s="772" t="s">
        <v>75</v>
      </c>
    </row>
    <row r="6" spans="1:18" s="8" customFormat="1" ht="31.5">
      <c r="A6" s="771"/>
      <c r="B6" s="771"/>
      <c r="C6" s="771"/>
      <c r="D6" s="848"/>
      <c r="E6" s="848"/>
      <c r="F6" s="617" t="s">
        <v>215</v>
      </c>
      <c r="G6" s="617" t="s">
        <v>216</v>
      </c>
      <c r="H6" s="617" t="s">
        <v>217</v>
      </c>
      <c r="I6" s="617" t="s">
        <v>218</v>
      </c>
      <c r="J6" s="532" t="s">
        <v>219</v>
      </c>
      <c r="K6" s="532" t="s">
        <v>220</v>
      </c>
      <c r="L6" s="617" t="s">
        <v>221</v>
      </c>
      <c r="M6" s="617" t="s">
        <v>222</v>
      </c>
      <c r="N6" s="532" t="s">
        <v>223</v>
      </c>
      <c r="O6" s="617" t="s">
        <v>224</v>
      </c>
      <c r="P6" s="771"/>
    </row>
    <row r="7" spans="1:18" s="483" customFormat="1" ht="19.5" customHeight="1">
      <c r="A7" s="478" t="s">
        <v>40</v>
      </c>
      <c r="B7" s="479" t="s">
        <v>225</v>
      </c>
      <c r="C7" s="480"/>
      <c r="D7" s="533"/>
      <c r="E7" s="533"/>
      <c r="F7" s="481"/>
      <c r="G7" s="481"/>
      <c r="H7" s="481"/>
      <c r="I7" s="481"/>
      <c r="J7" s="481"/>
      <c r="K7" s="481"/>
      <c r="L7" s="481"/>
      <c r="M7" s="481"/>
      <c r="N7" s="481"/>
      <c r="O7" s="481"/>
      <c r="P7" s="482"/>
      <c r="Q7" s="493"/>
      <c r="R7" s="493"/>
    </row>
    <row r="8" spans="1:18" s="489" customFormat="1" ht="15.75">
      <c r="A8" s="491" t="s">
        <v>38</v>
      </c>
      <c r="B8" s="534" t="s">
        <v>300</v>
      </c>
      <c r="C8" s="486" t="s">
        <v>37</v>
      </c>
      <c r="D8" s="459">
        <f t="shared" ref="D8:O8" si="0">D10+D47+D55+D50</f>
        <v>6934.8</v>
      </c>
      <c r="E8" s="459">
        <f t="shared" si="0"/>
        <v>6873.1</v>
      </c>
      <c r="F8" s="459">
        <f t="shared" si="0"/>
        <v>472</v>
      </c>
      <c r="G8" s="459">
        <f t="shared" si="0"/>
        <v>868</v>
      </c>
      <c r="H8" s="459">
        <f t="shared" si="0"/>
        <v>883</v>
      </c>
      <c r="I8" s="459">
        <f t="shared" si="0"/>
        <v>1076</v>
      </c>
      <c r="J8" s="459">
        <f t="shared" si="0"/>
        <v>508</v>
      </c>
      <c r="K8" s="459">
        <f t="shared" si="0"/>
        <v>700.1</v>
      </c>
      <c r="L8" s="459">
        <f t="shared" si="0"/>
        <v>1013</v>
      </c>
      <c r="M8" s="459">
        <f t="shared" si="0"/>
        <v>768</v>
      </c>
      <c r="N8" s="459">
        <f t="shared" si="0"/>
        <v>585</v>
      </c>
      <c r="O8" s="459">
        <f t="shared" si="0"/>
        <v>0</v>
      </c>
      <c r="P8" s="487" t="s">
        <v>226</v>
      </c>
      <c r="Q8" s="535"/>
      <c r="R8" s="535"/>
    </row>
    <row r="9" spans="1:18" s="490" customFormat="1" ht="15.75">
      <c r="A9" s="486">
        <v>1</v>
      </c>
      <c r="B9" s="83" t="s">
        <v>227</v>
      </c>
      <c r="C9" s="486"/>
      <c r="D9" s="459"/>
      <c r="E9" s="459"/>
      <c r="F9" s="59"/>
      <c r="G9" s="59"/>
      <c r="H9" s="59"/>
      <c r="I9" s="59"/>
      <c r="J9" s="59"/>
      <c r="K9" s="59"/>
      <c r="L9" s="59"/>
      <c r="M9" s="59"/>
      <c r="N9" s="59"/>
      <c r="O9" s="59"/>
      <c r="P9" s="456"/>
      <c r="Q9" s="535"/>
      <c r="R9" s="535"/>
    </row>
    <row r="10" spans="1:18" s="493" customFormat="1" ht="15.75">
      <c r="A10" s="491" t="s">
        <v>56</v>
      </c>
      <c r="B10" s="83" t="s">
        <v>228</v>
      </c>
      <c r="C10" s="491" t="s">
        <v>37</v>
      </c>
      <c r="D10" s="459">
        <f t="shared" ref="D10:O10" si="1">D15+D35</f>
        <v>1642</v>
      </c>
      <c r="E10" s="459">
        <f t="shared" si="1"/>
        <v>1613</v>
      </c>
      <c r="F10" s="459">
        <f t="shared" si="1"/>
        <v>222</v>
      </c>
      <c r="G10" s="459">
        <f t="shared" si="1"/>
        <v>111</v>
      </c>
      <c r="H10" s="459">
        <f t="shared" si="1"/>
        <v>224</v>
      </c>
      <c r="I10" s="459">
        <f t="shared" si="1"/>
        <v>140</v>
      </c>
      <c r="J10" s="459">
        <f t="shared" si="1"/>
        <v>135</v>
      </c>
      <c r="K10" s="536">
        <f t="shared" si="1"/>
        <v>176</v>
      </c>
      <c r="L10" s="459">
        <f t="shared" si="1"/>
        <v>170</v>
      </c>
      <c r="M10" s="459">
        <f t="shared" si="1"/>
        <v>261</v>
      </c>
      <c r="N10" s="459">
        <f t="shared" si="1"/>
        <v>174</v>
      </c>
      <c r="O10" s="459">
        <f t="shared" si="1"/>
        <v>0</v>
      </c>
      <c r="P10" s="492"/>
      <c r="Q10" s="535"/>
      <c r="R10" s="535"/>
    </row>
    <row r="11" spans="1:18" s="494" customFormat="1" ht="15.75">
      <c r="A11" s="484" t="s">
        <v>56</v>
      </c>
      <c r="B11" s="537" t="s">
        <v>229</v>
      </c>
      <c r="C11" s="491" t="s">
        <v>230</v>
      </c>
      <c r="D11" s="459">
        <f>D12+D13</f>
        <v>7615.420000000001</v>
      </c>
      <c r="E11" s="459">
        <f t="shared" ref="E11:O11" si="2">E12+E13</f>
        <v>7130.6999999999989</v>
      </c>
      <c r="F11" s="459">
        <f t="shared" si="2"/>
        <v>1238</v>
      </c>
      <c r="G11" s="459">
        <f t="shared" si="2"/>
        <v>341.4</v>
      </c>
      <c r="H11" s="459">
        <f t="shared" si="2"/>
        <v>1250.9000000000001</v>
      </c>
      <c r="I11" s="459">
        <f t="shared" si="2"/>
        <v>753.4</v>
      </c>
      <c r="J11" s="459">
        <f t="shared" si="2"/>
        <v>742.3</v>
      </c>
      <c r="K11" s="459">
        <f t="shared" si="2"/>
        <v>706.40000000000009</v>
      </c>
      <c r="L11" s="459">
        <f t="shared" si="2"/>
        <v>562.70000000000005</v>
      </c>
      <c r="M11" s="459">
        <f t="shared" si="2"/>
        <v>914.3</v>
      </c>
      <c r="N11" s="459">
        <f t="shared" si="2"/>
        <v>621.30000000000007</v>
      </c>
      <c r="O11" s="459">
        <f t="shared" si="2"/>
        <v>0</v>
      </c>
      <c r="P11" s="492"/>
      <c r="Q11" s="535"/>
      <c r="R11" s="535"/>
    </row>
    <row r="12" spans="1:18" s="497" customFormat="1" ht="15.75">
      <c r="A12" s="495"/>
      <c r="B12" s="3" t="s">
        <v>231</v>
      </c>
      <c r="C12" s="486" t="s">
        <v>230</v>
      </c>
      <c r="D12" s="26">
        <f>D17</f>
        <v>6871.6200000000008</v>
      </c>
      <c r="E12" s="26">
        <f>SUM(F12:O12)</f>
        <v>6708.7999999999993</v>
      </c>
      <c r="F12" s="26">
        <f>F17</f>
        <v>1161</v>
      </c>
      <c r="G12" s="26">
        <f t="shared" ref="G12:O12" si="3">G17</f>
        <v>332.4</v>
      </c>
      <c r="H12" s="26">
        <f t="shared" si="3"/>
        <v>1044</v>
      </c>
      <c r="I12" s="26">
        <f t="shared" si="3"/>
        <v>731.8</v>
      </c>
      <c r="J12" s="26">
        <f t="shared" si="3"/>
        <v>731.5</v>
      </c>
      <c r="K12" s="26">
        <f t="shared" si="3"/>
        <v>674.2</v>
      </c>
      <c r="L12" s="26">
        <f t="shared" si="3"/>
        <v>553.5</v>
      </c>
      <c r="M12" s="26">
        <f t="shared" si="3"/>
        <v>886.69999999999993</v>
      </c>
      <c r="N12" s="26">
        <f t="shared" si="3"/>
        <v>593.70000000000005</v>
      </c>
      <c r="O12" s="26">
        <f t="shared" si="3"/>
        <v>0</v>
      </c>
      <c r="P12" s="496"/>
      <c r="Q12" s="535"/>
      <c r="R12" s="535"/>
    </row>
    <row r="13" spans="1:18" s="494" customFormat="1" ht="15.75">
      <c r="A13" s="484"/>
      <c r="B13" s="3" t="s">
        <v>232</v>
      </c>
      <c r="C13" s="486" t="s">
        <v>230</v>
      </c>
      <c r="D13" s="26">
        <f>D37</f>
        <v>743.8</v>
      </c>
      <c r="E13" s="26">
        <f>SUM(F13:O13)</f>
        <v>421.90000000000003</v>
      </c>
      <c r="F13" s="59">
        <f t="shared" ref="F13:O13" si="4">F37</f>
        <v>77</v>
      </c>
      <c r="G13" s="59">
        <f t="shared" si="4"/>
        <v>9</v>
      </c>
      <c r="H13" s="59">
        <f t="shared" si="4"/>
        <v>206.9</v>
      </c>
      <c r="I13" s="59">
        <f t="shared" si="4"/>
        <v>21.6</v>
      </c>
      <c r="J13" s="59">
        <f t="shared" si="4"/>
        <v>10.8</v>
      </c>
      <c r="K13" s="59">
        <f t="shared" si="4"/>
        <v>32.200000000000003</v>
      </c>
      <c r="L13" s="59">
        <f t="shared" si="4"/>
        <v>9.1999999999999993</v>
      </c>
      <c r="M13" s="59">
        <f t="shared" si="4"/>
        <v>27.6</v>
      </c>
      <c r="N13" s="59">
        <f t="shared" si="4"/>
        <v>27.6</v>
      </c>
      <c r="O13" s="58">
        <f t="shared" si="4"/>
        <v>0</v>
      </c>
      <c r="P13" s="457"/>
      <c r="Q13" s="535"/>
      <c r="R13" s="535"/>
    </row>
    <row r="14" spans="1:18" s="2" customFormat="1" ht="15.75">
      <c r="A14" s="491" t="s">
        <v>34</v>
      </c>
      <c r="B14" s="83" t="s">
        <v>233</v>
      </c>
      <c r="C14" s="486"/>
      <c r="D14" s="459"/>
      <c r="E14" s="459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456"/>
      <c r="Q14" s="535"/>
      <c r="R14" s="535"/>
    </row>
    <row r="15" spans="1:18" s="497" customFormat="1" ht="15.75">
      <c r="A15" s="495"/>
      <c r="B15" s="3" t="s">
        <v>234</v>
      </c>
      <c r="C15" s="486" t="s">
        <v>37</v>
      </c>
      <c r="D15" s="57">
        <f>D19+D23</f>
        <v>1502</v>
      </c>
      <c r="E15" s="57">
        <f>E19+E23</f>
        <v>1531</v>
      </c>
      <c r="F15" s="57">
        <f t="shared" ref="F15:O15" si="5">F19+F23</f>
        <v>208</v>
      </c>
      <c r="G15" s="57">
        <f>G19+G23</f>
        <v>109</v>
      </c>
      <c r="H15" s="57">
        <f>H19+H23</f>
        <v>185</v>
      </c>
      <c r="I15" s="57">
        <f t="shared" si="5"/>
        <v>136</v>
      </c>
      <c r="J15" s="57">
        <f t="shared" si="5"/>
        <v>133</v>
      </c>
      <c r="K15" s="57">
        <f>K19+K23</f>
        <v>169</v>
      </c>
      <c r="L15" s="57">
        <f t="shared" si="5"/>
        <v>168</v>
      </c>
      <c r="M15" s="57">
        <f t="shared" si="5"/>
        <v>255</v>
      </c>
      <c r="N15" s="57">
        <f t="shared" si="5"/>
        <v>168</v>
      </c>
      <c r="O15" s="57">
        <f t="shared" si="5"/>
        <v>0</v>
      </c>
      <c r="P15" s="498"/>
      <c r="Q15" s="535"/>
      <c r="R15" s="535"/>
    </row>
    <row r="16" spans="1:18" s="497" customFormat="1" ht="15.75">
      <c r="A16" s="495"/>
      <c r="B16" s="84" t="s">
        <v>235</v>
      </c>
      <c r="C16" s="495" t="s">
        <v>236</v>
      </c>
      <c r="D16" s="538">
        <f>D17/D15*10</f>
        <v>45.749800266311588</v>
      </c>
      <c r="E16" s="539">
        <f>E17/E15*10</f>
        <v>43.819725669497053</v>
      </c>
      <c r="F16" s="85">
        <f t="shared" ref="F16:N16" si="6">F17/F15*10</f>
        <v>55.817307692307693</v>
      </c>
      <c r="G16" s="85">
        <f t="shared" si="6"/>
        <v>30.495412844036696</v>
      </c>
      <c r="H16" s="85">
        <f t="shared" si="6"/>
        <v>56.432432432432435</v>
      </c>
      <c r="I16" s="85">
        <f t="shared" si="6"/>
        <v>53.808823529411768</v>
      </c>
      <c r="J16" s="85">
        <f t="shared" si="6"/>
        <v>55</v>
      </c>
      <c r="K16" s="85">
        <f t="shared" si="6"/>
        <v>39.893491124260358</v>
      </c>
      <c r="L16" s="85">
        <f t="shared" si="6"/>
        <v>32.946428571428569</v>
      </c>
      <c r="M16" s="85">
        <f t="shared" si="6"/>
        <v>34.772549019607844</v>
      </c>
      <c r="N16" s="85">
        <f t="shared" si="6"/>
        <v>35.339285714285715</v>
      </c>
      <c r="O16" s="85"/>
      <c r="P16" s="499"/>
      <c r="Q16" s="535"/>
      <c r="R16" s="535"/>
    </row>
    <row r="17" spans="1:18" ht="15.75">
      <c r="A17" s="486"/>
      <c r="B17" s="3" t="s">
        <v>293</v>
      </c>
      <c r="C17" s="486" t="s">
        <v>230</v>
      </c>
      <c r="D17" s="59">
        <f>D21+D25</f>
        <v>6871.6200000000008</v>
      </c>
      <c r="E17" s="59">
        <f>E21+E25</f>
        <v>6708.7999999999993</v>
      </c>
      <c r="F17" s="59">
        <f t="shared" ref="F17:O17" si="7">F21+F25</f>
        <v>1161</v>
      </c>
      <c r="G17" s="59">
        <f t="shared" si="7"/>
        <v>332.4</v>
      </c>
      <c r="H17" s="59">
        <f t="shared" si="7"/>
        <v>1044</v>
      </c>
      <c r="I17" s="59">
        <f t="shared" si="7"/>
        <v>731.8</v>
      </c>
      <c r="J17" s="59">
        <f t="shared" si="7"/>
        <v>731.5</v>
      </c>
      <c r="K17" s="59">
        <f t="shared" si="7"/>
        <v>674.2</v>
      </c>
      <c r="L17" s="59">
        <f t="shared" si="7"/>
        <v>553.5</v>
      </c>
      <c r="M17" s="59">
        <f t="shared" si="7"/>
        <v>886.69999999999993</v>
      </c>
      <c r="N17" s="59">
        <f t="shared" si="7"/>
        <v>593.70000000000005</v>
      </c>
      <c r="O17" s="59">
        <f t="shared" si="7"/>
        <v>0</v>
      </c>
      <c r="P17" s="498"/>
      <c r="Q17" s="535"/>
      <c r="R17" s="535"/>
    </row>
    <row r="18" spans="1:18" ht="15.75">
      <c r="A18" s="486"/>
      <c r="B18" s="3" t="s">
        <v>908</v>
      </c>
      <c r="C18" s="486"/>
      <c r="D18" s="459"/>
      <c r="E18" s="459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00"/>
      <c r="Q18" s="535"/>
      <c r="R18" s="535"/>
    </row>
    <row r="19" spans="1:18" s="497" customFormat="1" ht="15.75">
      <c r="A19" s="495"/>
      <c r="B19" s="3" t="s">
        <v>291</v>
      </c>
      <c r="C19" s="486" t="s">
        <v>37</v>
      </c>
      <c r="D19" s="459">
        <f>'6 tháng 2021'!J28</f>
        <v>557</v>
      </c>
      <c r="E19" s="459">
        <f>SUM(F19:O19)</f>
        <v>571</v>
      </c>
      <c r="F19" s="59">
        <v>91</v>
      </c>
      <c r="G19" s="59">
        <v>42</v>
      </c>
      <c r="H19" s="59">
        <v>80</v>
      </c>
      <c r="I19" s="59">
        <v>53</v>
      </c>
      <c r="J19" s="59">
        <v>63</v>
      </c>
      <c r="K19" s="59">
        <v>80</v>
      </c>
      <c r="L19" s="59">
        <v>59</v>
      </c>
      <c r="M19" s="59">
        <v>60</v>
      </c>
      <c r="N19" s="59">
        <v>43</v>
      </c>
      <c r="O19" s="58"/>
      <c r="P19" s="498"/>
      <c r="Q19" s="535"/>
      <c r="R19" s="535"/>
    </row>
    <row r="20" spans="1:18" s="497" customFormat="1" ht="15.75">
      <c r="A20" s="495"/>
      <c r="B20" s="84" t="s">
        <v>239</v>
      </c>
      <c r="C20" s="495" t="s">
        <v>236</v>
      </c>
      <c r="D20" s="25">
        <f>'6 tháng 2021'!J29</f>
        <v>50.1</v>
      </c>
      <c r="E20" s="539">
        <f>E21/E19*10</f>
        <v>47.259194395796847</v>
      </c>
      <c r="F20" s="85">
        <v>58</v>
      </c>
      <c r="G20" s="85">
        <v>36</v>
      </c>
      <c r="H20" s="85">
        <v>57</v>
      </c>
      <c r="I20" s="85">
        <v>56</v>
      </c>
      <c r="J20" s="85">
        <v>55</v>
      </c>
      <c r="K20" s="85">
        <v>42</v>
      </c>
      <c r="L20" s="85">
        <v>35</v>
      </c>
      <c r="M20" s="85">
        <v>35</v>
      </c>
      <c r="N20" s="85">
        <v>39</v>
      </c>
      <c r="O20" s="85"/>
      <c r="P20" s="499"/>
      <c r="Q20" s="535"/>
      <c r="R20" s="535"/>
    </row>
    <row r="21" spans="1:18" ht="15.75">
      <c r="A21" s="486"/>
      <c r="B21" s="3" t="s">
        <v>290</v>
      </c>
      <c r="C21" s="486" t="s">
        <v>230</v>
      </c>
      <c r="D21" s="26">
        <f>D19*D20/10</f>
        <v>2790.57</v>
      </c>
      <c r="E21" s="26">
        <f>SUM(F21:O21)</f>
        <v>2698.5</v>
      </c>
      <c r="F21" s="59">
        <f>F20*F19/10</f>
        <v>527.79999999999995</v>
      </c>
      <c r="G21" s="59">
        <f>G20*G19/10</f>
        <v>151.19999999999999</v>
      </c>
      <c r="H21" s="59">
        <f t="shared" ref="H21:O21" si="8">H19*H20/10</f>
        <v>456</v>
      </c>
      <c r="I21" s="59">
        <f t="shared" si="8"/>
        <v>296.8</v>
      </c>
      <c r="J21" s="59">
        <f t="shared" si="8"/>
        <v>346.5</v>
      </c>
      <c r="K21" s="59">
        <f t="shared" si="8"/>
        <v>336</v>
      </c>
      <c r="L21" s="59">
        <f t="shared" si="8"/>
        <v>206.5</v>
      </c>
      <c r="M21" s="59">
        <f t="shared" si="8"/>
        <v>210</v>
      </c>
      <c r="N21" s="59">
        <f t="shared" si="8"/>
        <v>167.7</v>
      </c>
      <c r="O21" s="58">
        <f t="shared" si="8"/>
        <v>0</v>
      </c>
      <c r="P21" s="498"/>
      <c r="Q21" s="535"/>
      <c r="R21" s="535"/>
    </row>
    <row r="22" spans="1:18" ht="15.75">
      <c r="A22" s="486"/>
      <c r="B22" s="3" t="s">
        <v>240</v>
      </c>
      <c r="C22" s="486"/>
      <c r="D22" s="459"/>
      <c r="E22" s="459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00"/>
      <c r="Q22" s="535"/>
      <c r="R22" s="535"/>
    </row>
    <row r="23" spans="1:18" s="497" customFormat="1" ht="15.75">
      <c r="A23" s="495"/>
      <c r="B23" s="3" t="s">
        <v>291</v>
      </c>
      <c r="C23" s="486" t="s">
        <v>37</v>
      </c>
      <c r="D23" s="459">
        <f t="shared" ref="D23:O23" si="9">D27+D31</f>
        <v>945</v>
      </c>
      <c r="E23" s="459">
        <f t="shared" si="9"/>
        <v>960</v>
      </c>
      <c r="F23" s="59">
        <f t="shared" si="9"/>
        <v>117</v>
      </c>
      <c r="G23" s="59">
        <f t="shared" si="9"/>
        <v>67</v>
      </c>
      <c r="H23" s="59">
        <f t="shared" si="9"/>
        <v>105</v>
      </c>
      <c r="I23" s="58">
        <f t="shared" si="9"/>
        <v>83</v>
      </c>
      <c r="J23" s="59">
        <f t="shared" si="9"/>
        <v>70</v>
      </c>
      <c r="K23" s="58">
        <f t="shared" si="9"/>
        <v>89</v>
      </c>
      <c r="L23" s="59">
        <f t="shared" si="9"/>
        <v>109</v>
      </c>
      <c r="M23" s="59">
        <f t="shared" si="9"/>
        <v>195</v>
      </c>
      <c r="N23" s="59">
        <f t="shared" si="9"/>
        <v>125</v>
      </c>
      <c r="O23" s="59">
        <f t="shared" si="9"/>
        <v>0</v>
      </c>
      <c r="P23" s="498"/>
      <c r="Q23" s="535"/>
      <c r="R23" s="535"/>
    </row>
    <row r="24" spans="1:18" s="497" customFormat="1" ht="15.75">
      <c r="A24" s="495"/>
      <c r="B24" s="84" t="s">
        <v>239</v>
      </c>
      <c r="C24" s="495" t="s">
        <v>236</v>
      </c>
      <c r="D24" s="538">
        <f>D25/D23*10</f>
        <v>43.185714285714283</v>
      </c>
      <c r="E24" s="539">
        <f>E25/E23*10</f>
        <v>41.773958333333326</v>
      </c>
      <c r="F24" s="539">
        <v>56</v>
      </c>
      <c r="G24" s="539">
        <v>36</v>
      </c>
      <c r="H24" s="539">
        <v>56</v>
      </c>
      <c r="I24" s="539">
        <v>55</v>
      </c>
      <c r="J24" s="539">
        <v>55</v>
      </c>
      <c r="K24" s="539">
        <v>38</v>
      </c>
      <c r="L24" s="539">
        <v>35</v>
      </c>
      <c r="M24" s="539">
        <v>35.299999999999997</v>
      </c>
      <c r="N24" s="539">
        <v>35</v>
      </c>
      <c r="O24" s="539"/>
      <c r="P24" s="499"/>
      <c r="Q24" s="535"/>
      <c r="R24" s="535"/>
    </row>
    <row r="25" spans="1:18" ht="15.75">
      <c r="A25" s="486"/>
      <c r="B25" s="3" t="s">
        <v>290</v>
      </c>
      <c r="C25" s="486" t="s">
        <v>230</v>
      </c>
      <c r="D25" s="26">
        <f>D29+D33</f>
        <v>4081.05</v>
      </c>
      <c r="E25" s="26">
        <f>SUM(F25:O25)</f>
        <v>4010.2999999999997</v>
      </c>
      <c r="F25" s="59">
        <f t="shared" ref="F25:O25" si="10">F29+F33</f>
        <v>633.20000000000005</v>
      </c>
      <c r="G25" s="59">
        <f t="shared" si="10"/>
        <v>181.2</v>
      </c>
      <c r="H25" s="59">
        <f t="shared" si="10"/>
        <v>588</v>
      </c>
      <c r="I25" s="59">
        <f t="shared" si="10"/>
        <v>435</v>
      </c>
      <c r="J25" s="59">
        <f t="shared" si="10"/>
        <v>385</v>
      </c>
      <c r="K25" s="59">
        <f t="shared" si="10"/>
        <v>338.2</v>
      </c>
      <c r="L25" s="59">
        <f t="shared" si="10"/>
        <v>347</v>
      </c>
      <c r="M25" s="59">
        <f t="shared" si="10"/>
        <v>676.69999999999993</v>
      </c>
      <c r="N25" s="59">
        <f t="shared" si="10"/>
        <v>426</v>
      </c>
      <c r="O25" s="59">
        <f t="shared" si="10"/>
        <v>0</v>
      </c>
      <c r="P25" s="498"/>
      <c r="Q25" s="535"/>
      <c r="R25" s="535"/>
    </row>
    <row r="26" spans="1:18" ht="15.75" customHeight="1">
      <c r="A26" s="486"/>
      <c r="B26" s="501" t="s">
        <v>241</v>
      </c>
      <c r="C26" s="486"/>
      <c r="D26" s="459"/>
      <c r="E26" s="459"/>
      <c r="F26" s="59"/>
      <c r="G26" s="58"/>
      <c r="H26" s="58"/>
      <c r="I26" s="58"/>
      <c r="J26" s="58"/>
      <c r="K26" s="58"/>
      <c r="L26" s="58"/>
      <c r="M26" s="58"/>
      <c r="N26" s="58"/>
      <c r="O26" s="58"/>
      <c r="P26" s="500"/>
      <c r="Q26" s="535"/>
      <c r="R26" s="535"/>
    </row>
    <row r="27" spans="1:18" s="497" customFormat="1" ht="15.75">
      <c r="A27" s="495"/>
      <c r="B27" s="3" t="s">
        <v>291</v>
      </c>
      <c r="C27" s="486" t="s">
        <v>37</v>
      </c>
      <c r="D27" s="459">
        <f>'6 tháng 2021'!J34</f>
        <v>885</v>
      </c>
      <c r="E27" s="459">
        <f>SUM(F27:O27)</f>
        <v>900</v>
      </c>
      <c r="F27" s="59">
        <v>112</v>
      </c>
      <c r="G27" s="59">
        <v>42</v>
      </c>
      <c r="H27" s="59">
        <v>105</v>
      </c>
      <c r="I27" s="59">
        <v>78</v>
      </c>
      <c r="J27" s="59">
        <v>70</v>
      </c>
      <c r="K27" s="59">
        <v>89</v>
      </c>
      <c r="L27" s="59">
        <v>94</v>
      </c>
      <c r="M27" s="59">
        <v>190</v>
      </c>
      <c r="N27" s="59">
        <v>120</v>
      </c>
      <c r="O27" s="58"/>
      <c r="P27" s="498"/>
      <c r="Q27" s="535"/>
      <c r="R27" s="535"/>
    </row>
    <row r="28" spans="1:18" s="497" customFormat="1" ht="15.75">
      <c r="A28" s="495"/>
      <c r="B28" s="84" t="s">
        <v>239</v>
      </c>
      <c r="C28" s="495" t="s">
        <v>236</v>
      </c>
      <c r="D28" s="25">
        <f>'6 tháng 2021'!J35</f>
        <v>45.3</v>
      </c>
      <c r="E28" s="539">
        <f>E29/E27*10</f>
        <v>43.758888888888883</v>
      </c>
      <c r="F28" s="85">
        <v>56</v>
      </c>
      <c r="G28" s="85">
        <v>36</v>
      </c>
      <c r="H28" s="85">
        <v>56</v>
      </c>
      <c r="I28" s="85">
        <v>55</v>
      </c>
      <c r="J28" s="85">
        <v>55</v>
      </c>
      <c r="K28" s="85">
        <v>38</v>
      </c>
      <c r="L28" s="85">
        <v>35</v>
      </c>
      <c r="M28" s="85">
        <v>35.299999999999997</v>
      </c>
      <c r="N28" s="85">
        <v>35</v>
      </c>
      <c r="O28" s="85"/>
      <c r="P28" s="499"/>
      <c r="Q28" s="535"/>
      <c r="R28" s="535"/>
    </row>
    <row r="29" spans="1:18" ht="15.75">
      <c r="A29" s="486"/>
      <c r="B29" s="3" t="s">
        <v>290</v>
      </c>
      <c r="C29" s="486" t="s">
        <v>230</v>
      </c>
      <c r="D29" s="26">
        <f>D27*D28/10</f>
        <v>4009.05</v>
      </c>
      <c r="E29" s="26">
        <f>SUM(F29:O29)</f>
        <v>3938.2999999999997</v>
      </c>
      <c r="F29" s="59">
        <f t="shared" ref="F29:O29" si="11">F27*F28/10</f>
        <v>627.20000000000005</v>
      </c>
      <c r="G29" s="59">
        <f t="shared" si="11"/>
        <v>151.19999999999999</v>
      </c>
      <c r="H29" s="59">
        <f>H27*H28/10</f>
        <v>588</v>
      </c>
      <c r="I29" s="59">
        <f t="shared" si="11"/>
        <v>429</v>
      </c>
      <c r="J29" s="59">
        <f t="shared" si="11"/>
        <v>385</v>
      </c>
      <c r="K29" s="59">
        <f t="shared" si="11"/>
        <v>338.2</v>
      </c>
      <c r="L29" s="59">
        <f t="shared" si="11"/>
        <v>329</v>
      </c>
      <c r="M29" s="59">
        <f t="shared" si="11"/>
        <v>670.69999999999993</v>
      </c>
      <c r="N29" s="59">
        <f t="shared" si="11"/>
        <v>420</v>
      </c>
      <c r="O29" s="59">
        <f t="shared" si="11"/>
        <v>0</v>
      </c>
      <c r="P29" s="498"/>
      <c r="Q29" s="535"/>
      <c r="R29" s="535"/>
    </row>
    <row r="30" spans="1:18" ht="15.75">
      <c r="A30" s="486"/>
      <c r="B30" s="3" t="s">
        <v>242</v>
      </c>
      <c r="C30" s="486"/>
      <c r="D30" s="459"/>
      <c r="E30" s="459"/>
      <c r="F30" s="459"/>
      <c r="G30" s="459"/>
      <c r="H30" s="459"/>
      <c r="I30" s="459"/>
      <c r="J30" s="459"/>
      <c r="K30" s="459"/>
      <c r="L30" s="459"/>
      <c r="M30" s="459"/>
      <c r="N30" s="459"/>
      <c r="O30" s="58"/>
      <c r="P30" s="500"/>
      <c r="Q30" s="535"/>
      <c r="R30" s="535"/>
    </row>
    <row r="31" spans="1:18" s="497" customFormat="1" ht="15.75">
      <c r="A31" s="495"/>
      <c r="B31" s="3" t="s">
        <v>291</v>
      </c>
      <c r="C31" s="486" t="s">
        <v>37</v>
      </c>
      <c r="D31" s="459">
        <f>'6 tháng 2021'!J37</f>
        <v>60</v>
      </c>
      <c r="E31" s="459">
        <f>SUM(F31:O31)</f>
        <v>60</v>
      </c>
      <c r="F31" s="59">
        <v>5</v>
      </c>
      <c r="G31" s="59">
        <v>25</v>
      </c>
      <c r="H31" s="59"/>
      <c r="I31" s="59">
        <v>5</v>
      </c>
      <c r="J31" s="59"/>
      <c r="K31" s="59"/>
      <c r="L31" s="59">
        <v>15</v>
      </c>
      <c r="M31" s="59">
        <v>5</v>
      </c>
      <c r="N31" s="59">
        <v>5</v>
      </c>
      <c r="O31" s="58"/>
      <c r="P31" s="498"/>
      <c r="Q31" s="535"/>
      <c r="R31" s="535"/>
    </row>
    <row r="32" spans="1:18" ht="15.75">
      <c r="A32" s="486"/>
      <c r="B32" s="84" t="s">
        <v>239</v>
      </c>
      <c r="C32" s="495" t="s">
        <v>236</v>
      </c>
      <c r="D32" s="26">
        <f>'6 tháng 2021'!J38</f>
        <v>12</v>
      </c>
      <c r="E32" s="25">
        <f>E33/E31*10</f>
        <v>12</v>
      </c>
      <c r="F32" s="58">
        <v>12</v>
      </c>
      <c r="G32" s="58">
        <v>12</v>
      </c>
      <c r="H32" s="58"/>
      <c r="I32" s="58">
        <v>12</v>
      </c>
      <c r="J32" s="58"/>
      <c r="K32" s="58"/>
      <c r="L32" s="58">
        <v>12</v>
      </c>
      <c r="M32" s="58">
        <v>12</v>
      </c>
      <c r="N32" s="58">
        <v>12</v>
      </c>
      <c r="O32" s="58"/>
      <c r="P32" s="502"/>
      <c r="Q32" s="535"/>
      <c r="R32" s="535"/>
    </row>
    <row r="33" spans="1:18" ht="15.75">
      <c r="A33" s="486"/>
      <c r="B33" s="3" t="s">
        <v>290</v>
      </c>
      <c r="C33" s="486" t="s">
        <v>230</v>
      </c>
      <c r="D33" s="26">
        <f>D31*D32/10</f>
        <v>72</v>
      </c>
      <c r="E33" s="26">
        <f>SUM(F33:O33)</f>
        <v>72</v>
      </c>
      <c r="F33" s="59">
        <f t="shared" ref="F33:O33" si="12">F31*F32/10</f>
        <v>6</v>
      </c>
      <c r="G33" s="59">
        <f t="shared" si="12"/>
        <v>30</v>
      </c>
      <c r="H33" s="59">
        <f t="shared" si="12"/>
        <v>0</v>
      </c>
      <c r="I33" s="59">
        <f t="shared" si="12"/>
        <v>6</v>
      </c>
      <c r="J33" s="59">
        <f t="shared" si="12"/>
        <v>0</v>
      </c>
      <c r="K33" s="59">
        <f t="shared" si="12"/>
        <v>0</v>
      </c>
      <c r="L33" s="59">
        <f t="shared" si="12"/>
        <v>18</v>
      </c>
      <c r="M33" s="59">
        <f t="shared" si="12"/>
        <v>6</v>
      </c>
      <c r="N33" s="59">
        <f t="shared" si="12"/>
        <v>6</v>
      </c>
      <c r="O33" s="59">
        <f t="shared" si="12"/>
        <v>0</v>
      </c>
      <c r="P33" s="498"/>
      <c r="Q33" s="535"/>
      <c r="R33" s="535"/>
    </row>
    <row r="34" spans="1:18" s="2" customFormat="1" ht="15.75">
      <c r="A34" s="491" t="s">
        <v>35</v>
      </c>
      <c r="B34" s="83" t="s">
        <v>243</v>
      </c>
      <c r="C34" s="486"/>
      <c r="D34" s="459"/>
      <c r="E34" s="459"/>
      <c r="F34" s="459"/>
      <c r="G34" s="459"/>
      <c r="H34" s="459"/>
      <c r="I34" s="459"/>
      <c r="J34" s="459"/>
      <c r="K34" s="459"/>
      <c r="L34" s="459"/>
      <c r="M34" s="459"/>
      <c r="N34" s="459"/>
      <c r="O34" s="459"/>
      <c r="P34" s="500"/>
      <c r="Q34" s="535"/>
      <c r="R34" s="535"/>
    </row>
    <row r="35" spans="1:18" s="497" customFormat="1" ht="15.75">
      <c r="A35" s="495"/>
      <c r="B35" s="503" t="s">
        <v>234</v>
      </c>
      <c r="C35" s="486" t="s">
        <v>37</v>
      </c>
      <c r="D35" s="57">
        <f t="shared" ref="D35:O35" si="13">D39+D43</f>
        <v>140</v>
      </c>
      <c r="E35" s="57">
        <f t="shared" si="13"/>
        <v>82</v>
      </c>
      <c r="F35" s="57">
        <f t="shared" si="13"/>
        <v>14</v>
      </c>
      <c r="G35" s="57">
        <f t="shared" si="13"/>
        <v>2</v>
      </c>
      <c r="H35" s="57">
        <f t="shared" si="13"/>
        <v>39</v>
      </c>
      <c r="I35" s="57">
        <f t="shared" si="13"/>
        <v>4</v>
      </c>
      <c r="J35" s="57">
        <f t="shared" si="13"/>
        <v>2</v>
      </c>
      <c r="K35" s="57">
        <f t="shared" si="13"/>
        <v>7</v>
      </c>
      <c r="L35" s="57">
        <f t="shared" si="13"/>
        <v>2</v>
      </c>
      <c r="M35" s="57">
        <f t="shared" si="13"/>
        <v>6</v>
      </c>
      <c r="N35" s="57">
        <f t="shared" si="13"/>
        <v>6</v>
      </c>
      <c r="O35" s="66">
        <f t="shared" si="13"/>
        <v>0</v>
      </c>
      <c r="P35" s="498"/>
      <c r="Q35" s="535"/>
      <c r="R35" s="535"/>
    </row>
    <row r="36" spans="1:18" ht="15.75">
      <c r="A36" s="486"/>
      <c r="B36" s="504" t="s">
        <v>235</v>
      </c>
      <c r="C36" s="495" t="s">
        <v>236</v>
      </c>
      <c r="D36" s="26">
        <f>D37/D35*10</f>
        <v>53.128571428571419</v>
      </c>
      <c r="E36" s="25">
        <f t="shared" ref="E36:N36" si="14">E37/E35*10</f>
        <v>51.451219512195124</v>
      </c>
      <c r="F36" s="58">
        <f t="shared" si="14"/>
        <v>55</v>
      </c>
      <c r="G36" s="58">
        <f t="shared" si="14"/>
        <v>45</v>
      </c>
      <c r="H36" s="58">
        <f t="shared" si="14"/>
        <v>53.051282051282051</v>
      </c>
      <c r="I36" s="58">
        <f t="shared" si="14"/>
        <v>54</v>
      </c>
      <c r="J36" s="58">
        <f t="shared" si="14"/>
        <v>54</v>
      </c>
      <c r="K36" s="58">
        <f t="shared" si="14"/>
        <v>46.000000000000007</v>
      </c>
      <c r="L36" s="58">
        <f t="shared" si="14"/>
        <v>46</v>
      </c>
      <c r="M36" s="58">
        <f t="shared" si="14"/>
        <v>46.000000000000007</v>
      </c>
      <c r="N36" s="58">
        <f t="shared" si="14"/>
        <v>46.000000000000007</v>
      </c>
      <c r="O36" s="58"/>
      <c r="P36" s="502"/>
      <c r="Q36" s="535"/>
      <c r="R36" s="535"/>
    </row>
    <row r="37" spans="1:18" ht="15.75">
      <c r="A37" s="486"/>
      <c r="B37" s="503" t="s">
        <v>293</v>
      </c>
      <c r="C37" s="486" t="s">
        <v>230</v>
      </c>
      <c r="D37" s="59">
        <f t="shared" ref="D37:O37" si="15">D41+D45</f>
        <v>743.8</v>
      </c>
      <c r="E37" s="59">
        <f t="shared" si="15"/>
        <v>421.90000000000003</v>
      </c>
      <c r="F37" s="59">
        <f t="shared" si="15"/>
        <v>77</v>
      </c>
      <c r="G37" s="59">
        <f t="shared" si="15"/>
        <v>9</v>
      </c>
      <c r="H37" s="59">
        <f t="shared" si="15"/>
        <v>206.9</v>
      </c>
      <c r="I37" s="59">
        <f t="shared" si="15"/>
        <v>21.6</v>
      </c>
      <c r="J37" s="59">
        <f t="shared" si="15"/>
        <v>10.8</v>
      </c>
      <c r="K37" s="59">
        <f t="shared" si="15"/>
        <v>32.200000000000003</v>
      </c>
      <c r="L37" s="59">
        <f t="shared" si="15"/>
        <v>9.1999999999999993</v>
      </c>
      <c r="M37" s="59">
        <f t="shared" si="15"/>
        <v>27.6</v>
      </c>
      <c r="N37" s="59">
        <f t="shared" si="15"/>
        <v>27.6</v>
      </c>
      <c r="O37" s="58">
        <f t="shared" si="15"/>
        <v>0</v>
      </c>
      <c r="P37" s="498"/>
      <c r="Q37" s="535"/>
      <c r="R37" s="535"/>
    </row>
    <row r="38" spans="1:18" ht="15.75">
      <c r="A38" s="486"/>
      <c r="B38" s="3" t="s">
        <v>244</v>
      </c>
      <c r="C38" s="486"/>
      <c r="D38" s="459"/>
      <c r="E38" s="459"/>
      <c r="F38" s="59"/>
      <c r="G38" s="59"/>
      <c r="H38" s="59"/>
      <c r="I38" s="58"/>
      <c r="J38" s="59"/>
      <c r="K38" s="59"/>
      <c r="L38" s="59"/>
      <c r="M38" s="59"/>
      <c r="N38" s="59"/>
      <c r="O38" s="58"/>
      <c r="P38" s="500"/>
      <c r="Q38" s="535"/>
      <c r="R38" s="535"/>
    </row>
    <row r="39" spans="1:18" s="497" customFormat="1" ht="15.75">
      <c r="A39" s="495"/>
      <c r="B39" s="503" t="s">
        <v>238</v>
      </c>
      <c r="C39" s="486" t="s">
        <v>37</v>
      </c>
      <c r="D39" s="459">
        <f>'6 tháng 2021'!J43</f>
        <v>60</v>
      </c>
      <c r="E39" s="459">
        <f>SUM(F39:O39)</f>
        <v>22</v>
      </c>
      <c r="F39" s="59"/>
      <c r="G39" s="59"/>
      <c r="H39" s="59">
        <v>22</v>
      </c>
      <c r="I39" s="59"/>
      <c r="J39" s="59"/>
      <c r="K39" s="59"/>
      <c r="L39" s="59"/>
      <c r="M39" s="59"/>
      <c r="N39" s="59"/>
      <c r="O39" s="58"/>
      <c r="P39" s="498"/>
      <c r="Q39" s="535"/>
      <c r="R39" s="535"/>
    </row>
    <row r="40" spans="1:18" ht="15.75">
      <c r="A40" s="486"/>
      <c r="B40" s="504" t="s">
        <v>239</v>
      </c>
      <c r="C40" s="495" t="s">
        <v>236</v>
      </c>
      <c r="D40" s="26">
        <f>'6 tháng 2021'!J44</f>
        <v>52.9</v>
      </c>
      <c r="E40" s="25">
        <f>E41/E39*10</f>
        <v>50</v>
      </c>
      <c r="F40" s="58"/>
      <c r="G40" s="58"/>
      <c r="H40" s="58">
        <v>50</v>
      </c>
      <c r="I40" s="58"/>
      <c r="J40" s="58"/>
      <c r="K40" s="58"/>
      <c r="L40" s="58"/>
      <c r="M40" s="58"/>
      <c r="N40" s="58"/>
      <c r="O40" s="58"/>
      <c r="P40" s="502"/>
      <c r="Q40" s="535"/>
      <c r="R40" s="535"/>
    </row>
    <row r="41" spans="1:18" ht="15.75">
      <c r="A41" s="486"/>
      <c r="B41" s="3" t="s">
        <v>290</v>
      </c>
      <c r="C41" s="486" t="s">
        <v>230</v>
      </c>
      <c r="D41" s="59">
        <f>D40*D39/10</f>
        <v>317.39999999999998</v>
      </c>
      <c r="E41" s="59">
        <f>SUM(F41:O41)</f>
        <v>110</v>
      </c>
      <c r="F41" s="59">
        <f>F39*F40/10</f>
        <v>0</v>
      </c>
      <c r="G41" s="59">
        <f t="shared" ref="G41:N41" si="16">G39*G40/10</f>
        <v>0</v>
      </c>
      <c r="H41" s="59">
        <f t="shared" si="16"/>
        <v>110</v>
      </c>
      <c r="I41" s="59">
        <f t="shared" si="16"/>
        <v>0</v>
      </c>
      <c r="J41" s="59">
        <f t="shared" si="16"/>
        <v>0</v>
      </c>
      <c r="K41" s="59">
        <f t="shared" si="16"/>
        <v>0</v>
      </c>
      <c r="L41" s="59">
        <f t="shared" si="16"/>
        <v>0</v>
      </c>
      <c r="M41" s="59">
        <f t="shared" si="16"/>
        <v>0</v>
      </c>
      <c r="N41" s="59">
        <f t="shared" si="16"/>
        <v>0</v>
      </c>
      <c r="O41" s="59"/>
      <c r="P41" s="498"/>
      <c r="Q41" s="535"/>
      <c r="R41" s="535"/>
    </row>
    <row r="42" spans="1:18" ht="15.75">
      <c r="A42" s="486"/>
      <c r="B42" s="3" t="s">
        <v>245</v>
      </c>
      <c r="C42" s="486"/>
      <c r="D42" s="459"/>
      <c r="E42" s="459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00"/>
      <c r="Q42" s="535"/>
      <c r="R42" s="535"/>
    </row>
    <row r="43" spans="1:18" s="497" customFormat="1" ht="15.75">
      <c r="A43" s="495"/>
      <c r="B43" s="503" t="s">
        <v>238</v>
      </c>
      <c r="C43" s="486" t="s">
        <v>37</v>
      </c>
      <c r="D43" s="57">
        <f>'6 tháng 2021'!J46</f>
        <v>80</v>
      </c>
      <c r="E43" s="57">
        <f>SUM(F43:O43)</f>
        <v>60</v>
      </c>
      <c r="F43" s="59">
        <v>14</v>
      </c>
      <c r="G43" s="59">
        <v>2</v>
      </c>
      <c r="H43" s="59">
        <v>17</v>
      </c>
      <c r="I43" s="59">
        <v>4</v>
      </c>
      <c r="J43" s="59">
        <v>2</v>
      </c>
      <c r="K43" s="59">
        <v>7</v>
      </c>
      <c r="L43" s="59">
        <v>2</v>
      </c>
      <c r="M43" s="59">
        <v>6</v>
      </c>
      <c r="N43" s="59">
        <v>6</v>
      </c>
      <c r="O43" s="58"/>
      <c r="P43" s="498"/>
      <c r="Q43" s="535"/>
      <c r="R43" s="535"/>
    </row>
    <row r="44" spans="1:18" s="497" customFormat="1" ht="15.75">
      <c r="A44" s="495"/>
      <c r="B44" s="504" t="s">
        <v>239</v>
      </c>
      <c r="C44" s="495" t="s">
        <v>236</v>
      </c>
      <c r="D44" s="59">
        <f>'6 tháng 2021'!J47</f>
        <v>53.3</v>
      </c>
      <c r="E44" s="25">
        <f>E45/E43*10</f>
        <v>51.983333333333341</v>
      </c>
      <c r="F44" s="58">
        <v>55</v>
      </c>
      <c r="G44" s="58">
        <v>45</v>
      </c>
      <c r="H44" s="58">
        <v>57</v>
      </c>
      <c r="I44" s="58">
        <v>54</v>
      </c>
      <c r="J44" s="58">
        <v>54</v>
      </c>
      <c r="K44" s="58">
        <v>46</v>
      </c>
      <c r="L44" s="58">
        <v>46</v>
      </c>
      <c r="M44" s="58">
        <v>46</v>
      </c>
      <c r="N44" s="58">
        <v>46</v>
      </c>
      <c r="O44" s="85"/>
      <c r="P44" s="499"/>
      <c r="Q44" s="535"/>
      <c r="R44" s="535"/>
    </row>
    <row r="45" spans="1:18" ht="15.75">
      <c r="A45" s="486"/>
      <c r="B45" s="3" t="s">
        <v>290</v>
      </c>
      <c r="C45" s="486" t="s">
        <v>230</v>
      </c>
      <c r="D45" s="59">
        <f>D43*D44/10</f>
        <v>426.4</v>
      </c>
      <c r="E45" s="59">
        <f>SUM(F45:O45)</f>
        <v>311.90000000000003</v>
      </c>
      <c r="F45" s="59">
        <f t="shared" ref="F45:O45" si="17">F43*F44/10</f>
        <v>77</v>
      </c>
      <c r="G45" s="59">
        <f t="shared" si="17"/>
        <v>9</v>
      </c>
      <c r="H45" s="59">
        <f t="shared" si="17"/>
        <v>96.9</v>
      </c>
      <c r="I45" s="59">
        <f t="shared" si="17"/>
        <v>21.6</v>
      </c>
      <c r="J45" s="59">
        <f t="shared" si="17"/>
        <v>10.8</v>
      </c>
      <c r="K45" s="59">
        <f t="shared" si="17"/>
        <v>32.200000000000003</v>
      </c>
      <c r="L45" s="59">
        <f t="shared" si="17"/>
        <v>9.1999999999999993</v>
      </c>
      <c r="M45" s="59">
        <f t="shared" si="17"/>
        <v>27.6</v>
      </c>
      <c r="N45" s="59">
        <f t="shared" si="17"/>
        <v>27.6</v>
      </c>
      <c r="O45" s="58">
        <f t="shared" si="17"/>
        <v>0</v>
      </c>
      <c r="P45" s="498"/>
      <c r="Q45" s="535"/>
      <c r="R45" s="535"/>
    </row>
    <row r="46" spans="1:18" ht="15.75">
      <c r="A46" s="491">
        <v>2</v>
      </c>
      <c r="B46" s="83" t="s">
        <v>246</v>
      </c>
      <c r="C46" s="486"/>
      <c r="D46" s="459"/>
      <c r="E46" s="459"/>
      <c r="F46" s="459"/>
      <c r="G46" s="459"/>
      <c r="H46" s="459"/>
      <c r="I46" s="459"/>
      <c r="J46" s="459"/>
      <c r="K46" s="459"/>
      <c r="L46" s="459"/>
      <c r="M46" s="459"/>
      <c r="N46" s="459"/>
      <c r="O46" s="26"/>
      <c r="P46" s="498"/>
      <c r="Q46" s="535"/>
      <c r="R46" s="535"/>
    </row>
    <row r="47" spans="1:18" s="497" customFormat="1" ht="15.75" customHeight="1">
      <c r="A47" s="495"/>
      <c r="B47" s="503" t="s">
        <v>238</v>
      </c>
      <c r="C47" s="486" t="s">
        <v>37</v>
      </c>
      <c r="D47" s="459">
        <f>'6 tháng 2021'!J49</f>
        <v>5000</v>
      </c>
      <c r="E47" s="459">
        <f>SUM(F47:O47)</f>
        <v>5000</v>
      </c>
      <c r="F47" s="57">
        <v>210</v>
      </c>
      <c r="G47" s="57">
        <v>750</v>
      </c>
      <c r="H47" s="57">
        <v>580</v>
      </c>
      <c r="I47" s="57">
        <v>890</v>
      </c>
      <c r="J47" s="57">
        <v>350</v>
      </c>
      <c r="K47" s="57">
        <v>500</v>
      </c>
      <c r="L47" s="57">
        <v>830</v>
      </c>
      <c r="M47" s="57">
        <v>490</v>
      </c>
      <c r="N47" s="57">
        <v>400</v>
      </c>
      <c r="O47" s="66"/>
      <c r="P47" s="498"/>
      <c r="Q47" s="535"/>
      <c r="R47" s="535"/>
    </row>
    <row r="48" spans="1:18" s="497" customFormat="1" ht="15.75">
      <c r="A48" s="495"/>
      <c r="B48" s="504" t="s">
        <v>239</v>
      </c>
      <c r="C48" s="495" t="s">
        <v>236</v>
      </c>
      <c r="D48" s="26">
        <f>'6 tháng 2021'!J50</f>
        <v>152</v>
      </c>
      <c r="E48" s="539">
        <f>E49/E47*10</f>
        <v>149.999</v>
      </c>
      <c r="F48" s="85">
        <v>155</v>
      </c>
      <c r="G48" s="85">
        <v>146.1</v>
      </c>
      <c r="H48" s="85">
        <v>155</v>
      </c>
      <c r="I48" s="85">
        <v>155</v>
      </c>
      <c r="J48" s="85">
        <v>154</v>
      </c>
      <c r="K48" s="85">
        <v>150</v>
      </c>
      <c r="L48" s="85">
        <v>146</v>
      </c>
      <c r="M48" s="85">
        <v>146</v>
      </c>
      <c r="N48" s="85">
        <v>146</v>
      </c>
      <c r="O48" s="85"/>
      <c r="P48" s="499"/>
      <c r="Q48" s="535"/>
      <c r="R48" s="535"/>
    </row>
    <row r="49" spans="1:18" ht="15.75">
      <c r="A49" s="486"/>
      <c r="B49" s="3" t="s">
        <v>290</v>
      </c>
      <c r="C49" s="486" t="s">
        <v>230</v>
      </c>
      <c r="D49" s="59">
        <f>D47*D48/10</f>
        <v>76000</v>
      </c>
      <c r="E49" s="26">
        <f>SUM(F49:O49)</f>
        <v>74999.5</v>
      </c>
      <c r="F49" s="59">
        <f t="shared" ref="F49:O49" si="18">F47*F48/10</f>
        <v>3255</v>
      </c>
      <c r="G49" s="59">
        <f t="shared" si="18"/>
        <v>10957.5</v>
      </c>
      <c r="H49" s="59">
        <f t="shared" si="18"/>
        <v>8990</v>
      </c>
      <c r="I49" s="59">
        <f t="shared" si="18"/>
        <v>13795</v>
      </c>
      <c r="J49" s="59">
        <f t="shared" si="18"/>
        <v>5390</v>
      </c>
      <c r="K49" s="59">
        <f t="shared" si="18"/>
        <v>7500</v>
      </c>
      <c r="L49" s="59">
        <f t="shared" si="18"/>
        <v>12118</v>
      </c>
      <c r="M49" s="59">
        <f t="shared" si="18"/>
        <v>7154</v>
      </c>
      <c r="N49" s="59">
        <f t="shared" si="18"/>
        <v>5840</v>
      </c>
      <c r="O49" s="58">
        <f t="shared" si="18"/>
        <v>0</v>
      </c>
      <c r="P49" s="498"/>
      <c r="Q49" s="535"/>
      <c r="R49" s="535"/>
    </row>
    <row r="50" spans="1:18" ht="15.75">
      <c r="A50" s="11">
        <v>3</v>
      </c>
      <c r="B50" s="30" t="s">
        <v>317</v>
      </c>
      <c r="C50" s="32" t="s">
        <v>37</v>
      </c>
      <c r="D50" s="57">
        <f>'6 tháng 2021'!J52</f>
        <v>40.299999999999997</v>
      </c>
      <c r="E50" s="459">
        <f>SUM(F50:O50)</f>
        <v>30.1</v>
      </c>
      <c r="F50" s="59"/>
      <c r="G50" s="59"/>
      <c r="H50" s="59">
        <v>10</v>
      </c>
      <c r="I50" s="59">
        <v>1</v>
      </c>
      <c r="J50" s="59"/>
      <c r="K50" s="59">
        <v>10.1</v>
      </c>
      <c r="L50" s="59"/>
      <c r="M50" s="59">
        <v>5</v>
      </c>
      <c r="N50" s="59">
        <v>4</v>
      </c>
      <c r="O50" s="58"/>
      <c r="P50" s="498"/>
      <c r="Q50" s="535"/>
      <c r="R50" s="535"/>
    </row>
    <row r="51" spans="1:18" ht="15.75">
      <c r="A51" s="39"/>
      <c r="B51" s="35" t="s">
        <v>123</v>
      </c>
      <c r="C51" s="32" t="s">
        <v>37</v>
      </c>
      <c r="D51" s="59">
        <f>'6 tháng 2021'!J53</f>
        <v>16</v>
      </c>
      <c r="E51" s="26">
        <f>SUM(F51:O51)</f>
        <v>0</v>
      </c>
      <c r="F51" s="59"/>
      <c r="G51" s="59"/>
      <c r="H51" s="59"/>
      <c r="I51" s="59"/>
      <c r="J51" s="59"/>
      <c r="K51" s="59"/>
      <c r="L51" s="59"/>
      <c r="M51" s="59"/>
      <c r="N51" s="59"/>
      <c r="O51" s="58"/>
      <c r="P51" s="498"/>
      <c r="Q51" s="535"/>
      <c r="R51" s="535"/>
    </row>
    <row r="52" spans="1:18" s="497" customFormat="1" ht="15.75">
      <c r="A52" s="39"/>
      <c r="B52" s="540" t="s">
        <v>315</v>
      </c>
      <c r="C52" s="541" t="s">
        <v>21</v>
      </c>
      <c r="D52" s="86">
        <f>'6 tháng 2021'!J54</f>
        <v>597.79999999999995</v>
      </c>
      <c r="E52" s="539">
        <f>E53/E50*10</f>
        <v>719.60132890365446</v>
      </c>
      <c r="F52" s="86"/>
      <c r="G52" s="86"/>
      <c r="H52" s="86">
        <v>580</v>
      </c>
      <c r="I52" s="86">
        <v>580</v>
      </c>
      <c r="J52" s="86"/>
      <c r="K52" s="86">
        <v>800</v>
      </c>
      <c r="L52" s="86"/>
      <c r="M52" s="86">
        <v>800</v>
      </c>
      <c r="N52" s="86">
        <v>800</v>
      </c>
      <c r="O52" s="85"/>
      <c r="P52" s="508"/>
      <c r="Q52" s="535"/>
      <c r="R52" s="535"/>
    </row>
    <row r="53" spans="1:18" ht="15.75">
      <c r="A53" s="39"/>
      <c r="B53" s="37" t="s">
        <v>316</v>
      </c>
      <c r="C53" s="34" t="s">
        <v>76</v>
      </c>
      <c r="D53" s="59">
        <f>'6 tháng 2021'!J55</f>
        <v>2409.1339999999996</v>
      </c>
      <c r="E53" s="26">
        <f>SUM(F53:O53)</f>
        <v>2166</v>
      </c>
      <c r="F53" s="59">
        <f>F50*F52/10</f>
        <v>0</v>
      </c>
      <c r="G53" s="59">
        <f t="shared" ref="G53:O53" si="19">G50*G52/10</f>
        <v>0</v>
      </c>
      <c r="H53" s="59">
        <f t="shared" si="19"/>
        <v>580</v>
      </c>
      <c r="I53" s="59">
        <f t="shared" si="19"/>
        <v>58</v>
      </c>
      <c r="J53" s="59">
        <f t="shared" si="19"/>
        <v>0</v>
      </c>
      <c r="K53" s="59">
        <f t="shared" si="19"/>
        <v>808</v>
      </c>
      <c r="L53" s="59">
        <f t="shared" si="19"/>
        <v>0</v>
      </c>
      <c r="M53" s="59">
        <f t="shared" si="19"/>
        <v>400</v>
      </c>
      <c r="N53" s="59">
        <f t="shared" si="19"/>
        <v>320</v>
      </c>
      <c r="O53" s="59">
        <f t="shared" si="19"/>
        <v>0</v>
      </c>
      <c r="P53" s="498"/>
      <c r="Q53" s="535"/>
      <c r="R53" s="535"/>
    </row>
    <row r="54" spans="1:18" s="497" customFormat="1" ht="15.75">
      <c r="A54" s="484">
        <v>4</v>
      </c>
      <c r="B54" s="542" t="s">
        <v>136</v>
      </c>
      <c r="C54" s="486"/>
      <c r="D54" s="459"/>
      <c r="E54" s="459"/>
      <c r="F54" s="536"/>
      <c r="G54" s="536"/>
      <c r="H54" s="536"/>
      <c r="I54" s="536"/>
      <c r="J54" s="536"/>
      <c r="K54" s="536"/>
      <c r="L54" s="536"/>
      <c r="M54" s="536"/>
      <c r="N54" s="536"/>
      <c r="O54" s="58"/>
      <c r="P54" s="498"/>
      <c r="Q54" s="535"/>
      <c r="R54" s="535"/>
    </row>
    <row r="55" spans="1:18" s="497" customFormat="1" ht="15.75">
      <c r="A55" s="495"/>
      <c r="B55" s="505" t="s">
        <v>26</v>
      </c>
      <c r="C55" s="486" t="s">
        <v>37</v>
      </c>
      <c r="D55" s="459">
        <f>'6 tháng 2021'!J56</f>
        <v>252.5</v>
      </c>
      <c r="E55" s="459">
        <f t="shared" ref="E55:O55" si="20">E59+E63</f>
        <v>230</v>
      </c>
      <c r="F55" s="459">
        <f t="shared" si="20"/>
        <v>40</v>
      </c>
      <c r="G55" s="459">
        <f t="shared" si="20"/>
        <v>7</v>
      </c>
      <c r="H55" s="459">
        <f t="shared" si="20"/>
        <v>69</v>
      </c>
      <c r="I55" s="459">
        <f t="shared" si="20"/>
        <v>45</v>
      </c>
      <c r="J55" s="459">
        <f t="shared" si="20"/>
        <v>23</v>
      </c>
      <c r="K55" s="459">
        <f t="shared" si="20"/>
        <v>14</v>
      </c>
      <c r="L55" s="459">
        <f t="shared" si="20"/>
        <v>13</v>
      </c>
      <c r="M55" s="459">
        <f t="shared" si="20"/>
        <v>12</v>
      </c>
      <c r="N55" s="459">
        <f t="shared" si="20"/>
        <v>7</v>
      </c>
      <c r="O55" s="459">
        <f t="shared" si="20"/>
        <v>0</v>
      </c>
      <c r="P55" s="498"/>
      <c r="Q55" s="535"/>
      <c r="R55" s="535"/>
    </row>
    <row r="56" spans="1:18" s="497" customFormat="1" ht="15.75">
      <c r="A56" s="495"/>
      <c r="B56" s="506" t="s">
        <v>27</v>
      </c>
      <c r="C56" s="507" t="s">
        <v>21</v>
      </c>
      <c r="D56" s="26">
        <f>'6 tháng 2021'!J57</f>
        <v>135.66930693069307</v>
      </c>
      <c r="E56" s="538">
        <f>E57/E55*10</f>
        <v>136.26086956521738</v>
      </c>
      <c r="F56" s="85">
        <v>125</v>
      </c>
      <c r="G56" s="85">
        <v>110</v>
      </c>
      <c r="H56" s="85">
        <v>130</v>
      </c>
      <c r="I56" s="85">
        <v>125</v>
      </c>
      <c r="J56" s="85">
        <v>122.3</v>
      </c>
      <c r="K56" s="85">
        <v>110</v>
      </c>
      <c r="L56" s="85">
        <v>110</v>
      </c>
      <c r="M56" s="85">
        <v>110</v>
      </c>
      <c r="N56" s="85">
        <v>110</v>
      </c>
      <c r="O56" s="85"/>
      <c r="P56" s="508"/>
      <c r="Q56" s="535"/>
      <c r="R56" s="535"/>
    </row>
    <row r="57" spans="1:18" ht="15.75">
      <c r="A57" s="486"/>
      <c r="B57" s="505" t="s">
        <v>28</v>
      </c>
      <c r="C57" s="509" t="s">
        <v>76</v>
      </c>
      <c r="D57" s="26">
        <f>'6 tháng 2021'!J58</f>
        <v>3425.65</v>
      </c>
      <c r="E57" s="26">
        <f t="shared" ref="E57:O57" si="21">E61+E65</f>
        <v>3134</v>
      </c>
      <c r="F57" s="59">
        <f t="shared" si="21"/>
        <v>576</v>
      </c>
      <c r="G57" s="59">
        <f t="shared" si="21"/>
        <v>81</v>
      </c>
      <c r="H57" s="59">
        <f t="shared" si="21"/>
        <v>1006.5</v>
      </c>
      <c r="I57" s="59">
        <f t="shared" si="21"/>
        <v>617.5</v>
      </c>
      <c r="J57" s="59">
        <f t="shared" si="21"/>
        <v>292</v>
      </c>
      <c r="K57" s="59">
        <f t="shared" si="21"/>
        <v>169</v>
      </c>
      <c r="L57" s="59">
        <f t="shared" si="21"/>
        <v>163</v>
      </c>
      <c r="M57" s="59">
        <f t="shared" si="21"/>
        <v>148</v>
      </c>
      <c r="N57" s="59">
        <f t="shared" si="21"/>
        <v>81</v>
      </c>
      <c r="O57" s="59">
        <f t="shared" si="21"/>
        <v>0</v>
      </c>
      <c r="P57" s="498"/>
      <c r="Q57" s="535"/>
      <c r="R57" s="535"/>
    </row>
    <row r="58" spans="1:18" ht="15.75">
      <c r="A58" s="486"/>
      <c r="B58" s="40" t="s">
        <v>318</v>
      </c>
      <c r="C58" s="21"/>
      <c r="D58" s="26"/>
      <c r="E58" s="26"/>
      <c r="F58" s="59"/>
      <c r="G58" s="59"/>
      <c r="H58" s="59"/>
      <c r="I58" s="59"/>
      <c r="J58" s="59"/>
      <c r="K58" s="59"/>
      <c r="L58" s="59"/>
      <c r="M58" s="59"/>
      <c r="N58" s="59"/>
      <c r="O58" s="58"/>
      <c r="P58" s="498"/>
      <c r="Q58" s="535"/>
      <c r="R58" s="535"/>
    </row>
    <row r="59" spans="1:18" ht="15.75">
      <c r="A59" s="486"/>
      <c r="B59" s="510" t="s">
        <v>178</v>
      </c>
      <c r="C59" s="41" t="s">
        <v>37</v>
      </c>
      <c r="D59" s="26">
        <f>'6 tháng 2021'!J59</f>
        <v>112.5</v>
      </c>
      <c r="E59" s="26">
        <f>SUM(F59:O59)</f>
        <v>115</v>
      </c>
      <c r="F59" s="59">
        <v>20</v>
      </c>
      <c r="G59" s="59">
        <v>2</v>
      </c>
      <c r="H59" s="59">
        <v>32</v>
      </c>
      <c r="I59" s="59">
        <v>22</v>
      </c>
      <c r="J59" s="59">
        <v>13</v>
      </c>
      <c r="K59" s="59">
        <v>6</v>
      </c>
      <c r="L59" s="59">
        <v>10</v>
      </c>
      <c r="M59" s="59">
        <v>8</v>
      </c>
      <c r="N59" s="59">
        <v>2</v>
      </c>
      <c r="O59" s="58"/>
      <c r="P59" s="498"/>
      <c r="Q59" s="535"/>
      <c r="R59" s="535"/>
    </row>
    <row r="60" spans="1:18" ht="15.75">
      <c r="A60" s="486"/>
      <c r="B60" s="510" t="s">
        <v>179</v>
      </c>
      <c r="C60" s="41" t="s">
        <v>21</v>
      </c>
      <c r="D60" s="25">
        <f>'6 tháng 2021'!J60</f>
        <v>153.80000000000001</v>
      </c>
      <c r="E60" s="539">
        <f>E61/E59*10</f>
        <v>152.43478260869566</v>
      </c>
      <c r="F60" s="85">
        <v>165</v>
      </c>
      <c r="G60" s="85">
        <v>130</v>
      </c>
      <c r="H60" s="85">
        <v>170</v>
      </c>
      <c r="I60" s="85">
        <v>150</v>
      </c>
      <c r="J60" s="85">
        <v>140</v>
      </c>
      <c r="K60" s="85">
        <v>135</v>
      </c>
      <c r="L60" s="85">
        <v>130</v>
      </c>
      <c r="M60" s="85">
        <v>130</v>
      </c>
      <c r="N60" s="85">
        <v>130</v>
      </c>
      <c r="O60" s="58"/>
      <c r="P60" s="498"/>
      <c r="Q60" s="535"/>
      <c r="R60" s="535"/>
    </row>
    <row r="61" spans="1:18" ht="15.75">
      <c r="A61" s="486"/>
      <c r="B61" s="510" t="s">
        <v>180</v>
      </c>
      <c r="C61" s="41" t="s">
        <v>76</v>
      </c>
      <c r="D61" s="26">
        <f>'6 tháng 2021'!J61</f>
        <v>1730.25</v>
      </c>
      <c r="E61" s="26">
        <f>SUM(F61:O61)</f>
        <v>1753</v>
      </c>
      <c r="F61" s="59">
        <f>F59*F60/10</f>
        <v>330</v>
      </c>
      <c r="G61" s="59">
        <f t="shared" ref="G61:N61" si="22">G59*G60/10</f>
        <v>26</v>
      </c>
      <c r="H61" s="59">
        <f t="shared" si="22"/>
        <v>544</v>
      </c>
      <c r="I61" s="59">
        <f t="shared" si="22"/>
        <v>330</v>
      </c>
      <c r="J61" s="59">
        <f t="shared" si="22"/>
        <v>182</v>
      </c>
      <c r="K61" s="59">
        <f t="shared" si="22"/>
        <v>81</v>
      </c>
      <c r="L61" s="59">
        <f t="shared" si="22"/>
        <v>130</v>
      </c>
      <c r="M61" s="59">
        <f t="shared" si="22"/>
        <v>104</v>
      </c>
      <c r="N61" s="59">
        <f t="shared" si="22"/>
        <v>26</v>
      </c>
      <c r="O61" s="58"/>
      <c r="P61" s="498"/>
      <c r="Q61" s="535"/>
      <c r="R61" s="535"/>
    </row>
    <row r="62" spans="1:18" ht="15.75">
      <c r="A62" s="486"/>
      <c r="B62" s="511" t="s">
        <v>319</v>
      </c>
      <c r="C62" s="21"/>
      <c r="D62" s="26"/>
      <c r="E62" s="26"/>
      <c r="F62" s="59"/>
      <c r="G62" s="59"/>
      <c r="H62" s="59"/>
      <c r="I62" s="59"/>
      <c r="J62" s="59"/>
      <c r="K62" s="59"/>
      <c r="L62" s="59"/>
      <c r="M62" s="59"/>
      <c r="N62" s="59"/>
      <c r="O62" s="58"/>
      <c r="P62" s="498"/>
      <c r="Q62" s="535"/>
      <c r="R62" s="535"/>
    </row>
    <row r="63" spans="1:18" ht="15.75">
      <c r="A63" s="486"/>
      <c r="B63" s="510" t="s">
        <v>178</v>
      </c>
      <c r="C63" s="41" t="s">
        <v>37</v>
      </c>
      <c r="D63" s="26">
        <f>'6 tháng 2021'!J62</f>
        <v>140</v>
      </c>
      <c r="E63" s="26">
        <f>SUM(F63:O63)</f>
        <v>115</v>
      </c>
      <c r="F63" s="59">
        <v>20</v>
      </c>
      <c r="G63" s="59">
        <v>5</v>
      </c>
      <c r="H63" s="59">
        <v>37</v>
      </c>
      <c r="I63" s="59">
        <v>23</v>
      </c>
      <c r="J63" s="59">
        <v>10</v>
      </c>
      <c r="K63" s="59">
        <v>8</v>
      </c>
      <c r="L63" s="59">
        <v>3</v>
      </c>
      <c r="M63" s="59">
        <v>4</v>
      </c>
      <c r="N63" s="59">
        <v>5</v>
      </c>
      <c r="O63" s="58"/>
      <c r="P63" s="498"/>
      <c r="Q63" s="535"/>
      <c r="R63" s="535"/>
    </row>
    <row r="64" spans="1:18" ht="15.75">
      <c r="A64" s="486"/>
      <c r="B64" s="510" t="s">
        <v>179</v>
      </c>
      <c r="C64" s="41" t="s">
        <v>21</v>
      </c>
      <c r="D64" s="26">
        <f>'6 tháng 2021'!J63</f>
        <v>121.1</v>
      </c>
      <c r="E64" s="538">
        <f>E65/E63*10</f>
        <v>120.08695652173913</v>
      </c>
      <c r="F64" s="58">
        <v>123</v>
      </c>
      <c r="G64" s="58">
        <v>110</v>
      </c>
      <c r="H64" s="58">
        <v>125</v>
      </c>
      <c r="I64" s="58">
        <v>125</v>
      </c>
      <c r="J64" s="58">
        <v>110</v>
      </c>
      <c r="K64" s="58">
        <v>110</v>
      </c>
      <c r="L64" s="58">
        <v>110</v>
      </c>
      <c r="M64" s="58">
        <v>110</v>
      </c>
      <c r="N64" s="58">
        <v>110</v>
      </c>
      <c r="O64" s="58"/>
      <c r="P64" s="498"/>
      <c r="Q64" s="535"/>
      <c r="R64" s="535"/>
    </row>
    <row r="65" spans="1:20" ht="15.75">
      <c r="A65" s="486"/>
      <c r="B65" s="510" t="s">
        <v>180</v>
      </c>
      <c r="C65" s="41" t="s">
        <v>76</v>
      </c>
      <c r="D65" s="26">
        <f>'6 tháng 2021'!J64</f>
        <v>1695.4</v>
      </c>
      <c r="E65" s="26">
        <f>SUM(F65:O65)</f>
        <v>1381</v>
      </c>
      <c r="F65" s="59">
        <f t="shared" ref="F65:N65" si="23">F63*F64/10</f>
        <v>246</v>
      </c>
      <c r="G65" s="59">
        <f t="shared" si="23"/>
        <v>55</v>
      </c>
      <c r="H65" s="59">
        <f t="shared" si="23"/>
        <v>462.5</v>
      </c>
      <c r="I65" s="59">
        <f t="shared" si="23"/>
        <v>287.5</v>
      </c>
      <c r="J65" s="59">
        <f t="shared" si="23"/>
        <v>110</v>
      </c>
      <c r="K65" s="59">
        <f t="shared" si="23"/>
        <v>88</v>
      </c>
      <c r="L65" s="59">
        <f t="shared" si="23"/>
        <v>33</v>
      </c>
      <c r="M65" s="59">
        <f t="shared" si="23"/>
        <v>44</v>
      </c>
      <c r="N65" s="59">
        <f t="shared" si="23"/>
        <v>55</v>
      </c>
      <c r="O65" s="58"/>
      <c r="P65" s="498"/>
      <c r="Q65" s="535"/>
      <c r="R65" s="535"/>
    </row>
    <row r="66" spans="1:20" s="483" customFormat="1" ht="19.5" customHeight="1">
      <c r="A66" s="491" t="s">
        <v>39</v>
      </c>
      <c r="B66" s="83" t="s">
        <v>247</v>
      </c>
      <c r="C66" s="491"/>
      <c r="D66" s="57" t="e">
        <f t="shared" ref="D66:O66" si="24">D67+D81</f>
        <v>#REF!</v>
      </c>
      <c r="E66" s="57">
        <f t="shared" si="24"/>
        <v>11805</v>
      </c>
      <c r="F66" s="57">
        <f t="shared" si="24"/>
        <v>1869.3</v>
      </c>
      <c r="G66" s="57">
        <f t="shared" si="24"/>
        <v>897.7</v>
      </c>
      <c r="H66" s="57">
        <f t="shared" si="24"/>
        <v>1886</v>
      </c>
      <c r="I66" s="57">
        <f t="shared" si="24"/>
        <v>2043.5</v>
      </c>
      <c r="J66" s="57">
        <f t="shared" si="24"/>
        <v>1123.3</v>
      </c>
      <c r="K66" s="57">
        <f t="shared" si="24"/>
        <v>717.2</v>
      </c>
      <c r="L66" s="57">
        <f t="shared" si="24"/>
        <v>1026</v>
      </c>
      <c r="M66" s="57">
        <f t="shared" si="24"/>
        <v>276</v>
      </c>
      <c r="N66" s="57">
        <f t="shared" si="24"/>
        <v>307</v>
      </c>
      <c r="O66" s="57">
        <f t="shared" si="24"/>
        <v>1659</v>
      </c>
      <c r="P66" s="457"/>
      <c r="Q66" s="535"/>
      <c r="R66" s="543"/>
    </row>
    <row r="67" spans="1:20" s="483" customFormat="1" ht="15.75">
      <c r="A67" s="491">
        <v>1</v>
      </c>
      <c r="B67" s="83" t="s">
        <v>248</v>
      </c>
      <c r="C67" s="491" t="s">
        <v>37</v>
      </c>
      <c r="D67" s="459">
        <f>D76+D68</f>
        <v>10237</v>
      </c>
      <c r="E67" s="459">
        <f>E76+E68</f>
        <v>10080</v>
      </c>
      <c r="F67" s="459">
        <f t="shared" ref="F67:O67" si="25">F68+F76</f>
        <v>1722.3</v>
      </c>
      <c r="G67" s="459">
        <f t="shared" si="25"/>
        <v>775.7</v>
      </c>
      <c r="H67" s="459">
        <f t="shared" si="25"/>
        <v>1612</v>
      </c>
      <c r="I67" s="459">
        <f t="shared" si="25"/>
        <v>1880.5</v>
      </c>
      <c r="J67" s="459">
        <f t="shared" si="25"/>
        <v>967.3</v>
      </c>
      <c r="K67" s="459">
        <f t="shared" si="25"/>
        <v>502.2</v>
      </c>
      <c r="L67" s="459">
        <f t="shared" si="25"/>
        <v>719</v>
      </c>
      <c r="M67" s="459">
        <f t="shared" si="25"/>
        <v>126</v>
      </c>
      <c r="N67" s="459">
        <f t="shared" si="25"/>
        <v>116</v>
      </c>
      <c r="O67" s="459">
        <f t="shared" si="25"/>
        <v>1659</v>
      </c>
      <c r="P67" s="492"/>
      <c r="Q67" s="535"/>
      <c r="R67" s="543"/>
    </row>
    <row r="68" spans="1:20" ht="17.25" customHeight="1">
      <c r="A68" s="486" t="s">
        <v>34</v>
      </c>
      <c r="B68" s="3" t="s">
        <v>249</v>
      </c>
      <c r="C68" s="486" t="s">
        <v>37</v>
      </c>
      <c r="D68" s="459">
        <f>'6 tháng 2021'!J73</f>
        <v>2651</v>
      </c>
      <c r="E68" s="459">
        <f t="shared" ref="E68:E73" si="26">SUM(F68:O68)</f>
        <v>2350</v>
      </c>
      <c r="F68" s="57">
        <f>F71+F72</f>
        <v>494</v>
      </c>
      <c r="G68" s="57">
        <f t="shared" ref="G68:O68" si="27">G71+G72</f>
        <v>208</v>
      </c>
      <c r="H68" s="57">
        <f t="shared" si="27"/>
        <v>289</v>
      </c>
      <c r="I68" s="57">
        <f t="shared" si="27"/>
        <v>630</v>
      </c>
      <c r="J68" s="57">
        <f t="shared" si="27"/>
        <v>242</v>
      </c>
      <c r="K68" s="57">
        <f t="shared" si="27"/>
        <v>152</v>
      </c>
      <c r="L68" s="57">
        <f t="shared" si="27"/>
        <v>96</v>
      </c>
      <c r="M68" s="57">
        <f t="shared" si="27"/>
        <v>89</v>
      </c>
      <c r="N68" s="57">
        <f t="shared" si="27"/>
        <v>61</v>
      </c>
      <c r="O68" s="57">
        <f t="shared" si="27"/>
        <v>89</v>
      </c>
      <c r="P68" s="456"/>
      <c r="Q68" s="535"/>
      <c r="R68" s="543"/>
    </row>
    <row r="69" spans="1:20" ht="17.25" hidden="1" customHeight="1" outlineLevel="1">
      <c r="A69" s="544"/>
      <c r="B69" s="545" t="s">
        <v>414</v>
      </c>
      <c r="C69" s="544" t="s">
        <v>37</v>
      </c>
      <c r="D69" s="546"/>
      <c r="E69" s="546">
        <f t="shared" si="26"/>
        <v>1919.0500000000002</v>
      </c>
      <c r="F69" s="547">
        <f t="shared" ref="F69:O69" si="28">F71-F70</f>
        <v>452.7</v>
      </c>
      <c r="G69" s="547">
        <f t="shared" si="28"/>
        <v>163</v>
      </c>
      <c r="H69" s="547">
        <f t="shared" si="28"/>
        <v>272.7</v>
      </c>
      <c r="I69" s="547">
        <f t="shared" si="28"/>
        <v>475</v>
      </c>
      <c r="J69" s="547">
        <f t="shared" si="28"/>
        <v>195.65</v>
      </c>
      <c r="K69" s="547">
        <f t="shared" si="28"/>
        <v>105</v>
      </c>
      <c r="L69" s="547">
        <f t="shared" si="28"/>
        <v>66</v>
      </c>
      <c r="M69" s="547">
        <f t="shared" si="28"/>
        <v>54</v>
      </c>
      <c r="N69" s="547">
        <f t="shared" si="28"/>
        <v>46</v>
      </c>
      <c r="O69" s="547">
        <f t="shared" si="28"/>
        <v>89</v>
      </c>
      <c r="P69" s="548"/>
      <c r="Q69" s="535"/>
      <c r="R69" s="535"/>
    </row>
    <row r="70" spans="1:20" ht="17.25" hidden="1" customHeight="1" outlineLevel="1">
      <c r="A70" s="544"/>
      <c r="B70" s="545" t="s">
        <v>910</v>
      </c>
      <c r="C70" s="544" t="s">
        <v>37</v>
      </c>
      <c r="D70" s="546"/>
      <c r="E70" s="546">
        <f t="shared" si="26"/>
        <v>380.95</v>
      </c>
      <c r="F70" s="547">
        <v>36.299999999999997</v>
      </c>
      <c r="G70" s="547">
        <v>40</v>
      </c>
      <c r="H70" s="547">
        <v>16.3</v>
      </c>
      <c r="I70" s="547">
        <v>150</v>
      </c>
      <c r="J70" s="547">
        <v>41.35</v>
      </c>
      <c r="K70" s="547">
        <v>42</v>
      </c>
      <c r="L70" s="547">
        <v>25</v>
      </c>
      <c r="M70" s="547">
        <v>20</v>
      </c>
      <c r="N70" s="547">
        <v>10</v>
      </c>
      <c r="O70" s="547"/>
      <c r="P70" s="548"/>
      <c r="Q70" s="535"/>
      <c r="R70" s="535"/>
    </row>
    <row r="71" spans="1:20" ht="17.25" hidden="1" customHeight="1" outlineLevel="1">
      <c r="A71" s="544"/>
      <c r="B71" s="545" t="s">
        <v>911</v>
      </c>
      <c r="C71" s="544" t="s">
        <v>37</v>
      </c>
      <c r="D71" s="546"/>
      <c r="E71" s="546">
        <f t="shared" si="26"/>
        <v>2300</v>
      </c>
      <c r="F71" s="547">
        <v>489</v>
      </c>
      <c r="G71" s="547">
        <v>203</v>
      </c>
      <c r="H71" s="547">
        <v>289</v>
      </c>
      <c r="I71" s="547">
        <v>625</v>
      </c>
      <c r="J71" s="547">
        <v>237</v>
      </c>
      <c r="K71" s="547">
        <v>147</v>
      </c>
      <c r="L71" s="547">
        <v>91</v>
      </c>
      <c r="M71" s="547">
        <v>74</v>
      </c>
      <c r="N71" s="547">
        <v>56</v>
      </c>
      <c r="O71" s="547">
        <v>89</v>
      </c>
      <c r="P71" s="548"/>
      <c r="Q71" s="535"/>
      <c r="R71" s="535"/>
    </row>
    <row r="72" spans="1:20" ht="17.25" customHeight="1" collapsed="1">
      <c r="A72" s="495"/>
      <c r="B72" s="84" t="s">
        <v>250</v>
      </c>
      <c r="C72" s="495" t="s">
        <v>37</v>
      </c>
      <c r="D72" s="26">
        <f>'6 tháng 2021'!J74</f>
        <v>0</v>
      </c>
      <c r="E72" s="26">
        <f t="shared" si="26"/>
        <v>50</v>
      </c>
      <c r="F72" s="59">
        <v>5</v>
      </c>
      <c r="G72" s="59">
        <v>5</v>
      </c>
      <c r="H72" s="59">
        <v>0</v>
      </c>
      <c r="I72" s="59">
        <v>5</v>
      </c>
      <c r="J72" s="59">
        <v>5</v>
      </c>
      <c r="K72" s="59">
        <v>5</v>
      </c>
      <c r="L72" s="59">
        <v>5</v>
      </c>
      <c r="M72" s="59">
        <v>15</v>
      </c>
      <c r="N72" s="59">
        <v>5</v>
      </c>
      <c r="O72" s="59"/>
      <c r="P72" s="456"/>
      <c r="Q72" s="535"/>
      <c r="R72" s="535"/>
    </row>
    <row r="73" spans="1:20" ht="18" customHeight="1">
      <c r="A73" s="486"/>
      <c r="B73" s="3" t="s">
        <v>251</v>
      </c>
      <c r="C73" s="486" t="s">
        <v>37</v>
      </c>
      <c r="D73" s="26">
        <f>'6 tháng 2021'!J76</f>
        <v>2027</v>
      </c>
      <c r="E73" s="26">
        <f t="shared" si="26"/>
        <v>1745</v>
      </c>
      <c r="F73" s="59">
        <v>438</v>
      </c>
      <c r="G73" s="59">
        <v>144</v>
      </c>
      <c r="H73" s="59">
        <v>256</v>
      </c>
      <c r="I73" s="59">
        <v>429</v>
      </c>
      <c r="J73" s="59">
        <v>176</v>
      </c>
      <c r="K73" s="59">
        <v>74</v>
      </c>
      <c r="L73" s="59">
        <v>59</v>
      </c>
      <c r="M73" s="59">
        <v>42</v>
      </c>
      <c r="N73" s="59">
        <v>38</v>
      </c>
      <c r="O73" s="59">
        <v>89</v>
      </c>
      <c r="P73" s="456"/>
      <c r="Q73" s="535"/>
      <c r="R73" s="535"/>
    </row>
    <row r="74" spans="1:20" s="497" customFormat="1" ht="15.75">
      <c r="A74" s="495"/>
      <c r="B74" s="84" t="s">
        <v>252</v>
      </c>
      <c r="C74" s="495" t="s">
        <v>236</v>
      </c>
      <c r="D74" s="86">
        <f>'6 tháng 2021'!J77</f>
        <v>35</v>
      </c>
      <c r="E74" s="539">
        <f>E75/E73*10</f>
        <v>35.003553008595993</v>
      </c>
      <c r="F74" s="85">
        <v>36</v>
      </c>
      <c r="G74" s="85">
        <v>32</v>
      </c>
      <c r="H74" s="85">
        <v>36</v>
      </c>
      <c r="I74" s="85">
        <v>36</v>
      </c>
      <c r="J74" s="85">
        <v>36</v>
      </c>
      <c r="K74" s="85">
        <v>32</v>
      </c>
      <c r="L74" s="85">
        <v>30.8</v>
      </c>
      <c r="M74" s="85">
        <v>29</v>
      </c>
      <c r="N74" s="85">
        <v>29</v>
      </c>
      <c r="O74" s="85">
        <v>36</v>
      </c>
      <c r="P74" s="516"/>
      <c r="Q74" s="535"/>
      <c r="R74" s="535"/>
    </row>
    <row r="75" spans="1:20" ht="15.75">
      <c r="A75" s="486"/>
      <c r="B75" s="3" t="s">
        <v>301</v>
      </c>
      <c r="C75" s="486" t="s">
        <v>230</v>
      </c>
      <c r="D75" s="59">
        <f>D74*D73/10</f>
        <v>7094.5</v>
      </c>
      <c r="E75" s="26">
        <f>SUM(F75:O75)</f>
        <v>6108.1200000000008</v>
      </c>
      <c r="F75" s="59">
        <f t="shared" ref="F75:O75" si="29">F73*F74/10</f>
        <v>1576.8</v>
      </c>
      <c r="G75" s="59">
        <f t="shared" si="29"/>
        <v>460.8</v>
      </c>
      <c r="H75" s="59">
        <f t="shared" si="29"/>
        <v>921.6</v>
      </c>
      <c r="I75" s="59">
        <f t="shared" si="29"/>
        <v>1544.4</v>
      </c>
      <c r="J75" s="59">
        <f t="shared" si="29"/>
        <v>633.6</v>
      </c>
      <c r="K75" s="59">
        <f t="shared" si="29"/>
        <v>236.8</v>
      </c>
      <c r="L75" s="59">
        <f t="shared" si="29"/>
        <v>181.72</v>
      </c>
      <c r="M75" s="59">
        <f t="shared" si="29"/>
        <v>121.8</v>
      </c>
      <c r="N75" s="59">
        <f t="shared" si="29"/>
        <v>110.2</v>
      </c>
      <c r="O75" s="59">
        <f t="shared" si="29"/>
        <v>320.39999999999998</v>
      </c>
      <c r="P75" s="498"/>
      <c r="Q75" s="535"/>
      <c r="R75" s="543"/>
    </row>
    <row r="76" spans="1:20" ht="15.75">
      <c r="A76" s="486" t="s">
        <v>35</v>
      </c>
      <c r="B76" s="3" t="s">
        <v>253</v>
      </c>
      <c r="C76" s="486" t="s">
        <v>37</v>
      </c>
      <c r="D76" s="459">
        <f>'6 tháng 2021'!J79</f>
        <v>7586</v>
      </c>
      <c r="E76" s="459">
        <f>SUM(F76:O76)</f>
        <v>7730</v>
      </c>
      <c r="F76" s="57">
        <v>1228.3</v>
      </c>
      <c r="G76" s="57">
        <v>567.70000000000005</v>
      </c>
      <c r="H76" s="57">
        <v>1323</v>
      </c>
      <c r="I76" s="57">
        <v>1250.5</v>
      </c>
      <c r="J76" s="57">
        <v>725.3</v>
      </c>
      <c r="K76" s="57">
        <v>350.2</v>
      </c>
      <c r="L76" s="57">
        <v>623</v>
      </c>
      <c r="M76" s="57">
        <v>37</v>
      </c>
      <c r="N76" s="57">
        <v>55</v>
      </c>
      <c r="O76" s="57">
        <v>1570</v>
      </c>
      <c r="P76" s="498"/>
      <c r="Q76" s="535"/>
      <c r="R76" s="535"/>
    </row>
    <row r="77" spans="1:20" s="497" customFormat="1" ht="15.75">
      <c r="A77" s="495"/>
      <c r="B77" s="84" t="s">
        <v>292</v>
      </c>
      <c r="C77" s="495" t="s">
        <v>37</v>
      </c>
      <c r="D77" s="538"/>
      <c r="E77" s="538">
        <f>SUM(F77:O77)</f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  <c r="P77" s="496"/>
      <c r="Q77" s="535"/>
      <c r="R77" s="535"/>
    </row>
    <row r="78" spans="1:20" ht="15.75">
      <c r="A78" s="486"/>
      <c r="B78" s="3" t="s">
        <v>251</v>
      </c>
      <c r="C78" s="486" t="s">
        <v>37</v>
      </c>
      <c r="D78" s="26">
        <f>'6 tháng 2021'!J82</f>
        <v>6550</v>
      </c>
      <c r="E78" s="26">
        <f>SUM(F78:O78)</f>
        <v>6190</v>
      </c>
      <c r="F78" s="59">
        <v>1150</v>
      </c>
      <c r="G78" s="59">
        <v>530</v>
      </c>
      <c r="H78" s="59">
        <v>960</v>
      </c>
      <c r="I78" s="59">
        <v>670</v>
      </c>
      <c r="J78" s="59">
        <v>720</v>
      </c>
      <c r="K78" s="59">
        <v>270</v>
      </c>
      <c r="L78" s="59">
        <v>390</v>
      </c>
      <c r="M78" s="59">
        <v>20</v>
      </c>
      <c r="N78" s="59">
        <v>30</v>
      </c>
      <c r="O78" s="59">
        <v>1450</v>
      </c>
      <c r="P78" s="456"/>
      <c r="Q78" s="535"/>
      <c r="R78" s="535"/>
      <c r="T78" s="530"/>
    </row>
    <row r="79" spans="1:20" s="497" customFormat="1" ht="15.75">
      <c r="A79" s="495"/>
      <c r="B79" s="84" t="s">
        <v>252</v>
      </c>
      <c r="C79" s="495" t="s">
        <v>236</v>
      </c>
      <c r="D79" s="26">
        <f>'6 tháng 2021'!J83</f>
        <v>12.5</v>
      </c>
      <c r="E79" s="85">
        <f>E80/E78*10</f>
        <v>12.5</v>
      </c>
      <c r="F79" s="85">
        <v>12.5</v>
      </c>
      <c r="G79" s="85">
        <v>12.5</v>
      </c>
      <c r="H79" s="85">
        <v>12.5</v>
      </c>
      <c r="I79" s="85">
        <v>12.5</v>
      </c>
      <c r="J79" s="85">
        <v>12.5</v>
      </c>
      <c r="K79" s="85">
        <v>12.5</v>
      </c>
      <c r="L79" s="85">
        <v>12.5</v>
      </c>
      <c r="M79" s="85">
        <v>12.5</v>
      </c>
      <c r="N79" s="85">
        <v>12.5</v>
      </c>
      <c r="O79" s="85">
        <v>12.5</v>
      </c>
      <c r="P79" s="549"/>
      <c r="Q79" s="535"/>
      <c r="R79" s="535"/>
    </row>
    <row r="80" spans="1:20" ht="15.75" customHeight="1">
      <c r="A80" s="486"/>
      <c r="B80" s="3" t="s">
        <v>301</v>
      </c>
      <c r="C80" s="486" t="s">
        <v>230</v>
      </c>
      <c r="D80" s="26">
        <f>'6 tháng 2021'!J84</f>
        <v>8187.5</v>
      </c>
      <c r="E80" s="26">
        <f>SUM(F80:O80)</f>
        <v>7737.5</v>
      </c>
      <c r="F80" s="59">
        <f t="shared" ref="F80:O80" si="30">F79*F78/10</f>
        <v>1437.5</v>
      </c>
      <c r="G80" s="59">
        <f t="shared" si="30"/>
        <v>662.5</v>
      </c>
      <c r="H80" s="59">
        <f t="shared" si="30"/>
        <v>1200</v>
      </c>
      <c r="I80" s="59">
        <f t="shared" si="30"/>
        <v>837.5</v>
      </c>
      <c r="J80" s="59">
        <f t="shared" si="30"/>
        <v>900</v>
      </c>
      <c r="K80" s="59">
        <f t="shared" si="30"/>
        <v>337.5</v>
      </c>
      <c r="L80" s="59">
        <f t="shared" si="30"/>
        <v>487.5</v>
      </c>
      <c r="M80" s="59">
        <f t="shared" si="30"/>
        <v>25</v>
      </c>
      <c r="N80" s="59">
        <f t="shared" si="30"/>
        <v>37.5</v>
      </c>
      <c r="O80" s="59">
        <f t="shared" si="30"/>
        <v>1812.5</v>
      </c>
      <c r="P80" s="521"/>
      <c r="Q80" s="535"/>
      <c r="R80" s="535"/>
    </row>
    <row r="81" spans="1:18" s="493" customFormat="1" ht="15.75">
      <c r="A81" s="491">
        <v>2</v>
      </c>
      <c r="B81" s="83" t="s">
        <v>254</v>
      </c>
      <c r="C81" s="491" t="s">
        <v>37</v>
      </c>
      <c r="D81" s="459" t="e">
        <f>'6 tháng 2021'!#REF!</f>
        <v>#REF!</v>
      </c>
      <c r="E81" s="459">
        <f>SUM(F81:O81)</f>
        <v>1725</v>
      </c>
      <c r="F81" s="57">
        <v>147</v>
      </c>
      <c r="G81" s="57">
        <v>122</v>
      </c>
      <c r="H81" s="57">
        <v>274</v>
      </c>
      <c r="I81" s="57">
        <v>163</v>
      </c>
      <c r="J81" s="57">
        <v>156</v>
      </c>
      <c r="K81" s="57">
        <v>215</v>
      </c>
      <c r="L81" s="57">
        <v>307</v>
      </c>
      <c r="M81" s="57">
        <v>150</v>
      </c>
      <c r="N81" s="57">
        <v>191</v>
      </c>
      <c r="O81" s="57">
        <v>0</v>
      </c>
      <c r="P81" s="550"/>
      <c r="Q81" s="535"/>
      <c r="R81" s="535"/>
    </row>
    <row r="82" spans="1:18" ht="19.5" customHeight="1">
      <c r="A82" s="486"/>
      <c r="B82" s="551" t="s">
        <v>255</v>
      </c>
      <c r="C82" s="495" t="s">
        <v>37</v>
      </c>
      <c r="D82" s="26" t="e">
        <f>'6 tháng 2021'!#REF!</f>
        <v>#REF!</v>
      </c>
      <c r="E82" s="26">
        <f>SUM(F82:O82)</f>
        <v>0</v>
      </c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498"/>
      <c r="Q82" s="552"/>
      <c r="R82" s="535"/>
    </row>
    <row r="83" spans="1:18" s="483" customFormat="1" ht="15.75">
      <c r="A83" s="524" t="s">
        <v>43</v>
      </c>
      <c r="B83" s="83" t="s">
        <v>256</v>
      </c>
      <c r="C83" s="491"/>
      <c r="D83" s="459"/>
      <c r="E83" s="459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498"/>
      <c r="Q83" s="535"/>
      <c r="R83" s="535"/>
    </row>
    <row r="84" spans="1:18" ht="15.75">
      <c r="A84" s="486">
        <v>1</v>
      </c>
      <c r="B84" s="3" t="s">
        <v>257</v>
      </c>
      <c r="C84" s="486" t="s">
        <v>54</v>
      </c>
      <c r="D84" s="26">
        <f>'6 tháng 2021'!J100</f>
        <v>3100</v>
      </c>
      <c r="E84" s="26">
        <f>SUM(F84:O84)</f>
        <v>2700</v>
      </c>
      <c r="F84" s="59">
        <v>470</v>
      </c>
      <c r="G84" s="59"/>
      <c r="H84" s="59">
        <v>200</v>
      </c>
      <c r="I84" s="59">
        <v>80</v>
      </c>
      <c r="J84" s="59">
        <v>280</v>
      </c>
      <c r="K84" s="59">
        <v>140</v>
      </c>
      <c r="L84" s="59">
        <v>380</v>
      </c>
      <c r="M84" s="59">
        <v>600</v>
      </c>
      <c r="N84" s="59">
        <v>550</v>
      </c>
      <c r="O84" s="59">
        <v>0</v>
      </c>
      <c r="P84" s="498"/>
      <c r="Q84" s="535"/>
      <c r="R84" s="535"/>
    </row>
    <row r="85" spans="1:18" ht="15.75">
      <c r="A85" s="486">
        <v>2</v>
      </c>
      <c r="B85" s="3" t="s">
        <v>258</v>
      </c>
      <c r="C85" s="486" t="s">
        <v>54</v>
      </c>
      <c r="D85" s="26">
        <f>'6 tháng 2021'!J101</f>
        <v>5700</v>
      </c>
      <c r="E85" s="26">
        <f>SUM(F85:O85)</f>
        <v>5200</v>
      </c>
      <c r="F85" s="59">
        <v>670</v>
      </c>
      <c r="G85" s="59">
        <v>370</v>
      </c>
      <c r="H85" s="59">
        <v>820</v>
      </c>
      <c r="I85" s="59">
        <v>540</v>
      </c>
      <c r="J85" s="59">
        <v>730</v>
      </c>
      <c r="K85" s="59">
        <v>570</v>
      </c>
      <c r="L85" s="59">
        <v>480</v>
      </c>
      <c r="M85" s="59">
        <v>570</v>
      </c>
      <c r="N85" s="59">
        <v>450</v>
      </c>
      <c r="O85" s="59">
        <v>0</v>
      </c>
      <c r="P85" s="498"/>
      <c r="Q85" s="535"/>
      <c r="R85" s="535"/>
    </row>
    <row r="86" spans="1:18" ht="15" customHeight="1">
      <c r="A86" s="486">
        <v>3</v>
      </c>
      <c r="B86" s="3" t="s">
        <v>259</v>
      </c>
      <c r="C86" s="486" t="s">
        <v>54</v>
      </c>
      <c r="D86" s="26">
        <f>'6 tháng 2021'!J102</f>
        <v>15500</v>
      </c>
      <c r="E86" s="26">
        <f>SUM(F86:O86)</f>
        <v>13000</v>
      </c>
      <c r="F86" s="59">
        <v>1500</v>
      </c>
      <c r="G86" s="59">
        <v>200</v>
      </c>
      <c r="H86" s="59">
        <v>3200</v>
      </c>
      <c r="I86" s="59">
        <v>2500</v>
      </c>
      <c r="J86" s="59">
        <v>2500</v>
      </c>
      <c r="K86" s="59">
        <v>600</v>
      </c>
      <c r="L86" s="59">
        <v>1500</v>
      </c>
      <c r="M86" s="59">
        <v>600</v>
      </c>
      <c r="N86" s="59">
        <v>400</v>
      </c>
      <c r="O86" s="59"/>
      <c r="P86" s="498"/>
      <c r="Q86" s="535"/>
      <c r="R86" s="535"/>
    </row>
    <row r="87" spans="1:18" ht="15" customHeight="1">
      <c r="A87" s="486">
        <v>4</v>
      </c>
      <c r="B87" s="3" t="s">
        <v>260</v>
      </c>
      <c r="C87" s="486" t="s">
        <v>54</v>
      </c>
      <c r="D87" s="26">
        <f>'6 tháng 2021'!J103</f>
        <v>120000</v>
      </c>
      <c r="E87" s="26">
        <f>SUM(F87:O87)</f>
        <v>80000</v>
      </c>
      <c r="F87" s="59">
        <v>8000</v>
      </c>
      <c r="G87" s="59">
        <v>10000</v>
      </c>
      <c r="H87" s="59">
        <v>19000</v>
      </c>
      <c r="I87" s="59">
        <v>19000</v>
      </c>
      <c r="J87" s="59">
        <v>5000</v>
      </c>
      <c r="K87" s="59">
        <v>7000</v>
      </c>
      <c r="L87" s="59">
        <v>7000</v>
      </c>
      <c r="M87" s="59">
        <v>3000</v>
      </c>
      <c r="N87" s="59">
        <v>2000</v>
      </c>
      <c r="O87" s="59">
        <v>0</v>
      </c>
      <c r="P87" s="498"/>
      <c r="Q87" s="535"/>
      <c r="R87" s="535"/>
    </row>
    <row r="88" spans="1:18" s="483" customFormat="1" ht="15.75">
      <c r="A88" s="524" t="s">
        <v>176</v>
      </c>
      <c r="B88" s="83" t="s">
        <v>282</v>
      </c>
      <c r="C88" s="491"/>
      <c r="D88" s="459"/>
      <c r="E88" s="459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498"/>
      <c r="Q88" s="535"/>
      <c r="R88" s="535"/>
    </row>
    <row r="89" spans="1:18" ht="15.75">
      <c r="A89" s="486">
        <v>1</v>
      </c>
      <c r="B89" s="3" t="s">
        <v>283</v>
      </c>
      <c r="C89" s="486" t="s">
        <v>37</v>
      </c>
      <c r="D89" s="26">
        <f>'6 tháng 2021'!J105</f>
        <v>92</v>
      </c>
      <c r="E89" s="26">
        <f>SUM(F89:O89)</f>
        <v>89</v>
      </c>
      <c r="F89" s="59">
        <v>24</v>
      </c>
      <c r="G89" s="59">
        <v>8</v>
      </c>
      <c r="H89" s="59">
        <v>9</v>
      </c>
      <c r="I89" s="59">
        <v>17</v>
      </c>
      <c r="J89" s="59">
        <v>7</v>
      </c>
      <c r="K89" s="59">
        <v>7</v>
      </c>
      <c r="L89" s="59">
        <v>13</v>
      </c>
      <c r="M89" s="59">
        <v>2</v>
      </c>
      <c r="N89" s="59">
        <v>2</v>
      </c>
      <c r="O89" s="59"/>
      <c r="P89" s="498"/>
      <c r="Q89" s="543"/>
      <c r="R89" s="543"/>
    </row>
    <row r="90" spans="1:18" ht="8.25" customHeight="1">
      <c r="A90" s="526"/>
      <c r="B90" s="527"/>
      <c r="C90" s="526"/>
      <c r="D90" s="526"/>
      <c r="E90" s="553"/>
      <c r="F90" s="528"/>
      <c r="G90" s="528"/>
      <c r="H90" s="528"/>
      <c r="I90" s="528"/>
      <c r="J90" s="528"/>
      <c r="K90" s="528"/>
      <c r="L90" s="528"/>
      <c r="M90" s="528"/>
      <c r="N90" s="528"/>
      <c r="O90" s="528"/>
      <c r="P90" s="527"/>
      <c r="R90" s="535"/>
    </row>
    <row r="91" spans="1:18">
      <c r="E91" s="535"/>
    </row>
    <row r="92" spans="1:18">
      <c r="E92" s="535"/>
      <c r="F92" s="530"/>
      <c r="G92" s="530"/>
      <c r="H92" s="530"/>
      <c r="I92" s="530"/>
      <c r="J92" s="530"/>
      <c r="K92" s="530"/>
      <c r="L92" s="530"/>
      <c r="M92" s="530"/>
      <c r="N92" s="530"/>
    </row>
    <row r="93" spans="1:18">
      <c r="E93" s="535"/>
      <c r="F93" s="530"/>
      <c r="G93" s="530"/>
      <c r="H93" s="530"/>
      <c r="I93" s="530"/>
      <c r="J93" s="530"/>
      <c r="K93" s="530"/>
      <c r="L93" s="530"/>
      <c r="M93" s="530"/>
      <c r="N93" s="530"/>
    </row>
    <row r="159" spans="2:2" ht="15.75">
      <c r="B159" s="2"/>
    </row>
  </sheetData>
  <mergeCells count="10">
    <mergeCell ref="A1:P1"/>
    <mergeCell ref="A2:P2"/>
    <mergeCell ref="A3:P3"/>
    <mergeCell ref="A5:A6"/>
    <mergeCell ref="B5:B6"/>
    <mergeCell ref="C5:C6"/>
    <mergeCell ref="D5:D6"/>
    <mergeCell ref="E5:E6"/>
    <mergeCell ref="F5:O5"/>
    <mergeCell ref="P5:P6"/>
  </mergeCells>
  <pageMargins left="0.39370078740157483" right="0.39370078740157483" top="0.78740157480314965" bottom="0.59055118110236227" header="0.31496062992125984" footer="0.31496062992125984"/>
  <pageSetup paperSize="9" scale="81" fitToHeight="0" orientation="landscape" r:id="rId1"/>
  <headerFooter>
    <oddFooter>&amp;C&amp;P/&amp;N</oddFooter>
  </headerFooter>
  <ignoredErrors>
    <ignoredError sqref="E48:E49 E56 E16:N16 E33:N34 E86 F83:O83 E82 E80:O80 F77:N77 E30:N30 E32 E42:N42 D36 F29:N29 E74:E76 E44 E79 E21:N23 E20 E40 E41:F41 E52 E27:E29 E60 E64 E13 G75:O75 E18:N18 E17 E36:N38 E35 G35:N35 D21:D22 D24:D26 D29:D30 D16:D18 E25:N26 E24" formula="1"/>
  </ignoredError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>
    <tabColor rgb="FF0000FF"/>
  </sheetPr>
  <dimension ref="A1:G159"/>
  <sheetViews>
    <sheetView zoomScale="70" zoomScaleNormal="70" zoomScaleSheetLayoutView="70" workbookViewId="0">
      <selection activeCell="B19" sqref="B19"/>
    </sheetView>
  </sheetViews>
  <sheetFormatPr defaultColWidth="9.140625" defaultRowHeight="15"/>
  <cols>
    <col min="1" max="1" width="5" style="529" customWidth="1"/>
    <col min="2" max="2" width="43.140625" style="474" customWidth="1"/>
    <col min="3" max="3" width="11.85546875" style="529" customWidth="1"/>
    <col min="4" max="4" width="13.5703125" style="474" customWidth="1"/>
    <col min="5" max="5" width="15.140625" style="474" customWidth="1"/>
    <col min="6" max="6" width="10.42578125" style="474" bestFit="1" customWidth="1"/>
    <col min="7" max="16384" width="9.140625" style="474"/>
  </cols>
  <sheetData>
    <row r="1" spans="1:7" ht="15.75">
      <c r="A1" s="845" t="s">
        <v>213</v>
      </c>
      <c r="B1" s="845"/>
      <c r="C1" s="845"/>
      <c r="D1" s="845"/>
      <c r="E1" s="845"/>
    </row>
    <row r="2" spans="1:7" s="475" customFormat="1" ht="23.25">
      <c r="A2" s="850" t="s">
        <v>845</v>
      </c>
      <c r="B2" s="850"/>
      <c r="C2" s="850"/>
      <c r="D2" s="850"/>
      <c r="E2" s="850"/>
    </row>
    <row r="3" spans="1:7" s="475" customFormat="1" ht="19.5" customHeight="1">
      <c r="A3" s="851" t="str">
        <f>'B01'!A3:E3</f>
        <v>(Kèm theo Quyết định số 569/QĐ-UBND, ngày 17/12/2018 của UBND huyện Đăk Tô)</v>
      </c>
      <c r="B3" s="851"/>
      <c r="C3" s="851"/>
      <c r="D3" s="851"/>
      <c r="E3" s="851"/>
    </row>
    <row r="4" spans="1:7" s="475" customFormat="1" ht="19.5" customHeight="1">
      <c r="A4" s="849" t="s">
        <v>302</v>
      </c>
      <c r="B4" s="849"/>
      <c r="C4" s="849"/>
      <c r="D4" s="849"/>
      <c r="E4" s="849"/>
    </row>
    <row r="5" spans="1:7">
      <c r="A5" s="476"/>
      <c r="B5" s="476"/>
      <c r="C5" s="474"/>
      <c r="D5" s="477"/>
    </row>
    <row r="6" spans="1:7" s="8" customFormat="1" ht="21.75" customHeight="1">
      <c r="A6" s="771" t="s">
        <v>55</v>
      </c>
      <c r="B6" s="772" t="s">
        <v>69</v>
      </c>
      <c r="C6" s="772" t="s">
        <v>18</v>
      </c>
      <c r="D6" s="766" t="s">
        <v>428</v>
      </c>
      <c r="E6" s="772" t="s">
        <v>75</v>
      </c>
    </row>
    <row r="7" spans="1:7" s="8" customFormat="1" ht="15.75">
      <c r="A7" s="771"/>
      <c r="B7" s="771"/>
      <c r="C7" s="771"/>
      <c r="D7" s="767"/>
      <c r="E7" s="771"/>
    </row>
    <row r="8" spans="1:7" s="483" customFormat="1" ht="19.5" customHeight="1">
      <c r="A8" s="478" t="s">
        <v>40</v>
      </c>
      <c r="B8" s="479" t="s">
        <v>225</v>
      </c>
      <c r="C8" s="480"/>
      <c r="D8" s="481"/>
      <c r="E8" s="482"/>
    </row>
    <row r="9" spans="1:7" s="489" customFormat="1" ht="15.75">
      <c r="A9" s="484" t="s">
        <v>38</v>
      </c>
      <c r="B9" s="485" t="s">
        <v>300</v>
      </c>
      <c r="C9" s="486" t="s">
        <v>37</v>
      </c>
      <c r="D9" s="459">
        <f>'B03'!F8</f>
        <v>472</v>
      </c>
      <c r="E9" s="487" t="s">
        <v>226</v>
      </c>
      <c r="F9" s="488"/>
      <c r="G9" s="488"/>
    </row>
    <row r="10" spans="1:7" s="490" customFormat="1" ht="15.75">
      <c r="A10" s="486">
        <v>1</v>
      </c>
      <c r="B10" s="83" t="s">
        <v>227</v>
      </c>
      <c r="C10" s="486"/>
      <c r="D10" s="459">
        <f>'B03'!F9</f>
        <v>0</v>
      </c>
      <c r="E10" s="456"/>
      <c r="F10" s="488"/>
    </row>
    <row r="11" spans="1:7" s="493" customFormat="1" ht="15.75">
      <c r="A11" s="491" t="s">
        <v>56</v>
      </c>
      <c r="B11" s="83" t="s">
        <v>228</v>
      </c>
      <c r="C11" s="491" t="s">
        <v>37</v>
      </c>
      <c r="D11" s="459">
        <f>'B03'!F10</f>
        <v>222</v>
      </c>
      <c r="E11" s="492"/>
      <c r="F11" s="488"/>
    </row>
    <row r="12" spans="1:7" s="494" customFormat="1" ht="15.75">
      <c r="A12" s="484" t="s">
        <v>56</v>
      </c>
      <c r="B12" s="83" t="s">
        <v>229</v>
      </c>
      <c r="C12" s="491" t="s">
        <v>230</v>
      </c>
      <c r="D12" s="459">
        <f>'B03'!F11</f>
        <v>1238</v>
      </c>
      <c r="E12" s="492"/>
      <c r="F12" s="488"/>
    </row>
    <row r="13" spans="1:7" s="497" customFormat="1" ht="15.75">
      <c r="A13" s="495"/>
      <c r="B13" s="3" t="s">
        <v>231</v>
      </c>
      <c r="C13" s="486" t="s">
        <v>230</v>
      </c>
      <c r="D13" s="26">
        <f>'B03'!F12</f>
        <v>1161</v>
      </c>
      <c r="E13" s="496"/>
      <c r="F13" s="488"/>
    </row>
    <row r="14" spans="1:7" s="494" customFormat="1" ht="15.75">
      <c r="A14" s="484"/>
      <c r="B14" s="3" t="s">
        <v>232</v>
      </c>
      <c r="C14" s="486" t="s">
        <v>230</v>
      </c>
      <c r="D14" s="26">
        <f>'B03'!F13</f>
        <v>77</v>
      </c>
      <c r="E14" s="457"/>
      <c r="F14" s="488"/>
    </row>
    <row r="15" spans="1:7" s="2" customFormat="1" ht="15.75">
      <c r="A15" s="486" t="s">
        <v>34</v>
      </c>
      <c r="B15" s="3" t="s">
        <v>233</v>
      </c>
      <c r="C15" s="486"/>
      <c r="D15" s="26">
        <f>'B03'!F14</f>
        <v>0</v>
      </c>
      <c r="E15" s="456"/>
      <c r="F15" s="488"/>
    </row>
    <row r="16" spans="1:7" s="497" customFormat="1" ht="15.75">
      <c r="A16" s="495"/>
      <c r="B16" s="3" t="s">
        <v>234</v>
      </c>
      <c r="C16" s="486" t="s">
        <v>37</v>
      </c>
      <c r="D16" s="26">
        <f>'B03'!F15</f>
        <v>208</v>
      </c>
      <c r="E16" s="498"/>
      <c r="F16" s="488"/>
    </row>
    <row r="17" spans="1:6" s="497" customFormat="1" ht="15.75">
      <c r="A17" s="495"/>
      <c r="B17" s="84" t="s">
        <v>235</v>
      </c>
      <c r="C17" s="495" t="s">
        <v>236</v>
      </c>
      <c r="D17" s="25">
        <f>'B03'!F16</f>
        <v>55.817307692307693</v>
      </c>
      <c r="E17" s="499"/>
      <c r="F17" s="488"/>
    </row>
    <row r="18" spans="1:6" ht="15.75">
      <c r="A18" s="486"/>
      <c r="B18" s="3" t="s">
        <v>293</v>
      </c>
      <c r="C18" s="486" t="s">
        <v>230</v>
      </c>
      <c r="D18" s="26">
        <f>'B03'!F17</f>
        <v>1161</v>
      </c>
      <c r="E18" s="498"/>
      <c r="F18" s="488"/>
    </row>
    <row r="19" spans="1:6" ht="15.75">
      <c r="A19" s="486"/>
      <c r="B19" s="3" t="s">
        <v>237</v>
      </c>
      <c r="C19" s="486"/>
      <c r="D19" s="26">
        <f>'B03'!F18</f>
        <v>0</v>
      </c>
      <c r="E19" s="500"/>
      <c r="F19" s="488"/>
    </row>
    <row r="20" spans="1:6" s="497" customFormat="1" ht="15.75">
      <c r="A20" s="495"/>
      <c r="B20" s="3" t="s">
        <v>291</v>
      </c>
      <c r="C20" s="486" t="s">
        <v>37</v>
      </c>
      <c r="D20" s="26">
        <f>'B03'!F19</f>
        <v>91</v>
      </c>
      <c r="E20" s="498"/>
      <c r="F20" s="488"/>
    </row>
    <row r="21" spans="1:6" s="497" customFormat="1" ht="15.75">
      <c r="A21" s="495"/>
      <c r="B21" s="84" t="s">
        <v>239</v>
      </c>
      <c r="C21" s="495" t="s">
        <v>236</v>
      </c>
      <c r="D21" s="25">
        <f>'B03'!F20</f>
        <v>58</v>
      </c>
      <c r="E21" s="499"/>
      <c r="F21" s="488"/>
    </row>
    <row r="22" spans="1:6" ht="15.75">
      <c r="A22" s="486"/>
      <c r="B22" s="3" t="s">
        <v>290</v>
      </c>
      <c r="C22" s="486" t="s">
        <v>230</v>
      </c>
      <c r="D22" s="26">
        <f>'B03'!F21</f>
        <v>527.79999999999995</v>
      </c>
      <c r="E22" s="498"/>
      <c r="F22" s="488"/>
    </row>
    <row r="23" spans="1:6" ht="15.75">
      <c r="A23" s="486"/>
      <c r="B23" s="3" t="s">
        <v>240</v>
      </c>
      <c r="C23" s="486"/>
      <c r="D23" s="26">
        <f>'B03'!F22</f>
        <v>0</v>
      </c>
      <c r="E23" s="500"/>
      <c r="F23" s="488"/>
    </row>
    <row r="24" spans="1:6" s="497" customFormat="1" ht="15.75">
      <c r="A24" s="495"/>
      <c r="B24" s="3" t="s">
        <v>291</v>
      </c>
      <c r="C24" s="486" t="s">
        <v>37</v>
      </c>
      <c r="D24" s="26">
        <f>'B03'!F23</f>
        <v>117</v>
      </c>
      <c r="E24" s="498"/>
      <c r="F24" s="488"/>
    </row>
    <row r="25" spans="1:6" s="497" customFormat="1" ht="15.75">
      <c r="A25" s="495"/>
      <c r="B25" s="84" t="s">
        <v>239</v>
      </c>
      <c r="C25" s="495" t="s">
        <v>236</v>
      </c>
      <c r="D25" s="25">
        <f>'B03'!F24</f>
        <v>56</v>
      </c>
      <c r="E25" s="499"/>
      <c r="F25" s="488"/>
    </row>
    <row r="26" spans="1:6" ht="15.75">
      <c r="A26" s="486"/>
      <c r="B26" s="3" t="s">
        <v>290</v>
      </c>
      <c r="C26" s="486" t="s">
        <v>230</v>
      </c>
      <c r="D26" s="26">
        <f>'B03'!F25</f>
        <v>633.20000000000005</v>
      </c>
      <c r="E26" s="498"/>
      <c r="F26" s="488"/>
    </row>
    <row r="27" spans="1:6" ht="15.75" customHeight="1">
      <c r="A27" s="486"/>
      <c r="B27" s="501" t="s">
        <v>241</v>
      </c>
      <c r="C27" s="486"/>
      <c r="D27" s="26">
        <f>'B03'!F26</f>
        <v>0</v>
      </c>
      <c r="E27" s="500"/>
      <c r="F27" s="488"/>
    </row>
    <row r="28" spans="1:6" s="497" customFormat="1" ht="15.75">
      <c r="A28" s="495"/>
      <c r="B28" s="3" t="s">
        <v>291</v>
      </c>
      <c r="C28" s="486" t="s">
        <v>37</v>
      </c>
      <c r="D28" s="26">
        <f>'B03'!F27</f>
        <v>112</v>
      </c>
      <c r="E28" s="498"/>
      <c r="F28" s="488"/>
    </row>
    <row r="29" spans="1:6" s="497" customFormat="1" ht="15.75">
      <c r="A29" s="495"/>
      <c r="B29" s="84" t="s">
        <v>239</v>
      </c>
      <c r="C29" s="495" t="s">
        <v>236</v>
      </c>
      <c r="D29" s="25">
        <f>'B03'!F28</f>
        <v>56</v>
      </c>
      <c r="E29" s="499"/>
      <c r="F29" s="488"/>
    </row>
    <row r="30" spans="1:6" ht="15.75">
      <c r="A30" s="486"/>
      <c r="B30" s="3" t="s">
        <v>290</v>
      </c>
      <c r="C30" s="486" t="s">
        <v>230</v>
      </c>
      <c r="D30" s="26">
        <f>'B03'!F29</f>
        <v>627.20000000000005</v>
      </c>
      <c r="E30" s="498"/>
      <c r="F30" s="488"/>
    </row>
    <row r="31" spans="1:6" ht="15.75">
      <c r="A31" s="486"/>
      <c r="B31" s="3" t="s">
        <v>242</v>
      </c>
      <c r="C31" s="486"/>
      <c r="D31" s="26">
        <f>'B03'!F30</f>
        <v>0</v>
      </c>
      <c r="E31" s="500"/>
      <c r="F31" s="488"/>
    </row>
    <row r="32" spans="1:6" s="497" customFormat="1" ht="15.75">
      <c r="A32" s="495"/>
      <c r="B32" s="3" t="s">
        <v>291</v>
      </c>
      <c r="C32" s="486" t="s">
        <v>37</v>
      </c>
      <c r="D32" s="26">
        <f>'B03'!F31</f>
        <v>5</v>
      </c>
      <c r="E32" s="498"/>
      <c r="F32" s="488"/>
    </row>
    <row r="33" spans="1:6" ht="15.75">
      <c r="A33" s="486"/>
      <c r="B33" s="84" t="s">
        <v>239</v>
      </c>
      <c r="C33" s="495" t="s">
        <v>236</v>
      </c>
      <c r="D33" s="25">
        <f>'B03'!F32</f>
        <v>12</v>
      </c>
      <c r="E33" s="502"/>
      <c r="F33" s="488"/>
    </row>
    <row r="34" spans="1:6" ht="15.75">
      <c r="A34" s="486"/>
      <c r="B34" s="3" t="s">
        <v>290</v>
      </c>
      <c r="C34" s="486" t="s">
        <v>230</v>
      </c>
      <c r="D34" s="26">
        <f>'B03'!F33</f>
        <v>6</v>
      </c>
      <c r="E34" s="498"/>
      <c r="F34" s="488"/>
    </row>
    <row r="35" spans="1:6" s="2" customFormat="1" ht="15.75">
      <c r="A35" s="486" t="s">
        <v>35</v>
      </c>
      <c r="B35" s="3" t="s">
        <v>243</v>
      </c>
      <c r="C35" s="486"/>
      <c r="D35" s="26">
        <f>'B03'!F34</f>
        <v>0</v>
      </c>
      <c r="E35" s="500"/>
      <c r="F35" s="488"/>
    </row>
    <row r="36" spans="1:6" s="497" customFormat="1" ht="15.75">
      <c r="A36" s="495"/>
      <c r="B36" s="503" t="s">
        <v>234</v>
      </c>
      <c r="C36" s="486" t="s">
        <v>37</v>
      </c>
      <c r="D36" s="26">
        <f>'B03'!F35</f>
        <v>14</v>
      </c>
      <c r="E36" s="498"/>
      <c r="F36" s="488"/>
    </row>
    <row r="37" spans="1:6" ht="15.75">
      <c r="A37" s="486"/>
      <c r="B37" s="504" t="s">
        <v>235</v>
      </c>
      <c r="C37" s="495" t="s">
        <v>236</v>
      </c>
      <c r="D37" s="25">
        <f>'B03'!F36</f>
        <v>55</v>
      </c>
      <c r="E37" s="502"/>
      <c r="F37" s="488"/>
    </row>
    <row r="38" spans="1:6" ht="15.75">
      <c r="A38" s="486"/>
      <c r="B38" s="503" t="s">
        <v>293</v>
      </c>
      <c r="C38" s="486" t="s">
        <v>230</v>
      </c>
      <c r="D38" s="26">
        <f>'B03'!F37</f>
        <v>77</v>
      </c>
      <c r="E38" s="498"/>
      <c r="F38" s="488"/>
    </row>
    <row r="39" spans="1:6" ht="15.75">
      <c r="A39" s="486"/>
      <c r="B39" s="3" t="s">
        <v>244</v>
      </c>
      <c r="C39" s="486"/>
      <c r="D39" s="26">
        <f>'B03'!F38</f>
        <v>0</v>
      </c>
      <c r="E39" s="500"/>
      <c r="F39" s="488"/>
    </row>
    <row r="40" spans="1:6" s="497" customFormat="1" ht="15.75">
      <c r="A40" s="495"/>
      <c r="B40" s="503" t="s">
        <v>238</v>
      </c>
      <c r="C40" s="486" t="s">
        <v>37</v>
      </c>
      <c r="D40" s="26">
        <f>'B03'!F39</f>
        <v>0</v>
      </c>
      <c r="E40" s="498"/>
      <c r="F40" s="488"/>
    </row>
    <row r="41" spans="1:6" ht="15.75">
      <c r="A41" s="486"/>
      <c r="B41" s="504" t="s">
        <v>239</v>
      </c>
      <c r="C41" s="495" t="s">
        <v>236</v>
      </c>
      <c r="D41" s="25">
        <f>'B03'!F40</f>
        <v>0</v>
      </c>
      <c r="E41" s="502"/>
      <c r="F41" s="488"/>
    </row>
    <row r="42" spans="1:6" ht="15.75">
      <c r="A42" s="486"/>
      <c r="B42" s="3" t="s">
        <v>290</v>
      </c>
      <c r="C42" s="486" t="s">
        <v>230</v>
      </c>
      <c r="D42" s="26">
        <f>'B03'!F41</f>
        <v>0</v>
      </c>
      <c r="E42" s="498"/>
      <c r="F42" s="488"/>
    </row>
    <row r="43" spans="1:6" ht="15.75">
      <c r="A43" s="486"/>
      <c r="B43" s="3" t="s">
        <v>245</v>
      </c>
      <c r="C43" s="486"/>
      <c r="D43" s="26">
        <f>'B03'!F42</f>
        <v>0</v>
      </c>
      <c r="E43" s="500"/>
      <c r="F43" s="488"/>
    </row>
    <row r="44" spans="1:6" s="497" customFormat="1" ht="15.75">
      <c r="A44" s="495"/>
      <c r="B44" s="503" t="s">
        <v>238</v>
      </c>
      <c r="C44" s="486" t="s">
        <v>37</v>
      </c>
      <c r="D44" s="26">
        <f>'B03'!F43</f>
        <v>14</v>
      </c>
      <c r="E44" s="498"/>
      <c r="F44" s="488"/>
    </row>
    <row r="45" spans="1:6" s="497" customFormat="1" ht="15.75">
      <c r="A45" s="495"/>
      <c r="B45" s="504" t="s">
        <v>239</v>
      </c>
      <c r="C45" s="495" t="s">
        <v>236</v>
      </c>
      <c r="D45" s="25">
        <f>'B03'!F44</f>
        <v>55</v>
      </c>
      <c r="E45" s="499"/>
      <c r="F45" s="488"/>
    </row>
    <row r="46" spans="1:6" ht="15.75">
      <c r="A46" s="486"/>
      <c r="B46" s="3" t="s">
        <v>290</v>
      </c>
      <c r="C46" s="486" t="s">
        <v>230</v>
      </c>
      <c r="D46" s="26">
        <f>'B03'!F45</f>
        <v>77</v>
      </c>
      <c r="E46" s="498"/>
      <c r="F46" s="488"/>
    </row>
    <row r="47" spans="1:6" ht="15.75">
      <c r="A47" s="486">
        <v>2</v>
      </c>
      <c r="B47" s="3" t="s">
        <v>246</v>
      </c>
      <c r="C47" s="486"/>
      <c r="D47" s="26">
        <f>'B03'!F46</f>
        <v>0</v>
      </c>
      <c r="E47" s="498"/>
      <c r="F47" s="488"/>
    </row>
    <row r="48" spans="1:6" s="497" customFormat="1" ht="15.75" customHeight="1">
      <c r="A48" s="495"/>
      <c r="B48" s="503" t="s">
        <v>238</v>
      </c>
      <c r="C48" s="486" t="s">
        <v>37</v>
      </c>
      <c r="D48" s="26">
        <f>'B03'!F47</f>
        <v>210</v>
      </c>
      <c r="E48" s="498"/>
      <c r="F48" s="488"/>
    </row>
    <row r="49" spans="1:6" s="497" customFormat="1" ht="15.75">
      <c r="A49" s="495"/>
      <c r="B49" s="504" t="s">
        <v>239</v>
      </c>
      <c r="C49" s="495" t="s">
        <v>236</v>
      </c>
      <c r="D49" s="25">
        <f>'B03'!F48</f>
        <v>155</v>
      </c>
      <c r="E49" s="499"/>
      <c r="F49" s="488"/>
    </row>
    <row r="50" spans="1:6" ht="15.75">
      <c r="A50" s="486"/>
      <c r="B50" s="3" t="s">
        <v>290</v>
      </c>
      <c r="C50" s="486" t="s">
        <v>230</v>
      </c>
      <c r="D50" s="26">
        <f>'B03'!F49</f>
        <v>3255</v>
      </c>
      <c r="E50" s="498"/>
      <c r="F50" s="488"/>
    </row>
    <row r="51" spans="1:6" ht="15.75">
      <c r="A51" s="32">
        <v>3</v>
      </c>
      <c r="B51" s="35" t="s">
        <v>317</v>
      </c>
      <c r="C51" s="32" t="s">
        <v>37</v>
      </c>
      <c r="D51" s="26">
        <f>'B03'!F50</f>
        <v>0</v>
      </c>
      <c r="E51" s="498"/>
      <c r="F51" s="488"/>
    </row>
    <row r="52" spans="1:6" ht="15.75">
      <c r="A52" s="39"/>
      <c r="B52" s="35" t="s">
        <v>123</v>
      </c>
      <c r="C52" s="32" t="s">
        <v>37</v>
      </c>
      <c r="D52" s="26">
        <f>'B03'!F51</f>
        <v>0</v>
      </c>
      <c r="E52" s="498"/>
      <c r="F52" s="488"/>
    </row>
    <row r="53" spans="1:6" ht="15.75">
      <c r="A53" s="39"/>
      <c r="B53" s="37" t="s">
        <v>315</v>
      </c>
      <c r="C53" s="34" t="s">
        <v>21</v>
      </c>
      <c r="D53" s="25">
        <f>'B03'!F52</f>
        <v>0</v>
      </c>
      <c r="E53" s="498"/>
      <c r="F53" s="488"/>
    </row>
    <row r="54" spans="1:6" ht="15.75">
      <c r="A54" s="39"/>
      <c r="B54" s="37" t="s">
        <v>316</v>
      </c>
      <c r="C54" s="34" t="s">
        <v>76</v>
      </c>
      <c r="D54" s="26">
        <f>'B03'!F53</f>
        <v>0</v>
      </c>
      <c r="E54" s="498"/>
      <c r="F54" s="488"/>
    </row>
    <row r="55" spans="1:6" s="497" customFormat="1" ht="15.75">
      <c r="A55" s="495">
        <v>4</v>
      </c>
      <c r="B55" s="505" t="s">
        <v>136</v>
      </c>
      <c r="C55" s="486"/>
      <c r="D55" s="26">
        <f>'B03'!F54</f>
        <v>0</v>
      </c>
      <c r="E55" s="498"/>
      <c r="F55" s="488"/>
    </row>
    <row r="56" spans="1:6" s="497" customFormat="1" ht="15.75">
      <c r="A56" s="495"/>
      <c r="B56" s="505" t="s">
        <v>26</v>
      </c>
      <c r="C56" s="486" t="s">
        <v>37</v>
      </c>
      <c r="D56" s="26">
        <f>'B03'!F55</f>
        <v>40</v>
      </c>
      <c r="E56" s="498"/>
      <c r="F56" s="488"/>
    </row>
    <row r="57" spans="1:6" s="497" customFormat="1" ht="15.75">
      <c r="A57" s="495"/>
      <c r="B57" s="506" t="s">
        <v>27</v>
      </c>
      <c r="C57" s="507" t="s">
        <v>21</v>
      </c>
      <c r="D57" s="25">
        <f>'B03'!F56</f>
        <v>125</v>
      </c>
      <c r="E57" s="508"/>
      <c r="F57" s="488"/>
    </row>
    <row r="58" spans="1:6" ht="15.75">
      <c r="A58" s="486"/>
      <c r="B58" s="505" t="s">
        <v>28</v>
      </c>
      <c r="C58" s="509" t="s">
        <v>76</v>
      </c>
      <c r="D58" s="26">
        <f>'B03'!F57</f>
        <v>576</v>
      </c>
      <c r="E58" s="498"/>
      <c r="F58" s="488"/>
    </row>
    <row r="59" spans="1:6" ht="15.75">
      <c r="A59" s="486"/>
      <c r="B59" s="40" t="s">
        <v>318</v>
      </c>
      <c r="C59" s="21"/>
      <c r="D59" s="26">
        <f>'B03'!F58</f>
        <v>0</v>
      </c>
      <c r="E59" s="498"/>
      <c r="F59" s="488"/>
    </row>
    <row r="60" spans="1:6" ht="15.75">
      <c r="A60" s="486"/>
      <c r="B60" s="510" t="s">
        <v>178</v>
      </c>
      <c r="C60" s="41" t="s">
        <v>37</v>
      </c>
      <c r="D60" s="26">
        <f>'B03'!F59</f>
        <v>20</v>
      </c>
      <c r="E60" s="498"/>
      <c r="F60" s="488"/>
    </row>
    <row r="61" spans="1:6" ht="15.75">
      <c r="A61" s="486"/>
      <c r="B61" s="510" t="s">
        <v>179</v>
      </c>
      <c r="C61" s="41" t="s">
        <v>21</v>
      </c>
      <c r="D61" s="25">
        <f>'B03'!F60</f>
        <v>165</v>
      </c>
      <c r="E61" s="498"/>
      <c r="F61" s="488"/>
    </row>
    <row r="62" spans="1:6" ht="15.75">
      <c r="A62" s="486"/>
      <c r="B62" s="510" t="s">
        <v>180</v>
      </c>
      <c r="C62" s="41" t="s">
        <v>76</v>
      </c>
      <c r="D62" s="26">
        <f>'B03'!F61</f>
        <v>330</v>
      </c>
      <c r="E62" s="498"/>
      <c r="F62" s="488"/>
    </row>
    <row r="63" spans="1:6" ht="15.75">
      <c r="A63" s="486"/>
      <c r="B63" s="511" t="s">
        <v>319</v>
      </c>
      <c r="C63" s="21"/>
      <c r="D63" s="26">
        <f>'B03'!F62</f>
        <v>0</v>
      </c>
      <c r="E63" s="498"/>
      <c r="F63" s="488"/>
    </row>
    <row r="64" spans="1:6" ht="15.75">
      <c r="A64" s="486"/>
      <c r="B64" s="510" t="s">
        <v>178</v>
      </c>
      <c r="C64" s="41" t="s">
        <v>37</v>
      </c>
      <c r="D64" s="26">
        <f>'B03'!F63</f>
        <v>20</v>
      </c>
      <c r="E64" s="498"/>
      <c r="F64" s="488"/>
    </row>
    <row r="65" spans="1:6" ht="15.75">
      <c r="A65" s="486"/>
      <c r="B65" s="510" t="s">
        <v>179</v>
      </c>
      <c r="C65" s="41" t="s">
        <v>21</v>
      </c>
      <c r="D65" s="25">
        <f>'B03'!F64</f>
        <v>123</v>
      </c>
      <c r="E65" s="498"/>
      <c r="F65" s="488"/>
    </row>
    <row r="66" spans="1:6" ht="15.75">
      <c r="A66" s="486"/>
      <c r="B66" s="510" t="s">
        <v>180</v>
      </c>
      <c r="C66" s="41" t="s">
        <v>76</v>
      </c>
      <c r="D66" s="26">
        <f>'B03'!F65</f>
        <v>246</v>
      </c>
      <c r="E66" s="498"/>
      <c r="F66" s="488"/>
    </row>
    <row r="67" spans="1:6" s="483" customFormat="1" ht="19.5" customHeight="1">
      <c r="A67" s="491" t="s">
        <v>39</v>
      </c>
      <c r="B67" s="83" t="s">
        <v>247</v>
      </c>
      <c r="C67" s="491"/>
      <c r="D67" s="459">
        <f>'B03'!F66</f>
        <v>1869.3</v>
      </c>
      <c r="E67" s="457"/>
      <c r="F67" s="488"/>
    </row>
    <row r="68" spans="1:6" s="489" customFormat="1" ht="15.75">
      <c r="A68" s="484">
        <v>1</v>
      </c>
      <c r="B68" s="305" t="s">
        <v>248</v>
      </c>
      <c r="C68" s="484" t="s">
        <v>37</v>
      </c>
      <c r="D68" s="459">
        <f>'B03'!F67</f>
        <v>1722.3</v>
      </c>
      <c r="E68" s="512"/>
      <c r="F68" s="488"/>
    </row>
    <row r="69" spans="1:6" ht="17.25" customHeight="1">
      <c r="A69" s="486" t="s">
        <v>34</v>
      </c>
      <c r="B69" s="3" t="s">
        <v>249</v>
      </c>
      <c r="C69" s="486" t="s">
        <v>37</v>
      </c>
      <c r="D69" s="26">
        <f>'B03'!F68</f>
        <v>494</v>
      </c>
      <c r="E69" s="456"/>
      <c r="F69" s="488"/>
    </row>
    <row r="70" spans="1:6" ht="17.25" hidden="1" customHeight="1">
      <c r="A70" s="513"/>
      <c r="B70" s="514" t="s">
        <v>361</v>
      </c>
      <c r="C70" s="486" t="s">
        <v>37</v>
      </c>
      <c r="D70" s="26">
        <f>'B03'!F69</f>
        <v>452.7</v>
      </c>
      <c r="E70" s="515"/>
      <c r="F70" s="488"/>
    </row>
    <row r="71" spans="1:6" ht="17.25" hidden="1" customHeight="1">
      <c r="A71" s="513"/>
      <c r="B71" s="514"/>
      <c r="C71" s="486"/>
      <c r="D71" s="26">
        <f>'B03'!F70</f>
        <v>36.299999999999997</v>
      </c>
      <c r="E71" s="515"/>
      <c r="F71" s="488"/>
    </row>
    <row r="72" spans="1:6" ht="15.75">
      <c r="A72" s="495"/>
      <c r="B72" s="84" t="s">
        <v>250</v>
      </c>
      <c r="C72" s="495" t="s">
        <v>37</v>
      </c>
      <c r="D72" s="26">
        <f>'B03'!F72</f>
        <v>5</v>
      </c>
      <c r="E72" s="456"/>
      <c r="F72" s="488"/>
    </row>
    <row r="73" spans="1:6" ht="18" customHeight="1">
      <c r="A73" s="486"/>
      <c r="B73" s="3" t="s">
        <v>251</v>
      </c>
      <c r="C73" s="486" t="s">
        <v>37</v>
      </c>
      <c r="D73" s="26">
        <f>'B03'!F73</f>
        <v>438</v>
      </c>
      <c r="E73" s="456"/>
      <c r="F73" s="488"/>
    </row>
    <row r="74" spans="1:6" ht="18" hidden="1" customHeight="1">
      <c r="A74" s="513"/>
      <c r="B74" s="514" t="s">
        <v>362</v>
      </c>
      <c r="C74" s="513" t="s">
        <v>37</v>
      </c>
      <c r="D74" s="26" t="e">
        <f>'B03'!#REF!</f>
        <v>#REF!</v>
      </c>
      <c r="E74" s="515"/>
      <c r="F74" s="488"/>
    </row>
    <row r="75" spans="1:6" ht="18" hidden="1" customHeight="1">
      <c r="A75" s="513"/>
      <c r="B75" s="514" t="s">
        <v>363</v>
      </c>
      <c r="C75" s="513" t="s">
        <v>37</v>
      </c>
      <c r="D75" s="26" t="e">
        <f>'B03'!#REF!</f>
        <v>#REF!</v>
      </c>
      <c r="E75" s="515"/>
      <c r="F75" s="488"/>
    </row>
    <row r="76" spans="1:6" ht="18" hidden="1" customHeight="1">
      <c r="A76" s="513"/>
      <c r="B76" s="514" t="s">
        <v>364</v>
      </c>
      <c r="C76" s="513" t="s">
        <v>37</v>
      </c>
      <c r="D76" s="26" t="e">
        <f>'B03'!#REF!</f>
        <v>#REF!</v>
      </c>
      <c r="E76" s="515"/>
      <c r="F76" s="488"/>
    </row>
    <row r="77" spans="1:6" s="497" customFormat="1" ht="15.75">
      <c r="A77" s="495"/>
      <c r="B77" s="84" t="s">
        <v>252</v>
      </c>
      <c r="C77" s="495" t="s">
        <v>236</v>
      </c>
      <c r="D77" s="25">
        <f>'B03'!F74</f>
        <v>36</v>
      </c>
      <c r="E77" s="516"/>
      <c r="F77" s="488"/>
    </row>
    <row r="78" spans="1:6" ht="15.75">
      <c r="A78" s="486"/>
      <c r="B78" s="3" t="s">
        <v>301</v>
      </c>
      <c r="C78" s="486" t="s">
        <v>230</v>
      </c>
      <c r="D78" s="26">
        <f>'B03'!F75</f>
        <v>1576.8</v>
      </c>
      <c r="E78" s="498"/>
      <c r="F78" s="488"/>
    </row>
    <row r="79" spans="1:6" ht="15.75">
      <c r="A79" s="486" t="s">
        <v>35</v>
      </c>
      <c r="B79" s="3" t="s">
        <v>253</v>
      </c>
      <c r="C79" s="486" t="s">
        <v>37</v>
      </c>
      <c r="D79" s="26">
        <f>'B03'!F76</f>
        <v>1228.3</v>
      </c>
      <c r="E79" s="498"/>
      <c r="F79" s="488"/>
    </row>
    <row r="80" spans="1:6" s="497" customFormat="1" ht="15.75">
      <c r="A80" s="495"/>
      <c r="B80" s="84" t="s">
        <v>292</v>
      </c>
      <c r="C80" s="495" t="s">
        <v>37</v>
      </c>
      <c r="D80" s="26">
        <f>'B03'!F77</f>
        <v>0</v>
      </c>
      <c r="E80" s="496"/>
      <c r="F80" s="488"/>
    </row>
    <row r="81" spans="1:6" ht="15.75">
      <c r="A81" s="486"/>
      <c r="B81" s="3" t="s">
        <v>251</v>
      </c>
      <c r="C81" s="486" t="s">
        <v>37</v>
      </c>
      <c r="D81" s="26">
        <f>'B03'!F78</f>
        <v>1150</v>
      </c>
      <c r="E81" s="456"/>
      <c r="F81" s="488"/>
    </row>
    <row r="82" spans="1:6" s="517" customFormat="1" ht="15.75" hidden="1">
      <c r="A82" s="513"/>
      <c r="B82" s="514" t="s">
        <v>362</v>
      </c>
      <c r="C82" s="513" t="s">
        <v>37</v>
      </c>
      <c r="D82" s="26" t="e">
        <f>'B03'!#REF!</f>
        <v>#REF!</v>
      </c>
      <c r="E82" s="515"/>
      <c r="F82" s="488"/>
    </row>
    <row r="83" spans="1:6" ht="15.75" hidden="1">
      <c r="A83" s="486"/>
      <c r="B83" s="518" t="s">
        <v>365</v>
      </c>
      <c r="C83" s="513" t="s">
        <v>37</v>
      </c>
      <c r="D83" s="26" t="e">
        <f>'B03'!#REF!</f>
        <v>#REF!</v>
      </c>
      <c r="E83" s="456"/>
      <c r="F83" s="488"/>
    </row>
    <row r="84" spans="1:6" ht="15.75" hidden="1">
      <c r="A84" s="486"/>
      <c r="B84" s="518" t="s">
        <v>366</v>
      </c>
      <c r="C84" s="513" t="s">
        <v>37</v>
      </c>
      <c r="D84" s="26" t="e">
        <f>'B03'!#REF!</f>
        <v>#REF!</v>
      </c>
      <c r="E84" s="456"/>
      <c r="F84" s="488"/>
    </row>
    <row r="85" spans="1:6" ht="15.75" hidden="1">
      <c r="A85" s="486"/>
      <c r="B85" s="518" t="s">
        <v>367</v>
      </c>
      <c r="C85" s="513" t="s">
        <v>37</v>
      </c>
      <c r="D85" s="26" t="e">
        <f>'B03'!#REF!</f>
        <v>#REF!</v>
      </c>
      <c r="E85" s="456"/>
      <c r="F85" s="488"/>
    </row>
    <row r="86" spans="1:6" ht="15.75" hidden="1">
      <c r="A86" s="486"/>
      <c r="B86" s="514" t="s">
        <v>368</v>
      </c>
      <c r="C86" s="519"/>
      <c r="D86" s="26" t="e">
        <f>'B03'!#REF!</f>
        <v>#REF!</v>
      </c>
      <c r="E86" s="456"/>
      <c r="F86" s="488"/>
    </row>
    <row r="87" spans="1:6" ht="15.75" hidden="1">
      <c r="A87" s="486"/>
      <c r="B87" s="514"/>
      <c r="C87" s="519"/>
      <c r="D87" s="26" t="e">
        <f>'B03'!#REF!</f>
        <v>#REF!</v>
      </c>
      <c r="E87" s="456"/>
      <c r="F87" s="488"/>
    </row>
    <row r="88" spans="1:6" s="497" customFormat="1" ht="15.75">
      <c r="A88" s="495"/>
      <c r="B88" s="84" t="s">
        <v>252</v>
      </c>
      <c r="C88" s="495" t="s">
        <v>236</v>
      </c>
      <c r="D88" s="25">
        <f>'B03'!F79</f>
        <v>12.5</v>
      </c>
      <c r="E88" s="520"/>
      <c r="F88" s="488"/>
    </row>
    <row r="89" spans="1:6" ht="15.75" customHeight="1">
      <c r="A89" s="486"/>
      <c r="B89" s="3" t="s">
        <v>301</v>
      </c>
      <c r="C89" s="486" t="s">
        <v>230</v>
      </c>
      <c r="D89" s="26">
        <f>'B03'!F80</f>
        <v>1437.5</v>
      </c>
      <c r="E89" s="521"/>
      <c r="F89" s="488"/>
    </row>
    <row r="90" spans="1:6" ht="15.75">
      <c r="A90" s="486">
        <v>2</v>
      </c>
      <c r="B90" s="3" t="s">
        <v>254</v>
      </c>
      <c r="C90" s="486" t="s">
        <v>37</v>
      </c>
      <c r="D90" s="26">
        <f>'B03'!F81</f>
        <v>147</v>
      </c>
      <c r="E90" s="498"/>
      <c r="F90" s="488"/>
    </row>
    <row r="91" spans="1:6" ht="15.75">
      <c r="A91" s="486"/>
      <c r="B91" s="84" t="s">
        <v>255</v>
      </c>
      <c r="C91" s="495" t="s">
        <v>37</v>
      </c>
      <c r="D91" s="26">
        <f>'B03'!F82</f>
        <v>0</v>
      </c>
      <c r="E91" s="498"/>
      <c r="F91" s="488"/>
    </row>
    <row r="92" spans="1:6" ht="19.5" hidden="1" customHeight="1">
      <c r="A92" s="513"/>
      <c r="B92" s="522" t="s">
        <v>369</v>
      </c>
      <c r="C92" s="523" t="s">
        <v>37</v>
      </c>
      <c r="D92" s="459" t="e">
        <f>'B03'!#REF!</f>
        <v>#REF!</v>
      </c>
      <c r="E92" s="498"/>
      <c r="F92" s="488"/>
    </row>
    <row r="93" spans="1:6" ht="19.5" hidden="1" customHeight="1">
      <c r="A93" s="513"/>
      <c r="B93" s="522" t="s">
        <v>370</v>
      </c>
      <c r="C93" s="523" t="s">
        <v>37</v>
      </c>
      <c r="D93" s="459" t="e">
        <f>'B03'!#REF!</f>
        <v>#REF!</v>
      </c>
      <c r="E93" s="498"/>
      <c r="F93" s="488"/>
    </row>
    <row r="94" spans="1:6" ht="19.5" hidden="1" customHeight="1">
      <c r="A94" s="513"/>
      <c r="B94" s="522" t="s">
        <v>361</v>
      </c>
      <c r="C94" s="523" t="s">
        <v>37</v>
      </c>
      <c r="D94" s="459" t="e">
        <f>'B03'!#REF!</f>
        <v>#REF!</v>
      </c>
      <c r="E94" s="498"/>
      <c r="F94" s="488"/>
    </row>
    <row r="95" spans="1:6" s="483" customFormat="1" ht="15.75">
      <c r="A95" s="524" t="s">
        <v>43</v>
      </c>
      <c r="B95" s="83" t="s">
        <v>256</v>
      </c>
      <c r="C95" s="491"/>
      <c r="D95" s="459">
        <f>'B03'!F83</f>
        <v>0</v>
      </c>
      <c r="E95" s="498"/>
      <c r="F95" s="488"/>
    </row>
    <row r="96" spans="1:6" ht="15.75">
      <c r="A96" s="486">
        <v>1</v>
      </c>
      <c r="B96" s="3" t="s">
        <v>257</v>
      </c>
      <c r="C96" s="486" t="s">
        <v>54</v>
      </c>
      <c r="D96" s="26">
        <f>'B03'!F84</f>
        <v>470</v>
      </c>
      <c r="E96" s="498"/>
      <c r="F96" s="488"/>
    </row>
    <row r="97" spans="1:6" s="517" customFormat="1" ht="15.75" hidden="1">
      <c r="A97" s="513"/>
      <c r="B97" s="514" t="s">
        <v>371</v>
      </c>
      <c r="C97" s="513"/>
      <c r="D97" s="26" t="e">
        <f>'B03'!#REF!</f>
        <v>#REF!</v>
      </c>
      <c r="E97" s="525"/>
      <c r="F97" s="488"/>
    </row>
    <row r="98" spans="1:6" ht="15.75">
      <c r="A98" s="486">
        <v>2</v>
      </c>
      <c r="B98" s="3" t="s">
        <v>258</v>
      </c>
      <c r="C98" s="486" t="s">
        <v>54</v>
      </c>
      <c r="D98" s="26">
        <f>'B03'!F85</f>
        <v>670</v>
      </c>
      <c r="E98" s="498"/>
      <c r="F98" s="488"/>
    </row>
    <row r="99" spans="1:6" s="517" customFormat="1" ht="15.75" hidden="1">
      <c r="A99" s="513"/>
      <c r="B99" s="514" t="s">
        <v>372</v>
      </c>
      <c r="C99" s="513"/>
      <c r="D99" s="26" t="e">
        <f>'B03'!#REF!</f>
        <v>#REF!</v>
      </c>
      <c r="E99" s="525"/>
      <c r="F99" s="488"/>
    </row>
    <row r="100" spans="1:6" ht="15" customHeight="1">
      <c r="A100" s="486">
        <v>3</v>
      </c>
      <c r="B100" s="3" t="s">
        <v>259</v>
      </c>
      <c r="C100" s="486" t="s">
        <v>54</v>
      </c>
      <c r="D100" s="26">
        <f>'B03'!F86</f>
        <v>1500</v>
      </c>
      <c r="E100" s="498"/>
      <c r="F100" s="488"/>
    </row>
    <row r="101" spans="1:6" s="517" customFormat="1" ht="15" hidden="1" customHeight="1">
      <c r="A101" s="513"/>
      <c r="B101" s="514" t="s">
        <v>373</v>
      </c>
      <c r="C101" s="513"/>
      <c r="D101" s="26" t="e">
        <f>'B03'!#REF!</f>
        <v>#REF!</v>
      </c>
      <c r="E101" s="525"/>
      <c r="F101" s="488"/>
    </row>
    <row r="102" spans="1:6" ht="15" customHeight="1">
      <c r="A102" s="486">
        <v>4</v>
      </c>
      <c r="B102" s="3" t="s">
        <v>260</v>
      </c>
      <c r="C102" s="486" t="s">
        <v>54</v>
      </c>
      <c r="D102" s="26">
        <f>'B03'!F87</f>
        <v>8000</v>
      </c>
      <c r="E102" s="498"/>
      <c r="F102" s="488"/>
    </row>
    <row r="103" spans="1:6" s="517" customFormat="1" ht="15" hidden="1" customHeight="1">
      <c r="A103" s="513"/>
      <c r="B103" s="514" t="s">
        <v>374</v>
      </c>
      <c r="C103" s="513"/>
      <c r="D103" s="459" t="e">
        <f>'B03'!#REF!</f>
        <v>#REF!</v>
      </c>
      <c r="E103" s="525"/>
      <c r="F103" s="488"/>
    </row>
    <row r="104" spans="1:6" s="483" customFormat="1" ht="15.75">
      <c r="A104" s="524" t="s">
        <v>176</v>
      </c>
      <c r="B104" s="83" t="s">
        <v>282</v>
      </c>
      <c r="C104" s="491"/>
      <c r="D104" s="459">
        <f>'B03'!F88</f>
        <v>0</v>
      </c>
      <c r="E104" s="498"/>
      <c r="F104" s="488"/>
    </row>
    <row r="105" spans="1:6" ht="15.75">
      <c r="A105" s="486">
        <v>1</v>
      </c>
      <c r="B105" s="3" t="s">
        <v>283</v>
      </c>
      <c r="C105" s="486" t="s">
        <v>37</v>
      </c>
      <c r="D105" s="25">
        <f>'B03'!F89</f>
        <v>24</v>
      </c>
      <c r="E105" s="498"/>
      <c r="F105" s="488"/>
    </row>
    <row r="106" spans="1:6" ht="6.75" customHeight="1">
      <c r="A106" s="526"/>
      <c r="B106" s="527"/>
      <c r="C106" s="526"/>
      <c r="D106" s="528"/>
      <c r="E106" s="527"/>
    </row>
    <row r="107" spans="1:6">
      <c r="D107" s="530"/>
    </row>
    <row r="109" spans="1:6">
      <c r="D109" s="530"/>
    </row>
    <row r="110" spans="1:6">
      <c r="D110" s="530"/>
    </row>
    <row r="136" spans="5:5" ht="15.75">
      <c r="E136" s="2"/>
    </row>
    <row r="159" spans="2:2" ht="15.75">
      <c r="B159" s="2"/>
    </row>
  </sheetData>
  <mergeCells count="9">
    <mergeCell ref="A4:E4"/>
    <mergeCell ref="A1:E1"/>
    <mergeCell ref="A2:E2"/>
    <mergeCell ref="A3:E3"/>
    <mergeCell ref="A6:A7"/>
    <mergeCell ref="B6:B7"/>
    <mergeCell ref="C6:C7"/>
    <mergeCell ref="D6:D7"/>
    <mergeCell ref="E6:E7"/>
  </mergeCells>
  <pageMargins left="0.70866141732283472" right="0.59055118110236227" top="0.59055118110236227" bottom="0.59055118110236227" header="0.31496062992125984" footer="0.31496062992125984"/>
  <pageSetup paperSize="9" orientation="portrait" r:id="rId1"/>
  <headerFooter>
    <oddFooter>&amp;R&amp;P/&amp;N</oddFooter>
  </headerFooter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rgb="FF0000FF"/>
  </sheetPr>
  <dimension ref="A1:G159"/>
  <sheetViews>
    <sheetView zoomScale="85" zoomScaleNormal="85" zoomScaleSheetLayoutView="85" workbookViewId="0">
      <selection activeCell="B19" sqref="B19"/>
    </sheetView>
  </sheetViews>
  <sheetFormatPr defaultColWidth="9.140625" defaultRowHeight="15"/>
  <cols>
    <col min="1" max="1" width="5" style="529" customWidth="1"/>
    <col min="2" max="2" width="43.140625" style="474" customWidth="1"/>
    <col min="3" max="3" width="11.85546875" style="529" customWidth="1"/>
    <col min="4" max="4" width="13.5703125" style="474" customWidth="1"/>
    <col min="5" max="5" width="15.140625" style="474" customWidth="1"/>
    <col min="6" max="6" width="10.42578125" style="474" bestFit="1" customWidth="1"/>
    <col min="7" max="16384" width="9.140625" style="474"/>
  </cols>
  <sheetData>
    <row r="1" spans="1:7" ht="15.75">
      <c r="A1" s="845" t="s">
        <v>213</v>
      </c>
      <c r="B1" s="845"/>
      <c r="C1" s="845"/>
      <c r="D1" s="845"/>
      <c r="E1" s="845"/>
    </row>
    <row r="2" spans="1:7" s="475" customFormat="1" ht="23.25">
      <c r="A2" s="850" t="s">
        <v>845</v>
      </c>
      <c r="B2" s="850"/>
      <c r="C2" s="850"/>
      <c r="D2" s="850"/>
      <c r="E2" s="850"/>
    </row>
    <row r="3" spans="1:7" s="475" customFormat="1" ht="19.5" customHeight="1">
      <c r="A3" s="851" t="str">
        <f>'B01'!A3:E3</f>
        <v>(Kèm theo Quyết định số 569/QĐ-UBND, ngày 17/12/2018 của UBND huyện Đăk Tô)</v>
      </c>
      <c r="B3" s="851"/>
      <c r="C3" s="851"/>
      <c r="D3" s="851"/>
      <c r="E3" s="851"/>
    </row>
    <row r="4" spans="1:7" s="475" customFormat="1" ht="19.5" customHeight="1">
      <c r="A4" s="849" t="s">
        <v>303</v>
      </c>
      <c r="B4" s="849"/>
      <c r="C4" s="849"/>
      <c r="D4" s="849"/>
      <c r="E4" s="849"/>
    </row>
    <row r="5" spans="1:7">
      <c r="A5" s="476"/>
      <c r="B5" s="476"/>
      <c r="C5" s="474"/>
      <c r="D5" s="477"/>
    </row>
    <row r="6" spans="1:7" s="8" customFormat="1" ht="21.75" customHeight="1">
      <c r="A6" s="771" t="s">
        <v>55</v>
      </c>
      <c r="B6" s="772" t="s">
        <v>69</v>
      </c>
      <c r="C6" s="772" t="s">
        <v>18</v>
      </c>
      <c r="D6" s="766" t="s">
        <v>848</v>
      </c>
      <c r="E6" s="772" t="s">
        <v>75</v>
      </c>
    </row>
    <row r="7" spans="1:7" s="8" customFormat="1" ht="15.75">
      <c r="A7" s="771"/>
      <c r="B7" s="771"/>
      <c r="C7" s="771"/>
      <c r="D7" s="767"/>
      <c r="E7" s="771"/>
    </row>
    <row r="8" spans="1:7" s="483" customFormat="1" ht="19.5" customHeight="1">
      <c r="A8" s="478" t="s">
        <v>40</v>
      </c>
      <c r="B8" s="479" t="s">
        <v>225</v>
      </c>
      <c r="C8" s="480"/>
      <c r="D8" s="481"/>
      <c r="E8" s="482"/>
    </row>
    <row r="9" spans="1:7" s="489" customFormat="1" ht="15.75">
      <c r="A9" s="484" t="s">
        <v>38</v>
      </c>
      <c r="B9" s="485" t="s">
        <v>300</v>
      </c>
      <c r="C9" s="486" t="s">
        <v>37</v>
      </c>
      <c r="D9" s="459">
        <f>'B03'!G8</f>
        <v>868</v>
      </c>
      <c r="E9" s="487" t="s">
        <v>226</v>
      </c>
      <c r="F9" s="488"/>
      <c r="G9" s="488"/>
    </row>
    <row r="10" spans="1:7" s="490" customFormat="1" ht="15.75">
      <c r="A10" s="486">
        <v>1</v>
      </c>
      <c r="B10" s="83" t="s">
        <v>227</v>
      </c>
      <c r="C10" s="486"/>
      <c r="D10" s="459">
        <f>'B03'!G9</f>
        <v>0</v>
      </c>
      <c r="E10" s="456"/>
      <c r="F10" s="488"/>
    </row>
    <row r="11" spans="1:7" s="493" customFormat="1" ht="15.75">
      <c r="A11" s="491" t="s">
        <v>56</v>
      </c>
      <c r="B11" s="83" t="s">
        <v>228</v>
      </c>
      <c r="C11" s="491" t="s">
        <v>37</v>
      </c>
      <c r="D11" s="459">
        <f>'B03'!G10</f>
        <v>111</v>
      </c>
      <c r="E11" s="492"/>
      <c r="F11" s="488"/>
    </row>
    <row r="12" spans="1:7" s="494" customFormat="1" ht="15.75">
      <c r="A12" s="484" t="s">
        <v>56</v>
      </c>
      <c r="B12" s="83" t="s">
        <v>229</v>
      </c>
      <c r="C12" s="491" t="s">
        <v>230</v>
      </c>
      <c r="D12" s="459">
        <f>'B03'!G11</f>
        <v>341.4</v>
      </c>
      <c r="E12" s="492"/>
      <c r="F12" s="488"/>
    </row>
    <row r="13" spans="1:7" s="497" customFormat="1" ht="15.75">
      <c r="A13" s="495"/>
      <c r="B13" s="3" t="s">
        <v>231</v>
      </c>
      <c r="C13" s="486" t="s">
        <v>230</v>
      </c>
      <c r="D13" s="26">
        <f>'B03'!G12</f>
        <v>332.4</v>
      </c>
      <c r="E13" s="496"/>
      <c r="F13" s="488"/>
    </row>
    <row r="14" spans="1:7" s="494" customFormat="1" ht="15.75">
      <c r="A14" s="484"/>
      <c r="B14" s="3" t="s">
        <v>232</v>
      </c>
      <c r="C14" s="486" t="s">
        <v>230</v>
      </c>
      <c r="D14" s="26">
        <f>'B03'!G13</f>
        <v>9</v>
      </c>
      <c r="E14" s="457"/>
      <c r="F14" s="488"/>
    </row>
    <row r="15" spans="1:7" s="2" customFormat="1" ht="15.75">
      <c r="A15" s="486" t="s">
        <v>34</v>
      </c>
      <c r="B15" s="3" t="s">
        <v>233</v>
      </c>
      <c r="C15" s="486"/>
      <c r="D15" s="26">
        <f>'B03'!G14</f>
        <v>0</v>
      </c>
      <c r="E15" s="456"/>
      <c r="F15" s="488"/>
    </row>
    <row r="16" spans="1:7" s="497" customFormat="1" ht="15.75">
      <c r="A16" s="495"/>
      <c r="B16" s="3" t="s">
        <v>234</v>
      </c>
      <c r="C16" s="486" t="s">
        <v>37</v>
      </c>
      <c r="D16" s="26">
        <f>'B03'!G15</f>
        <v>109</v>
      </c>
      <c r="E16" s="498"/>
      <c r="F16" s="488"/>
    </row>
    <row r="17" spans="1:6" s="497" customFormat="1" ht="15.75">
      <c r="A17" s="495"/>
      <c r="B17" s="84" t="s">
        <v>235</v>
      </c>
      <c r="C17" s="495" t="s">
        <v>236</v>
      </c>
      <c r="D17" s="25">
        <f>'B03'!G16</f>
        <v>30.495412844036696</v>
      </c>
      <c r="E17" s="499"/>
      <c r="F17" s="488"/>
    </row>
    <row r="18" spans="1:6" ht="15.75">
      <c r="A18" s="486"/>
      <c r="B18" s="3" t="s">
        <v>293</v>
      </c>
      <c r="C18" s="486" t="s">
        <v>230</v>
      </c>
      <c r="D18" s="26">
        <f>'B03'!G17</f>
        <v>332.4</v>
      </c>
      <c r="E18" s="498"/>
      <c r="F18" s="488"/>
    </row>
    <row r="19" spans="1:6" ht="15.75">
      <c r="A19" s="486"/>
      <c r="B19" s="3" t="s">
        <v>237</v>
      </c>
      <c r="C19" s="486"/>
      <c r="D19" s="26">
        <f>'B03'!G18</f>
        <v>0</v>
      </c>
      <c r="E19" s="500"/>
      <c r="F19" s="488"/>
    </row>
    <row r="20" spans="1:6" s="497" customFormat="1" ht="15.75">
      <c r="A20" s="495"/>
      <c r="B20" s="3" t="s">
        <v>291</v>
      </c>
      <c r="C20" s="486" t="s">
        <v>37</v>
      </c>
      <c r="D20" s="26">
        <f>'B03'!G19</f>
        <v>42</v>
      </c>
      <c r="E20" s="498"/>
      <c r="F20" s="488"/>
    </row>
    <row r="21" spans="1:6" s="497" customFormat="1" ht="15.75">
      <c r="A21" s="495"/>
      <c r="B21" s="84" t="s">
        <v>239</v>
      </c>
      <c r="C21" s="495" t="s">
        <v>236</v>
      </c>
      <c r="D21" s="25">
        <f>'B03'!G20</f>
        <v>36</v>
      </c>
      <c r="E21" s="499"/>
      <c r="F21" s="488"/>
    </row>
    <row r="22" spans="1:6" ht="15.75">
      <c r="A22" s="486"/>
      <c r="B22" s="3" t="s">
        <v>290</v>
      </c>
      <c r="C22" s="486" t="s">
        <v>230</v>
      </c>
      <c r="D22" s="26">
        <f>'B03'!G21</f>
        <v>151.19999999999999</v>
      </c>
      <c r="E22" s="498"/>
      <c r="F22" s="488"/>
    </row>
    <row r="23" spans="1:6" ht="15.75">
      <c r="A23" s="486"/>
      <c r="B23" s="3" t="s">
        <v>240</v>
      </c>
      <c r="C23" s="486"/>
      <c r="D23" s="26">
        <f>'B03'!G22</f>
        <v>0</v>
      </c>
      <c r="E23" s="500"/>
      <c r="F23" s="488"/>
    </row>
    <row r="24" spans="1:6" s="497" customFormat="1" ht="15.75">
      <c r="A24" s="495"/>
      <c r="B24" s="3" t="s">
        <v>291</v>
      </c>
      <c r="C24" s="486" t="s">
        <v>37</v>
      </c>
      <c r="D24" s="26">
        <f>'B03'!G23</f>
        <v>67</v>
      </c>
      <c r="E24" s="498"/>
      <c r="F24" s="488"/>
    </row>
    <row r="25" spans="1:6" s="497" customFormat="1" ht="15.75">
      <c r="A25" s="495"/>
      <c r="B25" s="84" t="s">
        <v>239</v>
      </c>
      <c r="C25" s="495" t="s">
        <v>236</v>
      </c>
      <c r="D25" s="25">
        <f>'B03'!G24</f>
        <v>36</v>
      </c>
      <c r="E25" s="499"/>
      <c r="F25" s="488"/>
    </row>
    <row r="26" spans="1:6" ht="15.75">
      <c r="A26" s="486"/>
      <c r="B26" s="3" t="s">
        <v>290</v>
      </c>
      <c r="C26" s="486" t="s">
        <v>230</v>
      </c>
      <c r="D26" s="26">
        <f>'B03'!G25</f>
        <v>181.2</v>
      </c>
      <c r="E26" s="498"/>
      <c r="F26" s="488"/>
    </row>
    <row r="27" spans="1:6" ht="15.75" customHeight="1">
      <c r="A27" s="486"/>
      <c r="B27" s="501" t="s">
        <v>241</v>
      </c>
      <c r="C27" s="486"/>
      <c r="D27" s="26">
        <f>'B03'!G26</f>
        <v>0</v>
      </c>
      <c r="E27" s="500"/>
      <c r="F27" s="488"/>
    </row>
    <row r="28" spans="1:6" s="497" customFormat="1" ht="15.75">
      <c r="A28" s="495"/>
      <c r="B28" s="3" t="s">
        <v>291</v>
      </c>
      <c r="C28" s="486" t="s">
        <v>37</v>
      </c>
      <c r="D28" s="26">
        <f>'B03'!G27</f>
        <v>42</v>
      </c>
      <c r="E28" s="498"/>
      <c r="F28" s="488"/>
    </row>
    <row r="29" spans="1:6" s="497" customFormat="1" ht="15.75">
      <c r="A29" s="495"/>
      <c r="B29" s="84" t="s">
        <v>239</v>
      </c>
      <c r="C29" s="495" t="s">
        <v>236</v>
      </c>
      <c r="D29" s="25">
        <f>'B03'!G28</f>
        <v>36</v>
      </c>
      <c r="E29" s="499"/>
      <c r="F29" s="488"/>
    </row>
    <row r="30" spans="1:6" ht="15.75">
      <c r="A30" s="486"/>
      <c r="B30" s="3" t="s">
        <v>290</v>
      </c>
      <c r="C30" s="486" t="s">
        <v>230</v>
      </c>
      <c r="D30" s="26">
        <f>'B03'!G29</f>
        <v>151.19999999999999</v>
      </c>
      <c r="E30" s="498"/>
      <c r="F30" s="488"/>
    </row>
    <row r="31" spans="1:6" ht="15.75">
      <c r="A31" s="486"/>
      <c r="B31" s="3" t="s">
        <v>242</v>
      </c>
      <c r="C31" s="486"/>
      <c r="D31" s="26">
        <f>'B03'!G30</f>
        <v>0</v>
      </c>
      <c r="E31" s="500"/>
      <c r="F31" s="488"/>
    </row>
    <row r="32" spans="1:6" s="497" customFormat="1" ht="15.75">
      <c r="A32" s="495"/>
      <c r="B32" s="3" t="s">
        <v>291</v>
      </c>
      <c r="C32" s="486" t="s">
        <v>37</v>
      </c>
      <c r="D32" s="26">
        <f>'B03'!G31</f>
        <v>25</v>
      </c>
      <c r="E32" s="498"/>
      <c r="F32" s="488"/>
    </row>
    <row r="33" spans="1:6" ht="15.75">
      <c r="A33" s="486"/>
      <c r="B33" s="84" t="s">
        <v>239</v>
      </c>
      <c r="C33" s="495" t="s">
        <v>236</v>
      </c>
      <c r="D33" s="25">
        <f>'B03'!G32</f>
        <v>12</v>
      </c>
      <c r="E33" s="502"/>
      <c r="F33" s="488"/>
    </row>
    <row r="34" spans="1:6" ht="15.75">
      <c r="A34" s="486"/>
      <c r="B34" s="3" t="s">
        <v>290</v>
      </c>
      <c r="C34" s="486" t="s">
        <v>230</v>
      </c>
      <c r="D34" s="26">
        <f>'B03'!G33</f>
        <v>30</v>
      </c>
      <c r="E34" s="498"/>
      <c r="F34" s="488"/>
    </row>
    <row r="35" spans="1:6" s="2" customFormat="1" ht="15.75">
      <c r="A35" s="486" t="s">
        <v>35</v>
      </c>
      <c r="B35" s="3" t="s">
        <v>243</v>
      </c>
      <c r="C35" s="486"/>
      <c r="D35" s="26">
        <f>'B03'!G34</f>
        <v>0</v>
      </c>
      <c r="E35" s="500"/>
      <c r="F35" s="488"/>
    </row>
    <row r="36" spans="1:6" s="497" customFormat="1" ht="15.75">
      <c r="A36" s="495"/>
      <c r="B36" s="503" t="s">
        <v>234</v>
      </c>
      <c r="C36" s="486" t="s">
        <v>37</v>
      </c>
      <c r="D36" s="26">
        <f>'B03'!G35</f>
        <v>2</v>
      </c>
      <c r="E36" s="498"/>
      <c r="F36" s="488"/>
    </row>
    <row r="37" spans="1:6" ht="15.75">
      <c r="A37" s="486"/>
      <c r="B37" s="504" t="s">
        <v>235</v>
      </c>
      <c r="C37" s="495" t="s">
        <v>236</v>
      </c>
      <c r="D37" s="25">
        <f>'B03'!G36</f>
        <v>45</v>
      </c>
      <c r="E37" s="502"/>
      <c r="F37" s="488"/>
    </row>
    <row r="38" spans="1:6" ht="15.75">
      <c r="A38" s="486"/>
      <c r="B38" s="503" t="s">
        <v>293</v>
      </c>
      <c r="C38" s="486" t="s">
        <v>230</v>
      </c>
      <c r="D38" s="26">
        <f>'B03'!G37</f>
        <v>9</v>
      </c>
      <c r="E38" s="498"/>
      <c r="F38" s="488"/>
    </row>
    <row r="39" spans="1:6" ht="15.75">
      <c r="A39" s="486"/>
      <c r="B39" s="3" t="s">
        <v>244</v>
      </c>
      <c r="C39" s="486"/>
      <c r="D39" s="26">
        <f>'B03'!G38</f>
        <v>0</v>
      </c>
      <c r="E39" s="500"/>
      <c r="F39" s="488"/>
    </row>
    <row r="40" spans="1:6" s="497" customFormat="1" ht="15.75">
      <c r="A40" s="495"/>
      <c r="B40" s="503" t="s">
        <v>238</v>
      </c>
      <c r="C40" s="486" t="s">
        <v>37</v>
      </c>
      <c r="D40" s="26">
        <f>'B03'!G39</f>
        <v>0</v>
      </c>
      <c r="E40" s="498"/>
      <c r="F40" s="488"/>
    </row>
    <row r="41" spans="1:6" ht="15.75">
      <c r="A41" s="486"/>
      <c r="B41" s="504" t="s">
        <v>239</v>
      </c>
      <c r="C41" s="495" t="s">
        <v>236</v>
      </c>
      <c r="D41" s="25">
        <f>'B03'!G40</f>
        <v>0</v>
      </c>
      <c r="E41" s="502"/>
      <c r="F41" s="488"/>
    </row>
    <row r="42" spans="1:6" ht="15.75">
      <c r="A42" s="486"/>
      <c r="B42" s="3" t="s">
        <v>290</v>
      </c>
      <c r="C42" s="486" t="s">
        <v>230</v>
      </c>
      <c r="D42" s="26">
        <f>'B03'!G41</f>
        <v>0</v>
      </c>
      <c r="E42" s="498"/>
      <c r="F42" s="488"/>
    </row>
    <row r="43" spans="1:6" ht="15.75">
      <c r="A43" s="486"/>
      <c r="B43" s="3" t="s">
        <v>245</v>
      </c>
      <c r="C43" s="486"/>
      <c r="D43" s="26">
        <f>'B03'!G42</f>
        <v>0</v>
      </c>
      <c r="E43" s="500"/>
      <c r="F43" s="488"/>
    </row>
    <row r="44" spans="1:6" s="497" customFormat="1" ht="15.75">
      <c r="A44" s="495"/>
      <c r="B44" s="503" t="s">
        <v>238</v>
      </c>
      <c r="C44" s="486" t="s">
        <v>37</v>
      </c>
      <c r="D44" s="26">
        <f>'B03'!G43</f>
        <v>2</v>
      </c>
      <c r="E44" s="498"/>
      <c r="F44" s="488"/>
    </row>
    <row r="45" spans="1:6" s="497" customFormat="1" ht="15.75">
      <c r="A45" s="495"/>
      <c r="B45" s="504" t="s">
        <v>239</v>
      </c>
      <c r="C45" s="495" t="s">
        <v>236</v>
      </c>
      <c r="D45" s="25">
        <f>'B03'!G44</f>
        <v>45</v>
      </c>
      <c r="E45" s="499"/>
      <c r="F45" s="488"/>
    </row>
    <row r="46" spans="1:6" ht="15.75">
      <c r="A46" s="486"/>
      <c r="B46" s="3" t="s">
        <v>290</v>
      </c>
      <c r="C46" s="486" t="s">
        <v>230</v>
      </c>
      <c r="D46" s="26">
        <f>'B03'!G45</f>
        <v>9</v>
      </c>
      <c r="E46" s="498"/>
      <c r="F46" s="488"/>
    </row>
    <row r="47" spans="1:6" ht="15.75">
      <c r="A47" s="486">
        <v>2</v>
      </c>
      <c r="B47" s="3" t="s">
        <v>246</v>
      </c>
      <c r="C47" s="486"/>
      <c r="D47" s="26">
        <f>'B03'!G46</f>
        <v>0</v>
      </c>
      <c r="E47" s="498"/>
      <c r="F47" s="488"/>
    </row>
    <row r="48" spans="1:6" s="497" customFormat="1" ht="15.75" customHeight="1">
      <c r="A48" s="495"/>
      <c r="B48" s="503" t="s">
        <v>238</v>
      </c>
      <c r="C48" s="486" t="s">
        <v>37</v>
      </c>
      <c r="D48" s="26">
        <f>'B03'!G47</f>
        <v>750</v>
      </c>
      <c r="E48" s="498"/>
      <c r="F48" s="488"/>
    </row>
    <row r="49" spans="1:6" s="497" customFormat="1" ht="15.75">
      <c r="A49" s="495"/>
      <c r="B49" s="504" t="s">
        <v>239</v>
      </c>
      <c r="C49" s="495" t="s">
        <v>236</v>
      </c>
      <c r="D49" s="25">
        <f>'B03'!G48</f>
        <v>146.1</v>
      </c>
      <c r="E49" s="499"/>
      <c r="F49" s="488"/>
    </row>
    <row r="50" spans="1:6" ht="15.75">
      <c r="A50" s="486"/>
      <c r="B50" s="3" t="s">
        <v>290</v>
      </c>
      <c r="C50" s="486" t="s">
        <v>230</v>
      </c>
      <c r="D50" s="26">
        <f>'B03'!G49</f>
        <v>10957.5</v>
      </c>
      <c r="E50" s="498"/>
      <c r="F50" s="488"/>
    </row>
    <row r="51" spans="1:6" ht="15.75">
      <c r="A51" s="32">
        <v>3</v>
      </c>
      <c r="B51" s="35" t="s">
        <v>317</v>
      </c>
      <c r="C51" s="32" t="s">
        <v>37</v>
      </c>
      <c r="D51" s="26">
        <f>'B03'!G50</f>
        <v>0</v>
      </c>
      <c r="E51" s="498"/>
      <c r="F51" s="488"/>
    </row>
    <row r="52" spans="1:6" ht="15.75">
      <c r="A52" s="39"/>
      <c r="B52" s="35" t="s">
        <v>123</v>
      </c>
      <c r="C52" s="32" t="s">
        <v>37</v>
      </c>
      <c r="D52" s="26">
        <f>'B03'!G51</f>
        <v>0</v>
      </c>
      <c r="E52" s="498"/>
      <c r="F52" s="488"/>
    </row>
    <row r="53" spans="1:6" ht="15.75">
      <c r="A53" s="39"/>
      <c r="B53" s="37" t="s">
        <v>315</v>
      </c>
      <c r="C53" s="34" t="s">
        <v>21</v>
      </c>
      <c r="D53" s="25">
        <f>'B03'!G52</f>
        <v>0</v>
      </c>
      <c r="E53" s="498"/>
      <c r="F53" s="488"/>
    </row>
    <row r="54" spans="1:6" ht="15.75">
      <c r="A54" s="39"/>
      <c r="B54" s="37" t="s">
        <v>316</v>
      </c>
      <c r="C54" s="34" t="s">
        <v>76</v>
      </c>
      <c r="D54" s="26">
        <f>'B03'!G53</f>
        <v>0</v>
      </c>
      <c r="E54" s="498"/>
      <c r="F54" s="488"/>
    </row>
    <row r="55" spans="1:6" s="497" customFormat="1" ht="15.75">
      <c r="A55" s="495">
        <v>4</v>
      </c>
      <c r="B55" s="505" t="s">
        <v>136</v>
      </c>
      <c r="C55" s="486"/>
      <c r="D55" s="26">
        <f>'B03'!G54</f>
        <v>0</v>
      </c>
      <c r="E55" s="498"/>
      <c r="F55" s="488"/>
    </row>
    <row r="56" spans="1:6" s="497" customFormat="1" ht="15.75">
      <c r="A56" s="495"/>
      <c r="B56" s="505" t="s">
        <v>26</v>
      </c>
      <c r="C56" s="486" t="s">
        <v>37</v>
      </c>
      <c r="D56" s="26">
        <f>'B03'!G55</f>
        <v>7</v>
      </c>
      <c r="E56" s="498"/>
      <c r="F56" s="488"/>
    </row>
    <row r="57" spans="1:6" s="497" customFormat="1" ht="15.75">
      <c r="A57" s="495"/>
      <c r="B57" s="506" t="s">
        <v>27</v>
      </c>
      <c r="C57" s="507" t="s">
        <v>21</v>
      </c>
      <c r="D57" s="25">
        <f>'B03'!G56</f>
        <v>110</v>
      </c>
      <c r="E57" s="508"/>
      <c r="F57" s="488"/>
    </row>
    <row r="58" spans="1:6" ht="15.75">
      <c r="A58" s="486"/>
      <c r="B58" s="505" t="s">
        <v>28</v>
      </c>
      <c r="C58" s="509" t="s">
        <v>76</v>
      </c>
      <c r="D58" s="26">
        <f>'B03'!G57</f>
        <v>81</v>
      </c>
      <c r="E58" s="498"/>
      <c r="F58" s="488"/>
    </row>
    <row r="59" spans="1:6" ht="15.75">
      <c r="A59" s="486"/>
      <c r="B59" s="40" t="s">
        <v>318</v>
      </c>
      <c r="C59" s="21"/>
      <c r="D59" s="26">
        <f>'B03'!G58</f>
        <v>0</v>
      </c>
      <c r="E59" s="498"/>
      <c r="F59" s="488"/>
    </row>
    <row r="60" spans="1:6" ht="15.75">
      <c r="A60" s="486"/>
      <c r="B60" s="510" t="s">
        <v>178</v>
      </c>
      <c r="C60" s="41" t="s">
        <v>37</v>
      </c>
      <c r="D60" s="26">
        <f>'B03'!G59</f>
        <v>2</v>
      </c>
      <c r="E60" s="498"/>
      <c r="F60" s="488"/>
    </row>
    <row r="61" spans="1:6" ht="15.75">
      <c r="A61" s="486"/>
      <c r="B61" s="510" t="s">
        <v>179</v>
      </c>
      <c r="C61" s="41" t="s">
        <v>21</v>
      </c>
      <c r="D61" s="25">
        <f>'B03'!G60</f>
        <v>130</v>
      </c>
      <c r="E61" s="498"/>
      <c r="F61" s="488"/>
    </row>
    <row r="62" spans="1:6" ht="15.75">
      <c r="A62" s="486"/>
      <c r="B62" s="510" t="s">
        <v>180</v>
      </c>
      <c r="C62" s="41" t="s">
        <v>76</v>
      </c>
      <c r="D62" s="26">
        <f>'B03'!G61</f>
        <v>26</v>
      </c>
      <c r="E62" s="498"/>
      <c r="F62" s="488"/>
    </row>
    <row r="63" spans="1:6" ht="15.75">
      <c r="A63" s="486"/>
      <c r="B63" s="511" t="s">
        <v>319</v>
      </c>
      <c r="C63" s="21"/>
      <c r="D63" s="26">
        <f>'B03'!G62</f>
        <v>0</v>
      </c>
      <c r="E63" s="498"/>
      <c r="F63" s="488"/>
    </row>
    <row r="64" spans="1:6" ht="15.75">
      <c r="A64" s="486"/>
      <c r="B64" s="510" t="s">
        <v>178</v>
      </c>
      <c r="C64" s="41" t="s">
        <v>37</v>
      </c>
      <c r="D64" s="26">
        <f>'B03'!G63</f>
        <v>5</v>
      </c>
      <c r="E64" s="498"/>
      <c r="F64" s="488"/>
    </row>
    <row r="65" spans="1:6" ht="15.75">
      <c r="A65" s="486"/>
      <c r="B65" s="510" t="s">
        <v>179</v>
      </c>
      <c r="C65" s="41" t="s">
        <v>21</v>
      </c>
      <c r="D65" s="25">
        <f>'B03'!G64</f>
        <v>110</v>
      </c>
      <c r="E65" s="498"/>
      <c r="F65" s="488"/>
    </row>
    <row r="66" spans="1:6" ht="15.75">
      <c r="A66" s="486"/>
      <c r="B66" s="510" t="s">
        <v>180</v>
      </c>
      <c r="C66" s="41" t="s">
        <v>76</v>
      </c>
      <c r="D66" s="26">
        <f>'B03'!G65</f>
        <v>55</v>
      </c>
      <c r="E66" s="498"/>
      <c r="F66" s="488"/>
    </row>
    <row r="67" spans="1:6" s="483" customFormat="1" ht="19.5" customHeight="1">
      <c r="A67" s="491" t="s">
        <v>39</v>
      </c>
      <c r="B67" s="83" t="s">
        <v>247</v>
      </c>
      <c r="C67" s="491"/>
      <c r="D67" s="459">
        <f>'B03'!G66</f>
        <v>897.7</v>
      </c>
      <c r="E67" s="457"/>
      <c r="F67" s="488"/>
    </row>
    <row r="68" spans="1:6" s="489" customFormat="1" ht="15.75">
      <c r="A68" s="484">
        <v>1</v>
      </c>
      <c r="B68" s="305" t="s">
        <v>248</v>
      </c>
      <c r="C68" s="484" t="s">
        <v>37</v>
      </c>
      <c r="D68" s="459">
        <f>'B03'!G67</f>
        <v>775.7</v>
      </c>
      <c r="E68" s="512"/>
      <c r="F68" s="488"/>
    </row>
    <row r="69" spans="1:6" ht="17.25" customHeight="1">
      <c r="A69" s="486" t="s">
        <v>34</v>
      </c>
      <c r="B69" s="3" t="s">
        <v>249</v>
      </c>
      <c r="C69" s="486" t="s">
        <v>37</v>
      </c>
      <c r="D69" s="26">
        <f>'B03'!G68</f>
        <v>208</v>
      </c>
      <c r="E69" s="456"/>
      <c r="F69" s="488"/>
    </row>
    <row r="70" spans="1:6" ht="17.25" hidden="1" customHeight="1">
      <c r="A70" s="513"/>
      <c r="B70" s="514" t="s">
        <v>361</v>
      </c>
      <c r="C70" s="486" t="s">
        <v>37</v>
      </c>
      <c r="D70" s="26">
        <f>'B03'!G69</f>
        <v>163</v>
      </c>
      <c r="E70" s="515"/>
      <c r="F70" s="488"/>
    </row>
    <row r="71" spans="1:6" ht="17.25" hidden="1" customHeight="1">
      <c r="A71" s="513"/>
      <c r="B71" s="514"/>
      <c r="C71" s="486"/>
      <c r="D71" s="26">
        <f>'B03'!G70</f>
        <v>40</v>
      </c>
      <c r="E71" s="515"/>
      <c r="F71" s="488"/>
    </row>
    <row r="72" spans="1:6" ht="15.75">
      <c r="A72" s="495"/>
      <c r="B72" s="84" t="s">
        <v>250</v>
      </c>
      <c r="C72" s="495" t="s">
        <v>37</v>
      </c>
      <c r="D72" s="26">
        <f>'B03'!G72</f>
        <v>5</v>
      </c>
      <c r="E72" s="456"/>
      <c r="F72" s="488"/>
    </row>
    <row r="73" spans="1:6" ht="18" customHeight="1">
      <c r="A73" s="486"/>
      <c r="B73" s="3" t="s">
        <v>251</v>
      </c>
      <c r="C73" s="486" t="s">
        <v>37</v>
      </c>
      <c r="D73" s="26">
        <f>'B03'!G73</f>
        <v>144</v>
      </c>
      <c r="E73" s="456"/>
      <c r="F73" s="488"/>
    </row>
    <row r="74" spans="1:6" ht="18" hidden="1" customHeight="1">
      <c r="A74" s="513"/>
      <c r="B74" s="514" t="s">
        <v>362</v>
      </c>
      <c r="C74" s="513" t="s">
        <v>37</v>
      </c>
      <c r="D74" s="26" t="e">
        <f>'B03'!#REF!</f>
        <v>#REF!</v>
      </c>
      <c r="E74" s="515"/>
      <c r="F74" s="488"/>
    </row>
    <row r="75" spans="1:6" ht="18" hidden="1" customHeight="1">
      <c r="A75" s="513"/>
      <c r="B75" s="514" t="s">
        <v>363</v>
      </c>
      <c r="C75" s="513" t="s">
        <v>37</v>
      </c>
      <c r="D75" s="26" t="e">
        <f>'B03'!#REF!</f>
        <v>#REF!</v>
      </c>
      <c r="E75" s="515"/>
      <c r="F75" s="488"/>
    </row>
    <row r="76" spans="1:6" ht="18" hidden="1" customHeight="1">
      <c r="A76" s="513"/>
      <c r="B76" s="514" t="s">
        <v>364</v>
      </c>
      <c r="C76" s="513" t="s">
        <v>37</v>
      </c>
      <c r="D76" s="26" t="e">
        <f>'B03'!#REF!</f>
        <v>#REF!</v>
      </c>
      <c r="E76" s="515"/>
      <c r="F76" s="488"/>
    </row>
    <row r="77" spans="1:6" s="497" customFormat="1" ht="15.75">
      <c r="A77" s="495"/>
      <c r="B77" s="84" t="s">
        <v>252</v>
      </c>
      <c r="C77" s="495" t="s">
        <v>236</v>
      </c>
      <c r="D77" s="25">
        <f>'B03'!G74</f>
        <v>32</v>
      </c>
      <c r="E77" s="516"/>
      <c r="F77" s="488"/>
    </row>
    <row r="78" spans="1:6" ht="15.75">
      <c r="A78" s="486"/>
      <c r="B78" s="3" t="s">
        <v>301</v>
      </c>
      <c r="C78" s="486" t="s">
        <v>230</v>
      </c>
      <c r="D78" s="26">
        <f>'B03'!G75</f>
        <v>460.8</v>
      </c>
      <c r="E78" s="498"/>
      <c r="F78" s="488"/>
    </row>
    <row r="79" spans="1:6" ht="15.75">
      <c r="A79" s="486" t="s">
        <v>35</v>
      </c>
      <c r="B79" s="3" t="s">
        <v>253</v>
      </c>
      <c r="C79" s="486" t="s">
        <v>37</v>
      </c>
      <c r="D79" s="26">
        <f>'B03'!G76</f>
        <v>567.70000000000005</v>
      </c>
      <c r="E79" s="498"/>
      <c r="F79" s="488"/>
    </row>
    <row r="80" spans="1:6" s="497" customFormat="1" ht="15.75">
      <c r="A80" s="495"/>
      <c r="B80" s="84" t="s">
        <v>292</v>
      </c>
      <c r="C80" s="495" t="s">
        <v>37</v>
      </c>
      <c r="D80" s="26">
        <f>'B03'!G77</f>
        <v>0</v>
      </c>
      <c r="E80" s="496"/>
      <c r="F80" s="488"/>
    </row>
    <row r="81" spans="1:6" ht="15.75">
      <c r="A81" s="486"/>
      <c r="B81" s="3" t="s">
        <v>251</v>
      </c>
      <c r="C81" s="486" t="s">
        <v>37</v>
      </c>
      <c r="D81" s="26">
        <f>'B03'!G78</f>
        <v>530</v>
      </c>
      <c r="E81" s="456"/>
      <c r="F81" s="488"/>
    </row>
    <row r="82" spans="1:6" s="517" customFormat="1" ht="15.75" hidden="1">
      <c r="A82" s="513"/>
      <c r="B82" s="514" t="s">
        <v>362</v>
      </c>
      <c r="C82" s="513" t="s">
        <v>37</v>
      </c>
      <c r="D82" s="26" t="e">
        <f>'B03'!#REF!</f>
        <v>#REF!</v>
      </c>
      <c r="E82" s="515"/>
      <c r="F82" s="488"/>
    </row>
    <row r="83" spans="1:6" ht="15.75" hidden="1">
      <c r="A83" s="486"/>
      <c r="B83" s="518" t="s">
        <v>365</v>
      </c>
      <c r="C83" s="513" t="s">
        <v>37</v>
      </c>
      <c r="D83" s="26" t="e">
        <f>'B03'!#REF!</f>
        <v>#REF!</v>
      </c>
      <c r="E83" s="456"/>
      <c r="F83" s="488"/>
    </row>
    <row r="84" spans="1:6" ht="15.75" hidden="1">
      <c r="A84" s="486"/>
      <c r="B84" s="518" t="s">
        <v>366</v>
      </c>
      <c r="C84" s="513" t="s">
        <v>37</v>
      </c>
      <c r="D84" s="26" t="e">
        <f>'B03'!#REF!</f>
        <v>#REF!</v>
      </c>
      <c r="E84" s="456"/>
      <c r="F84" s="488"/>
    </row>
    <row r="85" spans="1:6" ht="15.75" hidden="1">
      <c r="A85" s="486"/>
      <c r="B85" s="518" t="s">
        <v>367</v>
      </c>
      <c r="C85" s="513" t="s">
        <v>37</v>
      </c>
      <c r="D85" s="26" t="e">
        <f>'B03'!#REF!</f>
        <v>#REF!</v>
      </c>
      <c r="E85" s="456"/>
      <c r="F85" s="488"/>
    </row>
    <row r="86" spans="1:6" ht="15.75" hidden="1">
      <c r="A86" s="486"/>
      <c r="B86" s="514" t="s">
        <v>368</v>
      </c>
      <c r="C86" s="519"/>
      <c r="D86" s="26" t="e">
        <f>'B03'!#REF!</f>
        <v>#REF!</v>
      </c>
      <c r="E86" s="456"/>
      <c r="F86" s="488"/>
    </row>
    <row r="87" spans="1:6" ht="15.75" hidden="1">
      <c r="A87" s="486"/>
      <c r="B87" s="514"/>
      <c r="C87" s="519"/>
      <c r="D87" s="26" t="e">
        <f>'B03'!#REF!</f>
        <v>#REF!</v>
      </c>
      <c r="E87" s="456"/>
      <c r="F87" s="488"/>
    </row>
    <row r="88" spans="1:6" s="497" customFormat="1" ht="15.75">
      <c r="A88" s="495"/>
      <c r="B88" s="84" t="s">
        <v>252</v>
      </c>
      <c r="C88" s="495" t="s">
        <v>236</v>
      </c>
      <c r="D88" s="25">
        <f>'B03'!G79</f>
        <v>12.5</v>
      </c>
      <c r="E88" s="520"/>
      <c r="F88" s="488"/>
    </row>
    <row r="89" spans="1:6" ht="15.75" customHeight="1">
      <c r="A89" s="486"/>
      <c r="B89" s="3" t="s">
        <v>301</v>
      </c>
      <c r="C89" s="486" t="s">
        <v>230</v>
      </c>
      <c r="D89" s="26">
        <f>'B03'!G80</f>
        <v>662.5</v>
      </c>
      <c r="E89" s="521"/>
      <c r="F89" s="488"/>
    </row>
    <row r="90" spans="1:6" ht="15.75">
      <c r="A90" s="486">
        <v>2</v>
      </c>
      <c r="B90" s="3" t="s">
        <v>254</v>
      </c>
      <c r="C90" s="486" t="s">
        <v>37</v>
      </c>
      <c r="D90" s="26">
        <f>'B03'!G81</f>
        <v>122</v>
      </c>
      <c r="E90" s="498"/>
      <c r="F90" s="488"/>
    </row>
    <row r="91" spans="1:6" ht="15.75">
      <c r="A91" s="486"/>
      <c r="B91" s="84" t="s">
        <v>255</v>
      </c>
      <c r="C91" s="495" t="s">
        <v>37</v>
      </c>
      <c r="D91" s="26">
        <f>'B03'!G82</f>
        <v>0</v>
      </c>
      <c r="E91" s="498"/>
      <c r="F91" s="488"/>
    </row>
    <row r="92" spans="1:6" ht="19.5" hidden="1" customHeight="1">
      <c r="A92" s="513"/>
      <c r="B92" s="522" t="s">
        <v>369</v>
      </c>
      <c r="C92" s="523" t="s">
        <v>37</v>
      </c>
      <c r="D92" s="459" t="e">
        <f>'B03'!#REF!</f>
        <v>#REF!</v>
      </c>
      <c r="E92" s="498"/>
      <c r="F92" s="488"/>
    </row>
    <row r="93" spans="1:6" ht="19.5" hidden="1" customHeight="1">
      <c r="A93" s="513"/>
      <c r="B93" s="522" t="s">
        <v>370</v>
      </c>
      <c r="C93" s="523" t="s">
        <v>37</v>
      </c>
      <c r="D93" s="459" t="e">
        <f>'B03'!#REF!</f>
        <v>#REF!</v>
      </c>
      <c r="E93" s="498"/>
      <c r="F93" s="488"/>
    </row>
    <row r="94" spans="1:6" ht="19.5" hidden="1" customHeight="1">
      <c r="A94" s="513"/>
      <c r="B94" s="522" t="s">
        <v>361</v>
      </c>
      <c r="C94" s="523" t="s">
        <v>37</v>
      </c>
      <c r="D94" s="459" t="e">
        <f>'B03'!#REF!</f>
        <v>#REF!</v>
      </c>
      <c r="E94" s="498"/>
      <c r="F94" s="488"/>
    </row>
    <row r="95" spans="1:6" s="483" customFormat="1" ht="15.75">
      <c r="A95" s="524" t="s">
        <v>43</v>
      </c>
      <c r="B95" s="83" t="s">
        <v>256</v>
      </c>
      <c r="C95" s="491"/>
      <c r="D95" s="459">
        <f>'B03'!G83</f>
        <v>0</v>
      </c>
      <c r="E95" s="498"/>
      <c r="F95" s="488"/>
    </row>
    <row r="96" spans="1:6" ht="15.75">
      <c r="A96" s="486">
        <v>1</v>
      </c>
      <c r="B96" s="3" t="s">
        <v>257</v>
      </c>
      <c r="C96" s="486" t="s">
        <v>54</v>
      </c>
      <c r="D96" s="26">
        <f>'B03'!G84</f>
        <v>0</v>
      </c>
      <c r="E96" s="498"/>
      <c r="F96" s="488"/>
    </row>
    <row r="97" spans="1:6" s="517" customFormat="1" ht="15.75" hidden="1">
      <c r="A97" s="513"/>
      <c r="B97" s="514" t="s">
        <v>371</v>
      </c>
      <c r="C97" s="513"/>
      <c r="D97" s="26" t="e">
        <f>'B03'!#REF!</f>
        <v>#REF!</v>
      </c>
      <c r="E97" s="525"/>
      <c r="F97" s="488"/>
    </row>
    <row r="98" spans="1:6" ht="15.75">
      <c r="A98" s="486">
        <v>2</v>
      </c>
      <c r="B98" s="3" t="s">
        <v>258</v>
      </c>
      <c r="C98" s="486" t="s">
        <v>54</v>
      </c>
      <c r="D98" s="26">
        <f>'B03'!G85</f>
        <v>370</v>
      </c>
      <c r="E98" s="498"/>
      <c r="F98" s="488"/>
    </row>
    <row r="99" spans="1:6" s="517" customFormat="1" ht="15.75" hidden="1">
      <c r="A99" s="513"/>
      <c r="B99" s="514" t="s">
        <v>372</v>
      </c>
      <c r="C99" s="513"/>
      <c r="D99" s="26" t="e">
        <f>'B03'!#REF!</f>
        <v>#REF!</v>
      </c>
      <c r="E99" s="525"/>
      <c r="F99" s="488"/>
    </row>
    <row r="100" spans="1:6" ht="15" customHeight="1">
      <c r="A100" s="486">
        <v>3</v>
      </c>
      <c r="B100" s="3" t="s">
        <v>259</v>
      </c>
      <c r="C100" s="486" t="s">
        <v>54</v>
      </c>
      <c r="D100" s="26">
        <f>'B03'!G86</f>
        <v>200</v>
      </c>
      <c r="E100" s="498"/>
      <c r="F100" s="488"/>
    </row>
    <row r="101" spans="1:6" s="517" customFormat="1" ht="15" hidden="1" customHeight="1">
      <c r="A101" s="513"/>
      <c r="B101" s="514" t="s">
        <v>373</v>
      </c>
      <c r="C101" s="513"/>
      <c r="D101" s="26" t="e">
        <f>'B03'!#REF!</f>
        <v>#REF!</v>
      </c>
      <c r="E101" s="525"/>
      <c r="F101" s="488"/>
    </row>
    <row r="102" spans="1:6" ht="15" customHeight="1">
      <c r="A102" s="486">
        <v>4</v>
      </c>
      <c r="B102" s="3" t="s">
        <v>260</v>
      </c>
      <c r="C102" s="486" t="s">
        <v>54</v>
      </c>
      <c r="D102" s="26">
        <f>'B03'!G87</f>
        <v>10000</v>
      </c>
      <c r="E102" s="498"/>
      <c r="F102" s="488"/>
    </row>
    <row r="103" spans="1:6" s="517" customFormat="1" ht="15" hidden="1" customHeight="1">
      <c r="A103" s="513"/>
      <c r="B103" s="514" t="s">
        <v>374</v>
      </c>
      <c r="C103" s="513"/>
      <c r="D103" s="459" t="e">
        <f>'B03'!#REF!</f>
        <v>#REF!</v>
      </c>
      <c r="E103" s="525"/>
      <c r="F103" s="488"/>
    </row>
    <row r="104" spans="1:6" s="483" customFormat="1" ht="15.75">
      <c r="A104" s="524" t="s">
        <v>176</v>
      </c>
      <c r="B104" s="83" t="s">
        <v>282</v>
      </c>
      <c r="C104" s="491"/>
      <c r="D104" s="459">
        <f>'B03'!G88</f>
        <v>0</v>
      </c>
      <c r="E104" s="498"/>
      <c r="F104" s="488"/>
    </row>
    <row r="105" spans="1:6" ht="15.75">
      <c r="A105" s="486">
        <v>1</v>
      </c>
      <c r="B105" s="3" t="s">
        <v>283</v>
      </c>
      <c r="C105" s="486" t="s">
        <v>37</v>
      </c>
      <c r="D105" s="25">
        <f>'B03'!G89</f>
        <v>8</v>
      </c>
      <c r="E105" s="498"/>
      <c r="F105" s="488"/>
    </row>
    <row r="106" spans="1:6" ht="6.75" customHeight="1">
      <c r="A106" s="526"/>
      <c r="B106" s="527"/>
      <c r="C106" s="526"/>
      <c r="D106" s="528"/>
      <c r="E106" s="527"/>
    </row>
    <row r="107" spans="1:6">
      <c r="D107" s="530"/>
    </row>
    <row r="109" spans="1:6">
      <c r="D109" s="530"/>
    </row>
    <row r="110" spans="1:6">
      <c r="D110" s="530"/>
    </row>
    <row r="136" spans="5:5" ht="15.75">
      <c r="E136" s="2"/>
    </row>
    <row r="159" spans="2:2" ht="15.75">
      <c r="B159" s="2"/>
    </row>
  </sheetData>
  <mergeCells count="9">
    <mergeCell ref="E6:E7"/>
    <mergeCell ref="A1:E1"/>
    <mergeCell ref="A2:E2"/>
    <mergeCell ref="A3:E3"/>
    <mergeCell ref="A4:E4"/>
    <mergeCell ref="A6:A7"/>
    <mergeCell ref="B6:B7"/>
    <mergeCell ref="C6:C7"/>
    <mergeCell ref="D6:D7"/>
  </mergeCells>
  <pageMargins left="0.70866141732283472" right="0.59055118110236227" top="0.59055118110236227" bottom="0.59055118110236227" header="0.31496062992125984" footer="0.31496062992125984"/>
  <pageSetup paperSize="9" orientation="portrait" cellComments="atEnd" r:id="rId1"/>
  <headerFooter>
    <oddFooter>&amp;C&amp;P/&amp;N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0000FF"/>
  </sheetPr>
  <dimension ref="A1:G159"/>
  <sheetViews>
    <sheetView zoomScale="85" zoomScaleNormal="85" zoomScaleSheetLayoutView="85" workbookViewId="0">
      <selection activeCell="B19" sqref="B19"/>
    </sheetView>
  </sheetViews>
  <sheetFormatPr defaultColWidth="9.140625" defaultRowHeight="15"/>
  <cols>
    <col min="1" max="1" width="5" style="529" customWidth="1"/>
    <col min="2" max="2" width="43.140625" style="474" customWidth="1"/>
    <col min="3" max="3" width="11.85546875" style="529" customWidth="1"/>
    <col min="4" max="4" width="13.5703125" style="474" customWidth="1"/>
    <col min="5" max="5" width="15.140625" style="474" customWidth="1"/>
    <col min="6" max="6" width="10.42578125" style="474" bestFit="1" customWidth="1"/>
    <col min="7" max="16384" width="9.140625" style="474"/>
  </cols>
  <sheetData>
    <row r="1" spans="1:7" ht="15.75">
      <c r="A1" s="845" t="s">
        <v>213</v>
      </c>
      <c r="B1" s="845"/>
      <c r="C1" s="845"/>
      <c r="D1" s="845"/>
      <c r="E1" s="845"/>
    </row>
    <row r="2" spans="1:7" s="475" customFormat="1" ht="23.25">
      <c r="A2" s="850" t="s">
        <v>845</v>
      </c>
      <c r="B2" s="850"/>
      <c r="C2" s="850"/>
      <c r="D2" s="850"/>
      <c r="E2" s="850"/>
    </row>
    <row r="3" spans="1:7" s="475" customFormat="1" ht="19.5" customHeight="1">
      <c r="A3" s="851" t="str">
        <f>'B01'!A3:E3</f>
        <v>(Kèm theo Quyết định số 569/QĐ-UBND, ngày 17/12/2018 của UBND huyện Đăk Tô)</v>
      </c>
      <c r="B3" s="851"/>
      <c r="C3" s="851"/>
      <c r="D3" s="851"/>
      <c r="E3" s="851"/>
    </row>
    <row r="4" spans="1:7" s="475" customFormat="1" ht="19.5" customHeight="1">
      <c r="A4" s="849" t="s">
        <v>304</v>
      </c>
      <c r="B4" s="849"/>
      <c r="C4" s="849"/>
      <c r="D4" s="849"/>
      <c r="E4" s="849"/>
    </row>
    <row r="5" spans="1:7">
      <c r="A5" s="476"/>
      <c r="B5" s="476"/>
      <c r="C5" s="474"/>
      <c r="D5" s="477"/>
    </row>
    <row r="6" spans="1:7" s="8" customFormat="1" ht="21.75" customHeight="1">
      <c r="A6" s="771" t="s">
        <v>55</v>
      </c>
      <c r="B6" s="772" t="s">
        <v>69</v>
      </c>
      <c r="C6" s="772" t="s">
        <v>18</v>
      </c>
      <c r="D6" s="766" t="s">
        <v>848</v>
      </c>
      <c r="E6" s="772" t="s">
        <v>75</v>
      </c>
    </row>
    <row r="7" spans="1:7" s="8" customFormat="1" ht="15.75">
      <c r="A7" s="771"/>
      <c r="B7" s="771"/>
      <c r="C7" s="771"/>
      <c r="D7" s="767"/>
      <c r="E7" s="771"/>
    </row>
    <row r="8" spans="1:7" s="483" customFormat="1" ht="19.5" customHeight="1">
      <c r="A8" s="478" t="s">
        <v>40</v>
      </c>
      <c r="B8" s="479" t="s">
        <v>225</v>
      </c>
      <c r="C8" s="480"/>
      <c r="D8" s="481"/>
      <c r="E8" s="482"/>
    </row>
    <row r="9" spans="1:7" s="489" customFormat="1" ht="15.75">
      <c r="A9" s="484" t="s">
        <v>38</v>
      </c>
      <c r="B9" s="485" t="s">
        <v>300</v>
      </c>
      <c r="C9" s="486" t="s">
        <v>37</v>
      </c>
      <c r="D9" s="459">
        <f>'B03'!H8</f>
        <v>883</v>
      </c>
      <c r="E9" s="487" t="s">
        <v>226</v>
      </c>
      <c r="F9" s="488"/>
      <c r="G9" s="488"/>
    </row>
    <row r="10" spans="1:7" s="490" customFormat="1" ht="15.75">
      <c r="A10" s="486">
        <v>1</v>
      </c>
      <c r="B10" s="83" t="s">
        <v>227</v>
      </c>
      <c r="C10" s="486"/>
      <c r="D10" s="459">
        <f>'B03'!H9</f>
        <v>0</v>
      </c>
      <c r="E10" s="456"/>
      <c r="F10" s="488"/>
    </row>
    <row r="11" spans="1:7" s="493" customFormat="1" ht="15.75">
      <c r="A11" s="491" t="s">
        <v>56</v>
      </c>
      <c r="B11" s="83" t="s">
        <v>228</v>
      </c>
      <c r="C11" s="491" t="s">
        <v>37</v>
      </c>
      <c r="D11" s="459">
        <f>'B03'!H10</f>
        <v>224</v>
      </c>
      <c r="E11" s="492"/>
      <c r="F11" s="488"/>
    </row>
    <row r="12" spans="1:7" s="494" customFormat="1" ht="15.75">
      <c r="A12" s="484" t="s">
        <v>56</v>
      </c>
      <c r="B12" s="83" t="s">
        <v>229</v>
      </c>
      <c r="C12" s="491" t="s">
        <v>230</v>
      </c>
      <c r="D12" s="459">
        <f>'B03'!H11</f>
        <v>1250.9000000000001</v>
      </c>
      <c r="E12" s="492"/>
      <c r="F12" s="488"/>
    </row>
    <row r="13" spans="1:7" s="497" customFormat="1" ht="15.75">
      <c r="A13" s="495"/>
      <c r="B13" s="3" t="s">
        <v>231</v>
      </c>
      <c r="C13" s="486" t="s">
        <v>230</v>
      </c>
      <c r="D13" s="26">
        <f>'B03'!H12</f>
        <v>1044</v>
      </c>
      <c r="E13" s="496"/>
      <c r="F13" s="488"/>
    </row>
    <row r="14" spans="1:7" s="494" customFormat="1" ht="15.75">
      <c r="A14" s="484"/>
      <c r="B14" s="3" t="s">
        <v>232</v>
      </c>
      <c r="C14" s="486" t="s">
        <v>230</v>
      </c>
      <c r="D14" s="26">
        <f>'B03'!H13</f>
        <v>206.9</v>
      </c>
      <c r="E14" s="457"/>
      <c r="F14" s="488"/>
    </row>
    <row r="15" spans="1:7" s="2" customFormat="1" ht="15.75">
      <c r="A15" s="486" t="s">
        <v>34</v>
      </c>
      <c r="B15" s="3" t="s">
        <v>233</v>
      </c>
      <c r="C15" s="486"/>
      <c r="D15" s="26">
        <f>'B03'!H14</f>
        <v>0</v>
      </c>
      <c r="E15" s="456"/>
      <c r="F15" s="488"/>
    </row>
    <row r="16" spans="1:7" s="497" customFormat="1" ht="15.75">
      <c r="A16" s="495"/>
      <c r="B16" s="3" t="s">
        <v>234</v>
      </c>
      <c r="C16" s="486" t="s">
        <v>37</v>
      </c>
      <c r="D16" s="26">
        <f>'B03'!H15</f>
        <v>185</v>
      </c>
      <c r="E16" s="498"/>
      <c r="F16" s="488"/>
    </row>
    <row r="17" spans="1:6" s="497" customFormat="1" ht="15.75">
      <c r="A17" s="495"/>
      <c r="B17" s="84" t="s">
        <v>235</v>
      </c>
      <c r="C17" s="495" t="s">
        <v>236</v>
      </c>
      <c r="D17" s="25">
        <f>'B03'!H16</f>
        <v>56.432432432432435</v>
      </c>
      <c r="E17" s="499"/>
      <c r="F17" s="488"/>
    </row>
    <row r="18" spans="1:6" ht="15.75">
      <c r="A18" s="486"/>
      <c r="B18" s="3" t="s">
        <v>293</v>
      </c>
      <c r="C18" s="486" t="s">
        <v>230</v>
      </c>
      <c r="D18" s="26">
        <f>'B03'!H17</f>
        <v>1044</v>
      </c>
      <c r="E18" s="498"/>
      <c r="F18" s="488"/>
    </row>
    <row r="19" spans="1:6" ht="15.75">
      <c r="A19" s="486"/>
      <c r="B19" s="3" t="s">
        <v>237</v>
      </c>
      <c r="C19" s="486"/>
      <c r="D19" s="26">
        <f>'B03'!H18</f>
        <v>0</v>
      </c>
      <c r="E19" s="500"/>
      <c r="F19" s="488"/>
    </row>
    <row r="20" spans="1:6" s="497" customFormat="1" ht="15.75">
      <c r="A20" s="495"/>
      <c r="B20" s="3" t="s">
        <v>291</v>
      </c>
      <c r="C20" s="486" t="s">
        <v>37</v>
      </c>
      <c r="D20" s="26">
        <f>'B03'!H19</f>
        <v>80</v>
      </c>
      <c r="E20" s="498"/>
      <c r="F20" s="488"/>
    </row>
    <row r="21" spans="1:6" s="497" customFormat="1" ht="15.75">
      <c r="A21" s="495"/>
      <c r="B21" s="84" t="s">
        <v>239</v>
      </c>
      <c r="C21" s="495" t="s">
        <v>236</v>
      </c>
      <c r="D21" s="25">
        <f>'B03'!H20</f>
        <v>57</v>
      </c>
      <c r="E21" s="499"/>
      <c r="F21" s="488"/>
    </row>
    <row r="22" spans="1:6" ht="15.75">
      <c r="A22" s="486"/>
      <c r="B22" s="3" t="s">
        <v>290</v>
      </c>
      <c r="C22" s="486" t="s">
        <v>230</v>
      </c>
      <c r="D22" s="26">
        <f>'B03'!H21</f>
        <v>456</v>
      </c>
      <c r="E22" s="498"/>
      <c r="F22" s="488"/>
    </row>
    <row r="23" spans="1:6" ht="15.75">
      <c r="A23" s="486"/>
      <c r="B23" s="3" t="s">
        <v>240</v>
      </c>
      <c r="C23" s="486"/>
      <c r="D23" s="26">
        <f>'B03'!H22</f>
        <v>0</v>
      </c>
      <c r="E23" s="500"/>
      <c r="F23" s="488"/>
    </row>
    <row r="24" spans="1:6" s="497" customFormat="1" ht="15.75">
      <c r="A24" s="495"/>
      <c r="B24" s="3" t="s">
        <v>291</v>
      </c>
      <c r="C24" s="486" t="s">
        <v>37</v>
      </c>
      <c r="D24" s="26">
        <f>'B03'!H23</f>
        <v>105</v>
      </c>
      <c r="E24" s="498"/>
      <c r="F24" s="488"/>
    </row>
    <row r="25" spans="1:6" s="497" customFormat="1" ht="15.75">
      <c r="A25" s="495"/>
      <c r="B25" s="84" t="s">
        <v>239</v>
      </c>
      <c r="C25" s="495" t="s">
        <v>236</v>
      </c>
      <c r="D25" s="25">
        <f>'B03'!H24</f>
        <v>56</v>
      </c>
      <c r="E25" s="499"/>
      <c r="F25" s="488"/>
    </row>
    <row r="26" spans="1:6" ht="15.75">
      <c r="A26" s="486"/>
      <c r="B26" s="3" t="s">
        <v>290</v>
      </c>
      <c r="C26" s="486" t="s">
        <v>230</v>
      </c>
      <c r="D26" s="26">
        <f>'B03'!H25</f>
        <v>588</v>
      </c>
      <c r="E26" s="498"/>
      <c r="F26" s="488"/>
    </row>
    <row r="27" spans="1:6" ht="15.75" customHeight="1">
      <c r="A27" s="486"/>
      <c r="B27" s="501" t="s">
        <v>241</v>
      </c>
      <c r="C27" s="486"/>
      <c r="D27" s="26">
        <f>'B03'!H26</f>
        <v>0</v>
      </c>
      <c r="E27" s="500"/>
      <c r="F27" s="488"/>
    </row>
    <row r="28" spans="1:6" s="497" customFormat="1" ht="15.75">
      <c r="A28" s="495"/>
      <c r="B28" s="3" t="s">
        <v>291</v>
      </c>
      <c r="C28" s="486" t="s">
        <v>37</v>
      </c>
      <c r="D28" s="26">
        <f>'B03'!H27</f>
        <v>105</v>
      </c>
      <c r="E28" s="498"/>
      <c r="F28" s="488"/>
    </row>
    <row r="29" spans="1:6" s="497" customFormat="1" ht="15.75">
      <c r="A29" s="495"/>
      <c r="B29" s="84" t="s">
        <v>239</v>
      </c>
      <c r="C29" s="495" t="s">
        <v>236</v>
      </c>
      <c r="D29" s="25">
        <f>'B03'!H28</f>
        <v>56</v>
      </c>
      <c r="E29" s="499"/>
      <c r="F29" s="488"/>
    </row>
    <row r="30" spans="1:6" ht="15.75">
      <c r="A30" s="486"/>
      <c r="B30" s="3" t="s">
        <v>290</v>
      </c>
      <c r="C30" s="486" t="s">
        <v>230</v>
      </c>
      <c r="D30" s="26">
        <f>'B03'!H29</f>
        <v>588</v>
      </c>
      <c r="E30" s="498"/>
      <c r="F30" s="488"/>
    </row>
    <row r="31" spans="1:6" ht="15.75">
      <c r="A31" s="486"/>
      <c r="B31" s="3" t="s">
        <v>242</v>
      </c>
      <c r="C31" s="486"/>
      <c r="D31" s="26">
        <f>'B03'!H30</f>
        <v>0</v>
      </c>
      <c r="E31" s="500"/>
      <c r="F31" s="488"/>
    </row>
    <row r="32" spans="1:6" s="497" customFormat="1" ht="15.75">
      <c r="A32" s="495"/>
      <c r="B32" s="3" t="s">
        <v>291</v>
      </c>
      <c r="C32" s="486" t="s">
        <v>37</v>
      </c>
      <c r="D32" s="26">
        <f>'B03'!H31</f>
        <v>0</v>
      </c>
      <c r="E32" s="498"/>
      <c r="F32" s="488"/>
    </row>
    <row r="33" spans="1:6" ht="15.75">
      <c r="A33" s="486"/>
      <c r="B33" s="84" t="s">
        <v>239</v>
      </c>
      <c r="C33" s="495" t="s">
        <v>236</v>
      </c>
      <c r="D33" s="25">
        <f>'B03'!H32</f>
        <v>0</v>
      </c>
      <c r="E33" s="502"/>
      <c r="F33" s="488"/>
    </row>
    <row r="34" spans="1:6" ht="15.75">
      <c r="A34" s="486"/>
      <c r="B34" s="3" t="s">
        <v>290</v>
      </c>
      <c r="C34" s="486" t="s">
        <v>230</v>
      </c>
      <c r="D34" s="26">
        <f>'B03'!H33</f>
        <v>0</v>
      </c>
      <c r="E34" s="498"/>
      <c r="F34" s="488"/>
    </row>
    <row r="35" spans="1:6" s="2" customFormat="1" ht="15.75">
      <c r="A35" s="486" t="s">
        <v>35</v>
      </c>
      <c r="B35" s="3" t="s">
        <v>243</v>
      </c>
      <c r="C35" s="486"/>
      <c r="D35" s="26">
        <f>'B03'!H34</f>
        <v>0</v>
      </c>
      <c r="E35" s="500"/>
      <c r="F35" s="488"/>
    </row>
    <row r="36" spans="1:6" s="497" customFormat="1" ht="15.75">
      <c r="A36" s="495"/>
      <c r="B36" s="503" t="s">
        <v>234</v>
      </c>
      <c r="C36" s="486" t="s">
        <v>37</v>
      </c>
      <c r="D36" s="26">
        <f>'B03'!H35</f>
        <v>39</v>
      </c>
      <c r="E36" s="498"/>
      <c r="F36" s="488"/>
    </row>
    <row r="37" spans="1:6" ht="15.75">
      <c r="A37" s="486"/>
      <c r="B37" s="504" t="s">
        <v>235</v>
      </c>
      <c r="C37" s="495" t="s">
        <v>236</v>
      </c>
      <c r="D37" s="25">
        <f>'B03'!H36</f>
        <v>53.051282051282051</v>
      </c>
      <c r="E37" s="502"/>
      <c r="F37" s="488"/>
    </row>
    <row r="38" spans="1:6" ht="15.75">
      <c r="A38" s="486"/>
      <c r="B38" s="503" t="s">
        <v>293</v>
      </c>
      <c r="C38" s="486" t="s">
        <v>230</v>
      </c>
      <c r="D38" s="26">
        <f>'B03'!H37</f>
        <v>206.9</v>
      </c>
      <c r="E38" s="498"/>
      <c r="F38" s="488"/>
    </row>
    <row r="39" spans="1:6" ht="15.75">
      <c r="A39" s="486"/>
      <c r="B39" s="3" t="s">
        <v>244</v>
      </c>
      <c r="C39" s="486"/>
      <c r="D39" s="26">
        <f>'B03'!H38</f>
        <v>0</v>
      </c>
      <c r="E39" s="500"/>
      <c r="F39" s="488"/>
    </row>
    <row r="40" spans="1:6" s="497" customFormat="1" ht="15.75">
      <c r="A40" s="495"/>
      <c r="B40" s="503" t="s">
        <v>238</v>
      </c>
      <c r="C40" s="486" t="s">
        <v>37</v>
      </c>
      <c r="D40" s="26">
        <f>'B03'!H39</f>
        <v>22</v>
      </c>
      <c r="E40" s="498"/>
      <c r="F40" s="488"/>
    </row>
    <row r="41" spans="1:6" ht="15.75">
      <c r="A41" s="486"/>
      <c r="B41" s="504" t="s">
        <v>239</v>
      </c>
      <c r="C41" s="495" t="s">
        <v>236</v>
      </c>
      <c r="D41" s="25">
        <f>'B03'!H40</f>
        <v>50</v>
      </c>
      <c r="E41" s="502"/>
      <c r="F41" s="488"/>
    </row>
    <row r="42" spans="1:6" ht="15.75">
      <c r="A42" s="486"/>
      <c r="B42" s="3" t="s">
        <v>290</v>
      </c>
      <c r="C42" s="486" t="s">
        <v>230</v>
      </c>
      <c r="D42" s="26">
        <f>'B03'!H41</f>
        <v>110</v>
      </c>
      <c r="E42" s="498"/>
      <c r="F42" s="488"/>
    </row>
    <row r="43" spans="1:6" ht="15.75">
      <c r="A43" s="486"/>
      <c r="B43" s="3" t="s">
        <v>245</v>
      </c>
      <c r="C43" s="486"/>
      <c r="D43" s="26">
        <f>'B03'!H42</f>
        <v>0</v>
      </c>
      <c r="E43" s="500"/>
      <c r="F43" s="488"/>
    </row>
    <row r="44" spans="1:6" s="497" customFormat="1" ht="15.75">
      <c r="A44" s="495"/>
      <c r="B44" s="503" t="s">
        <v>238</v>
      </c>
      <c r="C44" s="486" t="s">
        <v>37</v>
      </c>
      <c r="D44" s="26">
        <f>'B03'!H43</f>
        <v>17</v>
      </c>
      <c r="E44" s="498"/>
      <c r="F44" s="488"/>
    </row>
    <row r="45" spans="1:6" s="497" customFormat="1" ht="15.75">
      <c r="A45" s="495"/>
      <c r="B45" s="504" t="s">
        <v>239</v>
      </c>
      <c r="C45" s="495" t="s">
        <v>236</v>
      </c>
      <c r="D45" s="25">
        <f>'B03'!H44</f>
        <v>57</v>
      </c>
      <c r="E45" s="499"/>
      <c r="F45" s="488"/>
    </row>
    <row r="46" spans="1:6" ht="15.75">
      <c r="A46" s="486"/>
      <c r="B46" s="3" t="s">
        <v>290</v>
      </c>
      <c r="C46" s="486" t="s">
        <v>230</v>
      </c>
      <c r="D46" s="26">
        <f>'B03'!H45</f>
        <v>96.9</v>
      </c>
      <c r="E46" s="498"/>
      <c r="F46" s="488"/>
    </row>
    <row r="47" spans="1:6" ht="15.75">
      <c r="A47" s="486">
        <v>2</v>
      </c>
      <c r="B47" s="3" t="s">
        <v>246</v>
      </c>
      <c r="C47" s="486"/>
      <c r="D47" s="26">
        <f>'B03'!H46</f>
        <v>0</v>
      </c>
      <c r="E47" s="498"/>
      <c r="F47" s="488"/>
    </row>
    <row r="48" spans="1:6" s="497" customFormat="1" ht="15.75" customHeight="1">
      <c r="A48" s="495"/>
      <c r="B48" s="503" t="s">
        <v>238</v>
      </c>
      <c r="C48" s="486" t="s">
        <v>37</v>
      </c>
      <c r="D48" s="26">
        <f>'B03'!H47</f>
        <v>580</v>
      </c>
      <c r="E48" s="498"/>
      <c r="F48" s="488"/>
    </row>
    <row r="49" spans="1:6" s="497" customFormat="1" ht="15.75">
      <c r="A49" s="495"/>
      <c r="B49" s="504" t="s">
        <v>239</v>
      </c>
      <c r="C49" s="495" t="s">
        <v>236</v>
      </c>
      <c r="D49" s="25">
        <f>'B03'!H48</f>
        <v>155</v>
      </c>
      <c r="E49" s="499"/>
      <c r="F49" s="488"/>
    </row>
    <row r="50" spans="1:6" ht="15.75">
      <c r="A50" s="486"/>
      <c r="B50" s="3" t="s">
        <v>290</v>
      </c>
      <c r="C50" s="486" t="s">
        <v>230</v>
      </c>
      <c r="D50" s="26">
        <f>'B03'!H49</f>
        <v>8990</v>
      </c>
      <c r="E50" s="498"/>
      <c r="F50" s="488"/>
    </row>
    <row r="51" spans="1:6" ht="15.75">
      <c r="A51" s="32">
        <v>3</v>
      </c>
      <c r="B51" s="35" t="s">
        <v>317</v>
      </c>
      <c r="C51" s="32" t="s">
        <v>37</v>
      </c>
      <c r="D51" s="26">
        <f>'B03'!H50</f>
        <v>10</v>
      </c>
      <c r="E51" s="498"/>
      <c r="F51" s="488"/>
    </row>
    <row r="52" spans="1:6" ht="15.75">
      <c r="A52" s="39"/>
      <c r="B52" s="35" t="s">
        <v>123</v>
      </c>
      <c r="C52" s="32" t="s">
        <v>37</v>
      </c>
      <c r="D52" s="26">
        <f>'B03'!H51</f>
        <v>0</v>
      </c>
      <c r="E52" s="498"/>
      <c r="F52" s="488"/>
    </row>
    <row r="53" spans="1:6" ht="15.75">
      <c r="A53" s="39"/>
      <c r="B53" s="37" t="s">
        <v>315</v>
      </c>
      <c r="C53" s="34" t="s">
        <v>21</v>
      </c>
      <c r="D53" s="25">
        <f>'B03'!H52</f>
        <v>580</v>
      </c>
      <c r="E53" s="498"/>
      <c r="F53" s="488"/>
    </row>
    <row r="54" spans="1:6" ht="15.75">
      <c r="A54" s="39"/>
      <c r="B54" s="37" t="s">
        <v>316</v>
      </c>
      <c r="C54" s="34" t="s">
        <v>76</v>
      </c>
      <c r="D54" s="26">
        <f>'B03'!H53</f>
        <v>580</v>
      </c>
      <c r="E54" s="498"/>
      <c r="F54" s="488"/>
    </row>
    <row r="55" spans="1:6" s="497" customFormat="1" ht="15.75">
      <c r="A55" s="495">
        <v>4</v>
      </c>
      <c r="B55" s="505" t="s">
        <v>136</v>
      </c>
      <c r="C55" s="486"/>
      <c r="D55" s="26">
        <f>'B03'!H54</f>
        <v>0</v>
      </c>
      <c r="E55" s="498"/>
      <c r="F55" s="488"/>
    </row>
    <row r="56" spans="1:6" s="497" customFormat="1" ht="15.75">
      <c r="A56" s="495"/>
      <c r="B56" s="505" t="s">
        <v>26</v>
      </c>
      <c r="C56" s="486" t="s">
        <v>37</v>
      </c>
      <c r="D56" s="26">
        <f>'B03'!H55</f>
        <v>69</v>
      </c>
      <c r="E56" s="498"/>
      <c r="F56" s="488"/>
    </row>
    <row r="57" spans="1:6" s="497" customFormat="1" ht="15.75">
      <c r="A57" s="495"/>
      <c r="B57" s="506" t="s">
        <v>27</v>
      </c>
      <c r="C57" s="507" t="s">
        <v>21</v>
      </c>
      <c r="D57" s="25">
        <f>'B03'!H56</f>
        <v>130</v>
      </c>
      <c r="E57" s="508"/>
      <c r="F57" s="488"/>
    </row>
    <row r="58" spans="1:6" ht="15.75">
      <c r="A58" s="486"/>
      <c r="B58" s="505" t="s">
        <v>28</v>
      </c>
      <c r="C58" s="509" t="s">
        <v>76</v>
      </c>
      <c r="D58" s="26">
        <f>'B03'!H57</f>
        <v>1006.5</v>
      </c>
      <c r="E58" s="498"/>
      <c r="F58" s="488"/>
    </row>
    <row r="59" spans="1:6" ht="15.75">
      <c r="A59" s="486"/>
      <c r="B59" s="40" t="s">
        <v>318</v>
      </c>
      <c r="C59" s="21"/>
      <c r="D59" s="26">
        <f>'B03'!H58</f>
        <v>0</v>
      </c>
      <c r="E59" s="498"/>
      <c r="F59" s="488"/>
    </row>
    <row r="60" spans="1:6" ht="15.75">
      <c r="A60" s="486"/>
      <c r="B60" s="510" t="s">
        <v>178</v>
      </c>
      <c r="C60" s="41" t="s">
        <v>37</v>
      </c>
      <c r="D60" s="26">
        <f>'B03'!H59</f>
        <v>32</v>
      </c>
      <c r="E60" s="498"/>
      <c r="F60" s="488"/>
    </row>
    <row r="61" spans="1:6" ht="15.75">
      <c r="A61" s="486"/>
      <c r="B61" s="510" t="s">
        <v>179</v>
      </c>
      <c r="C61" s="41" t="s">
        <v>21</v>
      </c>
      <c r="D61" s="25">
        <f>'B03'!H60</f>
        <v>170</v>
      </c>
      <c r="E61" s="498"/>
      <c r="F61" s="488"/>
    </row>
    <row r="62" spans="1:6" ht="15.75">
      <c r="A62" s="486"/>
      <c r="B62" s="510" t="s">
        <v>180</v>
      </c>
      <c r="C62" s="41" t="s">
        <v>76</v>
      </c>
      <c r="D62" s="26">
        <f>'B03'!H61</f>
        <v>544</v>
      </c>
      <c r="E62" s="498"/>
      <c r="F62" s="488"/>
    </row>
    <row r="63" spans="1:6" ht="15.75">
      <c r="A63" s="486"/>
      <c r="B63" s="511" t="s">
        <v>319</v>
      </c>
      <c r="C63" s="21"/>
      <c r="D63" s="26">
        <f>'B03'!H62</f>
        <v>0</v>
      </c>
      <c r="E63" s="498"/>
      <c r="F63" s="488"/>
    </row>
    <row r="64" spans="1:6" ht="15.75">
      <c r="A64" s="486"/>
      <c r="B64" s="510" t="s">
        <v>178</v>
      </c>
      <c r="C64" s="41" t="s">
        <v>37</v>
      </c>
      <c r="D64" s="26">
        <f>'B03'!H63</f>
        <v>37</v>
      </c>
      <c r="E64" s="498"/>
      <c r="F64" s="488"/>
    </row>
    <row r="65" spans="1:6" ht="15.75">
      <c r="A65" s="486"/>
      <c r="B65" s="510" t="s">
        <v>179</v>
      </c>
      <c r="C65" s="41" t="s">
        <v>21</v>
      </c>
      <c r="D65" s="25">
        <f>'B03'!H64</f>
        <v>125</v>
      </c>
      <c r="E65" s="498"/>
      <c r="F65" s="488"/>
    </row>
    <row r="66" spans="1:6" ht="15.75">
      <c r="A66" s="486"/>
      <c r="B66" s="510" t="s">
        <v>180</v>
      </c>
      <c r="C66" s="41" t="s">
        <v>76</v>
      </c>
      <c r="D66" s="26">
        <f>'B03'!H65</f>
        <v>462.5</v>
      </c>
      <c r="E66" s="498"/>
      <c r="F66" s="488"/>
    </row>
    <row r="67" spans="1:6" s="483" customFormat="1" ht="19.5" customHeight="1">
      <c r="A67" s="491" t="s">
        <v>39</v>
      </c>
      <c r="B67" s="83" t="s">
        <v>247</v>
      </c>
      <c r="C67" s="491"/>
      <c r="D67" s="459">
        <f>'B03'!H66</f>
        <v>1886</v>
      </c>
      <c r="E67" s="457"/>
      <c r="F67" s="488"/>
    </row>
    <row r="68" spans="1:6" s="489" customFormat="1" ht="15.75">
      <c r="A68" s="484">
        <v>1</v>
      </c>
      <c r="B68" s="305" t="s">
        <v>248</v>
      </c>
      <c r="C68" s="484" t="s">
        <v>37</v>
      </c>
      <c r="D68" s="459">
        <f>'B03'!H67</f>
        <v>1612</v>
      </c>
      <c r="E68" s="512"/>
      <c r="F68" s="488"/>
    </row>
    <row r="69" spans="1:6" ht="17.25" customHeight="1">
      <c r="A69" s="486" t="s">
        <v>34</v>
      </c>
      <c r="B69" s="3" t="s">
        <v>249</v>
      </c>
      <c r="C69" s="486" t="s">
        <v>37</v>
      </c>
      <c r="D69" s="26">
        <f>'B03'!H68</f>
        <v>289</v>
      </c>
      <c r="E69" s="456"/>
      <c r="F69" s="488"/>
    </row>
    <row r="70" spans="1:6" ht="17.25" hidden="1" customHeight="1">
      <c r="A70" s="513"/>
      <c r="B70" s="514" t="s">
        <v>361</v>
      </c>
      <c r="C70" s="486" t="s">
        <v>37</v>
      </c>
      <c r="D70" s="26">
        <f>'B03'!H69</f>
        <v>272.7</v>
      </c>
      <c r="E70" s="515"/>
      <c r="F70" s="488"/>
    </row>
    <row r="71" spans="1:6" ht="17.25" hidden="1" customHeight="1">
      <c r="A71" s="513"/>
      <c r="B71" s="514"/>
      <c r="C71" s="486"/>
      <c r="D71" s="26">
        <f>'B03'!H70</f>
        <v>16.3</v>
      </c>
      <c r="E71" s="515"/>
      <c r="F71" s="488"/>
    </row>
    <row r="72" spans="1:6" ht="15.75">
      <c r="A72" s="495"/>
      <c r="B72" s="84" t="s">
        <v>250</v>
      </c>
      <c r="C72" s="495" t="s">
        <v>37</v>
      </c>
      <c r="D72" s="26">
        <f>'B03'!H72</f>
        <v>0</v>
      </c>
      <c r="E72" s="456"/>
      <c r="F72" s="488"/>
    </row>
    <row r="73" spans="1:6" ht="18" customHeight="1">
      <c r="A73" s="486"/>
      <c r="B73" s="3" t="s">
        <v>251</v>
      </c>
      <c r="C73" s="486" t="s">
        <v>37</v>
      </c>
      <c r="D73" s="26">
        <f>'B03'!H73</f>
        <v>256</v>
      </c>
      <c r="E73" s="456"/>
      <c r="F73" s="488"/>
    </row>
    <row r="74" spans="1:6" ht="18" hidden="1" customHeight="1">
      <c r="A74" s="513"/>
      <c r="B74" s="514" t="s">
        <v>362</v>
      </c>
      <c r="C74" s="513" t="s">
        <v>37</v>
      </c>
      <c r="D74" s="26" t="e">
        <f>'B03'!#REF!</f>
        <v>#REF!</v>
      </c>
      <c r="E74" s="515"/>
      <c r="F74" s="488"/>
    </row>
    <row r="75" spans="1:6" ht="18" hidden="1" customHeight="1">
      <c r="A75" s="513"/>
      <c r="B75" s="514" t="s">
        <v>363</v>
      </c>
      <c r="C75" s="513" t="s">
        <v>37</v>
      </c>
      <c r="D75" s="26" t="e">
        <f>'B03'!#REF!</f>
        <v>#REF!</v>
      </c>
      <c r="E75" s="515"/>
      <c r="F75" s="488"/>
    </row>
    <row r="76" spans="1:6" ht="18" hidden="1" customHeight="1">
      <c r="A76" s="513"/>
      <c r="B76" s="514" t="s">
        <v>364</v>
      </c>
      <c r="C76" s="513" t="s">
        <v>37</v>
      </c>
      <c r="D76" s="26" t="e">
        <f>'B03'!#REF!</f>
        <v>#REF!</v>
      </c>
      <c r="E76" s="515"/>
      <c r="F76" s="488"/>
    </row>
    <row r="77" spans="1:6" s="497" customFormat="1" ht="15.75">
      <c r="A77" s="495"/>
      <c r="B77" s="84" t="s">
        <v>252</v>
      </c>
      <c r="C77" s="495" t="s">
        <v>236</v>
      </c>
      <c r="D77" s="25">
        <f>'B03'!H74</f>
        <v>36</v>
      </c>
      <c r="E77" s="516"/>
      <c r="F77" s="488"/>
    </row>
    <row r="78" spans="1:6" ht="15.75">
      <c r="A78" s="486"/>
      <c r="B78" s="3" t="s">
        <v>301</v>
      </c>
      <c r="C78" s="486" t="s">
        <v>230</v>
      </c>
      <c r="D78" s="26">
        <f>'B03'!H75</f>
        <v>921.6</v>
      </c>
      <c r="E78" s="498"/>
      <c r="F78" s="488"/>
    </row>
    <row r="79" spans="1:6" ht="15.75">
      <c r="A79" s="486" t="s">
        <v>35</v>
      </c>
      <c r="B79" s="3" t="s">
        <v>253</v>
      </c>
      <c r="C79" s="486" t="s">
        <v>37</v>
      </c>
      <c r="D79" s="26">
        <f>'B03'!H76</f>
        <v>1323</v>
      </c>
      <c r="E79" s="498"/>
      <c r="F79" s="488"/>
    </row>
    <row r="80" spans="1:6" s="497" customFormat="1" ht="15.75">
      <c r="A80" s="495"/>
      <c r="B80" s="84" t="s">
        <v>292</v>
      </c>
      <c r="C80" s="495" t="s">
        <v>37</v>
      </c>
      <c r="D80" s="26">
        <f>'B03'!H77</f>
        <v>0</v>
      </c>
      <c r="E80" s="496"/>
      <c r="F80" s="488"/>
    </row>
    <row r="81" spans="1:6" ht="15.75">
      <c r="A81" s="486"/>
      <c r="B81" s="3" t="s">
        <v>251</v>
      </c>
      <c r="C81" s="486" t="s">
        <v>37</v>
      </c>
      <c r="D81" s="26">
        <f>'B03'!H78</f>
        <v>960</v>
      </c>
      <c r="E81" s="456"/>
      <c r="F81" s="488"/>
    </row>
    <row r="82" spans="1:6" s="517" customFormat="1" ht="15.75" hidden="1">
      <c r="A82" s="513"/>
      <c r="B82" s="514" t="s">
        <v>362</v>
      </c>
      <c r="C82" s="513" t="s">
        <v>37</v>
      </c>
      <c r="D82" s="26" t="e">
        <f>'B03'!#REF!</f>
        <v>#REF!</v>
      </c>
      <c r="E82" s="515"/>
      <c r="F82" s="488"/>
    </row>
    <row r="83" spans="1:6" ht="15.75" hidden="1">
      <c r="A83" s="486"/>
      <c r="B83" s="518" t="s">
        <v>365</v>
      </c>
      <c r="C83" s="513" t="s">
        <v>37</v>
      </c>
      <c r="D83" s="26" t="e">
        <f>'B03'!#REF!</f>
        <v>#REF!</v>
      </c>
      <c r="E83" s="456"/>
      <c r="F83" s="488"/>
    </row>
    <row r="84" spans="1:6" ht="15.75" hidden="1">
      <c r="A84" s="486"/>
      <c r="B84" s="518" t="s">
        <v>366</v>
      </c>
      <c r="C84" s="513" t="s">
        <v>37</v>
      </c>
      <c r="D84" s="26" t="e">
        <f>'B03'!#REF!</f>
        <v>#REF!</v>
      </c>
      <c r="E84" s="456"/>
      <c r="F84" s="488"/>
    </row>
    <row r="85" spans="1:6" ht="15.75" hidden="1">
      <c r="A85" s="486"/>
      <c r="B85" s="518" t="s">
        <v>367</v>
      </c>
      <c r="C85" s="513" t="s">
        <v>37</v>
      </c>
      <c r="D85" s="26" t="e">
        <f>'B03'!#REF!</f>
        <v>#REF!</v>
      </c>
      <c r="E85" s="456"/>
      <c r="F85" s="488"/>
    </row>
    <row r="86" spans="1:6" ht="15.75" hidden="1">
      <c r="A86" s="486"/>
      <c r="B86" s="514" t="s">
        <v>368</v>
      </c>
      <c r="C86" s="519"/>
      <c r="D86" s="26" t="e">
        <f>'B03'!#REF!</f>
        <v>#REF!</v>
      </c>
      <c r="E86" s="456"/>
      <c r="F86" s="488"/>
    </row>
    <row r="87" spans="1:6" ht="15.75" hidden="1">
      <c r="A87" s="486"/>
      <c r="B87" s="514"/>
      <c r="C87" s="519"/>
      <c r="D87" s="26" t="e">
        <f>'B03'!#REF!</f>
        <v>#REF!</v>
      </c>
      <c r="E87" s="456"/>
      <c r="F87" s="488"/>
    </row>
    <row r="88" spans="1:6" s="497" customFormat="1" ht="15.75">
      <c r="A88" s="495"/>
      <c r="B88" s="84" t="s">
        <v>252</v>
      </c>
      <c r="C88" s="495" t="s">
        <v>236</v>
      </c>
      <c r="D88" s="25">
        <f>'B03'!H79</f>
        <v>12.5</v>
      </c>
      <c r="E88" s="520"/>
      <c r="F88" s="488"/>
    </row>
    <row r="89" spans="1:6" ht="15.75" customHeight="1">
      <c r="A89" s="486"/>
      <c r="B89" s="3" t="s">
        <v>301</v>
      </c>
      <c r="C89" s="486" t="s">
        <v>230</v>
      </c>
      <c r="D89" s="26">
        <f>'B03'!H80</f>
        <v>1200</v>
      </c>
      <c r="E89" s="521"/>
      <c r="F89" s="488"/>
    </row>
    <row r="90" spans="1:6" ht="15.75">
      <c r="A90" s="486">
        <v>2</v>
      </c>
      <c r="B90" s="3" t="s">
        <v>254</v>
      </c>
      <c r="C90" s="486" t="s">
        <v>37</v>
      </c>
      <c r="D90" s="26">
        <f>'B03'!H81</f>
        <v>274</v>
      </c>
      <c r="E90" s="498"/>
      <c r="F90" s="488"/>
    </row>
    <row r="91" spans="1:6" ht="15.75">
      <c r="A91" s="486"/>
      <c r="B91" s="84" t="s">
        <v>255</v>
      </c>
      <c r="C91" s="495" t="s">
        <v>37</v>
      </c>
      <c r="D91" s="26">
        <f>'B03'!H82</f>
        <v>0</v>
      </c>
      <c r="E91" s="498"/>
      <c r="F91" s="488"/>
    </row>
    <row r="92" spans="1:6" ht="19.5" hidden="1" customHeight="1">
      <c r="A92" s="513"/>
      <c r="B92" s="522" t="s">
        <v>369</v>
      </c>
      <c r="C92" s="523" t="s">
        <v>37</v>
      </c>
      <c r="D92" s="459" t="e">
        <f>'B03'!#REF!</f>
        <v>#REF!</v>
      </c>
      <c r="E92" s="498"/>
      <c r="F92" s="488"/>
    </row>
    <row r="93" spans="1:6" ht="19.5" hidden="1" customHeight="1">
      <c r="A93" s="513"/>
      <c r="B93" s="522" t="s">
        <v>370</v>
      </c>
      <c r="C93" s="523" t="s">
        <v>37</v>
      </c>
      <c r="D93" s="459" t="e">
        <f>'B03'!#REF!</f>
        <v>#REF!</v>
      </c>
      <c r="E93" s="498"/>
      <c r="F93" s="488"/>
    </row>
    <row r="94" spans="1:6" ht="19.5" hidden="1" customHeight="1">
      <c r="A94" s="513"/>
      <c r="B94" s="522" t="s">
        <v>361</v>
      </c>
      <c r="C94" s="523" t="s">
        <v>37</v>
      </c>
      <c r="D94" s="459" t="e">
        <f>'B03'!#REF!</f>
        <v>#REF!</v>
      </c>
      <c r="E94" s="498"/>
      <c r="F94" s="488"/>
    </row>
    <row r="95" spans="1:6" s="483" customFormat="1" ht="15.75">
      <c r="A95" s="524" t="s">
        <v>43</v>
      </c>
      <c r="B95" s="83" t="s">
        <v>256</v>
      </c>
      <c r="C95" s="491"/>
      <c r="D95" s="459">
        <f>'B03'!H83</f>
        <v>0</v>
      </c>
      <c r="E95" s="498"/>
      <c r="F95" s="488"/>
    </row>
    <row r="96" spans="1:6" ht="15.75">
      <c r="A96" s="486">
        <v>1</v>
      </c>
      <c r="B96" s="3" t="s">
        <v>257</v>
      </c>
      <c r="C96" s="486" t="s">
        <v>54</v>
      </c>
      <c r="D96" s="26">
        <f>'B03'!H84</f>
        <v>200</v>
      </c>
      <c r="E96" s="498"/>
      <c r="F96" s="488"/>
    </row>
    <row r="97" spans="1:6" s="517" customFormat="1" ht="15.75" hidden="1">
      <c r="A97" s="513"/>
      <c r="B97" s="514" t="s">
        <v>371</v>
      </c>
      <c r="C97" s="513"/>
      <c r="D97" s="26" t="e">
        <f>'B03'!#REF!</f>
        <v>#REF!</v>
      </c>
      <c r="E97" s="525"/>
      <c r="F97" s="488"/>
    </row>
    <row r="98" spans="1:6" ht="15.75">
      <c r="A98" s="486">
        <v>2</v>
      </c>
      <c r="B98" s="3" t="s">
        <v>258</v>
      </c>
      <c r="C98" s="486" t="s">
        <v>54</v>
      </c>
      <c r="D98" s="26">
        <f>'B03'!H85</f>
        <v>820</v>
      </c>
      <c r="E98" s="498"/>
      <c r="F98" s="488"/>
    </row>
    <row r="99" spans="1:6" s="517" customFormat="1" ht="15.75" hidden="1">
      <c r="A99" s="513"/>
      <c r="B99" s="514" t="s">
        <v>372</v>
      </c>
      <c r="C99" s="513"/>
      <c r="D99" s="26" t="e">
        <f>'B03'!#REF!</f>
        <v>#REF!</v>
      </c>
      <c r="E99" s="525"/>
      <c r="F99" s="488"/>
    </row>
    <row r="100" spans="1:6" ht="15" customHeight="1">
      <c r="A100" s="486">
        <v>3</v>
      </c>
      <c r="B100" s="3" t="s">
        <v>259</v>
      </c>
      <c r="C100" s="486" t="s">
        <v>54</v>
      </c>
      <c r="D100" s="26">
        <f>'B03'!H86</f>
        <v>3200</v>
      </c>
      <c r="E100" s="498"/>
      <c r="F100" s="488"/>
    </row>
    <row r="101" spans="1:6" s="517" customFormat="1" ht="15" hidden="1" customHeight="1">
      <c r="A101" s="513"/>
      <c r="B101" s="514" t="s">
        <v>373</v>
      </c>
      <c r="C101" s="513"/>
      <c r="D101" s="26" t="e">
        <f>'B03'!#REF!</f>
        <v>#REF!</v>
      </c>
      <c r="E101" s="525"/>
      <c r="F101" s="488"/>
    </row>
    <row r="102" spans="1:6" ht="15" customHeight="1">
      <c r="A102" s="486">
        <v>4</v>
      </c>
      <c r="B102" s="3" t="s">
        <v>260</v>
      </c>
      <c r="C102" s="486" t="s">
        <v>54</v>
      </c>
      <c r="D102" s="26">
        <f>'B03'!H87</f>
        <v>19000</v>
      </c>
      <c r="E102" s="498"/>
      <c r="F102" s="488"/>
    </row>
    <row r="103" spans="1:6" s="517" customFormat="1" ht="15" hidden="1" customHeight="1">
      <c r="A103" s="513"/>
      <c r="B103" s="514" t="s">
        <v>374</v>
      </c>
      <c r="C103" s="513"/>
      <c r="D103" s="459" t="e">
        <f>'B03'!#REF!</f>
        <v>#REF!</v>
      </c>
      <c r="E103" s="525"/>
      <c r="F103" s="488"/>
    </row>
    <row r="104" spans="1:6" s="483" customFormat="1" ht="15.75">
      <c r="A104" s="524" t="s">
        <v>176</v>
      </c>
      <c r="B104" s="83" t="s">
        <v>282</v>
      </c>
      <c r="C104" s="491"/>
      <c r="D104" s="459">
        <f>'B03'!H88</f>
        <v>0</v>
      </c>
      <c r="E104" s="498"/>
      <c r="F104" s="488"/>
    </row>
    <row r="105" spans="1:6" ht="15.75">
      <c r="A105" s="486">
        <v>1</v>
      </c>
      <c r="B105" s="3" t="s">
        <v>283</v>
      </c>
      <c r="C105" s="486" t="s">
        <v>37</v>
      </c>
      <c r="D105" s="25">
        <f>'B03'!H89</f>
        <v>9</v>
      </c>
      <c r="E105" s="498"/>
      <c r="F105" s="488"/>
    </row>
    <row r="106" spans="1:6" ht="6.75" customHeight="1">
      <c r="A106" s="526"/>
      <c r="B106" s="527"/>
      <c r="C106" s="526"/>
      <c r="D106" s="528"/>
      <c r="E106" s="527"/>
    </row>
    <row r="107" spans="1:6">
      <c r="D107" s="530"/>
    </row>
    <row r="109" spans="1:6">
      <c r="D109" s="530"/>
    </row>
    <row r="110" spans="1:6">
      <c r="D110" s="530"/>
    </row>
    <row r="136" spans="5:5" ht="15.75">
      <c r="E136" s="2"/>
    </row>
    <row r="159" spans="2:2" ht="15.75">
      <c r="B159" s="2"/>
    </row>
  </sheetData>
  <mergeCells count="9">
    <mergeCell ref="E6:E7"/>
    <mergeCell ref="A1:E1"/>
    <mergeCell ref="A2:E2"/>
    <mergeCell ref="A3:E3"/>
    <mergeCell ref="A4:E4"/>
    <mergeCell ref="A6:A7"/>
    <mergeCell ref="B6:B7"/>
    <mergeCell ref="C6:C7"/>
    <mergeCell ref="D6:D7"/>
  </mergeCells>
  <pageMargins left="0.70866141732283472" right="0.59055118110236227" top="0.59055118110236227" bottom="0.59055118110236227" header="0.31496062992125984" footer="0.31496062992125984"/>
  <pageSetup paperSize="9" orientation="portrait" cellComments="atEnd" r:id="rId1"/>
  <headerFooter>
    <oddFooter>&amp;C&amp;P/&amp;N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0000FF"/>
  </sheetPr>
  <dimension ref="A1:G159"/>
  <sheetViews>
    <sheetView zoomScale="85" zoomScaleNormal="85" workbookViewId="0">
      <selection activeCell="B19" sqref="B19"/>
    </sheetView>
  </sheetViews>
  <sheetFormatPr defaultColWidth="9.140625" defaultRowHeight="15"/>
  <cols>
    <col min="1" max="1" width="5" style="529" customWidth="1"/>
    <col min="2" max="2" width="43.140625" style="474" customWidth="1"/>
    <col min="3" max="3" width="11.85546875" style="529" customWidth="1"/>
    <col min="4" max="4" width="13.5703125" style="474" customWidth="1"/>
    <col min="5" max="5" width="15.140625" style="474" customWidth="1"/>
    <col min="6" max="6" width="10.42578125" style="474" bestFit="1" customWidth="1"/>
    <col min="7" max="16384" width="9.140625" style="474"/>
  </cols>
  <sheetData>
    <row r="1" spans="1:7" ht="15.75">
      <c r="A1" s="845" t="s">
        <v>213</v>
      </c>
      <c r="B1" s="845"/>
      <c r="C1" s="845"/>
      <c r="D1" s="845"/>
      <c r="E1" s="845"/>
    </row>
    <row r="2" spans="1:7" s="475" customFormat="1" ht="23.25">
      <c r="A2" s="850" t="s">
        <v>845</v>
      </c>
      <c r="B2" s="850"/>
      <c r="C2" s="850"/>
      <c r="D2" s="850"/>
      <c r="E2" s="850"/>
    </row>
    <row r="3" spans="1:7" s="475" customFormat="1" ht="19.5" customHeight="1">
      <c r="A3" s="851" t="str">
        <f>'B01'!A3:E3</f>
        <v>(Kèm theo Quyết định số 569/QĐ-UBND, ngày 17/12/2018 của UBND huyện Đăk Tô)</v>
      </c>
      <c r="B3" s="851"/>
      <c r="C3" s="851"/>
      <c r="D3" s="851"/>
      <c r="E3" s="851"/>
    </row>
    <row r="4" spans="1:7" s="475" customFormat="1" ht="19.5" customHeight="1">
      <c r="A4" s="849" t="s">
        <v>305</v>
      </c>
      <c r="B4" s="849"/>
      <c r="C4" s="849"/>
      <c r="D4" s="849"/>
      <c r="E4" s="849"/>
    </row>
    <row r="5" spans="1:7">
      <c r="A5" s="476"/>
      <c r="B5" s="476"/>
      <c r="C5" s="474"/>
      <c r="D5" s="477"/>
    </row>
    <row r="6" spans="1:7" s="8" customFormat="1" ht="21.75" customHeight="1">
      <c r="A6" s="771" t="s">
        <v>55</v>
      </c>
      <c r="B6" s="772" t="s">
        <v>69</v>
      </c>
      <c r="C6" s="772" t="s">
        <v>18</v>
      </c>
      <c r="D6" s="766" t="s">
        <v>848</v>
      </c>
      <c r="E6" s="772" t="s">
        <v>75</v>
      </c>
    </row>
    <row r="7" spans="1:7" s="8" customFormat="1" ht="15.75">
      <c r="A7" s="771"/>
      <c r="B7" s="771"/>
      <c r="C7" s="771"/>
      <c r="D7" s="767"/>
      <c r="E7" s="771"/>
    </row>
    <row r="8" spans="1:7" s="483" customFormat="1" ht="19.5" customHeight="1">
      <c r="A8" s="478" t="s">
        <v>40</v>
      </c>
      <c r="B8" s="479" t="s">
        <v>225</v>
      </c>
      <c r="C8" s="480"/>
      <c r="D8" s="481"/>
      <c r="E8" s="482"/>
    </row>
    <row r="9" spans="1:7" s="489" customFormat="1" ht="15.75">
      <c r="A9" s="484" t="s">
        <v>38</v>
      </c>
      <c r="B9" s="485" t="s">
        <v>300</v>
      </c>
      <c r="C9" s="486" t="s">
        <v>37</v>
      </c>
      <c r="D9" s="459">
        <f>'B03'!I8</f>
        <v>1076</v>
      </c>
      <c r="E9" s="487" t="s">
        <v>226</v>
      </c>
      <c r="F9" s="488"/>
      <c r="G9" s="488"/>
    </row>
    <row r="10" spans="1:7" s="490" customFormat="1" ht="15.75">
      <c r="A10" s="486">
        <v>1</v>
      </c>
      <c r="B10" s="83" t="s">
        <v>227</v>
      </c>
      <c r="C10" s="486"/>
      <c r="D10" s="459">
        <f>'B03'!I9</f>
        <v>0</v>
      </c>
      <c r="E10" s="456"/>
      <c r="F10" s="488"/>
    </row>
    <row r="11" spans="1:7" s="493" customFormat="1" ht="15.75">
      <c r="A11" s="491" t="s">
        <v>56</v>
      </c>
      <c r="B11" s="83" t="s">
        <v>228</v>
      </c>
      <c r="C11" s="491" t="s">
        <v>37</v>
      </c>
      <c r="D11" s="459">
        <f>'B03'!I10</f>
        <v>140</v>
      </c>
      <c r="E11" s="492"/>
      <c r="F11" s="488"/>
    </row>
    <row r="12" spans="1:7" s="494" customFormat="1" ht="15.75">
      <c r="A12" s="484" t="s">
        <v>56</v>
      </c>
      <c r="B12" s="83" t="s">
        <v>229</v>
      </c>
      <c r="C12" s="491" t="s">
        <v>230</v>
      </c>
      <c r="D12" s="459">
        <f>'B03'!I11</f>
        <v>753.4</v>
      </c>
      <c r="E12" s="492"/>
      <c r="F12" s="488"/>
    </row>
    <row r="13" spans="1:7" s="497" customFormat="1" ht="15.75">
      <c r="A13" s="495"/>
      <c r="B13" s="3" t="s">
        <v>231</v>
      </c>
      <c r="C13" s="486" t="s">
        <v>230</v>
      </c>
      <c r="D13" s="26">
        <f>'B03'!I12</f>
        <v>731.8</v>
      </c>
      <c r="E13" s="496"/>
      <c r="F13" s="488"/>
    </row>
    <row r="14" spans="1:7" s="494" customFormat="1" ht="15.75">
      <c r="A14" s="484"/>
      <c r="B14" s="3" t="s">
        <v>232</v>
      </c>
      <c r="C14" s="486" t="s">
        <v>230</v>
      </c>
      <c r="D14" s="26">
        <f>'B03'!I13</f>
        <v>21.6</v>
      </c>
      <c r="E14" s="457"/>
      <c r="F14" s="488"/>
    </row>
    <row r="15" spans="1:7" s="2" customFormat="1" ht="15.75">
      <c r="A15" s="486" t="s">
        <v>34</v>
      </c>
      <c r="B15" s="3" t="s">
        <v>233</v>
      </c>
      <c r="C15" s="486"/>
      <c r="D15" s="26">
        <f>'B03'!I14</f>
        <v>0</v>
      </c>
      <c r="E15" s="456"/>
      <c r="F15" s="488"/>
    </row>
    <row r="16" spans="1:7" s="497" customFormat="1" ht="15.75">
      <c r="A16" s="495"/>
      <c r="B16" s="3" t="s">
        <v>234</v>
      </c>
      <c r="C16" s="486" t="s">
        <v>37</v>
      </c>
      <c r="D16" s="26">
        <f>'B03'!I15</f>
        <v>136</v>
      </c>
      <c r="E16" s="498"/>
      <c r="F16" s="488"/>
    </row>
    <row r="17" spans="1:6" s="497" customFormat="1" ht="15.75">
      <c r="A17" s="495"/>
      <c r="B17" s="84" t="s">
        <v>235</v>
      </c>
      <c r="C17" s="495" t="s">
        <v>236</v>
      </c>
      <c r="D17" s="25">
        <f>'B03'!I16</f>
        <v>53.808823529411768</v>
      </c>
      <c r="E17" s="499"/>
      <c r="F17" s="488"/>
    </row>
    <row r="18" spans="1:6" ht="15.75">
      <c r="A18" s="486"/>
      <c r="B18" s="3" t="s">
        <v>293</v>
      </c>
      <c r="C18" s="486" t="s">
        <v>230</v>
      </c>
      <c r="D18" s="26">
        <f>'B03'!I17</f>
        <v>731.8</v>
      </c>
      <c r="E18" s="498"/>
      <c r="F18" s="488"/>
    </row>
    <row r="19" spans="1:6" ht="15.75">
      <c r="A19" s="486"/>
      <c r="B19" s="3" t="s">
        <v>237</v>
      </c>
      <c r="C19" s="486"/>
      <c r="D19" s="26">
        <f>'B03'!I18</f>
        <v>0</v>
      </c>
      <c r="E19" s="500"/>
      <c r="F19" s="488"/>
    </row>
    <row r="20" spans="1:6" s="497" customFormat="1" ht="15.75">
      <c r="A20" s="495"/>
      <c r="B20" s="3" t="s">
        <v>291</v>
      </c>
      <c r="C20" s="486" t="s">
        <v>37</v>
      </c>
      <c r="D20" s="26">
        <f>'B03'!I19</f>
        <v>53</v>
      </c>
      <c r="E20" s="498"/>
      <c r="F20" s="488"/>
    </row>
    <row r="21" spans="1:6" s="497" customFormat="1" ht="15.75">
      <c r="A21" s="495"/>
      <c r="B21" s="84" t="s">
        <v>239</v>
      </c>
      <c r="C21" s="495" t="s">
        <v>236</v>
      </c>
      <c r="D21" s="25">
        <f>'B03'!I20</f>
        <v>56</v>
      </c>
      <c r="E21" s="499"/>
      <c r="F21" s="488"/>
    </row>
    <row r="22" spans="1:6" ht="15.75">
      <c r="A22" s="486"/>
      <c r="B22" s="3" t="s">
        <v>290</v>
      </c>
      <c r="C22" s="486" t="s">
        <v>230</v>
      </c>
      <c r="D22" s="26">
        <f>'B03'!I21</f>
        <v>296.8</v>
      </c>
      <c r="E22" s="498"/>
      <c r="F22" s="488"/>
    </row>
    <row r="23" spans="1:6" ht="15.75">
      <c r="A23" s="486"/>
      <c r="B23" s="3" t="s">
        <v>240</v>
      </c>
      <c r="C23" s="486"/>
      <c r="D23" s="26">
        <f>'B03'!I22</f>
        <v>0</v>
      </c>
      <c r="E23" s="500"/>
      <c r="F23" s="488"/>
    </row>
    <row r="24" spans="1:6" s="497" customFormat="1" ht="15.75">
      <c r="A24" s="495"/>
      <c r="B24" s="3" t="s">
        <v>291</v>
      </c>
      <c r="C24" s="486" t="s">
        <v>37</v>
      </c>
      <c r="D24" s="26">
        <f>'B03'!I23</f>
        <v>83</v>
      </c>
      <c r="E24" s="498"/>
      <c r="F24" s="488"/>
    </row>
    <row r="25" spans="1:6" s="497" customFormat="1" ht="15.75">
      <c r="A25" s="495"/>
      <c r="B25" s="84" t="s">
        <v>239</v>
      </c>
      <c r="C25" s="495" t="s">
        <v>236</v>
      </c>
      <c r="D25" s="25">
        <f>'B03'!I24</f>
        <v>55</v>
      </c>
      <c r="E25" s="499"/>
      <c r="F25" s="488"/>
    </row>
    <row r="26" spans="1:6" ht="15.75">
      <c r="A26" s="486"/>
      <c r="B26" s="3" t="s">
        <v>290</v>
      </c>
      <c r="C26" s="486" t="s">
        <v>230</v>
      </c>
      <c r="D26" s="26">
        <f>'B03'!I25</f>
        <v>435</v>
      </c>
      <c r="E26" s="498"/>
      <c r="F26" s="488"/>
    </row>
    <row r="27" spans="1:6" ht="15.75" customHeight="1">
      <c r="A27" s="486"/>
      <c r="B27" s="501" t="s">
        <v>241</v>
      </c>
      <c r="C27" s="486"/>
      <c r="D27" s="26">
        <f>'B03'!I26</f>
        <v>0</v>
      </c>
      <c r="E27" s="500"/>
      <c r="F27" s="488"/>
    </row>
    <row r="28" spans="1:6" s="497" customFormat="1" ht="15.75">
      <c r="A28" s="495"/>
      <c r="B28" s="3" t="s">
        <v>291</v>
      </c>
      <c r="C28" s="486" t="s">
        <v>37</v>
      </c>
      <c r="D28" s="26">
        <f>'B03'!I27</f>
        <v>78</v>
      </c>
      <c r="E28" s="498"/>
      <c r="F28" s="488"/>
    </row>
    <row r="29" spans="1:6" s="497" customFormat="1" ht="15.75">
      <c r="A29" s="495"/>
      <c r="B29" s="84" t="s">
        <v>239</v>
      </c>
      <c r="C29" s="495" t="s">
        <v>236</v>
      </c>
      <c r="D29" s="25">
        <f>'B03'!I28</f>
        <v>55</v>
      </c>
      <c r="E29" s="499"/>
      <c r="F29" s="488"/>
    </row>
    <row r="30" spans="1:6" ht="15.75">
      <c r="A30" s="486"/>
      <c r="B30" s="3" t="s">
        <v>290</v>
      </c>
      <c r="C30" s="486" t="s">
        <v>230</v>
      </c>
      <c r="D30" s="26">
        <f>'B03'!I29</f>
        <v>429</v>
      </c>
      <c r="E30" s="498"/>
      <c r="F30" s="488"/>
    </row>
    <row r="31" spans="1:6" ht="15.75">
      <c r="A31" s="486"/>
      <c r="B31" s="3" t="s">
        <v>242</v>
      </c>
      <c r="C31" s="486"/>
      <c r="D31" s="26">
        <f>'B03'!I30</f>
        <v>0</v>
      </c>
      <c r="E31" s="500"/>
      <c r="F31" s="488"/>
    </row>
    <row r="32" spans="1:6" s="497" customFormat="1" ht="15.75">
      <c r="A32" s="495"/>
      <c r="B32" s="3" t="s">
        <v>291</v>
      </c>
      <c r="C32" s="486" t="s">
        <v>37</v>
      </c>
      <c r="D32" s="26">
        <f>'B03'!I31</f>
        <v>5</v>
      </c>
      <c r="E32" s="498"/>
      <c r="F32" s="488"/>
    </row>
    <row r="33" spans="1:6" ht="15.75">
      <c r="A33" s="486"/>
      <c r="B33" s="84" t="s">
        <v>239</v>
      </c>
      <c r="C33" s="495" t="s">
        <v>236</v>
      </c>
      <c r="D33" s="25">
        <f>'B03'!I32</f>
        <v>12</v>
      </c>
      <c r="E33" s="502"/>
      <c r="F33" s="488"/>
    </row>
    <row r="34" spans="1:6" ht="15.75">
      <c r="A34" s="486"/>
      <c r="B34" s="3" t="s">
        <v>290</v>
      </c>
      <c r="C34" s="486" t="s">
        <v>230</v>
      </c>
      <c r="D34" s="26">
        <f>'B03'!I33</f>
        <v>6</v>
      </c>
      <c r="E34" s="498"/>
      <c r="F34" s="488"/>
    </row>
    <row r="35" spans="1:6" s="2" customFormat="1" ht="15.75">
      <c r="A35" s="486" t="s">
        <v>35</v>
      </c>
      <c r="B35" s="3" t="s">
        <v>243</v>
      </c>
      <c r="C35" s="486"/>
      <c r="D35" s="26">
        <f>'B03'!I34</f>
        <v>0</v>
      </c>
      <c r="E35" s="500"/>
      <c r="F35" s="488"/>
    </row>
    <row r="36" spans="1:6" s="497" customFormat="1" ht="15.75">
      <c r="A36" s="495"/>
      <c r="B36" s="503" t="s">
        <v>234</v>
      </c>
      <c r="C36" s="486" t="s">
        <v>37</v>
      </c>
      <c r="D36" s="26">
        <f>'B03'!I35</f>
        <v>4</v>
      </c>
      <c r="E36" s="498"/>
      <c r="F36" s="488"/>
    </row>
    <row r="37" spans="1:6" ht="15.75">
      <c r="A37" s="486"/>
      <c r="B37" s="504" t="s">
        <v>235</v>
      </c>
      <c r="C37" s="495" t="s">
        <v>236</v>
      </c>
      <c r="D37" s="25">
        <f>'B03'!I36</f>
        <v>54</v>
      </c>
      <c r="E37" s="502"/>
      <c r="F37" s="488"/>
    </row>
    <row r="38" spans="1:6" ht="15.75">
      <c r="A38" s="486"/>
      <c r="B38" s="503" t="s">
        <v>293</v>
      </c>
      <c r="C38" s="486" t="s">
        <v>230</v>
      </c>
      <c r="D38" s="26">
        <f>'B03'!I37</f>
        <v>21.6</v>
      </c>
      <c r="E38" s="498"/>
      <c r="F38" s="488"/>
    </row>
    <row r="39" spans="1:6" ht="15.75">
      <c r="A39" s="486"/>
      <c r="B39" s="3" t="s">
        <v>244</v>
      </c>
      <c r="C39" s="486"/>
      <c r="D39" s="26">
        <f>'B03'!I38</f>
        <v>0</v>
      </c>
      <c r="E39" s="500"/>
      <c r="F39" s="488"/>
    </row>
    <row r="40" spans="1:6" s="497" customFormat="1" ht="15.75">
      <c r="A40" s="495"/>
      <c r="B40" s="503" t="s">
        <v>238</v>
      </c>
      <c r="C40" s="486" t="s">
        <v>37</v>
      </c>
      <c r="D40" s="26">
        <f>'B03'!I39</f>
        <v>0</v>
      </c>
      <c r="E40" s="498"/>
      <c r="F40" s="488"/>
    </row>
    <row r="41" spans="1:6" ht="15.75">
      <c r="A41" s="486"/>
      <c r="B41" s="504" t="s">
        <v>239</v>
      </c>
      <c r="C41" s="495" t="s">
        <v>236</v>
      </c>
      <c r="D41" s="25">
        <f>'B03'!I40</f>
        <v>0</v>
      </c>
      <c r="E41" s="502"/>
      <c r="F41" s="488"/>
    </row>
    <row r="42" spans="1:6" ht="15.75">
      <c r="A42" s="486"/>
      <c r="B42" s="3" t="s">
        <v>290</v>
      </c>
      <c r="C42" s="486" t="s">
        <v>230</v>
      </c>
      <c r="D42" s="26">
        <f>'B03'!I41</f>
        <v>0</v>
      </c>
      <c r="E42" s="498"/>
      <c r="F42" s="488"/>
    </row>
    <row r="43" spans="1:6" ht="15.75">
      <c r="A43" s="486"/>
      <c r="B43" s="3" t="s">
        <v>245</v>
      </c>
      <c r="C43" s="486"/>
      <c r="D43" s="26">
        <f>'B03'!I42</f>
        <v>0</v>
      </c>
      <c r="E43" s="500"/>
      <c r="F43" s="488"/>
    </row>
    <row r="44" spans="1:6" s="497" customFormat="1" ht="15.75">
      <c r="A44" s="495"/>
      <c r="B44" s="503" t="s">
        <v>238</v>
      </c>
      <c r="C44" s="486" t="s">
        <v>37</v>
      </c>
      <c r="D44" s="26">
        <f>'B03'!I43</f>
        <v>4</v>
      </c>
      <c r="E44" s="498"/>
      <c r="F44" s="488"/>
    </row>
    <row r="45" spans="1:6" s="497" customFormat="1" ht="15.75">
      <c r="A45" s="495"/>
      <c r="B45" s="504" t="s">
        <v>239</v>
      </c>
      <c r="C45" s="495" t="s">
        <v>236</v>
      </c>
      <c r="D45" s="25">
        <f>'B03'!I44</f>
        <v>54</v>
      </c>
      <c r="E45" s="499"/>
      <c r="F45" s="488"/>
    </row>
    <row r="46" spans="1:6" ht="15.75">
      <c r="A46" s="486"/>
      <c r="B46" s="3" t="s">
        <v>290</v>
      </c>
      <c r="C46" s="486" t="s">
        <v>230</v>
      </c>
      <c r="D46" s="26">
        <f>'B03'!I45</f>
        <v>21.6</v>
      </c>
      <c r="E46" s="498"/>
      <c r="F46" s="488"/>
    </row>
    <row r="47" spans="1:6" ht="15.75">
      <c r="A47" s="486">
        <v>2</v>
      </c>
      <c r="B47" s="3" t="s">
        <v>246</v>
      </c>
      <c r="C47" s="486"/>
      <c r="D47" s="26">
        <f>'B03'!I46</f>
        <v>0</v>
      </c>
      <c r="E47" s="498"/>
      <c r="F47" s="488"/>
    </row>
    <row r="48" spans="1:6" s="497" customFormat="1" ht="15.75" customHeight="1">
      <c r="A48" s="495"/>
      <c r="B48" s="503" t="s">
        <v>238</v>
      </c>
      <c r="C48" s="486" t="s">
        <v>37</v>
      </c>
      <c r="D48" s="26">
        <f>'B03'!I47</f>
        <v>890</v>
      </c>
      <c r="E48" s="498"/>
      <c r="F48" s="488"/>
    </row>
    <row r="49" spans="1:6" s="497" customFormat="1" ht="15.75">
      <c r="A49" s="495"/>
      <c r="B49" s="504" t="s">
        <v>239</v>
      </c>
      <c r="C49" s="495" t="s">
        <v>236</v>
      </c>
      <c r="D49" s="25">
        <f>'B03'!I48</f>
        <v>155</v>
      </c>
      <c r="E49" s="499"/>
      <c r="F49" s="488"/>
    </row>
    <row r="50" spans="1:6" ht="15.75">
      <c r="A50" s="486"/>
      <c r="B50" s="3" t="s">
        <v>290</v>
      </c>
      <c r="C50" s="486" t="s">
        <v>230</v>
      </c>
      <c r="D50" s="26">
        <f>'B03'!I49</f>
        <v>13795</v>
      </c>
      <c r="E50" s="498"/>
      <c r="F50" s="488"/>
    </row>
    <row r="51" spans="1:6" ht="15.75">
      <c r="A51" s="32">
        <v>3</v>
      </c>
      <c r="B51" s="35" t="s">
        <v>317</v>
      </c>
      <c r="C51" s="32" t="s">
        <v>37</v>
      </c>
      <c r="D51" s="26">
        <f>'B03'!I50</f>
        <v>1</v>
      </c>
      <c r="E51" s="498"/>
      <c r="F51" s="488"/>
    </row>
    <row r="52" spans="1:6" ht="15.75">
      <c r="A52" s="39"/>
      <c r="B52" s="35" t="s">
        <v>123</v>
      </c>
      <c r="C52" s="32" t="s">
        <v>37</v>
      </c>
      <c r="D52" s="26">
        <f>'B03'!I51</f>
        <v>0</v>
      </c>
      <c r="E52" s="498"/>
      <c r="F52" s="488"/>
    </row>
    <row r="53" spans="1:6" ht="15.75">
      <c r="A53" s="39"/>
      <c r="B53" s="37" t="s">
        <v>315</v>
      </c>
      <c r="C53" s="34" t="s">
        <v>21</v>
      </c>
      <c r="D53" s="25">
        <f>'B03'!I52</f>
        <v>580</v>
      </c>
      <c r="E53" s="498"/>
      <c r="F53" s="488"/>
    </row>
    <row r="54" spans="1:6" ht="15.75">
      <c r="A54" s="39"/>
      <c r="B54" s="37" t="s">
        <v>316</v>
      </c>
      <c r="C54" s="34" t="s">
        <v>76</v>
      </c>
      <c r="D54" s="26">
        <f>'B03'!I53</f>
        <v>58</v>
      </c>
      <c r="E54" s="498"/>
      <c r="F54" s="488"/>
    </row>
    <row r="55" spans="1:6" s="497" customFormat="1" ht="15.75">
      <c r="A55" s="495">
        <v>4</v>
      </c>
      <c r="B55" s="505" t="s">
        <v>136</v>
      </c>
      <c r="C55" s="486"/>
      <c r="D55" s="26">
        <f>'B03'!I54</f>
        <v>0</v>
      </c>
      <c r="E55" s="498"/>
      <c r="F55" s="488"/>
    </row>
    <row r="56" spans="1:6" s="497" customFormat="1" ht="15.75">
      <c r="A56" s="495"/>
      <c r="B56" s="505" t="s">
        <v>26</v>
      </c>
      <c r="C56" s="486" t="s">
        <v>37</v>
      </c>
      <c r="D56" s="26">
        <f>'B03'!I55</f>
        <v>45</v>
      </c>
      <c r="E56" s="498"/>
      <c r="F56" s="488"/>
    </row>
    <row r="57" spans="1:6" s="497" customFormat="1" ht="15.75">
      <c r="A57" s="495"/>
      <c r="B57" s="506" t="s">
        <v>27</v>
      </c>
      <c r="C57" s="507" t="s">
        <v>21</v>
      </c>
      <c r="D57" s="25">
        <f>'B03'!I56</f>
        <v>125</v>
      </c>
      <c r="E57" s="508"/>
      <c r="F57" s="488"/>
    </row>
    <row r="58" spans="1:6" ht="15.75">
      <c r="A58" s="486"/>
      <c r="B58" s="505" t="s">
        <v>28</v>
      </c>
      <c r="C58" s="509" t="s">
        <v>76</v>
      </c>
      <c r="D58" s="26">
        <f>'B03'!I57</f>
        <v>617.5</v>
      </c>
      <c r="E58" s="498"/>
      <c r="F58" s="488"/>
    </row>
    <row r="59" spans="1:6" ht="15.75">
      <c r="A59" s="486"/>
      <c r="B59" s="40" t="s">
        <v>318</v>
      </c>
      <c r="C59" s="21"/>
      <c r="D59" s="26">
        <f>'B03'!I58</f>
        <v>0</v>
      </c>
      <c r="E59" s="498"/>
      <c r="F59" s="488"/>
    </row>
    <row r="60" spans="1:6" ht="15.75">
      <c r="A60" s="486"/>
      <c r="B60" s="510" t="s">
        <v>178</v>
      </c>
      <c r="C60" s="41" t="s">
        <v>37</v>
      </c>
      <c r="D60" s="26">
        <f>'B03'!I59</f>
        <v>22</v>
      </c>
      <c r="E60" s="498"/>
      <c r="F60" s="488"/>
    </row>
    <row r="61" spans="1:6" ht="15.75">
      <c r="A61" s="486"/>
      <c r="B61" s="510" t="s">
        <v>179</v>
      </c>
      <c r="C61" s="41" t="s">
        <v>21</v>
      </c>
      <c r="D61" s="25">
        <f>'B03'!I60</f>
        <v>150</v>
      </c>
      <c r="E61" s="498"/>
      <c r="F61" s="488"/>
    </row>
    <row r="62" spans="1:6" ht="15.75">
      <c r="A62" s="486"/>
      <c r="B62" s="510" t="s">
        <v>180</v>
      </c>
      <c r="C62" s="41" t="s">
        <v>76</v>
      </c>
      <c r="D62" s="26">
        <f>'B03'!I61</f>
        <v>330</v>
      </c>
      <c r="E62" s="498"/>
      <c r="F62" s="488"/>
    </row>
    <row r="63" spans="1:6" ht="15.75">
      <c r="A63" s="486"/>
      <c r="B63" s="511" t="s">
        <v>319</v>
      </c>
      <c r="C63" s="21"/>
      <c r="D63" s="26">
        <f>'B03'!I62</f>
        <v>0</v>
      </c>
      <c r="E63" s="498"/>
      <c r="F63" s="488"/>
    </row>
    <row r="64" spans="1:6" ht="15.75">
      <c r="A64" s="486"/>
      <c r="B64" s="510" t="s">
        <v>178</v>
      </c>
      <c r="C64" s="41" t="s">
        <v>37</v>
      </c>
      <c r="D64" s="26">
        <f>'B03'!I63</f>
        <v>23</v>
      </c>
      <c r="E64" s="498"/>
      <c r="F64" s="488"/>
    </row>
    <row r="65" spans="1:6" ht="15.75">
      <c r="A65" s="486"/>
      <c r="B65" s="510" t="s">
        <v>179</v>
      </c>
      <c r="C65" s="41" t="s">
        <v>21</v>
      </c>
      <c r="D65" s="25">
        <f>'B03'!I64</f>
        <v>125</v>
      </c>
      <c r="E65" s="498"/>
      <c r="F65" s="488"/>
    </row>
    <row r="66" spans="1:6" ht="15.75">
      <c r="A66" s="486"/>
      <c r="B66" s="510" t="s">
        <v>180</v>
      </c>
      <c r="C66" s="41" t="s">
        <v>76</v>
      </c>
      <c r="D66" s="26">
        <f>'B03'!I65</f>
        <v>287.5</v>
      </c>
      <c r="E66" s="498"/>
      <c r="F66" s="488"/>
    </row>
    <row r="67" spans="1:6" s="483" customFormat="1" ht="19.5" customHeight="1">
      <c r="A67" s="491" t="s">
        <v>39</v>
      </c>
      <c r="B67" s="83" t="s">
        <v>247</v>
      </c>
      <c r="C67" s="491"/>
      <c r="D67" s="459">
        <f>'B03'!I66</f>
        <v>2043.5</v>
      </c>
      <c r="E67" s="457"/>
      <c r="F67" s="488"/>
    </row>
    <row r="68" spans="1:6" s="489" customFormat="1" ht="15.75">
      <c r="A68" s="484">
        <v>1</v>
      </c>
      <c r="B68" s="305" t="s">
        <v>248</v>
      </c>
      <c r="C68" s="484" t="s">
        <v>37</v>
      </c>
      <c r="D68" s="459">
        <f>'B03'!I67</f>
        <v>1880.5</v>
      </c>
      <c r="E68" s="512"/>
      <c r="F68" s="488"/>
    </row>
    <row r="69" spans="1:6" ht="17.25" customHeight="1">
      <c r="A69" s="486" t="s">
        <v>34</v>
      </c>
      <c r="B69" s="3" t="s">
        <v>249</v>
      </c>
      <c r="C69" s="486" t="s">
        <v>37</v>
      </c>
      <c r="D69" s="26">
        <f>'B03'!I68</f>
        <v>630</v>
      </c>
      <c r="E69" s="456"/>
      <c r="F69" s="488"/>
    </row>
    <row r="70" spans="1:6" ht="17.25" hidden="1" customHeight="1">
      <c r="A70" s="513"/>
      <c r="B70" s="514" t="s">
        <v>361</v>
      </c>
      <c r="C70" s="486" t="s">
        <v>37</v>
      </c>
      <c r="D70" s="26">
        <f>'B03'!I69</f>
        <v>475</v>
      </c>
      <c r="E70" s="515"/>
      <c r="F70" s="488"/>
    </row>
    <row r="71" spans="1:6" ht="17.25" hidden="1" customHeight="1">
      <c r="A71" s="513"/>
      <c r="B71" s="514"/>
      <c r="C71" s="486"/>
      <c r="D71" s="26">
        <f>'B03'!I70</f>
        <v>150</v>
      </c>
      <c r="E71" s="515"/>
      <c r="F71" s="488"/>
    </row>
    <row r="72" spans="1:6" ht="15.75">
      <c r="A72" s="495"/>
      <c r="B72" s="84" t="s">
        <v>250</v>
      </c>
      <c r="C72" s="495" t="s">
        <v>37</v>
      </c>
      <c r="D72" s="26">
        <f>'B03'!I72</f>
        <v>5</v>
      </c>
      <c r="E72" s="456"/>
      <c r="F72" s="488"/>
    </row>
    <row r="73" spans="1:6" ht="18" customHeight="1">
      <c r="A73" s="486"/>
      <c r="B73" s="3" t="s">
        <v>251</v>
      </c>
      <c r="C73" s="486" t="s">
        <v>37</v>
      </c>
      <c r="D73" s="26">
        <f>'B03'!I73</f>
        <v>429</v>
      </c>
      <c r="E73" s="456"/>
      <c r="F73" s="488"/>
    </row>
    <row r="74" spans="1:6" ht="18" hidden="1" customHeight="1">
      <c r="A74" s="513"/>
      <c r="B74" s="514" t="s">
        <v>362</v>
      </c>
      <c r="C74" s="513" t="s">
        <v>37</v>
      </c>
      <c r="D74" s="26" t="e">
        <f>'B03'!#REF!</f>
        <v>#REF!</v>
      </c>
      <c r="E74" s="515"/>
      <c r="F74" s="488"/>
    </row>
    <row r="75" spans="1:6" ht="18" hidden="1" customHeight="1">
      <c r="A75" s="513"/>
      <c r="B75" s="514" t="s">
        <v>363</v>
      </c>
      <c r="C75" s="513" t="s">
        <v>37</v>
      </c>
      <c r="D75" s="26" t="e">
        <f>'B03'!#REF!</f>
        <v>#REF!</v>
      </c>
      <c r="E75" s="515"/>
      <c r="F75" s="488"/>
    </row>
    <row r="76" spans="1:6" ht="18" hidden="1" customHeight="1">
      <c r="A76" s="513"/>
      <c r="B76" s="514" t="s">
        <v>364</v>
      </c>
      <c r="C76" s="513" t="s">
        <v>37</v>
      </c>
      <c r="D76" s="26" t="e">
        <f>'B03'!#REF!</f>
        <v>#REF!</v>
      </c>
      <c r="E76" s="515"/>
      <c r="F76" s="488"/>
    </row>
    <row r="77" spans="1:6" s="497" customFormat="1" ht="15.75">
      <c r="A77" s="495"/>
      <c r="B77" s="84" t="s">
        <v>252</v>
      </c>
      <c r="C77" s="495" t="s">
        <v>236</v>
      </c>
      <c r="D77" s="25">
        <f>'B03'!I74</f>
        <v>36</v>
      </c>
      <c r="E77" s="516"/>
      <c r="F77" s="488"/>
    </row>
    <row r="78" spans="1:6" ht="15.75">
      <c r="A78" s="486"/>
      <c r="B78" s="3" t="s">
        <v>301</v>
      </c>
      <c r="C78" s="486" t="s">
        <v>230</v>
      </c>
      <c r="D78" s="26">
        <f>'B03'!I75</f>
        <v>1544.4</v>
      </c>
      <c r="E78" s="498"/>
      <c r="F78" s="488"/>
    </row>
    <row r="79" spans="1:6" ht="15.75">
      <c r="A79" s="486" t="s">
        <v>35</v>
      </c>
      <c r="B79" s="3" t="s">
        <v>253</v>
      </c>
      <c r="C79" s="486" t="s">
        <v>37</v>
      </c>
      <c r="D79" s="26">
        <f>'B03'!I76</f>
        <v>1250.5</v>
      </c>
      <c r="E79" s="498"/>
      <c r="F79" s="488"/>
    </row>
    <row r="80" spans="1:6" s="497" customFormat="1" ht="15.75">
      <c r="A80" s="495"/>
      <c r="B80" s="84" t="s">
        <v>292</v>
      </c>
      <c r="C80" s="495" t="s">
        <v>37</v>
      </c>
      <c r="D80" s="26">
        <f>'B03'!I77</f>
        <v>0</v>
      </c>
      <c r="E80" s="496"/>
      <c r="F80" s="488"/>
    </row>
    <row r="81" spans="1:6" ht="15.75">
      <c r="A81" s="486"/>
      <c r="B81" s="3" t="s">
        <v>251</v>
      </c>
      <c r="C81" s="486" t="s">
        <v>37</v>
      </c>
      <c r="D81" s="26">
        <f>'B03'!I78</f>
        <v>670</v>
      </c>
      <c r="E81" s="456"/>
      <c r="F81" s="488"/>
    </row>
    <row r="82" spans="1:6" s="517" customFormat="1" ht="15.75" hidden="1">
      <c r="A82" s="513"/>
      <c r="B82" s="514" t="s">
        <v>362</v>
      </c>
      <c r="C82" s="513" t="s">
        <v>37</v>
      </c>
      <c r="D82" s="26" t="e">
        <f>'B03'!#REF!</f>
        <v>#REF!</v>
      </c>
      <c r="E82" s="515"/>
      <c r="F82" s="488"/>
    </row>
    <row r="83" spans="1:6" ht="15.75" hidden="1">
      <c r="A83" s="486"/>
      <c r="B83" s="518" t="s">
        <v>365</v>
      </c>
      <c r="C83" s="513" t="s">
        <v>37</v>
      </c>
      <c r="D83" s="26" t="e">
        <f>'B03'!#REF!</f>
        <v>#REF!</v>
      </c>
      <c r="E83" s="456"/>
      <c r="F83" s="488"/>
    </row>
    <row r="84" spans="1:6" ht="15.75" hidden="1">
      <c r="A84" s="486"/>
      <c r="B84" s="518" t="s">
        <v>366</v>
      </c>
      <c r="C84" s="513" t="s">
        <v>37</v>
      </c>
      <c r="D84" s="26" t="e">
        <f>'B03'!#REF!</f>
        <v>#REF!</v>
      </c>
      <c r="E84" s="456"/>
      <c r="F84" s="488"/>
    </row>
    <row r="85" spans="1:6" ht="15.75" hidden="1">
      <c r="A85" s="486"/>
      <c r="B85" s="518" t="s">
        <v>367</v>
      </c>
      <c r="C85" s="513" t="s">
        <v>37</v>
      </c>
      <c r="D85" s="26" t="e">
        <f>'B03'!#REF!</f>
        <v>#REF!</v>
      </c>
      <c r="E85" s="456"/>
      <c r="F85" s="488"/>
    </row>
    <row r="86" spans="1:6" ht="15.75" hidden="1">
      <c r="A86" s="486"/>
      <c r="B86" s="514" t="s">
        <v>368</v>
      </c>
      <c r="C86" s="519"/>
      <c r="D86" s="26" t="e">
        <f>'B03'!#REF!</f>
        <v>#REF!</v>
      </c>
      <c r="E86" s="456"/>
      <c r="F86" s="488"/>
    </row>
    <row r="87" spans="1:6" ht="15.75" hidden="1">
      <c r="A87" s="486"/>
      <c r="B87" s="514"/>
      <c r="C87" s="519"/>
      <c r="D87" s="26" t="e">
        <f>'B03'!#REF!</f>
        <v>#REF!</v>
      </c>
      <c r="E87" s="456"/>
      <c r="F87" s="488"/>
    </row>
    <row r="88" spans="1:6" s="497" customFormat="1" ht="15.75">
      <c r="A88" s="495"/>
      <c r="B88" s="84" t="s">
        <v>252</v>
      </c>
      <c r="C88" s="495" t="s">
        <v>236</v>
      </c>
      <c r="D88" s="25">
        <f>'B03'!I79</f>
        <v>12.5</v>
      </c>
      <c r="E88" s="520"/>
      <c r="F88" s="488"/>
    </row>
    <row r="89" spans="1:6" ht="15.75" customHeight="1">
      <c r="A89" s="486"/>
      <c r="B89" s="3" t="s">
        <v>301</v>
      </c>
      <c r="C89" s="486" t="s">
        <v>230</v>
      </c>
      <c r="D89" s="26">
        <f>'B03'!I80</f>
        <v>837.5</v>
      </c>
      <c r="E89" s="521"/>
      <c r="F89" s="488"/>
    </row>
    <row r="90" spans="1:6" ht="15.75">
      <c r="A90" s="486">
        <v>2</v>
      </c>
      <c r="B90" s="3" t="s">
        <v>254</v>
      </c>
      <c r="C90" s="486" t="s">
        <v>37</v>
      </c>
      <c r="D90" s="26">
        <f>'B03'!I81</f>
        <v>163</v>
      </c>
      <c r="E90" s="498"/>
      <c r="F90" s="488"/>
    </row>
    <row r="91" spans="1:6" ht="15.75">
      <c r="A91" s="486"/>
      <c r="B91" s="84" t="s">
        <v>255</v>
      </c>
      <c r="C91" s="495" t="s">
        <v>37</v>
      </c>
      <c r="D91" s="26">
        <f>'B03'!I82</f>
        <v>0</v>
      </c>
      <c r="E91" s="498"/>
      <c r="F91" s="488"/>
    </row>
    <row r="92" spans="1:6" ht="19.5" hidden="1" customHeight="1">
      <c r="A92" s="513"/>
      <c r="B92" s="522" t="s">
        <v>369</v>
      </c>
      <c r="C92" s="523" t="s">
        <v>37</v>
      </c>
      <c r="D92" s="459" t="e">
        <f>'B03'!#REF!</f>
        <v>#REF!</v>
      </c>
      <c r="E92" s="498"/>
      <c r="F92" s="488"/>
    </row>
    <row r="93" spans="1:6" ht="19.5" hidden="1" customHeight="1">
      <c r="A93" s="513"/>
      <c r="B93" s="522" t="s">
        <v>370</v>
      </c>
      <c r="C93" s="523" t="s">
        <v>37</v>
      </c>
      <c r="D93" s="459" t="e">
        <f>'B03'!#REF!</f>
        <v>#REF!</v>
      </c>
      <c r="E93" s="498"/>
      <c r="F93" s="488"/>
    </row>
    <row r="94" spans="1:6" ht="19.5" hidden="1" customHeight="1">
      <c r="A94" s="513"/>
      <c r="B94" s="522" t="s">
        <v>361</v>
      </c>
      <c r="C94" s="523" t="s">
        <v>37</v>
      </c>
      <c r="D94" s="459" t="e">
        <f>'B03'!#REF!</f>
        <v>#REF!</v>
      </c>
      <c r="E94" s="498"/>
      <c r="F94" s="488"/>
    </row>
    <row r="95" spans="1:6" s="483" customFormat="1" ht="15.75">
      <c r="A95" s="524" t="s">
        <v>43</v>
      </c>
      <c r="B95" s="83" t="s">
        <v>256</v>
      </c>
      <c r="C95" s="491"/>
      <c r="D95" s="459">
        <f>'B03'!I83</f>
        <v>0</v>
      </c>
      <c r="E95" s="498"/>
      <c r="F95" s="488"/>
    </row>
    <row r="96" spans="1:6" ht="15.75">
      <c r="A96" s="486">
        <v>1</v>
      </c>
      <c r="B96" s="3" t="s">
        <v>257</v>
      </c>
      <c r="C96" s="486" t="s">
        <v>54</v>
      </c>
      <c r="D96" s="26">
        <f>'B03'!I84</f>
        <v>80</v>
      </c>
      <c r="E96" s="498"/>
      <c r="F96" s="488"/>
    </row>
    <row r="97" spans="1:6" s="517" customFormat="1" ht="15.75" hidden="1">
      <c r="A97" s="513"/>
      <c r="B97" s="514" t="s">
        <v>371</v>
      </c>
      <c r="C97" s="513"/>
      <c r="D97" s="26" t="e">
        <f>'B03'!#REF!</f>
        <v>#REF!</v>
      </c>
      <c r="E97" s="525"/>
      <c r="F97" s="488"/>
    </row>
    <row r="98" spans="1:6" ht="15.75">
      <c r="A98" s="486">
        <v>2</v>
      </c>
      <c r="B98" s="3" t="s">
        <v>258</v>
      </c>
      <c r="C98" s="486" t="s">
        <v>54</v>
      </c>
      <c r="D98" s="26">
        <f>'B03'!I85</f>
        <v>540</v>
      </c>
      <c r="E98" s="498"/>
      <c r="F98" s="488"/>
    </row>
    <row r="99" spans="1:6" s="517" customFormat="1" ht="15.75" hidden="1">
      <c r="A99" s="513"/>
      <c r="B99" s="514" t="s">
        <v>372</v>
      </c>
      <c r="C99" s="513"/>
      <c r="D99" s="26" t="e">
        <f>'B03'!#REF!</f>
        <v>#REF!</v>
      </c>
      <c r="E99" s="525"/>
      <c r="F99" s="488"/>
    </row>
    <row r="100" spans="1:6" ht="15" customHeight="1">
      <c r="A100" s="486">
        <v>3</v>
      </c>
      <c r="B100" s="3" t="s">
        <v>259</v>
      </c>
      <c r="C100" s="486" t="s">
        <v>54</v>
      </c>
      <c r="D100" s="26">
        <f>'B03'!I86</f>
        <v>2500</v>
      </c>
      <c r="E100" s="498"/>
      <c r="F100" s="488"/>
    </row>
    <row r="101" spans="1:6" s="517" customFormat="1" ht="15" hidden="1" customHeight="1">
      <c r="A101" s="513"/>
      <c r="B101" s="514" t="s">
        <v>373</v>
      </c>
      <c r="C101" s="513"/>
      <c r="D101" s="26" t="e">
        <f>'B03'!#REF!</f>
        <v>#REF!</v>
      </c>
      <c r="E101" s="525"/>
      <c r="F101" s="488"/>
    </row>
    <row r="102" spans="1:6" ht="15" customHeight="1">
      <c r="A102" s="486">
        <v>4</v>
      </c>
      <c r="B102" s="3" t="s">
        <v>260</v>
      </c>
      <c r="C102" s="486" t="s">
        <v>54</v>
      </c>
      <c r="D102" s="26">
        <f>'B03'!I87</f>
        <v>19000</v>
      </c>
      <c r="E102" s="498"/>
      <c r="F102" s="488"/>
    </row>
    <row r="103" spans="1:6" s="517" customFormat="1" ht="15" hidden="1" customHeight="1">
      <c r="A103" s="513"/>
      <c r="B103" s="514" t="s">
        <v>374</v>
      </c>
      <c r="C103" s="513"/>
      <c r="D103" s="459" t="e">
        <f>'B03'!#REF!</f>
        <v>#REF!</v>
      </c>
      <c r="E103" s="525"/>
      <c r="F103" s="488"/>
    </row>
    <row r="104" spans="1:6" s="483" customFormat="1" ht="15.75">
      <c r="A104" s="524" t="s">
        <v>176</v>
      </c>
      <c r="B104" s="83" t="s">
        <v>282</v>
      </c>
      <c r="C104" s="491"/>
      <c r="D104" s="459">
        <f>'B03'!I88</f>
        <v>0</v>
      </c>
      <c r="E104" s="498"/>
      <c r="F104" s="488"/>
    </row>
    <row r="105" spans="1:6" ht="15.75">
      <c r="A105" s="486">
        <v>1</v>
      </c>
      <c r="B105" s="3" t="s">
        <v>283</v>
      </c>
      <c r="C105" s="486" t="s">
        <v>37</v>
      </c>
      <c r="D105" s="25">
        <f>'B03'!I89</f>
        <v>17</v>
      </c>
      <c r="E105" s="498"/>
      <c r="F105" s="488"/>
    </row>
    <row r="106" spans="1:6" ht="6.75" customHeight="1">
      <c r="A106" s="526"/>
      <c r="B106" s="527"/>
      <c r="C106" s="526"/>
      <c r="D106" s="528"/>
      <c r="E106" s="527"/>
    </row>
    <row r="107" spans="1:6">
      <c r="D107" s="530"/>
    </row>
    <row r="109" spans="1:6">
      <c r="D109" s="530"/>
    </row>
    <row r="110" spans="1:6">
      <c r="D110" s="530"/>
    </row>
    <row r="136" spans="5:5" ht="15.75">
      <c r="E136" s="2"/>
    </row>
    <row r="159" spans="2:2" ht="15.75">
      <c r="B159" s="2"/>
    </row>
  </sheetData>
  <mergeCells count="9">
    <mergeCell ref="E6:E7"/>
    <mergeCell ref="D6:D7"/>
    <mergeCell ref="A1:E1"/>
    <mergeCell ref="A2:E2"/>
    <mergeCell ref="A3:E3"/>
    <mergeCell ref="A4:E4"/>
    <mergeCell ref="A6:A7"/>
    <mergeCell ref="B6:B7"/>
    <mergeCell ref="C6:C7"/>
  </mergeCells>
  <pageMargins left="0.70866141732283472" right="0.59055118110236227" top="0.59055118110236227" bottom="0.59055118110236227" header="0.31496062992125984" footer="0.31496062992125984"/>
  <pageSetup paperSize="9" orientation="portrait" cellComments="atEnd" r:id="rId1"/>
  <headerFooter>
    <oddFooter>&amp;C&amp;P/&amp;N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0000FF"/>
  </sheetPr>
  <dimension ref="A1:G159"/>
  <sheetViews>
    <sheetView zoomScale="85" zoomScaleNormal="85" workbookViewId="0">
      <pane xSplit="2" ySplit="7" topLeftCell="C8" activePane="bottomRight" state="frozen"/>
      <selection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9.140625" defaultRowHeight="15"/>
  <cols>
    <col min="1" max="1" width="5" style="529" customWidth="1"/>
    <col min="2" max="2" width="43.140625" style="474" customWidth="1"/>
    <col min="3" max="3" width="11.85546875" style="529" customWidth="1"/>
    <col min="4" max="4" width="13.5703125" style="474" customWidth="1"/>
    <col min="5" max="5" width="15.140625" style="474" customWidth="1"/>
    <col min="6" max="6" width="10.42578125" style="474" bestFit="1" customWidth="1"/>
    <col min="7" max="16384" width="9.140625" style="474"/>
  </cols>
  <sheetData>
    <row r="1" spans="1:7" ht="15.75">
      <c r="A1" s="845" t="s">
        <v>213</v>
      </c>
      <c r="B1" s="845"/>
      <c r="C1" s="845"/>
      <c r="D1" s="845"/>
      <c r="E1" s="845"/>
    </row>
    <row r="2" spans="1:7" s="475" customFormat="1" ht="23.25">
      <c r="A2" s="850" t="s">
        <v>845</v>
      </c>
      <c r="B2" s="850"/>
      <c r="C2" s="850"/>
      <c r="D2" s="850"/>
      <c r="E2" s="850"/>
    </row>
    <row r="3" spans="1:7" s="475" customFormat="1" ht="19.5" customHeight="1">
      <c r="A3" s="851" t="str">
        <f>'B01'!A3:E3</f>
        <v>(Kèm theo Quyết định số 569/QĐ-UBND, ngày 17/12/2018 của UBND huyện Đăk Tô)</v>
      </c>
      <c r="B3" s="851"/>
      <c r="C3" s="851"/>
      <c r="D3" s="851"/>
      <c r="E3" s="851"/>
    </row>
    <row r="4" spans="1:7" s="475" customFormat="1" ht="19.5" customHeight="1">
      <c r="A4" s="849" t="s">
        <v>306</v>
      </c>
      <c r="B4" s="849"/>
      <c r="C4" s="849"/>
      <c r="D4" s="849"/>
      <c r="E4" s="849"/>
    </row>
    <row r="5" spans="1:7">
      <c r="A5" s="476"/>
      <c r="B5" s="476"/>
      <c r="C5" s="474"/>
      <c r="D5" s="477"/>
    </row>
    <row r="6" spans="1:7" s="8" customFormat="1" ht="21.75" customHeight="1">
      <c r="A6" s="771" t="s">
        <v>55</v>
      </c>
      <c r="B6" s="772" t="s">
        <v>69</v>
      </c>
      <c r="C6" s="772" t="s">
        <v>18</v>
      </c>
      <c r="D6" s="766" t="s">
        <v>848</v>
      </c>
      <c r="E6" s="772" t="s">
        <v>75</v>
      </c>
    </row>
    <row r="7" spans="1:7" s="8" customFormat="1" ht="15.75">
      <c r="A7" s="771"/>
      <c r="B7" s="771"/>
      <c r="C7" s="771"/>
      <c r="D7" s="767"/>
      <c r="E7" s="771"/>
    </row>
    <row r="8" spans="1:7" s="483" customFormat="1" ht="19.5" customHeight="1">
      <c r="A8" s="478" t="s">
        <v>40</v>
      </c>
      <c r="B8" s="479" t="s">
        <v>225</v>
      </c>
      <c r="C8" s="480"/>
      <c r="D8" s="481"/>
      <c r="E8" s="482"/>
    </row>
    <row r="9" spans="1:7" s="489" customFormat="1" ht="15.75">
      <c r="A9" s="484" t="s">
        <v>38</v>
      </c>
      <c r="B9" s="485" t="s">
        <v>300</v>
      </c>
      <c r="C9" s="486" t="s">
        <v>37</v>
      </c>
      <c r="D9" s="459">
        <f>'B03'!J8</f>
        <v>508</v>
      </c>
      <c r="E9" s="487" t="s">
        <v>226</v>
      </c>
      <c r="F9" s="488"/>
      <c r="G9" s="488"/>
    </row>
    <row r="10" spans="1:7" s="490" customFormat="1" ht="15.75">
      <c r="A10" s="486">
        <v>1</v>
      </c>
      <c r="B10" s="83" t="s">
        <v>227</v>
      </c>
      <c r="C10" s="486"/>
      <c r="D10" s="459">
        <f>'B03'!J9</f>
        <v>0</v>
      </c>
      <c r="E10" s="456"/>
      <c r="F10" s="488"/>
    </row>
    <row r="11" spans="1:7" s="493" customFormat="1" ht="15.75">
      <c r="A11" s="491" t="s">
        <v>56</v>
      </c>
      <c r="B11" s="83" t="s">
        <v>228</v>
      </c>
      <c r="C11" s="491" t="s">
        <v>37</v>
      </c>
      <c r="D11" s="459">
        <f>'B03'!J10</f>
        <v>135</v>
      </c>
      <c r="E11" s="492"/>
      <c r="F11" s="488"/>
    </row>
    <row r="12" spans="1:7" s="494" customFormat="1" ht="15.75">
      <c r="A12" s="484" t="s">
        <v>56</v>
      </c>
      <c r="B12" s="83" t="s">
        <v>229</v>
      </c>
      <c r="C12" s="491" t="s">
        <v>230</v>
      </c>
      <c r="D12" s="459">
        <f>'B03'!J11</f>
        <v>742.3</v>
      </c>
      <c r="E12" s="492"/>
      <c r="F12" s="488"/>
    </row>
    <row r="13" spans="1:7" s="497" customFormat="1" ht="15.75">
      <c r="A13" s="495"/>
      <c r="B13" s="3" t="s">
        <v>231</v>
      </c>
      <c r="C13" s="486" t="s">
        <v>230</v>
      </c>
      <c r="D13" s="26">
        <f>'B03'!J12</f>
        <v>731.5</v>
      </c>
      <c r="E13" s="496"/>
      <c r="F13" s="488"/>
    </row>
    <row r="14" spans="1:7" s="494" customFormat="1" ht="15.75">
      <c r="A14" s="484"/>
      <c r="B14" s="3" t="s">
        <v>232</v>
      </c>
      <c r="C14" s="486" t="s">
        <v>230</v>
      </c>
      <c r="D14" s="26">
        <f>'B03'!J13</f>
        <v>10.8</v>
      </c>
      <c r="E14" s="457"/>
      <c r="F14" s="488"/>
    </row>
    <row r="15" spans="1:7" s="2" customFormat="1" ht="15.75">
      <c r="A15" s="486" t="s">
        <v>34</v>
      </c>
      <c r="B15" s="3" t="s">
        <v>233</v>
      </c>
      <c r="C15" s="486"/>
      <c r="D15" s="26">
        <f>'B03'!J14</f>
        <v>0</v>
      </c>
      <c r="E15" s="456"/>
      <c r="F15" s="488"/>
    </row>
    <row r="16" spans="1:7" s="497" customFormat="1" ht="15.75">
      <c r="A16" s="495"/>
      <c r="B16" s="3" t="s">
        <v>234</v>
      </c>
      <c r="C16" s="486" t="s">
        <v>37</v>
      </c>
      <c r="D16" s="26">
        <f>'B03'!J15</f>
        <v>133</v>
      </c>
      <c r="E16" s="498"/>
      <c r="F16" s="488"/>
    </row>
    <row r="17" spans="1:6" s="497" customFormat="1" ht="15.75">
      <c r="A17" s="495"/>
      <c r="B17" s="84" t="s">
        <v>235</v>
      </c>
      <c r="C17" s="495" t="s">
        <v>236</v>
      </c>
      <c r="D17" s="25">
        <f>'B03'!J16</f>
        <v>55</v>
      </c>
      <c r="E17" s="499"/>
      <c r="F17" s="488"/>
    </row>
    <row r="18" spans="1:6" ht="15.75">
      <c r="A18" s="486"/>
      <c r="B18" s="3" t="s">
        <v>293</v>
      </c>
      <c r="C18" s="486" t="s">
        <v>230</v>
      </c>
      <c r="D18" s="26">
        <f>'B03'!J17</f>
        <v>731.5</v>
      </c>
      <c r="E18" s="498"/>
      <c r="F18" s="488"/>
    </row>
    <row r="19" spans="1:6" ht="15.75">
      <c r="A19" s="486"/>
      <c r="B19" s="3" t="s">
        <v>237</v>
      </c>
      <c r="C19" s="486"/>
      <c r="D19" s="26">
        <f>'B03'!J18</f>
        <v>0</v>
      </c>
      <c r="E19" s="500"/>
      <c r="F19" s="488"/>
    </row>
    <row r="20" spans="1:6" s="497" customFormat="1" ht="15.75">
      <c r="A20" s="495"/>
      <c r="B20" s="3" t="s">
        <v>291</v>
      </c>
      <c r="C20" s="486" t="s">
        <v>37</v>
      </c>
      <c r="D20" s="26">
        <f>'B03'!J19</f>
        <v>63</v>
      </c>
      <c r="E20" s="498"/>
      <c r="F20" s="488"/>
    </row>
    <row r="21" spans="1:6" s="497" customFormat="1" ht="15.75">
      <c r="A21" s="495"/>
      <c r="B21" s="84" t="s">
        <v>239</v>
      </c>
      <c r="C21" s="495" t="s">
        <v>236</v>
      </c>
      <c r="D21" s="25">
        <f>'B03'!J20</f>
        <v>55</v>
      </c>
      <c r="E21" s="499"/>
      <c r="F21" s="488"/>
    </row>
    <row r="22" spans="1:6" ht="15.75">
      <c r="A22" s="486"/>
      <c r="B22" s="3" t="s">
        <v>290</v>
      </c>
      <c r="C22" s="486" t="s">
        <v>230</v>
      </c>
      <c r="D22" s="26">
        <f>'B03'!J21</f>
        <v>346.5</v>
      </c>
      <c r="E22" s="498"/>
      <c r="F22" s="488"/>
    </row>
    <row r="23" spans="1:6" ht="15.75">
      <c r="A23" s="486"/>
      <c r="B23" s="3" t="s">
        <v>240</v>
      </c>
      <c r="C23" s="486"/>
      <c r="D23" s="26">
        <f>'B03'!J22</f>
        <v>0</v>
      </c>
      <c r="E23" s="500"/>
      <c r="F23" s="488"/>
    </row>
    <row r="24" spans="1:6" s="497" customFormat="1" ht="15.75">
      <c r="A24" s="495"/>
      <c r="B24" s="3" t="s">
        <v>291</v>
      </c>
      <c r="C24" s="486" t="s">
        <v>37</v>
      </c>
      <c r="D24" s="26">
        <f>'B03'!J23</f>
        <v>70</v>
      </c>
      <c r="E24" s="498"/>
      <c r="F24" s="488"/>
    </row>
    <row r="25" spans="1:6" s="497" customFormat="1" ht="15.75">
      <c r="A25" s="495"/>
      <c r="B25" s="84" t="s">
        <v>239</v>
      </c>
      <c r="C25" s="495" t="s">
        <v>236</v>
      </c>
      <c r="D25" s="25">
        <f>'B03'!J24</f>
        <v>55</v>
      </c>
      <c r="E25" s="499"/>
      <c r="F25" s="488"/>
    </row>
    <row r="26" spans="1:6" ht="15.75">
      <c r="A26" s="486"/>
      <c r="B26" s="3" t="s">
        <v>290</v>
      </c>
      <c r="C26" s="486" t="s">
        <v>230</v>
      </c>
      <c r="D26" s="26">
        <f>'B03'!J25</f>
        <v>385</v>
      </c>
      <c r="E26" s="498"/>
      <c r="F26" s="488"/>
    </row>
    <row r="27" spans="1:6" ht="15.75" customHeight="1">
      <c r="A27" s="486"/>
      <c r="B27" s="501" t="s">
        <v>241</v>
      </c>
      <c r="C27" s="486"/>
      <c r="D27" s="26">
        <f>'B03'!J26</f>
        <v>0</v>
      </c>
      <c r="E27" s="500"/>
      <c r="F27" s="488"/>
    </row>
    <row r="28" spans="1:6" s="497" customFormat="1" ht="15.75">
      <c r="A28" s="495"/>
      <c r="B28" s="3" t="s">
        <v>291</v>
      </c>
      <c r="C28" s="486" t="s">
        <v>37</v>
      </c>
      <c r="D28" s="26">
        <f>'B03'!J27</f>
        <v>70</v>
      </c>
      <c r="E28" s="498"/>
      <c r="F28" s="488"/>
    </row>
    <row r="29" spans="1:6" s="497" customFormat="1" ht="15.75">
      <c r="A29" s="495"/>
      <c r="B29" s="84" t="s">
        <v>239</v>
      </c>
      <c r="C29" s="495" t="s">
        <v>236</v>
      </c>
      <c r="D29" s="25">
        <f>'B03'!J28</f>
        <v>55</v>
      </c>
      <c r="E29" s="499"/>
      <c r="F29" s="488"/>
    </row>
    <row r="30" spans="1:6" ht="15.75">
      <c r="A30" s="486"/>
      <c r="B30" s="3" t="s">
        <v>290</v>
      </c>
      <c r="C30" s="486" t="s">
        <v>230</v>
      </c>
      <c r="D30" s="26">
        <f>'B03'!J29</f>
        <v>385</v>
      </c>
      <c r="E30" s="498"/>
      <c r="F30" s="488"/>
    </row>
    <row r="31" spans="1:6" ht="15.75">
      <c r="A31" s="486"/>
      <c r="B31" s="3" t="s">
        <v>242</v>
      </c>
      <c r="C31" s="486"/>
      <c r="D31" s="26">
        <f>'B03'!J30</f>
        <v>0</v>
      </c>
      <c r="E31" s="500"/>
      <c r="F31" s="488"/>
    </row>
    <row r="32" spans="1:6" s="497" customFormat="1" ht="15.75">
      <c r="A32" s="495"/>
      <c r="B32" s="3" t="s">
        <v>291</v>
      </c>
      <c r="C32" s="486" t="s">
        <v>37</v>
      </c>
      <c r="D32" s="26">
        <f>'B03'!J31</f>
        <v>0</v>
      </c>
      <c r="E32" s="498"/>
      <c r="F32" s="488"/>
    </row>
    <row r="33" spans="1:6" ht="15.75">
      <c r="A33" s="486"/>
      <c r="B33" s="84" t="s">
        <v>239</v>
      </c>
      <c r="C33" s="495" t="s">
        <v>236</v>
      </c>
      <c r="D33" s="25">
        <f>'B03'!J32</f>
        <v>0</v>
      </c>
      <c r="E33" s="502"/>
      <c r="F33" s="488"/>
    </row>
    <row r="34" spans="1:6" ht="15.75">
      <c r="A34" s="486"/>
      <c r="B34" s="3" t="s">
        <v>290</v>
      </c>
      <c r="C34" s="486" t="s">
        <v>230</v>
      </c>
      <c r="D34" s="26">
        <f>'B03'!J33</f>
        <v>0</v>
      </c>
      <c r="E34" s="498"/>
      <c r="F34" s="488"/>
    </row>
    <row r="35" spans="1:6" s="2" customFormat="1" ht="15.75">
      <c r="A35" s="486" t="s">
        <v>35</v>
      </c>
      <c r="B35" s="3" t="s">
        <v>243</v>
      </c>
      <c r="C35" s="486"/>
      <c r="D35" s="26">
        <f>'B03'!J34</f>
        <v>0</v>
      </c>
      <c r="E35" s="500"/>
      <c r="F35" s="488"/>
    </row>
    <row r="36" spans="1:6" s="497" customFormat="1" ht="15.75">
      <c r="A36" s="495"/>
      <c r="B36" s="503" t="s">
        <v>234</v>
      </c>
      <c r="C36" s="486" t="s">
        <v>37</v>
      </c>
      <c r="D36" s="26">
        <f>'B03'!J35</f>
        <v>2</v>
      </c>
      <c r="E36" s="498"/>
      <c r="F36" s="488"/>
    </row>
    <row r="37" spans="1:6" ht="15.75">
      <c r="A37" s="486"/>
      <c r="B37" s="504" t="s">
        <v>235</v>
      </c>
      <c r="C37" s="495" t="s">
        <v>236</v>
      </c>
      <c r="D37" s="25">
        <f>'B03'!J36</f>
        <v>54</v>
      </c>
      <c r="E37" s="502"/>
      <c r="F37" s="488"/>
    </row>
    <row r="38" spans="1:6" ht="15.75">
      <c r="A38" s="486"/>
      <c r="B38" s="503" t="s">
        <v>293</v>
      </c>
      <c r="C38" s="486" t="s">
        <v>230</v>
      </c>
      <c r="D38" s="26">
        <f>'B03'!J37</f>
        <v>10.8</v>
      </c>
      <c r="E38" s="498"/>
      <c r="F38" s="488"/>
    </row>
    <row r="39" spans="1:6" ht="15.75">
      <c r="A39" s="486"/>
      <c r="B39" s="3" t="s">
        <v>244</v>
      </c>
      <c r="C39" s="486"/>
      <c r="D39" s="26">
        <f>'B03'!J38</f>
        <v>0</v>
      </c>
      <c r="E39" s="500"/>
      <c r="F39" s="488"/>
    </row>
    <row r="40" spans="1:6" s="497" customFormat="1" ht="15.75">
      <c r="A40" s="495"/>
      <c r="B40" s="503" t="s">
        <v>238</v>
      </c>
      <c r="C40" s="486" t="s">
        <v>37</v>
      </c>
      <c r="D40" s="26">
        <f>'B03'!J39</f>
        <v>0</v>
      </c>
      <c r="E40" s="498"/>
      <c r="F40" s="488"/>
    </row>
    <row r="41" spans="1:6" ht="15.75">
      <c r="A41" s="486"/>
      <c r="B41" s="504" t="s">
        <v>239</v>
      </c>
      <c r="C41" s="495" t="s">
        <v>236</v>
      </c>
      <c r="D41" s="25">
        <f>'B03'!J40</f>
        <v>0</v>
      </c>
      <c r="E41" s="502"/>
      <c r="F41" s="488"/>
    </row>
    <row r="42" spans="1:6" ht="15.75">
      <c r="A42" s="486"/>
      <c r="B42" s="3" t="s">
        <v>290</v>
      </c>
      <c r="C42" s="486" t="s">
        <v>230</v>
      </c>
      <c r="D42" s="26">
        <f>'B03'!J41</f>
        <v>0</v>
      </c>
      <c r="E42" s="498"/>
      <c r="F42" s="488"/>
    </row>
    <row r="43" spans="1:6" ht="15.75">
      <c r="A43" s="486"/>
      <c r="B43" s="3" t="s">
        <v>245</v>
      </c>
      <c r="C43" s="486"/>
      <c r="D43" s="26">
        <f>'B03'!J42</f>
        <v>0</v>
      </c>
      <c r="E43" s="500"/>
      <c r="F43" s="488"/>
    </row>
    <row r="44" spans="1:6" s="497" customFormat="1" ht="15.75">
      <c r="A44" s="495"/>
      <c r="B44" s="503" t="s">
        <v>238</v>
      </c>
      <c r="C44" s="486" t="s">
        <v>37</v>
      </c>
      <c r="D44" s="26">
        <f>'B03'!J43</f>
        <v>2</v>
      </c>
      <c r="E44" s="498"/>
      <c r="F44" s="488"/>
    </row>
    <row r="45" spans="1:6" s="497" customFormat="1" ht="15.75">
      <c r="A45" s="495"/>
      <c r="B45" s="504" t="s">
        <v>239</v>
      </c>
      <c r="C45" s="495" t="s">
        <v>236</v>
      </c>
      <c r="D45" s="25">
        <f>'B03'!J44</f>
        <v>54</v>
      </c>
      <c r="E45" s="499"/>
      <c r="F45" s="488"/>
    </row>
    <row r="46" spans="1:6" ht="15.75">
      <c r="A46" s="486"/>
      <c r="B46" s="3" t="s">
        <v>290</v>
      </c>
      <c r="C46" s="486" t="s">
        <v>230</v>
      </c>
      <c r="D46" s="26">
        <f>'B03'!J45</f>
        <v>10.8</v>
      </c>
      <c r="E46" s="498"/>
      <c r="F46" s="488"/>
    </row>
    <row r="47" spans="1:6" ht="15.75">
      <c r="A47" s="486">
        <v>2</v>
      </c>
      <c r="B47" s="3" t="s">
        <v>246</v>
      </c>
      <c r="C47" s="486"/>
      <c r="D47" s="26">
        <f>'B03'!J46</f>
        <v>0</v>
      </c>
      <c r="E47" s="498"/>
      <c r="F47" s="488"/>
    </row>
    <row r="48" spans="1:6" s="497" customFormat="1" ht="15.75" customHeight="1">
      <c r="A48" s="495"/>
      <c r="B48" s="503" t="s">
        <v>238</v>
      </c>
      <c r="C48" s="486" t="s">
        <v>37</v>
      </c>
      <c r="D48" s="26">
        <f>'B03'!J47</f>
        <v>350</v>
      </c>
      <c r="E48" s="498"/>
      <c r="F48" s="488"/>
    </row>
    <row r="49" spans="1:6" s="497" customFormat="1" ht="15.75">
      <c r="A49" s="495"/>
      <c r="B49" s="504" t="s">
        <v>239</v>
      </c>
      <c r="C49" s="495" t="s">
        <v>236</v>
      </c>
      <c r="D49" s="25">
        <f>'B03'!J48</f>
        <v>154</v>
      </c>
      <c r="E49" s="499"/>
      <c r="F49" s="488"/>
    </row>
    <row r="50" spans="1:6" ht="15.75">
      <c r="A50" s="486"/>
      <c r="B50" s="3" t="s">
        <v>290</v>
      </c>
      <c r="C50" s="486" t="s">
        <v>230</v>
      </c>
      <c r="D50" s="26">
        <f>'B03'!J49</f>
        <v>5390</v>
      </c>
      <c r="E50" s="498"/>
      <c r="F50" s="488"/>
    </row>
    <row r="51" spans="1:6" ht="15.75">
      <c r="A51" s="32">
        <v>3</v>
      </c>
      <c r="B51" s="35" t="s">
        <v>317</v>
      </c>
      <c r="C51" s="32" t="s">
        <v>37</v>
      </c>
      <c r="D51" s="26">
        <f>'B03'!J50</f>
        <v>0</v>
      </c>
      <c r="E51" s="498"/>
      <c r="F51" s="488"/>
    </row>
    <row r="52" spans="1:6" ht="15.75">
      <c r="A52" s="39"/>
      <c r="B52" s="35" t="s">
        <v>123</v>
      </c>
      <c r="C52" s="32" t="s">
        <v>37</v>
      </c>
      <c r="D52" s="26">
        <f>'B03'!J51</f>
        <v>0</v>
      </c>
      <c r="E52" s="498"/>
      <c r="F52" s="488"/>
    </row>
    <row r="53" spans="1:6" ht="15.75">
      <c r="A53" s="39"/>
      <c r="B53" s="37" t="s">
        <v>315</v>
      </c>
      <c r="C53" s="34" t="s">
        <v>21</v>
      </c>
      <c r="D53" s="25">
        <f>'B03'!J52</f>
        <v>0</v>
      </c>
      <c r="E53" s="498"/>
      <c r="F53" s="488"/>
    </row>
    <row r="54" spans="1:6" ht="15.75">
      <c r="A54" s="39"/>
      <c r="B54" s="37" t="s">
        <v>316</v>
      </c>
      <c r="C54" s="34" t="s">
        <v>76</v>
      </c>
      <c r="D54" s="26">
        <f>'B03'!J53</f>
        <v>0</v>
      </c>
      <c r="E54" s="498"/>
      <c r="F54" s="488"/>
    </row>
    <row r="55" spans="1:6" s="497" customFormat="1" ht="15.75">
      <c r="A55" s="495">
        <v>4</v>
      </c>
      <c r="B55" s="505" t="s">
        <v>136</v>
      </c>
      <c r="C55" s="486"/>
      <c r="D55" s="26">
        <f>'B03'!J54</f>
        <v>0</v>
      </c>
      <c r="E55" s="498"/>
      <c r="F55" s="488"/>
    </row>
    <row r="56" spans="1:6" s="497" customFormat="1" ht="15.75">
      <c r="A56" s="495"/>
      <c r="B56" s="505" t="s">
        <v>26</v>
      </c>
      <c r="C56" s="486" t="s">
        <v>37</v>
      </c>
      <c r="D56" s="26">
        <f>'B03'!J55</f>
        <v>23</v>
      </c>
      <c r="E56" s="498"/>
      <c r="F56" s="488"/>
    </row>
    <row r="57" spans="1:6" s="497" customFormat="1" ht="15.75">
      <c r="A57" s="495"/>
      <c r="B57" s="506" t="s">
        <v>27</v>
      </c>
      <c r="C57" s="507" t="s">
        <v>21</v>
      </c>
      <c r="D57" s="25">
        <f>'B03'!J56</f>
        <v>122.3</v>
      </c>
      <c r="E57" s="508"/>
      <c r="F57" s="488"/>
    </row>
    <row r="58" spans="1:6" ht="15.75">
      <c r="A58" s="486"/>
      <c r="B58" s="505" t="s">
        <v>28</v>
      </c>
      <c r="C58" s="509" t="s">
        <v>76</v>
      </c>
      <c r="D58" s="26">
        <f>'B03'!J57</f>
        <v>292</v>
      </c>
      <c r="E58" s="498"/>
      <c r="F58" s="488"/>
    </row>
    <row r="59" spans="1:6" ht="15.75">
      <c r="A59" s="486"/>
      <c r="B59" s="40" t="s">
        <v>318</v>
      </c>
      <c r="C59" s="21"/>
      <c r="D59" s="26">
        <f>'B03'!J58</f>
        <v>0</v>
      </c>
      <c r="E59" s="498"/>
      <c r="F59" s="488"/>
    </row>
    <row r="60" spans="1:6" ht="15.75">
      <c r="A60" s="486"/>
      <c r="B60" s="510" t="s">
        <v>178</v>
      </c>
      <c r="C60" s="41" t="s">
        <v>37</v>
      </c>
      <c r="D60" s="26">
        <f>'B03'!J59</f>
        <v>13</v>
      </c>
      <c r="E60" s="498"/>
      <c r="F60" s="488"/>
    </row>
    <row r="61" spans="1:6" ht="15.75">
      <c r="A61" s="486"/>
      <c r="B61" s="510" t="s">
        <v>179</v>
      </c>
      <c r="C61" s="41" t="s">
        <v>21</v>
      </c>
      <c r="D61" s="25">
        <f>'B03'!J60</f>
        <v>140</v>
      </c>
      <c r="E61" s="498"/>
      <c r="F61" s="488"/>
    </row>
    <row r="62" spans="1:6" ht="15.75">
      <c r="A62" s="486"/>
      <c r="B62" s="510" t="s">
        <v>180</v>
      </c>
      <c r="C62" s="41" t="s">
        <v>76</v>
      </c>
      <c r="D62" s="26">
        <f>'B03'!J61</f>
        <v>182</v>
      </c>
      <c r="E62" s="498"/>
      <c r="F62" s="488"/>
    </row>
    <row r="63" spans="1:6" ht="15.75">
      <c r="A63" s="486"/>
      <c r="B63" s="511" t="s">
        <v>319</v>
      </c>
      <c r="C63" s="21"/>
      <c r="D63" s="26">
        <f>'B03'!J62</f>
        <v>0</v>
      </c>
      <c r="E63" s="498"/>
      <c r="F63" s="488"/>
    </row>
    <row r="64" spans="1:6" ht="15.75">
      <c r="A64" s="486"/>
      <c r="B64" s="510" t="s">
        <v>178</v>
      </c>
      <c r="C64" s="41" t="s">
        <v>37</v>
      </c>
      <c r="D64" s="26">
        <f>'B03'!J63</f>
        <v>10</v>
      </c>
      <c r="E64" s="498"/>
      <c r="F64" s="488"/>
    </row>
    <row r="65" spans="1:6" ht="15.75">
      <c r="A65" s="486"/>
      <c r="B65" s="510" t="s">
        <v>179</v>
      </c>
      <c r="C65" s="41" t="s">
        <v>21</v>
      </c>
      <c r="D65" s="25">
        <f>'B03'!J64</f>
        <v>110</v>
      </c>
      <c r="E65" s="498"/>
      <c r="F65" s="488"/>
    </row>
    <row r="66" spans="1:6" ht="15.75">
      <c r="A66" s="486"/>
      <c r="B66" s="510" t="s">
        <v>180</v>
      </c>
      <c r="C66" s="41" t="s">
        <v>76</v>
      </c>
      <c r="D66" s="26">
        <f>'B03'!J65</f>
        <v>110</v>
      </c>
      <c r="E66" s="498"/>
      <c r="F66" s="488"/>
    </row>
    <row r="67" spans="1:6" s="483" customFormat="1" ht="19.5" customHeight="1">
      <c r="A67" s="491" t="s">
        <v>39</v>
      </c>
      <c r="B67" s="83" t="s">
        <v>247</v>
      </c>
      <c r="C67" s="491"/>
      <c r="D67" s="459">
        <f>'B03'!J66</f>
        <v>1123.3</v>
      </c>
      <c r="E67" s="457"/>
      <c r="F67" s="488"/>
    </row>
    <row r="68" spans="1:6" s="489" customFormat="1" ht="15.75">
      <c r="A68" s="484">
        <v>1</v>
      </c>
      <c r="B68" s="305" t="s">
        <v>248</v>
      </c>
      <c r="C68" s="484" t="s">
        <v>37</v>
      </c>
      <c r="D68" s="459">
        <f>'B03'!J67</f>
        <v>967.3</v>
      </c>
      <c r="E68" s="512"/>
      <c r="F68" s="488"/>
    </row>
    <row r="69" spans="1:6" ht="17.25" customHeight="1">
      <c r="A69" s="486" t="s">
        <v>34</v>
      </c>
      <c r="B69" s="3" t="s">
        <v>249</v>
      </c>
      <c r="C69" s="486" t="s">
        <v>37</v>
      </c>
      <c r="D69" s="26">
        <f>'B03'!J68</f>
        <v>242</v>
      </c>
      <c r="E69" s="456"/>
      <c r="F69" s="488"/>
    </row>
    <row r="70" spans="1:6" ht="17.25" hidden="1" customHeight="1">
      <c r="A70" s="513"/>
      <c r="B70" s="514" t="s">
        <v>361</v>
      </c>
      <c r="C70" s="486" t="s">
        <v>37</v>
      </c>
      <c r="D70" s="26">
        <f>'B03'!J69</f>
        <v>195.65</v>
      </c>
      <c r="E70" s="515"/>
      <c r="F70" s="488"/>
    </row>
    <row r="71" spans="1:6" ht="17.25" hidden="1" customHeight="1">
      <c r="A71" s="513"/>
      <c r="B71" s="514"/>
      <c r="C71" s="486"/>
      <c r="D71" s="26">
        <f>'B03'!J70</f>
        <v>41.35</v>
      </c>
      <c r="E71" s="515"/>
      <c r="F71" s="488"/>
    </row>
    <row r="72" spans="1:6" ht="15.75">
      <c r="A72" s="495"/>
      <c r="B72" s="84" t="s">
        <v>250</v>
      </c>
      <c r="C72" s="495" t="s">
        <v>37</v>
      </c>
      <c r="D72" s="26">
        <f>'B03'!J72</f>
        <v>5</v>
      </c>
      <c r="E72" s="456"/>
      <c r="F72" s="488"/>
    </row>
    <row r="73" spans="1:6" ht="18" customHeight="1">
      <c r="A73" s="486"/>
      <c r="B73" s="3" t="s">
        <v>251</v>
      </c>
      <c r="C73" s="486" t="s">
        <v>37</v>
      </c>
      <c r="D73" s="26">
        <f>'B03'!J73</f>
        <v>176</v>
      </c>
      <c r="E73" s="456"/>
      <c r="F73" s="488"/>
    </row>
    <row r="74" spans="1:6" ht="18" hidden="1" customHeight="1">
      <c r="A74" s="513"/>
      <c r="B74" s="514" t="s">
        <v>362</v>
      </c>
      <c r="C74" s="513" t="s">
        <v>37</v>
      </c>
      <c r="D74" s="26" t="e">
        <f>'B03'!#REF!</f>
        <v>#REF!</v>
      </c>
      <c r="E74" s="515"/>
      <c r="F74" s="488"/>
    </row>
    <row r="75" spans="1:6" ht="18" hidden="1" customHeight="1">
      <c r="A75" s="513"/>
      <c r="B75" s="514" t="s">
        <v>363</v>
      </c>
      <c r="C75" s="513" t="s">
        <v>37</v>
      </c>
      <c r="D75" s="26" t="e">
        <f>'B03'!#REF!</f>
        <v>#REF!</v>
      </c>
      <c r="E75" s="515"/>
      <c r="F75" s="488"/>
    </row>
    <row r="76" spans="1:6" ht="18" hidden="1" customHeight="1">
      <c r="A76" s="513"/>
      <c r="B76" s="514" t="s">
        <v>364</v>
      </c>
      <c r="C76" s="513" t="s">
        <v>37</v>
      </c>
      <c r="D76" s="26" t="e">
        <f>'B03'!#REF!</f>
        <v>#REF!</v>
      </c>
      <c r="E76" s="515"/>
      <c r="F76" s="488"/>
    </row>
    <row r="77" spans="1:6" s="497" customFormat="1" ht="15.75">
      <c r="A77" s="495"/>
      <c r="B77" s="84" t="s">
        <v>252</v>
      </c>
      <c r="C77" s="495" t="s">
        <v>236</v>
      </c>
      <c r="D77" s="25">
        <f>'B03'!J74</f>
        <v>36</v>
      </c>
      <c r="E77" s="516"/>
      <c r="F77" s="488"/>
    </row>
    <row r="78" spans="1:6" ht="15.75">
      <c r="A78" s="486"/>
      <c r="B78" s="3" t="s">
        <v>301</v>
      </c>
      <c r="C78" s="486" t="s">
        <v>230</v>
      </c>
      <c r="D78" s="26">
        <f>'B03'!J75</f>
        <v>633.6</v>
      </c>
      <c r="E78" s="498"/>
      <c r="F78" s="488"/>
    </row>
    <row r="79" spans="1:6" ht="15.75">
      <c r="A79" s="486" t="s">
        <v>35</v>
      </c>
      <c r="B79" s="3" t="s">
        <v>253</v>
      </c>
      <c r="C79" s="486" t="s">
        <v>37</v>
      </c>
      <c r="D79" s="26">
        <f>'B03'!J76</f>
        <v>725.3</v>
      </c>
      <c r="E79" s="498"/>
      <c r="F79" s="488"/>
    </row>
    <row r="80" spans="1:6" s="497" customFormat="1" ht="15.75">
      <c r="A80" s="495"/>
      <c r="B80" s="84" t="s">
        <v>292</v>
      </c>
      <c r="C80" s="495" t="s">
        <v>37</v>
      </c>
      <c r="D80" s="26">
        <f>'B03'!J77</f>
        <v>0</v>
      </c>
      <c r="E80" s="496"/>
      <c r="F80" s="488"/>
    </row>
    <row r="81" spans="1:6" ht="15.75">
      <c r="A81" s="486"/>
      <c r="B81" s="3" t="s">
        <v>251</v>
      </c>
      <c r="C81" s="486" t="s">
        <v>37</v>
      </c>
      <c r="D81" s="26">
        <f>'B03'!J78</f>
        <v>720</v>
      </c>
      <c r="E81" s="456"/>
      <c r="F81" s="488"/>
    </row>
    <row r="82" spans="1:6" s="517" customFormat="1" ht="15.75" hidden="1">
      <c r="A82" s="513"/>
      <c r="B82" s="514" t="s">
        <v>362</v>
      </c>
      <c r="C82" s="513" t="s">
        <v>37</v>
      </c>
      <c r="D82" s="26" t="e">
        <f>'B03'!#REF!</f>
        <v>#REF!</v>
      </c>
      <c r="E82" s="515"/>
      <c r="F82" s="488"/>
    </row>
    <row r="83" spans="1:6" ht="15.75" hidden="1">
      <c r="A83" s="486"/>
      <c r="B83" s="518" t="s">
        <v>365</v>
      </c>
      <c r="C83" s="513" t="s">
        <v>37</v>
      </c>
      <c r="D83" s="26" t="e">
        <f>'B03'!#REF!</f>
        <v>#REF!</v>
      </c>
      <c r="E83" s="456"/>
      <c r="F83" s="488"/>
    </row>
    <row r="84" spans="1:6" ht="15.75" hidden="1">
      <c r="A84" s="486"/>
      <c r="B84" s="518" t="s">
        <v>366</v>
      </c>
      <c r="C84" s="513" t="s">
        <v>37</v>
      </c>
      <c r="D84" s="26" t="e">
        <f>'B03'!#REF!</f>
        <v>#REF!</v>
      </c>
      <c r="E84" s="456"/>
      <c r="F84" s="488"/>
    </row>
    <row r="85" spans="1:6" ht="15.75" hidden="1">
      <c r="A85" s="486"/>
      <c r="B85" s="518" t="s">
        <v>367</v>
      </c>
      <c r="C85" s="513" t="s">
        <v>37</v>
      </c>
      <c r="D85" s="26" t="e">
        <f>'B03'!#REF!</f>
        <v>#REF!</v>
      </c>
      <c r="E85" s="456"/>
      <c r="F85" s="488"/>
    </row>
    <row r="86" spans="1:6" ht="15.75" hidden="1">
      <c r="A86" s="486"/>
      <c r="B86" s="514" t="s">
        <v>368</v>
      </c>
      <c r="C86" s="519"/>
      <c r="D86" s="26" t="e">
        <f>'B03'!#REF!</f>
        <v>#REF!</v>
      </c>
      <c r="E86" s="456"/>
      <c r="F86" s="488"/>
    </row>
    <row r="87" spans="1:6" ht="15.75" hidden="1">
      <c r="A87" s="486"/>
      <c r="B87" s="514"/>
      <c r="C87" s="519"/>
      <c r="D87" s="26" t="e">
        <f>'B03'!#REF!</f>
        <v>#REF!</v>
      </c>
      <c r="E87" s="456"/>
      <c r="F87" s="488"/>
    </row>
    <row r="88" spans="1:6" s="497" customFormat="1" ht="15.75">
      <c r="A88" s="495"/>
      <c r="B88" s="84" t="s">
        <v>252</v>
      </c>
      <c r="C88" s="495" t="s">
        <v>236</v>
      </c>
      <c r="D88" s="25">
        <f>'B03'!J79</f>
        <v>12.5</v>
      </c>
      <c r="E88" s="520"/>
      <c r="F88" s="488"/>
    </row>
    <row r="89" spans="1:6" ht="15.75" customHeight="1">
      <c r="A89" s="486"/>
      <c r="B89" s="3" t="s">
        <v>301</v>
      </c>
      <c r="C89" s="486" t="s">
        <v>230</v>
      </c>
      <c r="D89" s="26">
        <f>'B03'!J80</f>
        <v>900</v>
      </c>
      <c r="E89" s="521"/>
      <c r="F89" s="488"/>
    </row>
    <row r="90" spans="1:6" ht="15.75">
      <c r="A90" s="486">
        <v>2</v>
      </c>
      <c r="B90" s="3" t="s">
        <v>254</v>
      </c>
      <c r="C90" s="486" t="s">
        <v>37</v>
      </c>
      <c r="D90" s="26">
        <f>'B03'!J81</f>
        <v>156</v>
      </c>
      <c r="E90" s="498"/>
      <c r="F90" s="488"/>
    </row>
    <row r="91" spans="1:6" ht="15.75">
      <c r="A91" s="486"/>
      <c r="B91" s="84" t="s">
        <v>255</v>
      </c>
      <c r="C91" s="495" t="s">
        <v>37</v>
      </c>
      <c r="D91" s="26">
        <f>'B03'!J82</f>
        <v>0</v>
      </c>
      <c r="E91" s="498"/>
      <c r="F91" s="488"/>
    </row>
    <row r="92" spans="1:6" ht="19.5" hidden="1" customHeight="1">
      <c r="A92" s="513"/>
      <c r="B92" s="522" t="s">
        <v>369</v>
      </c>
      <c r="C92" s="523" t="s">
        <v>37</v>
      </c>
      <c r="D92" s="459" t="e">
        <f>'B03'!#REF!</f>
        <v>#REF!</v>
      </c>
      <c r="E92" s="498"/>
      <c r="F92" s="488"/>
    </row>
    <row r="93" spans="1:6" ht="19.5" hidden="1" customHeight="1">
      <c r="A93" s="513"/>
      <c r="B93" s="522" t="s">
        <v>370</v>
      </c>
      <c r="C93" s="523" t="s">
        <v>37</v>
      </c>
      <c r="D93" s="459" t="e">
        <f>'B03'!#REF!</f>
        <v>#REF!</v>
      </c>
      <c r="E93" s="498"/>
      <c r="F93" s="488"/>
    </row>
    <row r="94" spans="1:6" ht="19.5" hidden="1" customHeight="1">
      <c r="A94" s="513"/>
      <c r="B94" s="522" t="s">
        <v>361</v>
      </c>
      <c r="C94" s="523" t="s">
        <v>37</v>
      </c>
      <c r="D94" s="459" t="e">
        <f>'B03'!#REF!</f>
        <v>#REF!</v>
      </c>
      <c r="E94" s="498"/>
      <c r="F94" s="488"/>
    </row>
    <row r="95" spans="1:6" s="483" customFormat="1" ht="15.75">
      <c r="A95" s="524" t="s">
        <v>43</v>
      </c>
      <c r="B95" s="83" t="s">
        <v>256</v>
      </c>
      <c r="C95" s="491"/>
      <c r="D95" s="459">
        <f>'B03'!J83</f>
        <v>0</v>
      </c>
      <c r="E95" s="498"/>
      <c r="F95" s="488"/>
    </row>
    <row r="96" spans="1:6" ht="15.75">
      <c r="A96" s="486">
        <v>1</v>
      </c>
      <c r="B96" s="3" t="s">
        <v>257</v>
      </c>
      <c r="C96" s="486" t="s">
        <v>54</v>
      </c>
      <c r="D96" s="26">
        <f>'B03'!J84</f>
        <v>280</v>
      </c>
      <c r="E96" s="498"/>
      <c r="F96" s="488"/>
    </row>
    <row r="97" spans="1:6" s="517" customFormat="1" ht="15.75" hidden="1">
      <c r="A97" s="513"/>
      <c r="B97" s="514" t="s">
        <v>371</v>
      </c>
      <c r="C97" s="513"/>
      <c r="D97" s="26" t="e">
        <f>'B03'!#REF!</f>
        <v>#REF!</v>
      </c>
      <c r="E97" s="525"/>
      <c r="F97" s="488"/>
    </row>
    <row r="98" spans="1:6" ht="15.75">
      <c r="A98" s="486">
        <v>2</v>
      </c>
      <c r="B98" s="3" t="s">
        <v>258</v>
      </c>
      <c r="C98" s="486" t="s">
        <v>54</v>
      </c>
      <c r="D98" s="26">
        <f>'B03'!J85</f>
        <v>730</v>
      </c>
      <c r="E98" s="498"/>
      <c r="F98" s="488"/>
    </row>
    <row r="99" spans="1:6" s="517" customFormat="1" ht="15.75" hidden="1">
      <c r="A99" s="513"/>
      <c r="B99" s="514" t="s">
        <v>372</v>
      </c>
      <c r="C99" s="513"/>
      <c r="D99" s="26" t="e">
        <f>'B03'!#REF!</f>
        <v>#REF!</v>
      </c>
      <c r="E99" s="525"/>
      <c r="F99" s="488"/>
    </row>
    <row r="100" spans="1:6" ht="15" customHeight="1">
      <c r="A100" s="486">
        <v>3</v>
      </c>
      <c r="B100" s="3" t="s">
        <v>259</v>
      </c>
      <c r="C100" s="486" t="s">
        <v>54</v>
      </c>
      <c r="D100" s="26">
        <f>'B03'!J86</f>
        <v>2500</v>
      </c>
      <c r="E100" s="498"/>
      <c r="F100" s="488"/>
    </row>
    <row r="101" spans="1:6" s="517" customFormat="1" ht="15" hidden="1" customHeight="1">
      <c r="A101" s="513"/>
      <c r="B101" s="514" t="s">
        <v>373</v>
      </c>
      <c r="C101" s="513"/>
      <c r="D101" s="26" t="e">
        <f>'B03'!#REF!</f>
        <v>#REF!</v>
      </c>
      <c r="E101" s="525"/>
      <c r="F101" s="488"/>
    </row>
    <row r="102" spans="1:6" ht="15" customHeight="1">
      <c r="A102" s="486">
        <v>4</v>
      </c>
      <c r="B102" s="3" t="s">
        <v>260</v>
      </c>
      <c r="C102" s="486" t="s">
        <v>54</v>
      </c>
      <c r="D102" s="26">
        <f>'B03'!J87</f>
        <v>5000</v>
      </c>
      <c r="E102" s="498"/>
      <c r="F102" s="488"/>
    </row>
    <row r="103" spans="1:6" s="517" customFormat="1" ht="15" hidden="1" customHeight="1">
      <c r="A103" s="513"/>
      <c r="B103" s="514" t="s">
        <v>374</v>
      </c>
      <c r="C103" s="513"/>
      <c r="D103" s="459" t="e">
        <f>'B03'!#REF!</f>
        <v>#REF!</v>
      </c>
      <c r="E103" s="525"/>
      <c r="F103" s="488"/>
    </row>
    <row r="104" spans="1:6" s="483" customFormat="1" ht="15.75">
      <c r="A104" s="524" t="s">
        <v>176</v>
      </c>
      <c r="B104" s="83" t="s">
        <v>282</v>
      </c>
      <c r="C104" s="491"/>
      <c r="D104" s="459">
        <f>'B03'!J88</f>
        <v>0</v>
      </c>
      <c r="E104" s="498"/>
      <c r="F104" s="488"/>
    </row>
    <row r="105" spans="1:6" ht="15.75">
      <c r="A105" s="486">
        <v>1</v>
      </c>
      <c r="B105" s="3" t="s">
        <v>283</v>
      </c>
      <c r="C105" s="486" t="s">
        <v>37</v>
      </c>
      <c r="D105" s="25">
        <f>'B03'!J89</f>
        <v>7</v>
      </c>
      <c r="E105" s="498"/>
      <c r="F105" s="488"/>
    </row>
    <row r="106" spans="1:6" ht="6.75" customHeight="1">
      <c r="A106" s="526"/>
      <c r="B106" s="527"/>
      <c r="C106" s="526"/>
      <c r="D106" s="528"/>
      <c r="E106" s="527"/>
    </row>
    <row r="107" spans="1:6">
      <c r="D107" s="530"/>
    </row>
    <row r="109" spans="1:6">
      <c r="D109" s="530"/>
    </row>
    <row r="110" spans="1:6">
      <c r="D110" s="530"/>
    </row>
    <row r="136" spans="5:5" ht="15.75">
      <c r="E136" s="2"/>
    </row>
    <row r="159" spans="2:2" ht="15.75">
      <c r="B159" s="2"/>
    </row>
  </sheetData>
  <mergeCells count="9">
    <mergeCell ref="E6:E7"/>
    <mergeCell ref="D6:D7"/>
    <mergeCell ref="A1:E1"/>
    <mergeCell ref="A2:E2"/>
    <mergeCell ref="A3:E3"/>
    <mergeCell ref="A4:E4"/>
    <mergeCell ref="A6:A7"/>
    <mergeCell ref="B6:B7"/>
    <mergeCell ref="C6:C7"/>
  </mergeCells>
  <pageMargins left="0.70866141732283472" right="0.59055118110236227" top="0.59055118110236227" bottom="0.59055118110236227" header="0.31496062992125984" footer="0.31496062992125984"/>
  <pageSetup paperSize="9" orientation="portrait" cellComments="atEnd" r:id="rId1"/>
  <headerFooter>
    <oddFooter>&amp;C&amp;P/&amp;N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0000FF"/>
  </sheetPr>
  <dimension ref="A1:G159"/>
  <sheetViews>
    <sheetView zoomScale="85" zoomScaleNormal="85" workbookViewId="0">
      <pane xSplit="2" ySplit="7" topLeftCell="C8" activePane="bottomRight" state="frozen"/>
      <selection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9.140625" defaultRowHeight="15"/>
  <cols>
    <col min="1" max="1" width="5" style="529" customWidth="1"/>
    <col min="2" max="2" width="43.140625" style="474" customWidth="1"/>
    <col min="3" max="3" width="11.85546875" style="529" customWidth="1"/>
    <col min="4" max="4" width="13.5703125" style="474" customWidth="1"/>
    <col min="5" max="5" width="15.140625" style="474" customWidth="1"/>
    <col min="6" max="6" width="10.42578125" style="474" bestFit="1" customWidth="1"/>
    <col min="7" max="16384" width="9.140625" style="474"/>
  </cols>
  <sheetData>
    <row r="1" spans="1:7" ht="15.75">
      <c r="A1" s="845" t="s">
        <v>213</v>
      </c>
      <c r="B1" s="845"/>
      <c r="C1" s="845"/>
      <c r="D1" s="845"/>
      <c r="E1" s="845"/>
    </row>
    <row r="2" spans="1:7" s="475" customFormat="1" ht="23.25">
      <c r="A2" s="850" t="s">
        <v>845</v>
      </c>
      <c r="B2" s="850"/>
      <c r="C2" s="850"/>
      <c r="D2" s="850"/>
      <c r="E2" s="850"/>
    </row>
    <row r="3" spans="1:7" s="475" customFormat="1" ht="19.5" customHeight="1">
      <c r="A3" s="851" t="str">
        <f>'B01'!A3:E3</f>
        <v>(Kèm theo Quyết định số 569/QĐ-UBND, ngày 17/12/2018 của UBND huyện Đăk Tô)</v>
      </c>
      <c r="B3" s="851"/>
      <c r="C3" s="851"/>
      <c r="D3" s="851"/>
      <c r="E3" s="851"/>
    </row>
    <row r="4" spans="1:7" s="475" customFormat="1" ht="19.5" customHeight="1">
      <c r="A4" s="849" t="s">
        <v>307</v>
      </c>
      <c r="B4" s="849"/>
      <c r="C4" s="849"/>
      <c r="D4" s="849"/>
      <c r="E4" s="849"/>
    </row>
    <row r="5" spans="1:7">
      <c r="A5" s="476"/>
      <c r="B5" s="476"/>
      <c r="C5" s="474"/>
      <c r="D5" s="477"/>
    </row>
    <row r="6" spans="1:7" s="8" customFormat="1" ht="21.75" customHeight="1">
      <c r="A6" s="771" t="s">
        <v>55</v>
      </c>
      <c r="B6" s="772" t="s">
        <v>69</v>
      </c>
      <c r="C6" s="772" t="s">
        <v>18</v>
      </c>
      <c r="D6" s="766" t="s">
        <v>848</v>
      </c>
      <c r="E6" s="772" t="s">
        <v>75</v>
      </c>
    </row>
    <row r="7" spans="1:7" s="8" customFormat="1" ht="15.75">
      <c r="A7" s="771"/>
      <c r="B7" s="771"/>
      <c r="C7" s="771"/>
      <c r="D7" s="767"/>
      <c r="E7" s="771"/>
    </row>
    <row r="8" spans="1:7" s="483" customFormat="1" ht="19.5" customHeight="1">
      <c r="A8" s="478" t="s">
        <v>40</v>
      </c>
      <c r="B8" s="479" t="s">
        <v>225</v>
      </c>
      <c r="C8" s="480"/>
      <c r="D8" s="481"/>
      <c r="E8" s="482"/>
    </row>
    <row r="9" spans="1:7" s="489" customFormat="1" ht="15.75">
      <c r="A9" s="484" t="s">
        <v>38</v>
      </c>
      <c r="B9" s="485" t="s">
        <v>300</v>
      </c>
      <c r="C9" s="486" t="s">
        <v>37</v>
      </c>
      <c r="D9" s="459">
        <f>'B03'!K8</f>
        <v>700.1</v>
      </c>
      <c r="E9" s="487" t="s">
        <v>226</v>
      </c>
      <c r="F9" s="488"/>
      <c r="G9" s="488"/>
    </row>
    <row r="10" spans="1:7" s="490" customFormat="1" ht="15.75">
      <c r="A10" s="486">
        <v>1</v>
      </c>
      <c r="B10" s="83" t="s">
        <v>227</v>
      </c>
      <c r="C10" s="486"/>
      <c r="D10" s="459">
        <f>'B03'!K9</f>
        <v>0</v>
      </c>
      <c r="E10" s="456"/>
      <c r="F10" s="488"/>
    </row>
    <row r="11" spans="1:7" s="493" customFormat="1" ht="15.75">
      <c r="A11" s="491" t="s">
        <v>56</v>
      </c>
      <c r="B11" s="83" t="s">
        <v>228</v>
      </c>
      <c r="C11" s="491" t="s">
        <v>37</v>
      </c>
      <c r="D11" s="459">
        <f>'B03'!K10</f>
        <v>176</v>
      </c>
      <c r="E11" s="492"/>
      <c r="F11" s="488"/>
    </row>
    <row r="12" spans="1:7" s="494" customFormat="1" ht="15.75">
      <c r="A12" s="484" t="s">
        <v>56</v>
      </c>
      <c r="B12" s="83" t="s">
        <v>229</v>
      </c>
      <c r="C12" s="491" t="s">
        <v>230</v>
      </c>
      <c r="D12" s="459">
        <f>'B03'!K11</f>
        <v>706.40000000000009</v>
      </c>
      <c r="E12" s="492"/>
      <c r="F12" s="488"/>
    </row>
    <row r="13" spans="1:7" s="497" customFormat="1" ht="15.75">
      <c r="A13" s="495"/>
      <c r="B13" s="3" t="s">
        <v>231</v>
      </c>
      <c r="C13" s="486" t="s">
        <v>230</v>
      </c>
      <c r="D13" s="26">
        <f>'B03'!K12</f>
        <v>674.2</v>
      </c>
      <c r="E13" s="496"/>
      <c r="F13" s="488"/>
    </row>
    <row r="14" spans="1:7" s="494" customFormat="1" ht="15.75">
      <c r="A14" s="484"/>
      <c r="B14" s="3" t="s">
        <v>232</v>
      </c>
      <c r="C14" s="486" t="s">
        <v>230</v>
      </c>
      <c r="D14" s="26">
        <f>'B03'!K13</f>
        <v>32.200000000000003</v>
      </c>
      <c r="E14" s="457"/>
      <c r="F14" s="488"/>
    </row>
    <row r="15" spans="1:7" s="2" customFormat="1" ht="15.75">
      <c r="A15" s="486" t="s">
        <v>34</v>
      </c>
      <c r="B15" s="3" t="s">
        <v>233</v>
      </c>
      <c r="C15" s="486"/>
      <c r="D15" s="26">
        <f>'B03'!K14</f>
        <v>0</v>
      </c>
      <c r="E15" s="456"/>
      <c r="F15" s="488"/>
    </row>
    <row r="16" spans="1:7" s="497" customFormat="1" ht="15.75">
      <c r="A16" s="495"/>
      <c r="B16" s="3" t="s">
        <v>234</v>
      </c>
      <c r="C16" s="486" t="s">
        <v>37</v>
      </c>
      <c r="D16" s="26">
        <f>'B03'!K15</f>
        <v>169</v>
      </c>
      <c r="E16" s="498"/>
      <c r="F16" s="488"/>
    </row>
    <row r="17" spans="1:6" s="497" customFormat="1" ht="15.75">
      <c r="A17" s="495"/>
      <c r="B17" s="84" t="s">
        <v>235</v>
      </c>
      <c r="C17" s="495" t="s">
        <v>236</v>
      </c>
      <c r="D17" s="25">
        <f>'B03'!K16</f>
        <v>39.893491124260358</v>
      </c>
      <c r="E17" s="499"/>
      <c r="F17" s="488"/>
    </row>
    <row r="18" spans="1:6" ht="15.75">
      <c r="A18" s="486"/>
      <c r="B18" s="3" t="s">
        <v>293</v>
      </c>
      <c r="C18" s="486" t="s">
        <v>230</v>
      </c>
      <c r="D18" s="26">
        <f>'B03'!K17</f>
        <v>674.2</v>
      </c>
      <c r="E18" s="498"/>
      <c r="F18" s="488"/>
    </row>
    <row r="19" spans="1:6" ht="15.75">
      <c r="A19" s="486"/>
      <c r="B19" s="3" t="s">
        <v>237</v>
      </c>
      <c r="C19" s="486"/>
      <c r="D19" s="26">
        <f>'B03'!K18</f>
        <v>0</v>
      </c>
      <c r="E19" s="500"/>
      <c r="F19" s="488"/>
    </row>
    <row r="20" spans="1:6" s="497" customFormat="1" ht="15.75">
      <c r="A20" s="495"/>
      <c r="B20" s="3" t="s">
        <v>291</v>
      </c>
      <c r="C20" s="486" t="s">
        <v>37</v>
      </c>
      <c r="D20" s="26">
        <f>'B03'!K19</f>
        <v>80</v>
      </c>
      <c r="E20" s="498"/>
      <c r="F20" s="488"/>
    </row>
    <row r="21" spans="1:6" s="497" customFormat="1" ht="15.75">
      <c r="A21" s="495"/>
      <c r="B21" s="84" t="s">
        <v>239</v>
      </c>
      <c r="C21" s="495" t="s">
        <v>236</v>
      </c>
      <c r="D21" s="25">
        <f>'B03'!K20</f>
        <v>42</v>
      </c>
      <c r="E21" s="499"/>
      <c r="F21" s="488"/>
    </row>
    <row r="22" spans="1:6" ht="15.75">
      <c r="A22" s="486"/>
      <c r="B22" s="3" t="s">
        <v>290</v>
      </c>
      <c r="C22" s="486" t="s">
        <v>230</v>
      </c>
      <c r="D22" s="26">
        <f>'B03'!K21</f>
        <v>336</v>
      </c>
      <c r="E22" s="498"/>
      <c r="F22" s="488"/>
    </row>
    <row r="23" spans="1:6" ht="15.75">
      <c r="A23" s="486"/>
      <c r="B23" s="3" t="s">
        <v>240</v>
      </c>
      <c r="C23" s="486"/>
      <c r="D23" s="26">
        <f>'B03'!K22</f>
        <v>0</v>
      </c>
      <c r="E23" s="500"/>
      <c r="F23" s="488"/>
    </row>
    <row r="24" spans="1:6" s="497" customFormat="1" ht="15.75">
      <c r="A24" s="495"/>
      <c r="B24" s="3" t="s">
        <v>291</v>
      </c>
      <c r="C24" s="486" t="s">
        <v>37</v>
      </c>
      <c r="D24" s="26">
        <f>'B03'!K23</f>
        <v>89</v>
      </c>
      <c r="E24" s="498"/>
      <c r="F24" s="488"/>
    </row>
    <row r="25" spans="1:6" s="497" customFormat="1" ht="15.75">
      <c r="A25" s="495"/>
      <c r="B25" s="84" t="s">
        <v>239</v>
      </c>
      <c r="C25" s="495" t="s">
        <v>236</v>
      </c>
      <c r="D25" s="25">
        <f>'B03'!K24</f>
        <v>38</v>
      </c>
      <c r="E25" s="499"/>
      <c r="F25" s="488"/>
    </row>
    <row r="26" spans="1:6" ht="15.75">
      <c r="A26" s="486"/>
      <c r="B26" s="3" t="s">
        <v>290</v>
      </c>
      <c r="C26" s="486" t="s">
        <v>230</v>
      </c>
      <c r="D26" s="26">
        <f>'B03'!K25</f>
        <v>338.2</v>
      </c>
      <c r="E26" s="498"/>
      <c r="F26" s="488"/>
    </row>
    <row r="27" spans="1:6" ht="15.75" customHeight="1">
      <c r="A27" s="486"/>
      <c r="B27" s="501" t="s">
        <v>241</v>
      </c>
      <c r="C27" s="486"/>
      <c r="D27" s="26">
        <f>'B03'!K26</f>
        <v>0</v>
      </c>
      <c r="E27" s="500"/>
      <c r="F27" s="488"/>
    </row>
    <row r="28" spans="1:6" s="497" customFormat="1" ht="15.75">
      <c r="A28" s="495"/>
      <c r="B28" s="3" t="s">
        <v>291</v>
      </c>
      <c r="C28" s="486" t="s">
        <v>37</v>
      </c>
      <c r="D28" s="26">
        <f>'B03'!K27</f>
        <v>89</v>
      </c>
      <c r="E28" s="498"/>
      <c r="F28" s="488"/>
    </row>
    <row r="29" spans="1:6" s="497" customFormat="1" ht="15.75">
      <c r="A29" s="495"/>
      <c r="B29" s="84" t="s">
        <v>239</v>
      </c>
      <c r="C29" s="495" t="s">
        <v>236</v>
      </c>
      <c r="D29" s="25">
        <f>'B03'!K28</f>
        <v>38</v>
      </c>
      <c r="E29" s="499"/>
      <c r="F29" s="488"/>
    </row>
    <row r="30" spans="1:6" ht="15.75">
      <c r="A30" s="486"/>
      <c r="B30" s="3" t="s">
        <v>290</v>
      </c>
      <c r="C30" s="486" t="s">
        <v>230</v>
      </c>
      <c r="D30" s="26">
        <f>'B03'!K29</f>
        <v>338.2</v>
      </c>
      <c r="E30" s="498"/>
      <c r="F30" s="488"/>
    </row>
    <row r="31" spans="1:6" ht="15.75">
      <c r="A31" s="486"/>
      <c r="B31" s="3" t="s">
        <v>242</v>
      </c>
      <c r="C31" s="486"/>
      <c r="D31" s="26">
        <f>'B03'!K30</f>
        <v>0</v>
      </c>
      <c r="E31" s="500"/>
      <c r="F31" s="488"/>
    </row>
    <row r="32" spans="1:6" s="497" customFormat="1" ht="15.75">
      <c r="A32" s="495"/>
      <c r="B32" s="3" t="s">
        <v>291</v>
      </c>
      <c r="C32" s="486" t="s">
        <v>37</v>
      </c>
      <c r="D32" s="26">
        <f>'B03'!K31</f>
        <v>0</v>
      </c>
      <c r="E32" s="498"/>
      <c r="F32" s="488"/>
    </row>
    <row r="33" spans="1:6" ht="15.75">
      <c r="A33" s="486"/>
      <c r="B33" s="84" t="s">
        <v>239</v>
      </c>
      <c r="C33" s="495" t="s">
        <v>236</v>
      </c>
      <c r="D33" s="25">
        <f>'B03'!K32</f>
        <v>0</v>
      </c>
      <c r="E33" s="502"/>
      <c r="F33" s="488"/>
    </row>
    <row r="34" spans="1:6" ht="15.75">
      <c r="A34" s="486"/>
      <c r="B34" s="3" t="s">
        <v>290</v>
      </c>
      <c r="C34" s="486" t="s">
        <v>230</v>
      </c>
      <c r="D34" s="26">
        <f>'B03'!K33</f>
        <v>0</v>
      </c>
      <c r="E34" s="498"/>
      <c r="F34" s="488"/>
    </row>
    <row r="35" spans="1:6" s="2" customFormat="1" ht="15.75">
      <c r="A35" s="486" t="s">
        <v>35</v>
      </c>
      <c r="B35" s="3" t="s">
        <v>243</v>
      </c>
      <c r="C35" s="486"/>
      <c r="D35" s="26">
        <f>'B03'!K34</f>
        <v>0</v>
      </c>
      <c r="E35" s="500"/>
      <c r="F35" s="488"/>
    </row>
    <row r="36" spans="1:6" s="497" customFormat="1" ht="15.75">
      <c r="A36" s="495"/>
      <c r="B36" s="503" t="s">
        <v>234</v>
      </c>
      <c r="C36" s="486" t="s">
        <v>37</v>
      </c>
      <c r="D36" s="26">
        <f>'B03'!K35</f>
        <v>7</v>
      </c>
      <c r="E36" s="498"/>
      <c r="F36" s="488"/>
    </row>
    <row r="37" spans="1:6" ht="15.75">
      <c r="A37" s="486"/>
      <c r="B37" s="504" t="s">
        <v>235</v>
      </c>
      <c r="C37" s="495" t="s">
        <v>236</v>
      </c>
      <c r="D37" s="25">
        <f>'B03'!K36</f>
        <v>46.000000000000007</v>
      </c>
      <c r="E37" s="502"/>
      <c r="F37" s="488"/>
    </row>
    <row r="38" spans="1:6" ht="15.75">
      <c r="A38" s="486"/>
      <c r="B38" s="503" t="s">
        <v>293</v>
      </c>
      <c r="C38" s="486" t="s">
        <v>230</v>
      </c>
      <c r="D38" s="26">
        <f>'B03'!K37</f>
        <v>32.200000000000003</v>
      </c>
      <c r="E38" s="498"/>
      <c r="F38" s="488"/>
    </row>
    <row r="39" spans="1:6" ht="15.75">
      <c r="A39" s="486"/>
      <c r="B39" s="3" t="s">
        <v>244</v>
      </c>
      <c r="C39" s="486"/>
      <c r="D39" s="26">
        <f>'B03'!K38</f>
        <v>0</v>
      </c>
      <c r="E39" s="500"/>
      <c r="F39" s="488"/>
    </row>
    <row r="40" spans="1:6" s="497" customFormat="1" ht="15.75">
      <c r="A40" s="495"/>
      <c r="B40" s="503" t="s">
        <v>238</v>
      </c>
      <c r="C40" s="486" t="s">
        <v>37</v>
      </c>
      <c r="D40" s="26">
        <f>'B03'!K39</f>
        <v>0</v>
      </c>
      <c r="E40" s="498"/>
      <c r="F40" s="488"/>
    </row>
    <row r="41" spans="1:6" ht="15.75">
      <c r="A41" s="486"/>
      <c r="B41" s="504" t="s">
        <v>239</v>
      </c>
      <c r="C41" s="495" t="s">
        <v>236</v>
      </c>
      <c r="D41" s="25">
        <f>'B03'!K40</f>
        <v>0</v>
      </c>
      <c r="E41" s="502"/>
      <c r="F41" s="488"/>
    </row>
    <row r="42" spans="1:6" ht="15.75">
      <c r="A42" s="486"/>
      <c r="B42" s="3" t="s">
        <v>290</v>
      </c>
      <c r="C42" s="486" t="s">
        <v>230</v>
      </c>
      <c r="D42" s="26">
        <f>'B03'!K41</f>
        <v>0</v>
      </c>
      <c r="E42" s="498"/>
      <c r="F42" s="488"/>
    </row>
    <row r="43" spans="1:6" ht="15.75">
      <c r="A43" s="486"/>
      <c r="B43" s="3" t="s">
        <v>245</v>
      </c>
      <c r="C43" s="486"/>
      <c r="D43" s="26">
        <f>'B03'!K42</f>
        <v>0</v>
      </c>
      <c r="E43" s="500"/>
      <c r="F43" s="488"/>
    </row>
    <row r="44" spans="1:6" s="497" customFormat="1" ht="15.75">
      <c r="A44" s="495"/>
      <c r="B44" s="503" t="s">
        <v>238</v>
      </c>
      <c r="C44" s="486" t="s">
        <v>37</v>
      </c>
      <c r="D44" s="26">
        <f>'B03'!K43</f>
        <v>7</v>
      </c>
      <c r="E44" s="498"/>
      <c r="F44" s="488"/>
    </row>
    <row r="45" spans="1:6" s="497" customFormat="1" ht="15.75">
      <c r="A45" s="495"/>
      <c r="B45" s="504" t="s">
        <v>239</v>
      </c>
      <c r="C45" s="495" t="s">
        <v>236</v>
      </c>
      <c r="D45" s="25">
        <f>'B03'!K44</f>
        <v>46</v>
      </c>
      <c r="E45" s="499"/>
      <c r="F45" s="488"/>
    </row>
    <row r="46" spans="1:6" ht="15.75">
      <c r="A46" s="486"/>
      <c r="B46" s="3" t="s">
        <v>290</v>
      </c>
      <c r="C46" s="486" t="s">
        <v>230</v>
      </c>
      <c r="D46" s="26">
        <f>'B03'!K45</f>
        <v>32.200000000000003</v>
      </c>
      <c r="E46" s="498"/>
      <c r="F46" s="488"/>
    </row>
    <row r="47" spans="1:6" ht="15.75">
      <c r="A47" s="486">
        <v>2</v>
      </c>
      <c r="B47" s="3" t="s">
        <v>246</v>
      </c>
      <c r="C47" s="486"/>
      <c r="D47" s="26">
        <f>'B03'!K46</f>
        <v>0</v>
      </c>
      <c r="E47" s="498"/>
      <c r="F47" s="488"/>
    </row>
    <row r="48" spans="1:6" s="497" customFormat="1" ht="15.75" customHeight="1">
      <c r="A48" s="495"/>
      <c r="B48" s="503" t="s">
        <v>238</v>
      </c>
      <c r="C48" s="486" t="s">
        <v>37</v>
      </c>
      <c r="D48" s="26">
        <f>'B03'!K47</f>
        <v>500</v>
      </c>
      <c r="E48" s="498"/>
      <c r="F48" s="488"/>
    </row>
    <row r="49" spans="1:6" s="497" customFormat="1" ht="15.75">
      <c r="A49" s="495"/>
      <c r="B49" s="504" t="s">
        <v>239</v>
      </c>
      <c r="C49" s="495" t="s">
        <v>236</v>
      </c>
      <c r="D49" s="25">
        <f>'B03'!K48</f>
        <v>150</v>
      </c>
      <c r="E49" s="499"/>
      <c r="F49" s="488"/>
    </row>
    <row r="50" spans="1:6" ht="15.75">
      <c r="A50" s="486"/>
      <c r="B50" s="3" t="s">
        <v>290</v>
      </c>
      <c r="C50" s="486" t="s">
        <v>230</v>
      </c>
      <c r="D50" s="26">
        <f>'B03'!K49</f>
        <v>7500</v>
      </c>
      <c r="E50" s="498"/>
      <c r="F50" s="488"/>
    </row>
    <row r="51" spans="1:6" ht="15.75">
      <c r="A51" s="32">
        <v>3</v>
      </c>
      <c r="B51" s="35" t="s">
        <v>317</v>
      </c>
      <c r="C51" s="32" t="s">
        <v>37</v>
      </c>
      <c r="D51" s="26">
        <f>'B03'!K50</f>
        <v>10.1</v>
      </c>
      <c r="E51" s="498"/>
      <c r="F51" s="488"/>
    </row>
    <row r="52" spans="1:6" ht="15.75">
      <c r="A52" s="39"/>
      <c r="B52" s="35" t="s">
        <v>123</v>
      </c>
      <c r="C52" s="32" t="s">
        <v>37</v>
      </c>
      <c r="D52" s="26">
        <f>'B03'!K51</f>
        <v>0</v>
      </c>
      <c r="E52" s="498"/>
      <c r="F52" s="488"/>
    </row>
    <row r="53" spans="1:6" ht="15.75">
      <c r="A53" s="39"/>
      <c r="B53" s="37" t="s">
        <v>315</v>
      </c>
      <c r="C53" s="34" t="s">
        <v>21</v>
      </c>
      <c r="D53" s="25">
        <f>'B03'!K52</f>
        <v>800</v>
      </c>
      <c r="E53" s="498"/>
      <c r="F53" s="488"/>
    </row>
    <row r="54" spans="1:6" ht="15.75">
      <c r="A54" s="39"/>
      <c r="B54" s="37" t="s">
        <v>316</v>
      </c>
      <c r="C54" s="34" t="s">
        <v>76</v>
      </c>
      <c r="D54" s="26">
        <f>'B03'!K53</f>
        <v>808</v>
      </c>
      <c r="E54" s="498"/>
      <c r="F54" s="488"/>
    </row>
    <row r="55" spans="1:6" s="497" customFormat="1" ht="15.75">
      <c r="A55" s="495">
        <v>4</v>
      </c>
      <c r="B55" s="505" t="s">
        <v>136</v>
      </c>
      <c r="C55" s="486"/>
      <c r="D55" s="26">
        <f>'B03'!K54</f>
        <v>0</v>
      </c>
      <c r="E55" s="498"/>
      <c r="F55" s="488"/>
    </row>
    <row r="56" spans="1:6" s="497" customFormat="1" ht="15.75">
      <c r="A56" s="495"/>
      <c r="B56" s="505" t="s">
        <v>26</v>
      </c>
      <c r="C56" s="486" t="s">
        <v>37</v>
      </c>
      <c r="D56" s="26">
        <f>'B03'!K55</f>
        <v>14</v>
      </c>
      <c r="E56" s="498"/>
      <c r="F56" s="488"/>
    </row>
    <row r="57" spans="1:6" s="497" customFormat="1" ht="15.75">
      <c r="A57" s="495"/>
      <c r="B57" s="506" t="s">
        <v>27</v>
      </c>
      <c r="C57" s="507" t="s">
        <v>21</v>
      </c>
      <c r="D57" s="25">
        <f>'B03'!K56</f>
        <v>110</v>
      </c>
      <c r="E57" s="508"/>
      <c r="F57" s="488"/>
    </row>
    <row r="58" spans="1:6" ht="15.75">
      <c r="A58" s="486"/>
      <c r="B58" s="505" t="s">
        <v>28</v>
      </c>
      <c r="C58" s="509" t="s">
        <v>76</v>
      </c>
      <c r="D58" s="26">
        <f>'B03'!K57</f>
        <v>169</v>
      </c>
      <c r="E58" s="498"/>
      <c r="F58" s="488"/>
    </row>
    <row r="59" spans="1:6" ht="15.75">
      <c r="A59" s="486"/>
      <c r="B59" s="40" t="s">
        <v>318</v>
      </c>
      <c r="C59" s="21"/>
      <c r="D59" s="26">
        <f>'B03'!K58</f>
        <v>0</v>
      </c>
      <c r="E59" s="498"/>
      <c r="F59" s="488"/>
    </row>
    <row r="60" spans="1:6" ht="15.75">
      <c r="A60" s="486"/>
      <c r="B60" s="510" t="s">
        <v>178</v>
      </c>
      <c r="C60" s="41" t="s">
        <v>37</v>
      </c>
      <c r="D60" s="26">
        <f>'B03'!K59</f>
        <v>6</v>
      </c>
      <c r="E60" s="498"/>
      <c r="F60" s="488"/>
    </row>
    <row r="61" spans="1:6" ht="15.75">
      <c r="A61" s="486"/>
      <c r="B61" s="510" t="s">
        <v>179</v>
      </c>
      <c r="C61" s="41" t="s">
        <v>21</v>
      </c>
      <c r="D61" s="25">
        <f>'B03'!K60</f>
        <v>135</v>
      </c>
      <c r="E61" s="498"/>
      <c r="F61" s="488"/>
    </row>
    <row r="62" spans="1:6" ht="15.75">
      <c r="A62" s="486"/>
      <c r="B62" s="510" t="s">
        <v>180</v>
      </c>
      <c r="C62" s="41" t="s">
        <v>76</v>
      </c>
      <c r="D62" s="26">
        <f>'B03'!K61</f>
        <v>81</v>
      </c>
      <c r="E62" s="498"/>
      <c r="F62" s="488"/>
    </row>
    <row r="63" spans="1:6" ht="15.75">
      <c r="A63" s="486"/>
      <c r="B63" s="511" t="s">
        <v>319</v>
      </c>
      <c r="C63" s="21"/>
      <c r="D63" s="26">
        <f>'B03'!K62</f>
        <v>0</v>
      </c>
      <c r="E63" s="498"/>
      <c r="F63" s="488"/>
    </row>
    <row r="64" spans="1:6" ht="15.75">
      <c r="A64" s="486"/>
      <c r="B64" s="510" t="s">
        <v>178</v>
      </c>
      <c r="C64" s="41" t="s">
        <v>37</v>
      </c>
      <c r="D64" s="26">
        <f>'B03'!K63</f>
        <v>8</v>
      </c>
      <c r="E64" s="498"/>
      <c r="F64" s="488"/>
    </row>
    <row r="65" spans="1:6" ht="15.75">
      <c r="A65" s="486"/>
      <c r="B65" s="510" t="s">
        <v>179</v>
      </c>
      <c r="C65" s="41" t="s">
        <v>21</v>
      </c>
      <c r="D65" s="25">
        <f>'B03'!K64</f>
        <v>110</v>
      </c>
      <c r="E65" s="498"/>
      <c r="F65" s="488"/>
    </row>
    <row r="66" spans="1:6" ht="15.75">
      <c r="A66" s="486"/>
      <c r="B66" s="510" t="s">
        <v>180</v>
      </c>
      <c r="C66" s="41" t="s">
        <v>76</v>
      </c>
      <c r="D66" s="26">
        <f>'B03'!K65</f>
        <v>88</v>
      </c>
      <c r="E66" s="498"/>
      <c r="F66" s="488"/>
    </row>
    <row r="67" spans="1:6" s="483" customFormat="1" ht="19.5" customHeight="1">
      <c r="A67" s="491" t="s">
        <v>39</v>
      </c>
      <c r="B67" s="83" t="s">
        <v>247</v>
      </c>
      <c r="C67" s="491"/>
      <c r="D67" s="459">
        <f>'B03'!K66</f>
        <v>717.2</v>
      </c>
      <c r="E67" s="457"/>
      <c r="F67" s="488"/>
    </row>
    <row r="68" spans="1:6" s="489" customFormat="1" ht="15.75">
      <c r="A68" s="484">
        <v>1</v>
      </c>
      <c r="B68" s="305" t="s">
        <v>248</v>
      </c>
      <c r="C68" s="484" t="s">
        <v>37</v>
      </c>
      <c r="D68" s="459">
        <f>'B03'!K67</f>
        <v>502.2</v>
      </c>
      <c r="E68" s="512"/>
      <c r="F68" s="488"/>
    </row>
    <row r="69" spans="1:6" ht="17.25" customHeight="1">
      <c r="A69" s="486" t="s">
        <v>34</v>
      </c>
      <c r="B69" s="3" t="s">
        <v>249</v>
      </c>
      <c r="C69" s="486" t="s">
        <v>37</v>
      </c>
      <c r="D69" s="26">
        <f>'B03'!K68</f>
        <v>152</v>
      </c>
      <c r="E69" s="456"/>
      <c r="F69" s="488"/>
    </row>
    <row r="70" spans="1:6" ht="17.25" hidden="1" customHeight="1">
      <c r="A70" s="513"/>
      <c r="B70" s="514" t="s">
        <v>361</v>
      </c>
      <c r="C70" s="486" t="s">
        <v>37</v>
      </c>
      <c r="D70" s="26">
        <f>'B03'!K69</f>
        <v>105</v>
      </c>
      <c r="E70" s="515"/>
      <c r="F70" s="488"/>
    </row>
    <row r="71" spans="1:6" ht="17.25" hidden="1" customHeight="1">
      <c r="A71" s="513"/>
      <c r="B71" s="514"/>
      <c r="C71" s="486"/>
      <c r="D71" s="26">
        <f>'B03'!K70</f>
        <v>42</v>
      </c>
      <c r="E71" s="515"/>
      <c r="F71" s="488"/>
    </row>
    <row r="72" spans="1:6" ht="15.75">
      <c r="A72" s="495"/>
      <c r="B72" s="84" t="s">
        <v>250</v>
      </c>
      <c r="C72" s="495" t="s">
        <v>37</v>
      </c>
      <c r="D72" s="26">
        <f>'B03'!K72</f>
        <v>5</v>
      </c>
      <c r="E72" s="456"/>
      <c r="F72" s="488"/>
    </row>
    <row r="73" spans="1:6" ht="18" customHeight="1">
      <c r="A73" s="486"/>
      <c r="B73" s="3" t="s">
        <v>251</v>
      </c>
      <c r="C73" s="486" t="s">
        <v>37</v>
      </c>
      <c r="D73" s="26">
        <f>'B03'!K73</f>
        <v>74</v>
      </c>
      <c r="E73" s="456"/>
      <c r="F73" s="488"/>
    </row>
    <row r="74" spans="1:6" ht="18" hidden="1" customHeight="1">
      <c r="A74" s="513"/>
      <c r="B74" s="514" t="s">
        <v>362</v>
      </c>
      <c r="C74" s="513" t="s">
        <v>37</v>
      </c>
      <c r="D74" s="26" t="e">
        <f>'B03'!#REF!</f>
        <v>#REF!</v>
      </c>
      <c r="E74" s="515"/>
      <c r="F74" s="488"/>
    </row>
    <row r="75" spans="1:6" ht="18" hidden="1" customHeight="1">
      <c r="A75" s="513"/>
      <c r="B75" s="514" t="s">
        <v>363</v>
      </c>
      <c r="C75" s="513" t="s">
        <v>37</v>
      </c>
      <c r="D75" s="26" t="e">
        <f>'B03'!#REF!</f>
        <v>#REF!</v>
      </c>
      <c r="E75" s="515"/>
      <c r="F75" s="488"/>
    </row>
    <row r="76" spans="1:6" ht="18" hidden="1" customHeight="1">
      <c r="A76" s="513"/>
      <c r="B76" s="514" t="s">
        <v>364</v>
      </c>
      <c r="C76" s="513" t="s">
        <v>37</v>
      </c>
      <c r="D76" s="26" t="e">
        <f>'B03'!#REF!</f>
        <v>#REF!</v>
      </c>
      <c r="E76" s="515"/>
      <c r="F76" s="488"/>
    </row>
    <row r="77" spans="1:6" s="497" customFormat="1" ht="15.75">
      <c r="A77" s="495"/>
      <c r="B77" s="84" t="s">
        <v>252</v>
      </c>
      <c r="C77" s="495" t="s">
        <v>236</v>
      </c>
      <c r="D77" s="25">
        <f>'B03'!K74</f>
        <v>32</v>
      </c>
      <c r="E77" s="516"/>
      <c r="F77" s="488"/>
    </row>
    <row r="78" spans="1:6" ht="15.75">
      <c r="A78" s="486"/>
      <c r="B78" s="3" t="s">
        <v>301</v>
      </c>
      <c r="C78" s="486" t="s">
        <v>230</v>
      </c>
      <c r="D78" s="26">
        <f>'B03'!K75</f>
        <v>236.8</v>
      </c>
      <c r="E78" s="498"/>
      <c r="F78" s="488"/>
    </row>
    <row r="79" spans="1:6" ht="15.75">
      <c r="A79" s="486" t="s">
        <v>35</v>
      </c>
      <c r="B79" s="3" t="s">
        <v>253</v>
      </c>
      <c r="C79" s="486" t="s">
        <v>37</v>
      </c>
      <c r="D79" s="26">
        <f>'B03'!K76</f>
        <v>350.2</v>
      </c>
      <c r="E79" s="498"/>
      <c r="F79" s="488"/>
    </row>
    <row r="80" spans="1:6" s="497" customFormat="1" ht="15.75">
      <c r="A80" s="495"/>
      <c r="B80" s="84" t="s">
        <v>292</v>
      </c>
      <c r="C80" s="495" t="s">
        <v>37</v>
      </c>
      <c r="D80" s="26">
        <f>'B03'!K77</f>
        <v>0</v>
      </c>
      <c r="E80" s="496"/>
      <c r="F80" s="488"/>
    </row>
    <row r="81" spans="1:6" ht="15.75">
      <c r="A81" s="486"/>
      <c r="B81" s="3" t="s">
        <v>251</v>
      </c>
      <c r="C81" s="486" t="s">
        <v>37</v>
      </c>
      <c r="D81" s="26">
        <f>'B03'!K78</f>
        <v>270</v>
      </c>
      <c r="E81" s="456"/>
      <c r="F81" s="488"/>
    </row>
    <row r="82" spans="1:6" s="517" customFormat="1" ht="15.75" hidden="1">
      <c r="A82" s="513"/>
      <c r="B82" s="514" t="s">
        <v>362</v>
      </c>
      <c r="C82" s="513" t="s">
        <v>37</v>
      </c>
      <c r="D82" s="26" t="e">
        <f>'B03'!#REF!</f>
        <v>#REF!</v>
      </c>
      <c r="E82" s="515"/>
      <c r="F82" s="488"/>
    </row>
    <row r="83" spans="1:6" ht="15.75" hidden="1">
      <c r="A83" s="486"/>
      <c r="B83" s="518" t="s">
        <v>365</v>
      </c>
      <c r="C83" s="513" t="s">
        <v>37</v>
      </c>
      <c r="D83" s="26" t="e">
        <f>'B03'!#REF!</f>
        <v>#REF!</v>
      </c>
      <c r="E83" s="456"/>
      <c r="F83" s="488"/>
    </row>
    <row r="84" spans="1:6" ht="15.75" hidden="1">
      <c r="A84" s="486"/>
      <c r="B84" s="518" t="s">
        <v>366</v>
      </c>
      <c r="C84" s="513" t="s">
        <v>37</v>
      </c>
      <c r="D84" s="26" t="e">
        <f>'B03'!#REF!</f>
        <v>#REF!</v>
      </c>
      <c r="E84" s="456"/>
      <c r="F84" s="488"/>
    </row>
    <row r="85" spans="1:6" ht="15.75" hidden="1">
      <c r="A85" s="486"/>
      <c r="B85" s="518" t="s">
        <v>367</v>
      </c>
      <c r="C85" s="513" t="s">
        <v>37</v>
      </c>
      <c r="D85" s="26" t="e">
        <f>'B03'!#REF!</f>
        <v>#REF!</v>
      </c>
      <c r="E85" s="456"/>
      <c r="F85" s="488"/>
    </row>
    <row r="86" spans="1:6" ht="15.75" hidden="1">
      <c r="A86" s="486"/>
      <c r="B86" s="514" t="s">
        <v>368</v>
      </c>
      <c r="C86" s="519"/>
      <c r="D86" s="26" t="e">
        <f>'B03'!#REF!</f>
        <v>#REF!</v>
      </c>
      <c r="E86" s="456"/>
      <c r="F86" s="488"/>
    </row>
    <row r="87" spans="1:6" ht="15.75" hidden="1">
      <c r="A87" s="486"/>
      <c r="B87" s="514"/>
      <c r="C87" s="519"/>
      <c r="D87" s="26" t="e">
        <f>'B03'!#REF!</f>
        <v>#REF!</v>
      </c>
      <c r="E87" s="456"/>
      <c r="F87" s="488"/>
    </row>
    <row r="88" spans="1:6" s="497" customFormat="1" ht="15.75">
      <c r="A88" s="495"/>
      <c r="B88" s="84" t="s">
        <v>252</v>
      </c>
      <c r="C88" s="495" t="s">
        <v>236</v>
      </c>
      <c r="D88" s="25">
        <f>'B03'!K79</f>
        <v>12.5</v>
      </c>
      <c r="E88" s="520"/>
      <c r="F88" s="488"/>
    </row>
    <row r="89" spans="1:6" ht="15.75" customHeight="1">
      <c r="A89" s="486"/>
      <c r="B89" s="3" t="s">
        <v>301</v>
      </c>
      <c r="C89" s="486" t="s">
        <v>230</v>
      </c>
      <c r="D89" s="26">
        <f>'B03'!K80</f>
        <v>337.5</v>
      </c>
      <c r="E89" s="521"/>
      <c r="F89" s="488"/>
    </row>
    <row r="90" spans="1:6" ht="15.75">
      <c r="A90" s="486">
        <v>2</v>
      </c>
      <c r="B90" s="3" t="s">
        <v>254</v>
      </c>
      <c r="C90" s="486" t="s">
        <v>37</v>
      </c>
      <c r="D90" s="26">
        <f>'B03'!K81</f>
        <v>215</v>
      </c>
      <c r="E90" s="498"/>
      <c r="F90" s="488"/>
    </row>
    <row r="91" spans="1:6" ht="15.75">
      <c r="A91" s="486"/>
      <c r="B91" s="84" t="s">
        <v>255</v>
      </c>
      <c r="C91" s="495" t="s">
        <v>37</v>
      </c>
      <c r="D91" s="26">
        <f>'B03'!K82</f>
        <v>0</v>
      </c>
      <c r="E91" s="498"/>
      <c r="F91" s="488"/>
    </row>
    <row r="92" spans="1:6" ht="19.5" hidden="1" customHeight="1">
      <c r="A92" s="513"/>
      <c r="B92" s="522" t="s">
        <v>369</v>
      </c>
      <c r="C92" s="523" t="s">
        <v>37</v>
      </c>
      <c r="D92" s="459" t="e">
        <f>'B03'!#REF!</f>
        <v>#REF!</v>
      </c>
      <c r="E92" s="498"/>
      <c r="F92" s="488"/>
    </row>
    <row r="93" spans="1:6" ht="19.5" hidden="1" customHeight="1">
      <c r="A93" s="513"/>
      <c r="B93" s="522" t="s">
        <v>370</v>
      </c>
      <c r="C93" s="523" t="s">
        <v>37</v>
      </c>
      <c r="D93" s="459" t="e">
        <f>'B03'!#REF!</f>
        <v>#REF!</v>
      </c>
      <c r="E93" s="498"/>
      <c r="F93" s="488"/>
    </row>
    <row r="94" spans="1:6" ht="19.5" hidden="1" customHeight="1">
      <c r="A94" s="513"/>
      <c r="B94" s="522" t="s">
        <v>361</v>
      </c>
      <c r="C94" s="523" t="s">
        <v>37</v>
      </c>
      <c r="D94" s="459" t="e">
        <f>'B03'!#REF!</f>
        <v>#REF!</v>
      </c>
      <c r="E94" s="498"/>
      <c r="F94" s="488"/>
    </row>
    <row r="95" spans="1:6" s="483" customFormat="1" ht="15.75">
      <c r="A95" s="524" t="s">
        <v>43</v>
      </c>
      <c r="B95" s="83" t="s">
        <v>256</v>
      </c>
      <c r="C95" s="491"/>
      <c r="D95" s="459">
        <f>'B03'!K83</f>
        <v>0</v>
      </c>
      <c r="E95" s="498"/>
      <c r="F95" s="488"/>
    </row>
    <row r="96" spans="1:6" ht="15.75">
      <c r="A96" s="486">
        <v>1</v>
      </c>
      <c r="B96" s="3" t="s">
        <v>257</v>
      </c>
      <c r="C96" s="486" t="s">
        <v>54</v>
      </c>
      <c r="D96" s="26">
        <f>'B03'!K84</f>
        <v>140</v>
      </c>
      <c r="E96" s="498"/>
      <c r="F96" s="488"/>
    </row>
    <row r="97" spans="1:6" s="517" customFormat="1" ht="15.75" hidden="1">
      <c r="A97" s="513"/>
      <c r="B97" s="514" t="s">
        <v>371</v>
      </c>
      <c r="C97" s="513"/>
      <c r="D97" s="26" t="e">
        <f>'B03'!#REF!</f>
        <v>#REF!</v>
      </c>
      <c r="E97" s="525"/>
      <c r="F97" s="488"/>
    </row>
    <row r="98" spans="1:6" ht="15.75">
      <c r="A98" s="486">
        <v>2</v>
      </c>
      <c r="B98" s="3" t="s">
        <v>258</v>
      </c>
      <c r="C98" s="486" t="s">
        <v>54</v>
      </c>
      <c r="D98" s="26">
        <f>'B03'!K85</f>
        <v>570</v>
      </c>
      <c r="E98" s="498"/>
      <c r="F98" s="488"/>
    </row>
    <row r="99" spans="1:6" s="517" customFormat="1" ht="15.75" hidden="1">
      <c r="A99" s="513"/>
      <c r="B99" s="514" t="s">
        <v>372</v>
      </c>
      <c r="C99" s="513"/>
      <c r="D99" s="26" t="e">
        <f>'B03'!#REF!</f>
        <v>#REF!</v>
      </c>
      <c r="E99" s="525"/>
      <c r="F99" s="488"/>
    </row>
    <row r="100" spans="1:6" ht="15" customHeight="1">
      <c r="A100" s="486">
        <v>3</v>
      </c>
      <c r="B100" s="3" t="s">
        <v>259</v>
      </c>
      <c r="C100" s="486" t="s">
        <v>54</v>
      </c>
      <c r="D100" s="26">
        <f>'B03'!K86</f>
        <v>600</v>
      </c>
      <c r="E100" s="498"/>
      <c r="F100" s="488"/>
    </row>
    <row r="101" spans="1:6" s="517" customFormat="1" ht="15" hidden="1" customHeight="1">
      <c r="A101" s="513"/>
      <c r="B101" s="514" t="s">
        <v>373</v>
      </c>
      <c r="C101" s="513"/>
      <c r="D101" s="26" t="e">
        <f>'B03'!#REF!</f>
        <v>#REF!</v>
      </c>
      <c r="E101" s="525"/>
      <c r="F101" s="488"/>
    </row>
    <row r="102" spans="1:6" ht="15" customHeight="1">
      <c r="A102" s="486">
        <v>4</v>
      </c>
      <c r="B102" s="3" t="s">
        <v>260</v>
      </c>
      <c r="C102" s="486" t="s">
        <v>54</v>
      </c>
      <c r="D102" s="26">
        <f>'B03'!K87</f>
        <v>7000</v>
      </c>
      <c r="E102" s="498"/>
      <c r="F102" s="488"/>
    </row>
    <row r="103" spans="1:6" s="517" customFormat="1" ht="15" hidden="1" customHeight="1">
      <c r="A103" s="513"/>
      <c r="B103" s="514" t="s">
        <v>374</v>
      </c>
      <c r="C103" s="513"/>
      <c r="D103" s="459" t="e">
        <f>'B03'!#REF!</f>
        <v>#REF!</v>
      </c>
      <c r="E103" s="525"/>
      <c r="F103" s="488"/>
    </row>
    <row r="104" spans="1:6" s="483" customFormat="1" ht="15.75">
      <c r="A104" s="524" t="s">
        <v>176</v>
      </c>
      <c r="B104" s="83" t="s">
        <v>282</v>
      </c>
      <c r="C104" s="491"/>
      <c r="D104" s="459">
        <f>'B03'!K88</f>
        <v>0</v>
      </c>
      <c r="E104" s="498"/>
      <c r="F104" s="488"/>
    </row>
    <row r="105" spans="1:6" ht="15.75">
      <c r="A105" s="486">
        <v>1</v>
      </c>
      <c r="B105" s="3" t="s">
        <v>283</v>
      </c>
      <c r="C105" s="486" t="s">
        <v>37</v>
      </c>
      <c r="D105" s="25">
        <f>'B03'!K89</f>
        <v>7</v>
      </c>
      <c r="E105" s="498"/>
      <c r="F105" s="488"/>
    </row>
    <row r="106" spans="1:6" ht="6.75" customHeight="1">
      <c r="A106" s="526"/>
      <c r="B106" s="527"/>
      <c r="C106" s="526"/>
      <c r="D106" s="528"/>
      <c r="E106" s="527"/>
    </row>
    <row r="107" spans="1:6">
      <c r="D107" s="530"/>
    </row>
    <row r="109" spans="1:6">
      <c r="D109" s="530"/>
    </row>
    <row r="110" spans="1:6">
      <c r="D110" s="530"/>
    </row>
    <row r="136" spans="5:5" ht="15.75">
      <c r="E136" s="2"/>
    </row>
    <row r="159" spans="2:2" ht="15.75">
      <c r="B159" s="2"/>
    </row>
  </sheetData>
  <mergeCells count="9">
    <mergeCell ref="E6:E7"/>
    <mergeCell ref="D6:D7"/>
    <mergeCell ref="A1:E1"/>
    <mergeCell ref="A2:E2"/>
    <mergeCell ref="A3:E3"/>
    <mergeCell ref="A4:E4"/>
    <mergeCell ref="A6:A7"/>
    <mergeCell ref="B6:B7"/>
    <mergeCell ref="C6:C7"/>
  </mergeCells>
  <pageMargins left="0.70866141732283472" right="0.59055118110236227" top="0.59055118110236227" bottom="0.59055118110236227" header="0.31496062992125984" footer="0.31496062992125984"/>
  <pageSetup paperSize="9" orientation="portrait" cellComments="atEnd" r:id="rId1"/>
  <headerFooter>
    <oddFooter>&amp;C&amp;P/&amp;N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rgb="FF0000FF"/>
  </sheetPr>
  <dimension ref="A1:G159"/>
  <sheetViews>
    <sheetView zoomScale="85" zoomScaleNormal="85" workbookViewId="0">
      <selection activeCell="B19" sqref="B19"/>
    </sheetView>
  </sheetViews>
  <sheetFormatPr defaultColWidth="9.140625" defaultRowHeight="15"/>
  <cols>
    <col min="1" max="1" width="5" style="529" customWidth="1"/>
    <col min="2" max="2" width="43.140625" style="474" customWidth="1"/>
    <col min="3" max="3" width="11.85546875" style="529" customWidth="1"/>
    <col min="4" max="4" width="13.5703125" style="474" customWidth="1"/>
    <col min="5" max="5" width="15.140625" style="474" customWidth="1"/>
    <col min="6" max="6" width="10.42578125" style="474" bestFit="1" customWidth="1"/>
    <col min="7" max="16384" width="9.140625" style="474"/>
  </cols>
  <sheetData>
    <row r="1" spans="1:7" ht="15.75">
      <c r="A1" s="845" t="s">
        <v>213</v>
      </c>
      <c r="B1" s="845"/>
      <c r="C1" s="845"/>
      <c r="D1" s="845"/>
      <c r="E1" s="845"/>
    </row>
    <row r="2" spans="1:7" s="475" customFormat="1" ht="23.25">
      <c r="A2" s="850" t="s">
        <v>845</v>
      </c>
      <c r="B2" s="850"/>
      <c r="C2" s="850"/>
      <c r="D2" s="850"/>
      <c r="E2" s="850"/>
    </row>
    <row r="3" spans="1:7" s="475" customFormat="1" ht="19.5" customHeight="1">
      <c r="A3" s="851" t="str">
        <f>'B01'!A3:E3</f>
        <v>(Kèm theo Quyết định số 569/QĐ-UBND, ngày 17/12/2018 của UBND huyện Đăk Tô)</v>
      </c>
      <c r="B3" s="851"/>
      <c r="C3" s="851"/>
      <c r="D3" s="851"/>
      <c r="E3" s="851"/>
    </row>
    <row r="4" spans="1:7" s="475" customFormat="1" ht="19.5" customHeight="1">
      <c r="A4" s="849" t="s">
        <v>308</v>
      </c>
      <c r="B4" s="849"/>
      <c r="C4" s="849"/>
      <c r="D4" s="849"/>
      <c r="E4" s="849"/>
    </row>
    <row r="5" spans="1:7">
      <c r="A5" s="476"/>
      <c r="B5" s="476"/>
      <c r="C5" s="474"/>
      <c r="D5" s="477"/>
    </row>
    <row r="6" spans="1:7" s="8" customFormat="1" ht="21.75" customHeight="1">
      <c r="A6" s="771" t="s">
        <v>55</v>
      </c>
      <c r="B6" s="772" t="s">
        <v>69</v>
      </c>
      <c r="C6" s="772" t="s">
        <v>18</v>
      </c>
      <c r="D6" s="766" t="s">
        <v>848</v>
      </c>
      <c r="E6" s="772" t="s">
        <v>75</v>
      </c>
    </row>
    <row r="7" spans="1:7" s="8" customFormat="1" ht="15.75">
      <c r="A7" s="771"/>
      <c r="B7" s="771"/>
      <c r="C7" s="771"/>
      <c r="D7" s="767"/>
      <c r="E7" s="771"/>
    </row>
    <row r="8" spans="1:7" s="483" customFormat="1" ht="19.5" customHeight="1">
      <c r="A8" s="478" t="s">
        <v>40</v>
      </c>
      <c r="B8" s="479" t="s">
        <v>225</v>
      </c>
      <c r="C8" s="480"/>
      <c r="D8" s="481"/>
      <c r="E8" s="482"/>
    </row>
    <row r="9" spans="1:7" s="489" customFormat="1" ht="15.75">
      <c r="A9" s="484" t="s">
        <v>38</v>
      </c>
      <c r="B9" s="485" t="s">
        <v>300</v>
      </c>
      <c r="C9" s="486" t="s">
        <v>37</v>
      </c>
      <c r="D9" s="459">
        <f>'B03'!L8</f>
        <v>1013</v>
      </c>
      <c r="E9" s="487" t="s">
        <v>226</v>
      </c>
      <c r="F9" s="488"/>
      <c r="G9" s="488"/>
    </row>
    <row r="10" spans="1:7" s="490" customFormat="1" ht="15.75">
      <c r="A10" s="486">
        <v>1</v>
      </c>
      <c r="B10" s="83" t="s">
        <v>227</v>
      </c>
      <c r="C10" s="486"/>
      <c r="D10" s="459">
        <f>'B03'!L9</f>
        <v>0</v>
      </c>
      <c r="E10" s="456"/>
      <c r="F10" s="488"/>
    </row>
    <row r="11" spans="1:7" s="493" customFormat="1" ht="15.75">
      <c r="A11" s="491" t="s">
        <v>56</v>
      </c>
      <c r="B11" s="83" t="s">
        <v>228</v>
      </c>
      <c r="C11" s="491" t="s">
        <v>37</v>
      </c>
      <c r="D11" s="459">
        <f>'B03'!L10</f>
        <v>170</v>
      </c>
      <c r="E11" s="492"/>
      <c r="F11" s="488"/>
    </row>
    <row r="12" spans="1:7" s="494" customFormat="1" ht="15.75">
      <c r="A12" s="484" t="s">
        <v>56</v>
      </c>
      <c r="B12" s="83" t="s">
        <v>229</v>
      </c>
      <c r="C12" s="491" t="s">
        <v>230</v>
      </c>
      <c r="D12" s="459">
        <f>'B03'!L11</f>
        <v>562.70000000000005</v>
      </c>
      <c r="E12" s="492"/>
      <c r="F12" s="488"/>
    </row>
    <row r="13" spans="1:7" s="497" customFormat="1" ht="15.75">
      <c r="A13" s="495"/>
      <c r="B13" s="3" t="s">
        <v>231</v>
      </c>
      <c r="C13" s="486" t="s">
        <v>230</v>
      </c>
      <c r="D13" s="26">
        <f>'B03'!L12</f>
        <v>553.5</v>
      </c>
      <c r="E13" s="496"/>
      <c r="F13" s="488"/>
    </row>
    <row r="14" spans="1:7" s="494" customFormat="1" ht="15.75">
      <c r="A14" s="484"/>
      <c r="B14" s="3" t="s">
        <v>232</v>
      </c>
      <c r="C14" s="486" t="s">
        <v>230</v>
      </c>
      <c r="D14" s="26">
        <f>'B03'!L13</f>
        <v>9.1999999999999993</v>
      </c>
      <c r="E14" s="457"/>
      <c r="F14" s="488"/>
    </row>
    <row r="15" spans="1:7" s="2" customFormat="1" ht="15.75">
      <c r="A15" s="486" t="s">
        <v>34</v>
      </c>
      <c r="B15" s="3" t="s">
        <v>233</v>
      </c>
      <c r="C15" s="486"/>
      <c r="D15" s="26">
        <f>'B03'!L14</f>
        <v>0</v>
      </c>
      <c r="E15" s="456"/>
      <c r="F15" s="488"/>
    </row>
    <row r="16" spans="1:7" s="497" customFormat="1" ht="15.75">
      <c r="A16" s="495"/>
      <c r="B16" s="3" t="s">
        <v>234</v>
      </c>
      <c r="C16" s="486" t="s">
        <v>37</v>
      </c>
      <c r="D16" s="26">
        <f>'B03'!L15</f>
        <v>168</v>
      </c>
      <c r="E16" s="498"/>
      <c r="F16" s="488"/>
    </row>
    <row r="17" spans="1:6" s="497" customFormat="1" ht="15.75">
      <c r="A17" s="495"/>
      <c r="B17" s="84" t="s">
        <v>235</v>
      </c>
      <c r="C17" s="495" t="s">
        <v>236</v>
      </c>
      <c r="D17" s="25">
        <f>'B03'!L16</f>
        <v>32.946428571428569</v>
      </c>
      <c r="E17" s="499"/>
      <c r="F17" s="488"/>
    </row>
    <row r="18" spans="1:6" ht="15.75">
      <c r="A18" s="486"/>
      <c r="B18" s="3" t="s">
        <v>293</v>
      </c>
      <c r="C18" s="486" t="s">
        <v>230</v>
      </c>
      <c r="D18" s="26">
        <f>'B03'!L17</f>
        <v>553.5</v>
      </c>
      <c r="E18" s="498"/>
      <c r="F18" s="488"/>
    </row>
    <row r="19" spans="1:6" ht="15.75">
      <c r="A19" s="486"/>
      <c r="B19" s="3" t="s">
        <v>237</v>
      </c>
      <c r="C19" s="486"/>
      <c r="D19" s="26">
        <f>'B03'!L18</f>
        <v>0</v>
      </c>
      <c r="E19" s="500"/>
      <c r="F19" s="488"/>
    </row>
    <row r="20" spans="1:6" s="497" customFormat="1" ht="15.75">
      <c r="A20" s="495"/>
      <c r="B20" s="3" t="s">
        <v>291</v>
      </c>
      <c r="C20" s="486" t="s">
        <v>37</v>
      </c>
      <c r="D20" s="26">
        <f>'B03'!L19</f>
        <v>59</v>
      </c>
      <c r="E20" s="498"/>
      <c r="F20" s="488"/>
    </row>
    <row r="21" spans="1:6" s="497" customFormat="1" ht="15.75">
      <c r="A21" s="495"/>
      <c r="B21" s="84" t="s">
        <v>239</v>
      </c>
      <c r="C21" s="495" t="s">
        <v>236</v>
      </c>
      <c r="D21" s="25">
        <f>'B03'!L20</f>
        <v>35</v>
      </c>
      <c r="E21" s="499"/>
      <c r="F21" s="488"/>
    </row>
    <row r="22" spans="1:6" ht="15.75">
      <c r="A22" s="486"/>
      <c r="B22" s="3" t="s">
        <v>290</v>
      </c>
      <c r="C22" s="486" t="s">
        <v>230</v>
      </c>
      <c r="D22" s="26">
        <f>'B03'!L21</f>
        <v>206.5</v>
      </c>
      <c r="E22" s="498"/>
      <c r="F22" s="488"/>
    </row>
    <row r="23" spans="1:6" ht="15.75">
      <c r="A23" s="486"/>
      <c r="B23" s="3" t="s">
        <v>240</v>
      </c>
      <c r="C23" s="486"/>
      <c r="D23" s="26">
        <f>'B03'!L22</f>
        <v>0</v>
      </c>
      <c r="E23" s="500"/>
      <c r="F23" s="488"/>
    </row>
    <row r="24" spans="1:6" s="497" customFormat="1" ht="15.75">
      <c r="A24" s="495"/>
      <c r="B24" s="3" t="s">
        <v>291</v>
      </c>
      <c r="C24" s="486" t="s">
        <v>37</v>
      </c>
      <c r="D24" s="26">
        <f>'B03'!L23</f>
        <v>109</v>
      </c>
      <c r="E24" s="498"/>
      <c r="F24" s="488"/>
    </row>
    <row r="25" spans="1:6" s="497" customFormat="1" ht="15.75">
      <c r="A25" s="495"/>
      <c r="B25" s="84" t="s">
        <v>239</v>
      </c>
      <c r="C25" s="495" t="s">
        <v>236</v>
      </c>
      <c r="D25" s="25">
        <f>'B03'!L24</f>
        <v>35</v>
      </c>
      <c r="E25" s="499"/>
      <c r="F25" s="488"/>
    </row>
    <row r="26" spans="1:6" ht="15.75">
      <c r="A26" s="486"/>
      <c r="B26" s="3" t="s">
        <v>290</v>
      </c>
      <c r="C26" s="486" t="s">
        <v>230</v>
      </c>
      <c r="D26" s="26">
        <f>'B03'!L25</f>
        <v>347</v>
      </c>
      <c r="E26" s="498"/>
      <c r="F26" s="488"/>
    </row>
    <row r="27" spans="1:6" ht="15.75" customHeight="1">
      <c r="A27" s="486"/>
      <c r="B27" s="501" t="s">
        <v>241</v>
      </c>
      <c r="C27" s="486"/>
      <c r="D27" s="26">
        <f>'B03'!L26</f>
        <v>0</v>
      </c>
      <c r="E27" s="500"/>
      <c r="F27" s="488"/>
    </row>
    <row r="28" spans="1:6" s="497" customFormat="1" ht="15.75">
      <c r="A28" s="495"/>
      <c r="B28" s="3" t="s">
        <v>291</v>
      </c>
      <c r="C28" s="486" t="s">
        <v>37</v>
      </c>
      <c r="D28" s="26">
        <f>'B03'!L27</f>
        <v>94</v>
      </c>
      <c r="E28" s="498"/>
      <c r="F28" s="488"/>
    </row>
    <row r="29" spans="1:6" s="497" customFormat="1" ht="15.75">
      <c r="A29" s="495"/>
      <c r="B29" s="84" t="s">
        <v>239</v>
      </c>
      <c r="C29" s="495" t="s">
        <v>236</v>
      </c>
      <c r="D29" s="25">
        <f>'B03'!L28</f>
        <v>35</v>
      </c>
      <c r="E29" s="499"/>
      <c r="F29" s="488"/>
    </row>
    <row r="30" spans="1:6" ht="15.75">
      <c r="A30" s="486"/>
      <c r="B30" s="3" t="s">
        <v>290</v>
      </c>
      <c r="C30" s="486" t="s">
        <v>230</v>
      </c>
      <c r="D30" s="26">
        <f>'B03'!L29</f>
        <v>329</v>
      </c>
      <c r="E30" s="498"/>
      <c r="F30" s="488"/>
    </row>
    <row r="31" spans="1:6" ht="15.75">
      <c r="A31" s="486"/>
      <c r="B31" s="3" t="s">
        <v>242</v>
      </c>
      <c r="C31" s="486"/>
      <c r="D31" s="26">
        <f>'B03'!L30</f>
        <v>0</v>
      </c>
      <c r="E31" s="500"/>
      <c r="F31" s="488"/>
    </row>
    <row r="32" spans="1:6" s="497" customFormat="1" ht="15.75">
      <c r="A32" s="495"/>
      <c r="B32" s="3" t="s">
        <v>291</v>
      </c>
      <c r="C32" s="486" t="s">
        <v>37</v>
      </c>
      <c r="D32" s="26">
        <f>'B03'!L31</f>
        <v>15</v>
      </c>
      <c r="E32" s="498"/>
      <c r="F32" s="488"/>
    </row>
    <row r="33" spans="1:6" ht="15.75">
      <c r="A33" s="486"/>
      <c r="B33" s="84" t="s">
        <v>239</v>
      </c>
      <c r="C33" s="495" t="s">
        <v>236</v>
      </c>
      <c r="D33" s="25">
        <f>'B03'!L32</f>
        <v>12</v>
      </c>
      <c r="E33" s="502"/>
      <c r="F33" s="488"/>
    </row>
    <row r="34" spans="1:6" ht="15.75">
      <c r="A34" s="486"/>
      <c r="B34" s="3" t="s">
        <v>290</v>
      </c>
      <c r="C34" s="486" t="s">
        <v>230</v>
      </c>
      <c r="D34" s="26">
        <f>'B03'!L33</f>
        <v>18</v>
      </c>
      <c r="E34" s="498"/>
      <c r="F34" s="488"/>
    </row>
    <row r="35" spans="1:6" s="2" customFormat="1" ht="15.75">
      <c r="A35" s="486" t="s">
        <v>35</v>
      </c>
      <c r="B35" s="3" t="s">
        <v>243</v>
      </c>
      <c r="C35" s="486"/>
      <c r="D35" s="26">
        <f>'B03'!L34</f>
        <v>0</v>
      </c>
      <c r="E35" s="500"/>
      <c r="F35" s="488"/>
    </row>
    <row r="36" spans="1:6" s="497" customFormat="1" ht="15.75">
      <c r="A36" s="495"/>
      <c r="B36" s="503" t="s">
        <v>234</v>
      </c>
      <c r="C36" s="486" t="s">
        <v>37</v>
      </c>
      <c r="D36" s="26">
        <f>'B03'!L35</f>
        <v>2</v>
      </c>
      <c r="E36" s="498"/>
      <c r="F36" s="488"/>
    </row>
    <row r="37" spans="1:6" ht="15.75">
      <c r="A37" s="486"/>
      <c r="B37" s="504" t="s">
        <v>235</v>
      </c>
      <c r="C37" s="495" t="s">
        <v>236</v>
      </c>
      <c r="D37" s="25">
        <f>'B03'!L36</f>
        <v>46</v>
      </c>
      <c r="E37" s="502"/>
      <c r="F37" s="488"/>
    </row>
    <row r="38" spans="1:6" ht="15.75">
      <c r="A38" s="486"/>
      <c r="B38" s="503" t="s">
        <v>293</v>
      </c>
      <c r="C38" s="486" t="s">
        <v>230</v>
      </c>
      <c r="D38" s="26">
        <f>'B03'!L37</f>
        <v>9.1999999999999993</v>
      </c>
      <c r="E38" s="498"/>
      <c r="F38" s="488"/>
    </row>
    <row r="39" spans="1:6" ht="15.75">
      <c r="A39" s="486"/>
      <c r="B39" s="3" t="s">
        <v>244</v>
      </c>
      <c r="C39" s="486"/>
      <c r="D39" s="26">
        <f>'B03'!L38</f>
        <v>0</v>
      </c>
      <c r="E39" s="500"/>
      <c r="F39" s="488"/>
    </row>
    <row r="40" spans="1:6" s="497" customFormat="1" ht="15.75">
      <c r="A40" s="495"/>
      <c r="B40" s="503" t="s">
        <v>238</v>
      </c>
      <c r="C40" s="486" t="s">
        <v>37</v>
      </c>
      <c r="D40" s="26">
        <f>'B03'!L39</f>
        <v>0</v>
      </c>
      <c r="E40" s="498"/>
      <c r="F40" s="488"/>
    </row>
    <row r="41" spans="1:6" ht="15.75">
      <c r="A41" s="486"/>
      <c r="B41" s="504" t="s">
        <v>239</v>
      </c>
      <c r="C41" s="495" t="s">
        <v>236</v>
      </c>
      <c r="D41" s="25">
        <f>'B03'!L40</f>
        <v>0</v>
      </c>
      <c r="E41" s="502"/>
      <c r="F41" s="488"/>
    </row>
    <row r="42" spans="1:6" ht="15.75">
      <c r="A42" s="486"/>
      <c r="B42" s="3" t="s">
        <v>290</v>
      </c>
      <c r="C42" s="486" t="s">
        <v>230</v>
      </c>
      <c r="D42" s="26">
        <f>'B03'!L41</f>
        <v>0</v>
      </c>
      <c r="E42" s="498"/>
      <c r="F42" s="488"/>
    </row>
    <row r="43" spans="1:6" ht="15.75">
      <c r="A43" s="486"/>
      <c r="B43" s="3" t="s">
        <v>245</v>
      </c>
      <c r="C43" s="486"/>
      <c r="D43" s="26">
        <f>'B03'!L42</f>
        <v>0</v>
      </c>
      <c r="E43" s="500"/>
      <c r="F43" s="488"/>
    </row>
    <row r="44" spans="1:6" s="497" customFormat="1" ht="15.75">
      <c r="A44" s="495"/>
      <c r="B44" s="503" t="s">
        <v>238</v>
      </c>
      <c r="C44" s="486" t="s">
        <v>37</v>
      </c>
      <c r="D44" s="26">
        <f>'B03'!L43</f>
        <v>2</v>
      </c>
      <c r="E44" s="498"/>
      <c r="F44" s="488"/>
    </row>
    <row r="45" spans="1:6" s="497" customFormat="1" ht="15.75">
      <c r="A45" s="495"/>
      <c r="B45" s="504" t="s">
        <v>239</v>
      </c>
      <c r="C45" s="495" t="s">
        <v>236</v>
      </c>
      <c r="D45" s="25">
        <f>'B03'!L44</f>
        <v>46</v>
      </c>
      <c r="E45" s="499"/>
      <c r="F45" s="488"/>
    </row>
    <row r="46" spans="1:6" ht="15.75">
      <c r="A46" s="486"/>
      <c r="B46" s="3" t="s">
        <v>290</v>
      </c>
      <c r="C46" s="486" t="s">
        <v>230</v>
      </c>
      <c r="D46" s="26">
        <f>'B03'!L45</f>
        <v>9.1999999999999993</v>
      </c>
      <c r="E46" s="498"/>
      <c r="F46" s="488"/>
    </row>
    <row r="47" spans="1:6" ht="15.75">
      <c r="A47" s="486">
        <v>2</v>
      </c>
      <c r="B47" s="3" t="s">
        <v>246</v>
      </c>
      <c r="C47" s="486"/>
      <c r="D47" s="26">
        <f>'B03'!L46</f>
        <v>0</v>
      </c>
      <c r="E47" s="498"/>
      <c r="F47" s="488"/>
    </row>
    <row r="48" spans="1:6" s="497" customFormat="1" ht="15.75" customHeight="1">
      <c r="A48" s="495"/>
      <c r="B48" s="503" t="s">
        <v>238</v>
      </c>
      <c r="C48" s="486" t="s">
        <v>37</v>
      </c>
      <c r="D48" s="26">
        <f>'B03'!L47</f>
        <v>830</v>
      </c>
      <c r="E48" s="498"/>
      <c r="F48" s="488"/>
    </row>
    <row r="49" spans="1:6" s="497" customFormat="1" ht="15.75">
      <c r="A49" s="495"/>
      <c r="B49" s="504" t="s">
        <v>239</v>
      </c>
      <c r="C49" s="495" t="s">
        <v>236</v>
      </c>
      <c r="D49" s="25">
        <f>'B03'!L48</f>
        <v>146</v>
      </c>
      <c r="E49" s="499"/>
      <c r="F49" s="488"/>
    </row>
    <row r="50" spans="1:6" ht="15.75">
      <c r="A50" s="486"/>
      <c r="B50" s="3" t="s">
        <v>290</v>
      </c>
      <c r="C50" s="486" t="s">
        <v>230</v>
      </c>
      <c r="D50" s="26">
        <f>'B03'!L49</f>
        <v>12118</v>
      </c>
      <c r="E50" s="498"/>
      <c r="F50" s="488"/>
    </row>
    <row r="51" spans="1:6" ht="15.75">
      <c r="A51" s="32">
        <v>3</v>
      </c>
      <c r="B51" s="35" t="s">
        <v>317</v>
      </c>
      <c r="C51" s="32" t="s">
        <v>37</v>
      </c>
      <c r="D51" s="26">
        <f>'B03'!L50</f>
        <v>0</v>
      </c>
      <c r="E51" s="498"/>
      <c r="F51" s="488"/>
    </row>
    <row r="52" spans="1:6" ht="15.75">
      <c r="A52" s="39"/>
      <c r="B52" s="35" t="s">
        <v>123</v>
      </c>
      <c r="C52" s="32" t="s">
        <v>37</v>
      </c>
      <c r="D52" s="26">
        <f>'B03'!L51</f>
        <v>0</v>
      </c>
      <c r="E52" s="498"/>
      <c r="F52" s="488"/>
    </row>
    <row r="53" spans="1:6" ht="15.75">
      <c r="A53" s="39"/>
      <c r="B53" s="37" t="s">
        <v>315</v>
      </c>
      <c r="C53" s="34" t="s">
        <v>21</v>
      </c>
      <c r="D53" s="25">
        <f>'B03'!L52</f>
        <v>0</v>
      </c>
      <c r="E53" s="498"/>
      <c r="F53" s="488"/>
    </row>
    <row r="54" spans="1:6" ht="15.75">
      <c r="A54" s="39"/>
      <c r="B54" s="37" t="s">
        <v>316</v>
      </c>
      <c r="C54" s="34" t="s">
        <v>76</v>
      </c>
      <c r="D54" s="26">
        <f>'B03'!L53</f>
        <v>0</v>
      </c>
      <c r="E54" s="498"/>
      <c r="F54" s="488"/>
    </row>
    <row r="55" spans="1:6" s="497" customFormat="1" ht="15.75">
      <c r="A55" s="495">
        <v>4</v>
      </c>
      <c r="B55" s="505" t="s">
        <v>136</v>
      </c>
      <c r="C55" s="486"/>
      <c r="D55" s="26">
        <f>'B03'!L54</f>
        <v>0</v>
      </c>
      <c r="E55" s="498"/>
      <c r="F55" s="488"/>
    </row>
    <row r="56" spans="1:6" s="497" customFormat="1" ht="15.75">
      <c r="A56" s="495"/>
      <c r="B56" s="505" t="s">
        <v>26</v>
      </c>
      <c r="C56" s="486" t="s">
        <v>37</v>
      </c>
      <c r="D56" s="26">
        <f>'B03'!L55</f>
        <v>13</v>
      </c>
      <c r="E56" s="498"/>
      <c r="F56" s="488"/>
    </row>
    <row r="57" spans="1:6" s="497" customFormat="1" ht="15.75">
      <c r="A57" s="495"/>
      <c r="B57" s="506" t="s">
        <v>27</v>
      </c>
      <c r="C57" s="507" t="s">
        <v>21</v>
      </c>
      <c r="D57" s="25">
        <f>'B03'!L56</f>
        <v>110</v>
      </c>
      <c r="E57" s="508"/>
      <c r="F57" s="488"/>
    </row>
    <row r="58" spans="1:6" ht="15.75">
      <c r="A58" s="486"/>
      <c r="B58" s="505" t="s">
        <v>28</v>
      </c>
      <c r="C58" s="509" t="s">
        <v>76</v>
      </c>
      <c r="D58" s="26">
        <f>'B03'!L57</f>
        <v>163</v>
      </c>
      <c r="E58" s="498"/>
      <c r="F58" s="488"/>
    </row>
    <row r="59" spans="1:6" ht="15.75">
      <c r="A59" s="486"/>
      <c r="B59" s="40" t="s">
        <v>318</v>
      </c>
      <c r="C59" s="21"/>
      <c r="D59" s="26">
        <f>'B03'!L58</f>
        <v>0</v>
      </c>
      <c r="E59" s="498"/>
      <c r="F59" s="488"/>
    </row>
    <row r="60" spans="1:6" ht="15.75">
      <c r="A60" s="486"/>
      <c r="B60" s="510" t="s">
        <v>178</v>
      </c>
      <c r="C60" s="41" t="s">
        <v>37</v>
      </c>
      <c r="D60" s="26">
        <f>'B03'!L59</f>
        <v>10</v>
      </c>
      <c r="E60" s="498"/>
      <c r="F60" s="488"/>
    </row>
    <row r="61" spans="1:6" ht="15.75">
      <c r="A61" s="486"/>
      <c r="B61" s="510" t="s">
        <v>179</v>
      </c>
      <c r="C61" s="41" t="s">
        <v>21</v>
      </c>
      <c r="D61" s="25">
        <f>'B03'!L60</f>
        <v>130</v>
      </c>
      <c r="E61" s="498"/>
      <c r="F61" s="488"/>
    </row>
    <row r="62" spans="1:6" ht="15.75">
      <c r="A62" s="486"/>
      <c r="B62" s="510" t="s">
        <v>180</v>
      </c>
      <c r="C62" s="41" t="s">
        <v>76</v>
      </c>
      <c r="D62" s="26">
        <f>'B03'!L61</f>
        <v>130</v>
      </c>
      <c r="E62" s="498"/>
      <c r="F62" s="488"/>
    </row>
    <row r="63" spans="1:6" ht="15.75">
      <c r="A63" s="486"/>
      <c r="B63" s="511" t="s">
        <v>319</v>
      </c>
      <c r="C63" s="21"/>
      <c r="D63" s="26">
        <f>'B03'!L62</f>
        <v>0</v>
      </c>
      <c r="E63" s="498"/>
      <c r="F63" s="488"/>
    </row>
    <row r="64" spans="1:6" ht="15.75">
      <c r="A64" s="486"/>
      <c r="B64" s="510" t="s">
        <v>178</v>
      </c>
      <c r="C64" s="41" t="s">
        <v>37</v>
      </c>
      <c r="D64" s="26">
        <f>'B03'!L63</f>
        <v>3</v>
      </c>
      <c r="E64" s="498"/>
      <c r="F64" s="488"/>
    </row>
    <row r="65" spans="1:6" ht="15.75">
      <c r="A65" s="486"/>
      <c r="B65" s="510" t="s">
        <v>179</v>
      </c>
      <c r="C65" s="41" t="s">
        <v>21</v>
      </c>
      <c r="D65" s="25">
        <f>'B03'!L64</f>
        <v>110</v>
      </c>
      <c r="E65" s="498"/>
      <c r="F65" s="488"/>
    </row>
    <row r="66" spans="1:6" ht="15.75">
      <c r="A66" s="486"/>
      <c r="B66" s="510" t="s">
        <v>180</v>
      </c>
      <c r="C66" s="41" t="s">
        <v>76</v>
      </c>
      <c r="D66" s="26">
        <f>'B03'!L65</f>
        <v>33</v>
      </c>
      <c r="E66" s="498"/>
      <c r="F66" s="488"/>
    </row>
    <row r="67" spans="1:6" s="483" customFormat="1" ht="19.5" customHeight="1">
      <c r="A67" s="491" t="s">
        <v>39</v>
      </c>
      <c r="B67" s="83" t="s">
        <v>247</v>
      </c>
      <c r="C67" s="491"/>
      <c r="D67" s="459">
        <f>'B03'!L66</f>
        <v>1026</v>
      </c>
      <c r="E67" s="457"/>
      <c r="F67" s="488"/>
    </row>
    <row r="68" spans="1:6" s="489" customFormat="1" ht="15.75">
      <c r="A68" s="484">
        <v>1</v>
      </c>
      <c r="B68" s="305" t="s">
        <v>248</v>
      </c>
      <c r="C68" s="484" t="s">
        <v>37</v>
      </c>
      <c r="D68" s="459">
        <f>'B03'!L67</f>
        <v>719</v>
      </c>
      <c r="E68" s="512"/>
      <c r="F68" s="488"/>
    </row>
    <row r="69" spans="1:6" ht="17.25" customHeight="1">
      <c r="A69" s="486" t="s">
        <v>34</v>
      </c>
      <c r="B69" s="3" t="s">
        <v>249</v>
      </c>
      <c r="C69" s="486" t="s">
        <v>37</v>
      </c>
      <c r="D69" s="26">
        <f>'B03'!L68</f>
        <v>96</v>
      </c>
      <c r="E69" s="456"/>
      <c r="F69" s="488"/>
    </row>
    <row r="70" spans="1:6" ht="17.25" hidden="1" customHeight="1">
      <c r="A70" s="513"/>
      <c r="B70" s="514" t="s">
        <v>361</v>
      </c>
      <c r="C70" s="486" t="s">
        <v>37</v>
      </c>
      <c r="D70" s="26">
        <f>'B03'!L69</f>
        <v>66</v>
      </c>
      <c r="E70" s="515"/>
      <c r="F70" s="488"/>
    </row>
    <row r="71" spans="1:6" ht="17.25" hidden="1" customHeight="1">
      <c r="A71" s="513"/>
      <c r="B71" s="514"/>
      <c r="C71" s="486"/>
      <c r="D71" s="26">
        <f>'B03'!L70</f>
        <v>25</v>
      </c>
      <c r="E71" s="515"/>
      <c r="F71" s="488"/>
    </row>
    <row r="72" spans="1:6" ht="15.75">
      <c r="A72" s="495"/>
      <c r="B72" s="84" t="s">
        <v>250</v>
      </c>
      <c r="C72" s="495" t="s">
        <v>37</v>
      </c>
      <c r="D72" s="26">
        <f>'B03'!L72</f>
        <v>5</v>
      </c>
      <c r="E72" s="456"/>
      <c r="F72" s="488"/>
    </row>
    <row r="73" spans="1:6" ht="18" customHeight="1">
      <c r="A73" s="486"/>
      <c r="B73" s="3" t="s">
        <v>251</v>
      </c>
      <c r="C73" s="486" t="s">
        <v>37</v>
      </c>
      <c r="D73" s="26">
        <f>'B03'!L73</f>
        <v>59</v>
      </c>
      <c r="E73" s="456"/>
      <c r="F73" s="488"/>
    </row>
    <row r="74" spans="1:6" ht="18" hidden="1" customHeight="1">
      <c r="A74" s="513"/>
      <c r="B74" s="514" t="s">
        <v>362</v>
      </c>
      <c r="C74" s="513" t="s">
        <v>37</v>
      </c>
      <c r="D74" s="26" t="e">
        <f>'B03'!#REF!</f>
        <v>#REF!</v>
      </c>
      <c r="E74" s="515"/>
      <c r="F74" s="488"/>
    </row>
    <row r="75" spans="1:6" ht="18" hidden="1" customHeight="1">
      <c r="A75" s="513"/>
      <c r="B75" s="514" t="s">
        <v>363</v>
      </c>
      <c r="C75" s="513" t="s">
        <v>37</v>
      </c>
      <c r="D75" s="26" t="e">
        <f>'B03'!#REF!</f>
        <v>#REF!</v>
      </c>
      <c r="E75" s="515"/>
      <c r="F75" s="488"/>
    </row>
    <row r="76" spans="1:6" ht="18" hidden="1" customHeight="1">
      <c r="A76" s="513"/>
      <c r="B76" s="514" t="s">
        <v>364</v>
      </c>
      <c r="C76" s="513" t="s">
        <v>37</v>
      </c>
      <c r="D76" s="26" t="e">
        <f>'B03'!#REF!</f>
        <v>#REF!</v>
      </c>
      <c r="E76" s="515"/>
      <c r="F76" s="488"/>
    </row>
    <row r="77" spans="1:6" s="497" customFormat="1" ht="15.75">
      <c r="A77" s="495"/>
      <c r="B77" s="84" t="s">
        <v>252</v>
      </c>
      <c r="C77" s="495" t="s">
        <v>236</v>
      </c>
      <c r="D77" s="25">
        <f>'B03'!L74</f>
        <v>30.8</v>
      </c>
      <c r="E77" s="516"/>
      <c r="F77" s="488"/>
    </row>
    <row r="78" spans="1:6" ht="15.75">
      <c r="A78" s="486"/>
      <c r="B78" s="3" t="s">
        <v>301</v>
      </c>
      <c r="C78" s="486" t="s">
        <v>230</v>
      </c>
      <c r="D78" s="26">
        <f>'B03'!L75</f>
        <v>181.72</v>
      </c>
      <c r="E78" s="498"/>
      <c r="F78" s="488"/>
    </row>
    <row r="79" spans="1:6" ht="15.75">
      <c r="A79" s="486" t="s">
        <v>35</v>
      </c>
      <c r="B79" s="3" t="s">
        <v>253</v>
      </c>
      <c r="C79" s="486" t="s">
        <v>37</v>
      </c>
      <c r="D79" s="26">
        <f>'B03'!L76</f>
        <v>623</v>
      </c>
      <c r="E79" s="498"/>
      <c r="F79" s="488"/>
    </row>
    <row r="80" spans="1:6" s="497" customFormat="1" ht="15.75">
      <c r="A80" s="495"/>
      <c r="B80" s="84" t="s">
        <v>292</v>
      </c>
      <c r="C80" s="495" t="s">
        <v>37</v>
      </c>
      <c r="D80" s="26">
        <f>'B03'!L77</f>
        <v>0</v>
      </c>
      <c r="E80" s="496"/>
      <c r="F80" s="488"/>
    </row>
    <row r="81" spans="1:6" ht="15.75">
      <c r="A81" s="486"/>
      <c r="B81" s="3" t="s">
        <v>251</v>
      </c>
      <c r="C81" s="486" t="s">
        <v>37</v>
      </c>
      <c r="D81" s="26">
        <f>'B03'!L78</f>
        <v>390</v>
      </c>
      <c r="E81" s="456"/>
      <c r="F81" s="488"/>
    </row>
    <row r="82" spans="1:6" s="517" customFormat="1" ht="15.75" hidden="1">
      <c r="A82" s="513"/>
      <c r="B82" s="514" t="s">
        <v>362</v>
      </c>
      <c r="C82" s="513" t="s">
        <v>37</v>
      </c>
      <c r="D82" s="26" t="e">
        <f>'B03'!#REF!</f>
        <v>#REF!</v>
      </c>
      <c r="E82" s="515"/>
      <c r="F82" s="488"/>
    </row>
    <row r="83" spans="1:6" ht="15.75" hidden="1">
      <c r="A83" s="486"/>
      <c r="B83" s="518" t="s">
        <v>365</v>
      </c>
      <c r="C83" s="513" t="s">
        <v>37</v>
      </c>
      <c r="D83" s="26" t="e">
        <f>'B03'!#REF!</f>
        <v>#REF!</v>
      </c>
      <c r="E83" s="456"/>
      <c r="F83" s="488"/>
    </row>
    <row r="84" spans="1:6" ht="15.75" hidden="1">
      <c r="A84" s="486"/>
      <c r="B84" s="518" t="s">
        <v>366</v>
      </c>
      <c r="C84" s="513" t="s">
        <v>37</v>
      </c>
      <c r="D84" s="26" t="e">
        <f>'B03'!#REF!</f>
        <v>#REF!</v>
      </c>
      <c r="E84" s="456"/>
      <c r="F84" s="488"/>
    </row>
    <row r="85" spans="1:6" ht="15.75" hidden="1">
      <c r="A85" s="486"/>
      <c r="B85" s="518" t="s">
        <v>367</v>
      </c>
      <c r="C85" s="513" t="s">
        <v>37</v>
      </c>
      <c r="D85" s="26" t="e">
        <f>'B03'!#REF!</f>
        <v>#REF!</v>
      </c>
      <c r="E85" s="456"/>
      <c r="F85" s="488"/>
    </row>
    <row r="86" spans="1:6" ht="15.75" hidden="1">
      <c r="A86" s="486"/>
      <c r="B86" s="514" t="s">
        <v>368</v>
      </c>
      <c r="C86" s="519"/>
      <c r="D86" s="26" t="e">
        <f>'B03'!#REF!</f>
        <v>#REF!</v>
      </c>
      <c r="E86" s="456"/>
      <c r="F86" s="488"/>
    </row>
    <row r="87" spans="1:6" ht="15.75" hidden="1">
      <c r="A87" s="486"/>
      <c r="B87" s="514"/>
      <c r="C87" s="519"/>
      <c r="D87" s="26" t="e">
        <f>'B03'!#REF!</f>
        <v>#REF!</v>
      </c>
      <c r="E87" s="456"/>
      <c r="F87" s="488"/>
    </row>
    <row r="88" spans="1:6" s="497" customFormat="1" ht="15.75">
      <c r="A88" s="495"/>
      <c r="B88" s="84" t="s">
        <v>252</v>
      </c>
      <c r="C88" s="495" t="s">
        <v>236</v>
      </c>
      <c r="D88" s="25">
        <f>'B03'!L79</f>
        <v>12.5</v>
      </c>
      <c r="E88" s="520"/>
      <c r="F88" s="488"/>
    </row>
    <row r="89" spans="1:6" ht="15.75" customHeight="1">
      <c r="A89" s="486"/>
      <c r="B89" s="3" t="s">
        <v>301</v>
      </c>
      <c r="C89" s="486" t="s">
        <v>230</v>
      </c>
      <c r="D89" s="26">
        <f>'B03'!L80</f>
        <v>487.5</v>
      </c>
      <c r="E89" s="521"/>
      <c r="F89" s="488"/>
    </row>
    <row r="90" spans="1:6" ht="15.75">
      <c r="A90" s="486">
        <v>2</v>
      </c>
      <c r="B90" s="3" t="s">
        <v>254</v>
      </c>
      <c r="C90" s="486" t="s">
        <v>37</v>
      </c>
      <c r="D90" s="26">
        <f>'B03'!L81</f>
        <v>307</v>
      </c>
      <c r="E90" s="498"/>
      <c r="F90" s="488"/>
    </row>
    <row r="91" spans="1:6" ht="15.75">
      <c r="A91" s="486"/>
      <c r="B91" s="84" t="s">
        <v>255</v>
      </c>
      <c r="C91" s="495" t="s">
        <v>37</v>
      </c>
      <c r="D91" s="26">
        <f>'B03'!L82</f>
        <v>0</v>
      </c>
      <c r="E91" s="498"/>
      <c r="F91" s="488"/>
    </row>
    <row r="92" spans="1:6" ht="19.5" hidden="1" customHeight="1">
      <c r="A92" s="513"/>
      <c r="B92" s="522" t="s">
        <v>369</v>
      </c>
      <c r="C92" s="523" t="s">
        <v>37</v>
      </c>
      <c r="D92" s="459" t="e">
        <f>'B03'!#REF!</f>
        <v>#REF!</v>
      </c>
      <c r="E92" s="498"/>
      <c r="F92" s="488"/>
    </row>
    <row r="93" spans="1:6" ht="19.5" hidden="1" customHeight="1">
      <c r="A93" s="513"/>
      <c r="B93" s="522" t="s">
        <v>370</v>
      </c>
      <c r="C93" s="523" t="s">
        <v>37</v>
      </c>
      <c r="D93" s="459" t="e">
        <f>'B03'!#REF!</f>
        <v>#REF!</v>
      </c>
      <c r="E93" s="498"/>
      <c r="F93" s="488"/>
    </row>
    <row r="94" spans="1:6" ht="19.5" hidden="1" customHeight="1">
      <c r="A94" s="513"/>
      <c r="B94" s="522" t="s">
        <v>361</v>
      </c>
      <c r="C94" s="523" t="s">
        <v>37</v>
      </c>
      <c r="D94" s="459" t="e">
        <f>'B03'!#REF!</f>
        <v>#REF!</v>
      </c>
      <c r="E94" s="498"/>
      <c r="F94" s="488"/>
    </row>
    <row r="95" spans="1:6" s="483" customFormat="1" ht="15.75">
      <c r="A95" s="524" t="s">
        <v>43</v>
      </c>
      <c r="B95" s="83" t="s">
        <v>256</v>
      </c>
      <c r="C95" s="491"/>
      <c r="D95" s="459">
        <f>'B03'!L83</f>
        <v>0</v>
      </c>
      <c r="E95" s="498"/>
      <c r="F95" s="488"/>
    </row>
    <row r="96" spans="1:6" ht="15.75">
      <c r="A96" s="486">
        <v>1</v>
      </c>
      <c r="B96" s="3" t="s">
        <v>257</v>
      </c>
      <c r="C96" s="486" t="s">
        <v>54</v>
      </c>
      <c r="D96" s="26">
        <f>'B03'!L84</f>
        <v>380</v>
      </c>
      <c r="E96" s="498"/>
      <c r="F96" s="488"/>
    </row>
    <row r="97" spans="1:6" s="517" customFormat="1" ht="15.75" hidden="1">
      <c r="A97" s="513"/>
      <c r="B97" s="514" t="s">
        <v>371</v>
      </c>
      <c r="C97" s="513"/>
      <c r="D97" s="26" t="e">
        <f>'B03'!#REF!</f>
        <v>#REF!</v>
      </c>
      <c r="E97" s="525"/>
      <c r="F97" s="488"/>
    </row>
    <row r="98" spans="1:6" ht="15.75">
      <c r="A98" s="486">
        <v>2</v>
      </c>
      <c r="B98" s="3" t="s">
        <v>258</v>
      </c>
      <c r="C98" s="486" t="s">
        <v>54</v>
      </c>
      <c r="D98" s="26">
        <f>'B03'!L85</f>
        <v>480</v>
      </c>
      <c r="E98" s="498"/>
      <c r="F98" s="488"/>
    </row>
    <row r="99" spans="1:6" s="517" customFormat="1" ht="15.75" hidden="1">
      <c r="A99" s="513"/>
      <c r="B99" s="514" t="s">
        <v>372</v>
      </c>
      <c r="C99" s="513"/>
      <c r="D99" s="26" t="e">
        <f>'B03'!#REF!</f>
        <v>#REF!</v>
      </c>
      <c r="E99" s="525"/>
      <c r="F99" s="488"/>
    </row>
    <row r="100" spans="1:6" ht="15" customHeight="1">
      <c r="A100" s="486">
        <v>3</v>
      </c>
      <c r="B100" s="3" t="s">
        <v>259</v>
      </c>
      <c r="C100" s="486" t="s">
        <v>54</v>
      </c>
      <c r="D100" s="26">
        <f>'B03'!L86</f>
        <v>1500</v>
      </c>
      <c r="E100" s="498"/>
      <c r="F100" s="488"/>
    </row>
    <row r="101" spans="1:6" s="517" customFormat="1" ht="15" hidden="1" customHeight="1">
      <c r="A101" s="513"/>
      <c r="B101" s="514" t="s">
        <v>373</v>
      </c>
      <c r="C101" s="513"/>
      <c r="D101" s="26" t="e">
        <f>'B03'!#REF!</f>
        <v>#REF!</v>
      </c>
      <c r="E101" s="525"/>
      <c r="F101" s="488"/>
    </row>
    <row r="102" spans="1:6" ht="15" customHeight="1">
      <c r="A102" s="486">
        <v>4</v>
      </c>
      <c r="B102" s="3" t="s">
        <v>260</v>
      </c>
      <c r="C102" s="486" t="s">
        <v>54</v>
      </c>
      <c r="D102" s="26">
        <f>'B03'!L87</f>
        <v>7000</v>
      </c>
      <c r="E102" s="498"/>
      <c r="F102" s="488"/>
    </row>
    <row r="103" spans="1:6" s="517" customFormat="1" ht="15" hidden="1" customHeight="1">
      <c r="A103" s="513"/>
      <c r="B103" s="514" t="s">
        <v>374</v>
      </c>
      <c r="C103" s="513"/>
      <c r="D103" s="459" t="e">
        <f>'B03'!#REF!</f>
        <v>#REF!</v>
      </c>
      <c r="E103" s="525"/>
      <c r="F103" s="488"/>
    </row>
    <row r="104" spans="1:6" s="483" customFormat="1" ht="15.75">
      <c r="A104" s="524" t="s">
        <v>176</v>
      </c>
      <c r="B104" s="83" t="s">
        <v>282</v>
      </c>
      <c r="C104" s="491"/>
      <c r="D104" s="459">
        <f>'B03'!L88</f>
        <v>0</v>
      </c>
      <c r="E104" s="498"/>
      <c r="F104" s="488"/>
    </row>
    <row r="105" spans="1:6" ht="15.75">
      <c r="A105" s="486">
        <v>1</v>
      </c>
      <c r="B105" s="3" t="s">
        <v>283</v>
      </c>
      <c r="C105" s="486" t="s">
        <v>37</v>
      </c>
      <c r="D105" s="25">
        <f>'B03'!L89</f>
        <v>13</v>
      </c>
      <c r="E105" s="498"/>
      <c r="F105" s="488"/>
    </row>
    <row r="106" spans="1:6" ht="6.75" customHeight="1">
      <c r="A106" s="526"/>
      <c r="B106" s="527"/>
      <c r="C106" s="526"/>
      <c r="D106" s="528"/>
      <c r="E106" s="527"/>
    </row>
    <row r="107" spans="1:6">
      <c r="D107" s="530"/>
    </row>
    <row r="109" spans="1:6">
      <c r="D109" s="530"/>
    </row>
    <row r="110" spans="1:6">
      <c r="D110" s="530"/>
    </row>
    <row r="136" spans="5:5" ht="15.75">
      <c r="E136" s="2"/>
    </row>
    <row r="159" spans="2:2" ht="15.75">
      <c r="B159" s="2"/>
    </row>
  </sheetData>
  <mergeCells count="9">
    <mergeCell ref="E6:E7"/>
    <mergeCell ref="D6:D7"/>
    <mergeCell ref="A1:E1"/>
    <mergeCell ref="A2:E2"/>
    <mergeCell ref="A3:E3"/>
    <mergeCell ref="A4:E4"/>
    <mergeCell ref="A6:A7"/>
    <mergeCell ref="B6:B7"/>
    <mergeCell ref="C6:C7"/>
  </mergeCells>
  <pageMargins left="0.70866141732283472" right="0.59055118110236227" top="0.59055118110236227" bottom="0.59055118110236227" header="0.31496062992125984" footer="0.31496062992125984"/>
  <pageSetup paperSize="9" orientation="portrait" cellComments="atEnd" r:id="rId1"/>
  <headerFooter>
    <oddFooter>&amp;C&amp;P/&amp;N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0000FF"/>
  </sheetPr>
  <dimension ref="A1:G159"/>
  <sheetViews>
    <sheetView zoomScale="85" zoomScaleNormal="85" workbookViewId="0">
      <selection activeCell="B19" sqref="B19"/>
    </sheetView>
  </sheetViews>
  <sheetFormatPr defaultColWidth="9.140625" defaultRowHeight="15"/>
  <cols>
    <col min="1" max="1" width="5" style="529" customWidth="1"/>
    <col min="2" max="2" width="43.140625" style="474" customWidth="1"/>
    <col min="3" max="3" width="11.85546875" style="529" customWidth="1"/>
    <col min="4" max="4" width="13.5703125" style="474" customWidth="1"/>
    <col min="5" max="5" width="15.140625" style="474" customWidth="1"/>
    <col min="6" max="6" width="10.42578125" style="474" bestFit="1" customWidth="1"/>
    <col min="7" max="16384" width="9.140625" style="474"/>
  </cols>
  <sheetData>
    <row r="1" spans="1:7" ht="15.75">
      <c r="A1" s="845" t="s">
        <v>213</v>
      </c>
      <c r="B1" s="845"/>
      <c r="C1" s="845"/>
      <c r="D1" s="845"/>
      <c r="E1" s="845"/>
    </row>
    <row r="2" spans="1:7" s="475" customFormat="1" ht="23.25">
      <c r="A2" s="850" t="s">
        <v>845</v>
      </c>
      <c r="B2" s="850"/>
      <c r="C2" s="850"/>
      <c r="D2" s="850"/>
      <c r="E2" s="850"/>
    </row>
    <row r="3" spans="1:7" s="475" customFormat="1" ht="19.5" customHeight="1">
      <c r="A3" s="851" t="str">
        <f>'B01'!A3:E3</f>
        <v>(Kèm theo Quyết định số 569/QĐ-UBND, ngày 17/12/2018 của UBND huyện Đăk Tô)</v>
      </c>
      <c r="B3" s="851"/>
      <c r="C3" s="851"/>
      <c r="D3" s="851"/>
      <c r="E3" s="851"/>
    </row>
    <row r="4" spans="1:7" s="475" customFormat="1" ht="19.5" customHeight="1">
      <c r="A4" s="849" t="s">
        <v>309</v>
      </c>
      <c r="B4" s="849"/>
      <c r="C4" s="849"/>
      <c r="D4" s="849"/>
      <c r="E4" s="849"/>
    </row>
    <row r="5" spans="1:7">
      <c r="A5" s="476"/>
      <c r="B5" s="476"/>
      <c r="C5" s="474"/>
      <c r="D5" s="477"/>
    </row>
    <row r="6" spans="1:7" s="8" customFormat="1" ht="21.75" customHeight="1">
      <c r="A6" s="771" t="s">
        <v>55</v>
      </c>
      <c r="B6" s="772" t="s">
        <v>69</v>
      </c>
      <c r="C6" s="772" t="s">
        <v>18</v>
      </c>
      <c r="D6" s="766" t="s">
        <v>848</v>
      </c>
      <c r="E6" s="772" t="s">
        <v>75</v>
      </c>
    </row>
    <row r="7" spans="1:7" s="8" customFormat="1" ht="15.75">
      <c r="A7" s="771"/>
      <c r="B7" s="771"/>
      <c r="C7" s="771"/>
      <c r="D7" s="767"/>
      <c r="E7" s="771"/>
    </row>
    <row r="8" spans="1:7" s="483" customFormat="1" ht="19.5" customHeight="1">
      <c r="A8" s="478" t="s">
        <v>40</v>
      </c>
      <c r="B8" s="479" t="s">
        <v>225</v>
      </c>
      <c r="C8" s="480"/>
      <c r="D8" s="481"/>
      <c r="E8" s="482"/>
    </row>
    <row r="9" spans="1:7" s="489" customFormat="1" ht="15.75">
      <c r="A9" s="484" t="s">
        <v>38</v>
      </c>
      <c r="B9" s="485" t="s">
        <v>300</v>
      </c>
      <c r="C9" s="486" t="s">
        <v>37</v>
      </c>
      <c r="D9" s="459">
        <f>'B03'!M8</f>
        <v>768</v>
      </c>
      <c r="E9" s="487" t="s">
        <v>226</v>
      </c>
      <c r="F9" s="488"/>
      <c r="G9" s="488"/>
    </row>
    <row r="10" spans="1:7" s="490" customFormat="1" ht="15.75">
      <c r="A10" s="486">
        <v>1</v>
      </c>
      <c r="B10" s="83" t="s">
        <v>227</v>
      </c>
      <c r="C10" s="486"/>
      <c r="D10" s="459">
        <f>'B03'!M9</f>
        <v>0</v>
      </c>
      <c r="E10" s="456"/>
      <c r="F10" s="488"/>
    </row>
    <row r="11" spans="1:7" s="493" customFormat="1" ht="15.75">
      <c r="A11" s="491" t="s">
        <v>56</v>
      </c>
      <c r="B11" s="83" t="s">
        <v>228</v>
      </c>
      <c r="C11" s="491" t="s">
        <v>37</v>
      </c>
      <c r="D11" s="459">
        <f>'B03'!M10</f>
        <v>261</v>
      </c>
      <c r="E11" s="492"/>
      <c r="F11" s="488"/>
    </row>
    <row r="12" spans="1:7" s="494" customFormat="1" ht="15.75">
      <c r="A12" s="484" t="s">
        <v>56</v>
      </c>
      <c r="B12" s="83" t="s">
        <v>229</v>
      </c>
      <c r="C12" s="491" t="s">
        <v>230</v>
      </c>
      <c r="D12" s="459">
        <f>'B03'!M11</f>
        <v>914.3</v>
      </c>
      <c r="E12" s="492"/>
      <c r="F12" s="488"/>
    </row>
    <row r="13" spans="1:7" s="497" customFormat="1" ht="15.75">
      <c r="A13" s="495"/>
      <c r="B13" s="3" t="s">
        <v>231</v>
      </c>
      <c r="C13" s="486" t="s">
        <v>230</v>
      </c>
      <c r="D13" s="26">
        <f>'B03'!M12</f>
        <v>886.69999999999993</v>
      </c>
      <c r="E13" s="496"/>
      <c r="F13" s="488"/>
    </row>
    <row r="14" spans="1:7" s="494" customFormat="1" ht="15.75">
      <c r="A14" s="484"/>
      <c r="B14" s="3" t="s">
        <v>232</v>
      </c>
      <c r="C14" s="486" t="s">
        <v>230</v>
      </c>
      <c r="D14" s="26">
        <f>'B03'!M13</f>
        <v>27.6</v>
      </c>
      <c r="E14" s="457"/>
      <c r="F14" s="488"/>
    </row>
    <row r="15" spans="1:7" s="2" customFormat="1" ht="15.75">
      <c r="A15" s="486" t="s">
        <v>34</v>
      </c>
      <c r="B15" s="3" t="s">
        <v>233</v>
      </c>
      <c r="C15" s="486"/>
      <c r="D15" s="26">
        <f>'B03'!M14</f>
        <v>0</v>
      </c>
      <c r="E15" s="456"/>
      <c r="F15" s="488"/>
    </row>
    <row r="16" spans="1:7" s="497" customFormat="1" ht="15.75">
      <c r="A16" s="495"/>
      <c r="B16" s="3" t="s">
        <v>234</v>
      </c>
      <c r="C16" s="486" t="s">
        <v>37</v>
      </c>
      <c r="D16" s="26">
        <f>'B03'!M15</f>
        <v>255</v>
      </c>
      <c r="E16" s="498"/>
      <c r="F16" s="488"/>
    </row>
    <row r="17" spans="1:6" s="497" customFormat="1" ht="15.75">
      <c r="A17" s="495"/>
      <c r="B17" s="84" t="s">
        <v>235</v>
      </c>
      <c r="C17" s="495" t="s">
        <v>236</v>
      </c>
      <c r="D17" s="25">
        <f>'B03'!M16</f>
        <v>34.772549019607844</v>
      </c>
      <c r="E17" s="499"/>
      <c r="F17" s="488"/>
    </row>
    <row r="18" spans="1:6" ht="15.75">
      <c r="A18" s="486"/>
      <c r="B18" s="3" t="s">
        <v>293</v>
      </c>
      <c r="C18" s="486" t="s">
        <v>230</v>
      </c>
      <c r="D18" s="26">
        <f>'B03'!M17</f>
        <v>886.69999999999993</v>
      </c>
      <c r="E18" s="498"/>
      <c r="F18" s="488"/>
    </row>
    <row r="19" spans="1:6" ht="15.75">
      <c r="A19" s="486"/>
      <c r="B19" s="3" t="s">
        <v>237</v>
      </c>
      <c r="C19" s="486"/>
      <c r="D19" s="26">
        <f>'B03'!M18</f>
        <v>0</v>
      </c>
      <c r="E19" s="500"/>
      <c r="F19" s="488"/>
    </row>
    <row r="20" spans="1:6" s="497" customFormat="1" ht="15.75">
      <c r="A20" s="495"/>
      <c r="B20" s="3" t="s">
        <v>291</v>
      </c>
      <c r="C20" s="486" t="s">
        <v>37</v>
      </c>
      <c r="D20" s="26">
        <f>'B03'!M19</f>
        <v>60</v>
      </c>
      <c r="E20" s="498"/>
      <c r="F20" s="488"/>
    </row>
    <row r="21" spans="1:6" s="497" customFormat="1" ht="15.75">
      <c r="A21" s="495"/>
      <c r="B21" s="84" t="s">
        <v>239</v>
      </c>
      <c r="C21" s="495" t="s">
        <v>236</v>
      </c>
      <c r="D21" s="25">
        <f>'B03'!M20</f>
        <v>35</v>
      </c>
      <c r="E21" s="499"/>
      <c r="F21" s="488"/>
    </row>
    <row r="22" spans="1:6" ht="15.75">
      <c r="A22" s="486"/>
      <c r="B22" s="3" t="s">
        <v>290</v>
      </c>
      <c r="C22" s="486" t="s">
        <v>230</v>
      </c>
      <c r="D22" s="26">
        <f>'B03'!M21</f>
        <v>210</v>
      </c>
      <c r="E22" s="498"/>
      <c r="F22" s="488"/>
    </row>
    <row r="23" spans="1:6" ht="15.75">
      <c r="A23" s="486"/>
      <c r="B23" s="3" t="s">
        <v>240</v>
      </c>
      <c r="C23" s="486"/>
      <c r="D23" s="26">
        <f>'B03'!M22</f>
        <v>0</v>
      </c>
      <c r="E23" s="500"/>
      <c r="F23" s="488"/>
    </row>
    <row r="24" spans="1:6" s="497" customFormat="1" ht="15.75">
      <c r="A24" s="495"/>
      <c r="B24" s="3" t="s">
        <v>291</v>
      </c>
      <c r="C24" s="486" t="s">
        <v>37</v>
      </c>
      <c r="D24" s="26">
        <f>'B03'!M23</f>
        <v>195</v>
      </c>
      <c r="E24" s="498"/>
      <c r="F24" s="488"/>
    </row>
    <row r="25" spans="1:6" s="497" customFormat="1" ht="15.75">
      <c r="A25" s="495"/>
      <c r="B25" s="84" t="s">
        <v>239</v>
      </c>
      <c r="C25" s="495" t="s">
        <v>236</v>
      </c>
      <c r="D25" s="25">
        <f>'B03'!M24</f>
        <v>35.299999999999997</v>
      </c>
      <c r="E25" s="499"/>
      <c r="F25" s="488"/>
    </row>
    <row r="26" spans="1:6" ht="15.75">
      <c r="A26" s="486"/>
      <c r="B26" s="3" t="s">
        <v>290</v>
      </c>
      <c r="C26" s="486" t="s">
        <v>230</v>
      </c>
      <c r="D26" s="26">
        <f>'B03'!M25</f>
        <v>676.69999999999993</v>
      </c>
      <c r="E26" s="498"/>
      <c r="F26" s="488"/>
    </row>
    <row r="27" spans="1:6" ht="15.75" customHeight="1">
      <c r="A27" s="486"/>
      <c r="B27" s="501" t="s">
        <v>241</v>
      </c>
      <c r="C27" s="486"/>
      <c r="D27" s="26">
        <f>'B03'!M26</f>
        <v>0</v>
      </c>
      <c r="E27" s="500"/>
      <c r="F27" s="488"/>
    </row>
    <row r="28" spans="1:6" s="497" customFormat="1" ht="15.75">
      <c r="A28" s="495"/>
      <c r="B28" s="3" t="s">
        <v>291</v>
      </c>
      <c r="C28" s="486" t="s">
        <v>37</v>
      </c>
      <c r="D28" s="26">
        <f>'B03'!M27</f>
        <v>190</v>
      </c>
      <c r="E28" s="498"/>
      <c r="F28" s="488"/>
    </row>
    <row r="29" spans="1:6" s="497" customFormat="1" ht="15.75">
      <c r="A29" s="495"/>
      <c r="B29" s="84" t="s">
        <v>239</v>
      </c>
      <c r="C29" s="495" t="s">
        <v>236</v>
      </c>
      <c r="D29" s="25">
        <f>'B03'!M28</f>
        <v>35.299999999999997</v>
      </c>
      <c r="E29" s="499"/>
      <c r="F29" s="488"/>
    </row>
    <row r="30" spans="1:6" ht="15.75">
      <c r="A30" s="486"/>
      <c r="B30" s="3" t="s">
        <v>290</v>
      </c>
      <c r="C30" s="486" t="s">
        <v>230</v>
      </c>
      <c r="D30" s="26">
        <f>'B03'!M29</f>
        <v>670.69999999999993</v>
      </c>
      <c r="E30" s="498"/>
      <c r="F30" s="488"/>
    </row>
    <row r="31" spans="1:6" ht="15.75">
      <c r="A31" s="486"/>
      <c r="B31" s="3" t="s">
        <v>242</v>
      </c>
      <c r="C31" s="486"/>
      <c r="D31" s="26">
        <f>'B03'!M30</f>
        <v>0</v>
      </c>
      <c r="E31" s="500"/>
      <c r="F31" s="488"/>
    </row>
    <row r="32" spans="1:6" s="497" customFormat="1" ht="15.75">
      <c r="A32" s="495"/>
      <c r="B32" s="3" t="s">
        <v>291</v>
      </c>
      <c r="C32" s="486" t="s">
        <v>37</v>
      </c>
      <c r="D32" s="26">
        <f>'B03'!M31</f>
        <v>5</v>
      </c>
      <c r="E32" s="498"/>
      <c r="F32" s="488"/>
    </row>
    <row r="33" spans="1:6" ht="15.75">
      <c r="A33" s="486"/>
      <c r="B33" s="84" t="s">
        <v>239</v>
      </c>
      <c r="C33" s="495" t="s">
        <v>236</v>
      </c>
      <c r="D33" s="25">
        <f>'B03'!M32</f>
        <v>12</v>
      </c>
      <c r="E33" s="502"/>
      <c r="F33" s="488"/>
    </row>
    <row r="34" spans="1:6" ht="15.75">
      <c r="A34" s="486"/>
      <c r="B34" s="3" t="s">
        <v>290</v>
      </c>
      <c r="C34" s="486" t="s">
        <v>230</v>
      </c>
      <c r="D34" s="26">
        <f>'B03'!M33</f>
        <v>6</v>
      </c>
      <c r="E34" s="498"/>
      <c r="F34" s="488"/>
    </row>
    <row r="35" spans="1:6" s="2" customFormat="1" ht="15.75">
      <c r="A35" s="486" t="s">
        <v>35</v>
      </c>
      <c r="B35" s="3" t="s">
        <v>243</v>
      </c>
      <c r="C35" s="486"/>
      <c r="D35" s="26">
        <f>'B03'!M34</f>
        <v>0</v>
      </c>
      <c r="E35" s="500"/>
      <c r="F35" s="488"/>
    </row>
    <row r="36" spans="1:6" s="497" customFormat="1" ht="15.75">
      <c r="A36" s="495"/>
      <c r="B36" s="503" t="s">
        <v>234</v>
      </c>
      <c r="C36" s="486" t="s">
        <v>37</v>
      </c>
      <c r="D36" s="26">
        <f>'B03'!M35</f>
        <v>6</v>
      </c>
      <c r="E36" s="498"/>
      <c r="F36" s="488"/>
    </row>
    <row r="37" spans="1:6" ht="15.75">
      <c r="A37" s="486"/>
      <c r="B37" s="504" t="s">
        <v>235</v>
      </c>
      <c r="C37" s="495" t="s">
        <v>236</v>
      </c>
      <c r="D37" s="25">
        <f>'B03'!M36</f>
        <v>46.000000000000007</v>
      </c>
      <c r="E37" s="502"/>
      <c r="F37" s="488"/>
    </row>
    <row r="38" spans="1:6" ht="15.75">
      <c r="A38" s="486"/>
      <c r="B38" s="503" t="s">
        <v>293</v>
      </c>
      <c r="C38" s="486" t="s">
        <v>230</v>
      </c>
      <c r="D38" s="26">
        <f>'B03'!M37</f>
        <v>27.6</v>
      </c>
      <c r="E38" s="498"/>
      <c r="F38" s="488"/>
    </row>
    <row r="39" spans="1:6" ht="15.75">
      <c r="A39" s="486"/>
      <c r="B39" s="3" t="s">
        <v>244</v>
      </c>
      <c r="C39" s="486"/>
      <c r="D39" s="26">
        <f>'B03'!M38</f>
        <v>0</v>
      </c>
      <c r="E39" s="500"/>
      <c r="F39" s="488"/>
    </row>
    <row r="40" spans="1:6" s="497" customFormat="1" ht="15.75">
      <c r="A40" s="495"/>
      <c r="B40" s="503" t="s">
        <v>238</v>
      </c>
      <c r="C40" s="486" t="s">
        <v>37</v>
      </c>
      <c r="D40" s="26">
        <f>'B03'!M39</f>
        <v>0</v>
      </c>
      <c r="E40" s="498"/>
      <c r="F40" s="488"/>
    </row>
    <row r="41" spans="1:6" ht="15.75">
      <c r="A41" s="486"/>
      <c r="B41" s="504" t="s">
        <v>239</v>
      </c>
      <c r="C41" s="495" t="s">
        <v>236</v>
      </c>
      <c r="D41" s="25">
        <f>'B03'!M40</f>
        <v>0</v>
      </c>
      <c r="E41" s="502"/>
      <c r="F41" s="488"/>
    </row>
    <row r="42" spans="1:6" ht="15.75">
      <c r="A42" s="486"/>
      <c r="B42" s="3" t="s">
        <v>290</v>
      </c>
      <c r="C42" s="486" t="s">
        <v>230</v>
      </c>
      <c r="D42" s="26">
        <f>'B03'!M41</f>
        <v>0</v>
      </c>
      <c r="E42" s="498"/>
      <c r="F42" s="488"/>
    </row>
    <row r="43" spans="1:6" ht="15.75">
      <c r="A43" s="486"/>
      <c r="B43" s="3" t="s">
        <v>245</v>
      </c>
      <c r="C43" s="486"/>
      <c r="D43" s="26">
        <f>'B03'!M42</f>
        <v>0</v>
      </c>
      <c r="E43" s="500"/>
      <c r="F43" s="488"/>
    </row>
    <row r="44" spans="1:6" s="497" customFormat="1" ht="15.75">
      <c r="A44" s="495"/>
      <c r="B44" s="503" t="s">
        <v>238</v>
      </c>
      <c r="C44" s="486" t="s">
        <v>37</v>
      </c>
      <c r="D44" s="26">
        <f>'B03'!M43</f>
        <v>6</v>
      </c>
      <c r="E44" s="498"/>
      <c r="F44" s="488"/>
    </row>
    <row r="45" spans="1:6" s="497" customFormat="1" ht="15.75">
      <c r="A45" s="495"/>
      <c r="B45" s="504" t="s">
        <v>239</v>
      </c>
      <c r="C45" s="495" t="s">
        <v>236</v>
      </c>
      <c r="D45" s="25">
        <f>'B03'!M44</f>
        <v>46</v>
      </c>
      <c r="E45" s="499"/>
      <c r="F45" s="488"/>
    </row>
    <row r="46" spans="1:6" ht="15.75">
      <c r="A46" s="486"/>
      <c r="B46" s="3" t="s">
        <v>290</v>
      </c>
      <c r="C46" s="486" t="s">
        <v>230</v>
      </c>
      <c r="D46" s="26">
        <f>'B03'!M45</f>
        <v>27.6</v>
      </c>
      <c r="E46" s="498"/>
      <c r="F46" s="488"/>
    </row>
    <row r="47" spans="1:6" ht="15.75">
      <c r="A47" s="486">
        <v>2</v>
      </c>
      <c r="B47" s="3" t="s">
        <v>246</v>
      </c>
      <c r="C47" s="486"/>
      <c r="D47" s="26">
        <f>'B03'!M46</f>
        <v>0</v>
      </c>
      <c r="E47" s="498"/>
      <c r="F47" s="488"/>
    </row>
    <row r="48" spans="1:6" s="497" customFormat="1" ht="15.75" customHeight="1">
      <c r="A48" s="495"/>
      <c r="B48" s="503" t="s">
        <v>238</v>
      </c>
      <c r="C48" s="486" t="s">
        <v>37</v>
      </c>
      <c r="D48" s="26">
        <f>'B03'!M47</f>
        <v>490</v>
      </c>
      <c r="E48" s="498"/>
      <c r="F48" s="488"/>
    </row>
    <row r="49" spans="1:6" s="497" customFormat="1" ht="15.75">
      <c r="A49" s="495"/>
      <c r="B49" s="504" t="s">
        <v>239</v>
      </c>
      <c r="C49" s="495" t="s">
        <v>236</v>
      </c>
      <c r="D49" s="25">
        <f>'B03'!M48</f>
        <v>146</v>
      </c>
      <c r="E49" s="499"/>
      <c r="F49" s="488"/>
    </row>
    <row r="50" spans="1:6" ht="15.75">
      <c r="A50" s="486"/>
      <c r="B50" s="3" t="s">
        <v>290</v>
      </c>
      <c r="C50" s="486" t="s">
        <v>230</v>
      </c>
      <c r="D50" s="26">
        <f>'B03'!M49</f>
        <v>7154</v>
      </c>
      <c r="E50" s="498"/>
      <c r="F50" s="488"/>
    </row>
    <row r="51" spans="1:6" ht="15.75">
      <c r="A51" s="32">
        <v>3</v>
      </c>
      <c r="B51" s="35" t="s">
        <v>317</v>
      </c>
      <c r="C51" s="32" t="s">
        <v>37</v>
      </c>
      <c r="D51" s="26">
        <f>'B03'!M50</f>
        <v>5</v>
      </c>
      <c r="E51" s="498"/>
      <c r="F51" s="488"/>
    </row>
    <row r="52" spans="1:6" ht="15.75">
      <c r="A52" s="39"/>
      <c r="B52" s="35" t="s">
        <v>123</v>
      </c>
      <c r="C52" s="32" t="s">
        <v>37</v>
      </c>
      <c r="D52" s="26">
        <f>'B03'!M51</f>
        <v>0</v>
      </c>
      <c r="E52" s="498"/>
      <c r="F52" s="488"/>
    </row>
    <row r="53" spans="1:6" ht="15.75">
      <c r="A53" s="39"/>
      <c r="B53" s="37" t="s">
        <v>315</v>
      </c>
      <c r="C53" s="34" t="s">
        <v>21</v>
      </c>
      <c r="D53" s="25">
        <f>'B03'!M52</f>
        <v>800</v>
      </c>
      <c r="E53" s="498"/>
      <c r="F53" s="488"/>
    </row>
    <row r="54" spans="1:6" ht="15.75">
      <c r="A54" s="39"/>
      <c r="B54" s="37" t="s">
        <v>316</v>
      </c>
      <c r="C54" s="34" t="s">
        <v>76</v>
      </c>
      <c r="D54" s="26">
        <f>'B03'!M53</f>
        <v>400</v>
      </c>
      <c r="E54" s="498"/>
      <c r="F54" s="488"/>
    </row>
    <row r="55" spans="1:6" s="497" customFormat="1" ht="15.75">
      <c r="A55" s="495">
        <v>4</v>
      </c>
      <c r="B55" s="505" t="s">
        <v>136</v>
      </c>
      <c r="C55" s="486"/>
      <c r="D55" s="26">
        <f>'B03'!M54</f>
        <v>0</v>
      </c>
      <c r="E55" s="498"/>
      <c r="F55" s="488"/>
    </row>
    <row r="56" spans="1:6" s="497" customFormat="1" ht="15.75">
      <c r="A56" s="495"/>
      <c r="B56" s="505" t="s">
        <v>26</v>
      </c>
      <c r="C56" s="486" t="s">
        <v>37</v>
      </c>
      <c r="D56" s="26">
        <f>'B03'!M55</f>
        <v>12</v>
      </c>
      <c r="E56" s="498"/>
      <c r="F56" s="488"/>
    </row>
    <row r="57" spans="1:6" s="497" customFormat="1" ht="15.75">
      <c r="A57" s="495"/>
      <c r="B57" s="506" t="s">
        <v>27</v>
      </c>
      <c r="C57" s="507" t="s">
        <v>21</v>
      </c>
      <c r="D57" s="25">
        <f>'B03'!M56</f>
        <v>110</v>
      </c>
      <c r="E57" s="508"/>
      <c r="F57" s="488"/>
    </row>
    <row r="58" spans="1:6" ht="15.75">
      <c r="A58" s="486"/>
      <c r="B58" s="505" t="s">
        <v>28</v>
      </c>
      <c r="C58" s="509" t="s">
        <v>76</v>
      </c>
      <c r="D58" s="26">
        <f>'B03'!M57</f>
        <v>148</v>
      </c>
      <c r="E58" s="498"/>
      <c r="F58" s="488"/>
    </row>
    <row r="59" spans="1:6" ht="15.75">
      <c r="A59" s="486"/>
      <c r="B59" s="40" t="s">
        <v>318</v>
      </c>
      <c r="C59" s="21"/>
      <c r="D59" s="26">
        <f>'B03'!M58</f>
        <v>0</v>
      </c>
      <c r="E59" s="498"/>
      <c r="F59" s="488"/>
    </row>
    <row r="60" spans="1:6" ht="15.75">
      <c r="A60" s="486"/>
      <c r="B60" s="510" t="s">
        <v>178</v>
      </c>
      <c r="C60" s="41" t="s">
        <v>37</v>
      </c>
      <c r="D60" s="26">
        <f>'B03'!M59</f>
        <v>8</v>
      </c>
      <c r="E60" s="498"/>
      <c r="F60" s="488"/>
    </row>
    <row r="61" spans="1:6" ht="15.75">
      <c r="A61" s="486"/>
      <c r="B61" s="510" t="s">
        <v>179</v>
      </c>
      <c r="C61" s="41" t="s">
        <v>21</v>
      </c>
      <c r="D61" s="25">
        <f>'B03'!M60</f>
        <v>130</v>
      </c>
      <c r="E61" s="498"/>
      <c r="F61" s="488"/>
    </row>
    <row r="62" spans="1:6" ht="15.75">
      <c r="A62" s="486"/>
      <c r="B62" s="510" t="s">
        <v>180</v>
      </c>
      <c r="C62" s="41" t="s">
        <v>76</v>
      </c>
      <c r="D62" s="26">
        <f>'B03'!M61</f>
        <v>104</v>
      </c>
      <c r="E62" s="498"/>
      <c r="F62" s="488"/>
    </row>
    <row r="63" spans="1:6" ht="15.75">
      <c r="A63" s="486"/>
      <c r="B63" s="511" t="s">
        <v>319</v>
      </c>
      <c r="C63" s="21"/>
      <c r="D63" s="26">
        <f>'B03'!M62</f>
        <v>0</v>
      </c>
      <c r="E63" s="498"/>
      <c r="F63" s="488"/>
    </row>
    <row r="64" spans="1:6" ht="15.75">
      <c r="A64" s="486"/>
      <c r="B64" s="510" t="s">
        <v>178</v>
      </c>
      <c r="C64" s="41" t="s">
        <v>37</v>
      </c>
      <c r="D64" s="26">
        <f>'B03'!M63</f>
        <v>4</v>
      </c>
      <c r="E64" s="498"/>
      <c r="F64" s="488"/>
    </row>
    <row r="65" spans="1:6" ht="15.75">
      <c r="A65" s="486"/>
      <c r="B65" s="510" t="s">
        <v>179</v>
      </c>
      <c r="C65" s="41" t="s">
        <v>21</v>
      </c>
      <c r="D65" s="25">
        <f>'B03'!M64</f>
        <v>110</v>
      </c>
      <c r="E65" s="498"/>
      <c r="F65" s="488"/>
    </row>
    <row r="66" spans="1:6" ht="15.75">
      <c r="A66" s="486"/>
      <c r="B66" s="510" t="s">
        <v>180</v>
      </c>
      <c r="C66" s="41" t="s">
        <v>76</v>
      </c>
      <c r="D66" s="26">
        <f>'B03'!M65</f>
        <v>44</v>
      </c>
      <c r="E66" s="498"/>
      <c r="F66" s="488"/>
    </row>
    <row r="67" spans="1:6" s="483" customFormat="1" ht="19.5" customHeight="1">
      <c r="A67" s="491" t="s">
        <v>39</v>
      </c>
      <c r="B67" s="83" t="s">
        <v>247</v>
      </c>
      <c r="C67" s="491"/>
      <c r="D67" s="459">
        <f>'B03'!M66</f>
        <v>276</v>
      </c>
      <c r="E67" s="457"/>
      <c r="F67" s="488"/>
    </row>
    <row r="68" spans="1:6" s="489" customFormat="1" ht="15.75">
      <c r="A68" s="484">
        <v>1</v>
      </c>
      <c r="B68" s="305" t="s">
        <v>248</v>
      </c>
      <c r="C68" s="484" t="s">
        <v>37</v>
      </c>
      <c r="D68" s="459">
        <f>'B03'!M67</f>
        <v>126</v>
      </c>
      <c r="E68" s="512"/>
      <c r="F68" s="488"/>
    </row>
    <row r="69" spans="1:6" ht="17.25" customHeight="1">
      <c r="A69" s="486" t="s">
        <v>34</v>
      </c>
      <c r="B69" s="3" t="s">
        <v>249</v>
      </c>
      <c r="C69" s="486" t="s">
        <v>37</v>
      </c>
      <c r="D69" s="26">
        <f>'B03'!M68</f>
        <v>89</v>
      </c>
      <c r="E69" s="456"/>
      <c r="F69" s="488"/>
    </row>
    <row r="70" spans="1:6" ht="17.25" hidden="1" customHeight="1">
      <c r="A70" s="513"/>
      <c r="B70" s="514" t="s">
        <v>361</v>
      </c>
      <c r="C70" s="486" t="s">
        <v>37</v>
      </c>
      <c r="D70" s="26">
        <f>'B03'!M69</f>
        <v>54</v>
      </c>
      <c r="E70" s="515"/>
      <c r="F70" s="488"/>
    </row>
    <row r="71" spans="1:6" ht="17.25" hidden="1" customHeight="1">
      <c r="A71" s="513"/>
      <c r="B71" s="514"/>
      <c r="C71" s="486"/>
      <c r="D71" s="26">
        <f>'B03'!M70</f>
        <v>20</v>
      </c>
      <c r="E71" s="515"/>
      <c r="F71" s="488"/>
    </row>
    <row r="72" spans="1:6" ht="15.75">
      <c r="A72" s="495"/>
      <c r="B72" s="84" t="s">
        <v>250</v>
      </c>
      <c r="C72" s="495" t="s">
        <v>37</v>
      </c>
      <c r="D72" s="26">
        <f>'B03'!M72</f>
        <v>15</v>
      </c>
      <c r="E72" s="456"/>
      <c r="F72" s="488"/>
    </row>
    <row r="73" spans="1:6" ht="18" customHeight="1">
      <c r="A73" s="486"/>
      <c r="B73" s="3" t="s">
        <v>251</v>
      </c>
      <c r="C73" s="486" t="s">
        <v>37</v>
      </c>
      <c r="D73" s="26">
        <f>'B03'!M73</f>
        <v>42</v>
      </c>
      <c r="E73" s="456"/>
      <c r="F73" s="488"/>
    </row>
    <row r="74" spans="1:6" ht="18" hidden="1" customHeight="1">
      <c r="A74" s="513"/>
      <c r="B74" s="514" t="s">
        <v>362</v>
      </c>
      <c r="C74" s="513" t="s">
        <v>37</v>
      </c>
      <c r="D74" s="26" t="e">
        <f>'B03'!#REF!</f>
        <v>#REF!</v>
      </c>
      <c r="E74" s="515"/>
      <c r="F74" s="488"/>
    </row>
    <row r="75" spans="1:6" ht="18" hidden="1" customHeight="1">
      <c r="A75" s="513"/>
      <c r="B75" s="514" t="s">
        <v>363</v>
      </c>
      <c r="C75" s="513" t="s">
        <v>37</v>
      </c>
      <c r="D75" s="26" t="e">
        <f>'B03'!#REF!</f>
        <v>#REF!</v>
      </c>
      <c r="E75" s="515"/>
      <c r="F75" s="488"/>
    </row>
    <row r="76" spans="1:6" ht="18" hidden="1" customHeight="1">
      <c r="A76" s="513"/>
      <c r="B76" s="514" t="s">
        <v>364</v>
      </c>
      <c r="C76" s="513" t="s">
        <v>37</v>
      </c>
      <c r="D76" s="26" t="e">
        <f>'B03'!#REF!</f>
        <v>#REF!</v>
      </c>
      <c r="E76" s="515"/>
      <c r="F76" s="488"/>
    </row>
    <row r="77" spans="1:6" s="497" customFormat="1" ht="15.75">
      <c r="A77" s="495"/>
      <c r="B77" s="84" t="s">
        <v>252</v>
      </c>
      <c r="C77" s="495" t="s">
        <v>236</v>
      </c>
      <c r="D77" s="25">
        <f>'B03'!M74</f>
        <v>29</v>
      </c>
      <c r="E77" s="516"/>
      <c r="F77" s="488"/>
    </row>
    <row r="78" spans="1:6" ht="15.75">
      <c r="A78" s="486"/>
      <c r="B78" s="3" t="s">
        <v>301</v>
      </c>
      <c r="C78" s="486" t="s">
        <v>230</v>
      </c>
      <c r="D78" s="26">
        <f>'B03'!M75</f>
        <v>121.8</v>
      </c>
      <c r="E78" s="498"/>
      <c r="F78" s="488"/>
    </row>
    <row r="79" spans="1:6" ht="15.75">
      <c r="A79" s="486" t="s">
        <v>35</v>
      </c>
      <c r="B79" s="3" t="s">
        <v>253</v>
      </c>
      <c r="C79" s="486" t="s">
        <v>37</v>
      </c>
      <c r="D79" s="26">
        <f>'B03'!M76</f>
        <v>37</v>
      </c>
      <c r="E79" s="498"/>
      <c r="F79" s="488"/>
    </row>
    <row r="80" spans="1:6" s="497" customFormat="1" ht="15.75">
      <c r="A80" s="495"/>
      <c r="B80" s="84" t="s">
        <v>292</v>
      </c>
      <c r="C80" s="495" t="s">
        <v>37</v>
      </c>
      <c r="D80" s="26">
        <f>'B03'!M77</f>
        <v>0</v>
      </c>
      <c r="E80" s="496"/>
      <c r="F80" s="488"/>
    </row>
    <row r="81" spans="1:6" ht="15.75">
      <c r="A81" s="486"/>
      <c r="B81" s="3" t="s">
        <v>251</v>
      </c>
      <c r="C81" s="486" t="s">
        <v>37</v>
      </c>
      <c r="D81" s="26">
        <f>'B03'!M78</f>
        <v>20</v>
      </c>
      <c r="E81" s="456"/>
      <c r="F81" s="488"/>
    </row>
    <row r="82" spans="1:6" s="517" customFormat="1" ht="15.75" hidden="1">
      <c r="A82" s="513"/>
      <c r="B82" s="514" t="s">
        <v>362</v>
      </c>
      <c r="C82" s="513" t="s">
        <v>37</v>
      </c>
      <c r="D82" s="26" t="e">
        <f>'B03'!#REF!</f>
        <v>#REF!</v>
      </c>
      <c r="E82" s="515"/>
      <c r="F82" s="488"/>
    </row>
    <row r="83" spans="1:6" ht="15.75" hidden="1">
      <c r="A83" s="486"/>
      <c r="B83" s="518" t="s">
        <v>365</v>
      </c>
      <c r="C83" s="513" t="s">
        <v>37</v>
      </c>
      <c r="D83" s="26" t="e">
        <f>'B03'!#REF!</f>
        <v>#REF!</v>
      </c>
      <c r="E83" s="456"/>
      <c r="F83" s="488"/>
    </row>
    <row r="84" spans="1:6" ht="15.75" hidden="1">
      <c r="A84" s="486"/>
      <c r="B84" s="518" t="s">
        <v>366</v>
      </c>
      <c r="C84" s="513" t="s">
        <v>37</v>
      </c>
      <c r="D84" s="26" t="e">
        <f>'B03'!#REF!</f>
        <v>#REF!</v>
      </c>
      <c r="E84" s="456"/>
      <c r="F84" s="488"/>
    </row>
    <row r="85" spans="1:6" ht="15.75" hidden="1">
      <c r="A85" s="486"/>
      <c r="B85" s="518" t="s">
        <v>367</v>
      </c>
      <c r="C85" s="513" t="s">
        <v>37</v>
      </c>
      <c r="D85" s="26" t="e">
        <f>'B03'!#REF!</f>
        <v>#REF!</v>
      </c>
      <c r="E85" s="456"/>
      <c r="F85" s="488"/>
    </row>
    <row r="86" spans="1:6" ht="15.75" hidden="1">
      <c r="A86" s="486"/>
      <c r="B86" s="514" t="s">
        <v>368</v>
      </c>
      <c r="C86" s="519"/>
      <c r="D86" s="26" t="e">
        <f>'B03'!#REF!</f>
        <v>#REF!</v>
      </c>
      <c r="E86" s="456"/>
      <c r="F86" s="488"/>
    </row>
    <row r="87" spans="1:6" ht="15.75" hidden="1">
      <c r="A87" s="486"/>
      <c r="B87" s="514"/>
      <c r="C87" s="519"/>
      <c r="D87" s="26" t="e">
        <f>'B03'!#REF!</f>
        <v>#REF!</v>
      </c>
      <c r="E87" s="456"/>
      <c r="F87" s="488"/>
    </row>
    <row r="88" spans="1:6" s="497" customFormat="1" ht="15.75">
      <c r="A88" s="495"/>
      <c r="B88" s="84" t="s">
        <v>252</v>
      </c>
      <c r="C88" s="495" t="s">
        <v>236</v>
      </c>
      <c r="D88" s="25">
        <f>'B03'!M79</f>
        <v>12.5</v>
      </c>
      <c r="E88" s="520"/>
      <c r="F88" s="488"/>
    </row>
    <row r="89" spans="1:6" ht="15.75" customHeight="1">
      <c r="A89" s="486"/>
      <c r="B89" s="3" t="s">
        <v>301</v>
      </c>
      <c r="C89" s="486" t="s">
        <v>230</v>
      </c>
      <c r="D89" s="26">
        <f>'B03'!M80</f>
        <v>25</v>
      </c>
      <c r="E89" s="521"/>
      <c r="F89" s="488"/>
    </row>
    <row r="90" spans="1:6" ht="15.75">
      <c r="A90" s="486">
        <v>2</v>
      </c>
      <c r="B90" s="3" t="s">
        <v>254</v>
      </c>
      <c r="C90" s="486" t="s">
        <v>37</v>
      </c>
      <c r="D90" s="26">
        <f>'B03'!M81</f>
        <v>150</v>
      </c>
      <c r="E90" s="498"/>
      <c r="F90" s="488"/>
    </row>
    <row r="91" spans="1:6" ht="15.75">
      <c r="A91" s="486"/>
      <c r="B91" s="84" t="s">
        <v>255</v>
      </c>
      <c r="C91" s="495" t="s">
        <v>37</v>
      </c>
      <c r="D91" s="26">
        <f>'B03'!M82</f>
        <v>0</v>
      </c>
      <c r="E91" s="498"/>
      <c r="F91" s="488"/>
    </row>
    <row r="92" spans="1:6" ht="19.5" hidden="1" customHeight="1">
      <c r="A92" s="513"/>
      <c r="B92" s="522" t="s">
        <v>369</v>
      </c>
      <c r="C92" s="523" t="s">
        <v>37</v>
      </c>
      <c r="D92" s="459" t="e">
        <f>'B03'!#REF!</f>
        <v>#REF!</v>
      </c>
      <c r="E92" s="498"/>
      <c r="F92" s="488"/>
    </row>
    <row r="93" spans="1:6" ht="19.5" hidden="1" customHeight="1">
      <c r="A93" s="513"/>
      <c r="B93" s="522" t="s">
        <v>370</v>
      </c>
      <c r="C93" s="523" t="s">
        <v>37</v>
      </c>
      <c r="D93" s="459" t="e">
        <f>'B03'!#REF!</f>
        <v>#REF!</v>
      </c>
      <c r="E93" s="498"/>
      <c r="F93" s="488"/>
    </row>
    <row r="94" spans="1:6" ht="19.5" hidden="1" customHeight="1">
      <c r="A94" s="513"/>
      <c r="B94" s="522" t="s">
        <v>361</v>
      </c>
      <c r="C94" s="523" t="s">
        <v>37</v>
      </c>
      <c r="D94" s="459" t="e">
        <f>'B03'!#REF!</f>
        <v>#REF!</v>
      </c>
      <c r="E94" s="498"/>
      <c r="F94" s="488"/>
    </row>
    <row r="95" spans="1:6" s="483" customFormat="1" ht="15.75">
      <c r="A95" s="524" t="s">
        <v>43</v>
      </c>
      <c r="B95" s="83" t="s">
        <v>256</v>
      </c>
      <c r="C95" s="491"/>
      <c r="D95" s="459">
        <f>'B03'!M83</f>
        <v>0</v>
      </c>
      <c r="E95" s="498"/>
      <c r="F95" s="488"/>
    </row>
    <row r="96" spans="1:6" ht="15.75">
      <c r="A96" s="486">
        <v>1</v>
      </c>
      <c r="B96" s="3" t="s">
        <v>257</v>
      </c>
      <c r="C96" s="486" t="s">
        <v>54</v>
      </c>
      <c r="D96" s="26">
        <f>'B03'!M84</f>
        <v>600</v>
      </c>
      <c r="E96" s="498"/>
      <c r="F96" s="488"/>
    </row>
    <row r="97" spans="1:6" s="517" customFormat="1" ht="15.75" hidden="1">
      <c r="A97" s="513"/>
      <c r="B97" s="514" t="s">
        <v>371</v>
      </c>
      <c r="C97" s="513"/>
      <c r="D97" s="26" t="e">
        <f>'B03'!#REF!</f>
        <v>#REF!</v>
      </c>
      <c r="E97" s="525"/>
      <c r="F97" s="488"/>
    </row>
    <row r="98" spans="1:6" ht="15.75">
      <c r="A98" s="486">
        <v>2</v>
      </c>
      <c r="B98" s="3" t="s">
        <v>258</v>
      </c>
      <c r="C98" s="486" t="s">
        <v>54</v>
      </c>
      <c r="D98" s="26">
        <f>'B03'!M85</f>
        <v>570</v>
      </c>
      <c r="E98" s="498"/>
      <c r="F98" s="488"/>
    </row>
    <row r="99" spans="1:6" s="517" customFormat="1" ht="15.75" hidden="1">
      <c r="A99" s="513"/>
      <c r="B99" s="514" t="s">
        <v>372</v>
      </c>
      <c r="C99" s="513"/>
      <c r="D99" s="26" t="e">
        <f>'B03'!#REF!</f>
        <v>#REF!</v>
      </c>
      <c r="E99" s="525"/>
      <c r="F99" s="488"/>
    </row>
    <row r="100" spans="1:6" ht="15" customHeight="1">
      <c r="A100" s="486">
        <v>3</v>
      </c>
      <c r="B100" s="3" t="s">
        <v>259</v>
      </c>
      <c r="C100" s="486" t="s">
        <v>54</v>
      </c>
      <c r="D100" s="26">
        <f>'B03'!M86</f>
        <v>600</v>
      </c>
      <c r="E100" s="498"/>
      <c r="F100" s="488"/>
    </row>
    <row r="101" spans="1:6" s="517" customFormat="1" ht="15" hidden="1" customHeight="1">
      <c r="A101" s="513"/>
      <c r="B101" s="514" t="s">
        <v>373</v>
      </c>
      <c r="C101" s="513"/>
      <c r="D101" s="26" t="e">
        <f>'B03'!#REF!</f>
        <v>#REF!</v>
      </c>
      <c r="E101" s="525"/>
      <c r="F101" s="488"/>
    </row>
    <row r="102" spans="1:6" ht="15" customHeight="1">
      <c r="A102" s="486">
        <v>4</v>
      </c>
      <c r="B102" s="3" t="s">
        <v>260</v>
      </c>
      <c r="C102" s="486" t="s">
        <v>54</v>
      </c>
      <c r="D102" s="26">
        <f>'B03'!M87</f>
        <v>3000</v>
      </c>
      <c r="E102" s="498"/>
      <c r="F102" s="488"/>
    </row>
    <row r="103" spans="1:6" s="517" customFormat="1" ht="15" hidden="1" customHeight="1">
      <c r="A103" s="513"/>
      <c r="B103" s="514" t="s">
        <v>374</v>
      </c>
      <c r="C103" s="513"/>
      <c r="D103" s="459" t="e">
        <f>'B03'!#REF!</f>
        <v>#REF!</v>
      </c>
      <c r="E103" s="525"/>
      <c r="F103" s="488"/>
    </row>
    <row r="104" spans="1:6" s="483" customFormat="1" ht="15.75">
      <c r="A104" s="524" t="s">
        <v>176</v>
      </c>
      <c r="B104" s="83" t="s">
        <v>282</v>
      </c>
      <c r="C104" s="491"/>
      <c r="D104" s="459">
        <f>'B03'!M88</f>
        <v>0</v>
      </c>
      <c r="E104" s="498"/>
      <c r="F104" s="488"/>
    </row>
    <row r="105" spans="1:6" ht="15.75">
      <c r="A105" s="486">
        <v>1</v>
      </c>
      <c r="B105" s="3" t="s">
        <v>283</v>
      </c>
      <c r="C105" s="486" t="s">
        <v>37</v>
      </c>
      <c r="D105" s="25">
        <f>'B03'!M89</f>
        <v>2</v>
      </c>
      <c r="E105" s="498"/>
      <c r="F105" s="488"/>
    </row>
    <row r="106" spans="1:6" ht="6.75" customHeight="1">
      <c r="A106" s="526"/>
      <c r="B106" s="527"/>
      <c r="C106" s="526"/>
      <c r="D106" s="528"/>
      <c r="E106" s="527"/>
    </row>
    <row r="107" spans="1:6">
      <c r="D107" s="530"/>
    </row>
    <row r="109" spans="1:6">
      <c r="D109" s="530"/>
    </row>
    <row r="110" spans="1:6">
      <c r="D110" s="530"/>
    </row>
    <row r="136" spans="5:5" ht="15.75">
      <c r="E136" s="2"/>
    </row>
    <row r="159" spans="2:2" ht="15.75">
      <c r="B159" s="2"/>
    </row>
  </sheetData>
  <mergeCells count="9">
    <mergeCell ref="E6:E7"/>
    <mergeCell ref="D6:D7"/>
    <mergeCell ref="A1:E1"/>
    <mergeCell ref="A2:E2"/>
    <mergeCell ref="A3:E3"/>
    <mergeCell ref="A4:E4"/>
    <mergeCell ref="A6:A7"/>
    <mergeCell ref="B6:B7"/>
    <mergeCell ref="C6:C7"/>
  </mergeCells>
  <pageMargins left="0.70866141732283472" right="0.59055118110236227" top="0.59055118110236227" bottom="0.59055118110236227" header="0.31496062992125984" footer="0.31496062992125984"/>
  <pageSetup paperSize="9" orientation="portrait" cellComments="atEnd" r:id="rId1"/>
  <headerFoot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76"/>
  <sheetViews>
    <sheetView view="pageBreakPreview" zoomScale="85" zoomScaleNormal="85" zoomScaleSheetLayoutView="85" workbookViewId="0">
      <pane xSplit="2" ySplit="9" topLeftCell="C52" activePane="bottomRight" state="frozen"/>
      <selection activeCell="F28" sqref="F28"/>
      <selection pane="topRight" activeCell="F28" sqref="F28"/>
      <selection pane="bottomLeft" activeCell="F28" sqref="F28"/>
      <selection pane="bottomRight" activeCell="F28" sqref="F28"/>
    </sheetView>
  </sheetViews>
  <sheetFormatPr defaultRowHeight="12.75" outlineLevelRow="1"/>
  <cols>
    <col min="1" max="1" width="5.7109375" customWidth="1"/>
    <col min="2" max="2" width="43.85546875" customWidth="1"/>
    <col min="3" max="3" width="9" customWidth="1"/>
    <col min="4" max="7" width="14.5703125" customWidth="1"/>
    <col min="257" max="257" width="5.7109375" customWidth="1"/>
    <col min="258" max="258" width="43.85546875" customWidth="1"/>
    <col min="259" max="259" width="9" customWidth="1"/>
    <col min="260" max="263" width="14.5703125" customWidth="1"/>
    <col min="513" max="513" width="5.7109375" customWidth="1"/>
    <col min="514" max="514" width="43.85546875" customWidth="1"/>
    <col min="515" max="515" width="9" customWidth="1"/>
    <col min="516" max="519" width="14.5703125" customWidth="1"/>
    <col min="769" max="769" width="5.7109375" customWidth="1"/>
    <col min="770" max="770" width="43.85546875" customWidth="1"/>
    <col min="771" max="771" width="9" customWidth="1"/>
    <col min="772" max="775" width="14.5703125" customWidth="1"/>
    <col min="1025" max="1025" width="5.7109375" customWidth="1"/>
    <col min="1026" max="1026" width="43.85546875" customWidth="1"/>
    <col min="1027" max="1027" width="9" customWidth="1"/>
    <col min="1028" max="1031" width="14.5703125" customWidth="1"/>
    <col min="1281" max="1281" width="5.7109375" customWidth="1"/>
    <col min="1282" max="1282" width="43.85546875" customWidth="1"/>
    <col min="1283" max="1283" width="9" customWidth="1"/>
    <col min="1284" max="1287" width="14.5703125" customWidth="1"/>
    <col min="1537" max="1537" width="5.7109375" customWidth="1"/>
    <col min="1538" max="1538" width="43.85546875" customWidth="1"/>
    <col min="1539" max="1539" width="9" customWidth="1"/>
    <col min="1540" max="1543" width="14.5703125" customWidth="1"/>
    <col min="1793" max="1793" width="5.7109375" customWidth="1"/>
    <col min="1794" max="1794" width="43.85546875" customWidth="1"/>
    <col min="1795" max="1795" width="9" customWidth="1"/>
    <col min="1796" max="1799" width="14.5703125" customWidth="1"/>
    <col min="2049" max="2049" width="5.7109375" customWidth="1"/>
    <col min="2050" max="2050" width="43.85546875" customWidth="1"/>
    <col min="2051" max="2051" width="9" customWidth="1"/>
    <col min="2052" max="2055" width="14.5703125" customWidth="1"/>
    <col min="2305" max="2305" width="5.7109375" customWidth="1"/>
    <col min="2306" max="2306" width="43.85546875" customWidth="1"/>
    <col min="2307" max="2307" width="9" customWidth="1"/>
    <col min="2308" max="2311" width="14.5703125" customWidth="1"/>
    <col min="2561" max="2561" width="5.7109375" customWidth="1"/>
    <col min="2562" max="2562" width="43.85546875" customWidth="1"/>
    <col min="2563" max="2563" width="9" customWidth="1"/>
    <col min="2564" max="2567" width="14.5703125" customWidth="1"/>
    <col min="2817" max="2817" width="5.7109375" customWidth="1"/>
    <col min="2818" max="2818" width="43.85546875" customWidth="1"/>
    <col min="2819" max="2819" width="9" customWidth="1"/>
    <col min="2820" max="2823" width="14.5703125" customWidth="1"/>
    <col min="3073" max="3073" width="5.7109375" customWidth="1"/>
    <col min="3074" max="3074" width="43.85546875" customWidth="1"/>
    <col min="3075" max="3075" width="9" customWidth="1"/>
    <col min="3076" max="3079" width="14.5703125" customWidth="1"/>
    <col min="3329" max="3329" width="5.7109375" customWidth="1"/>
    <col min="3330" max="3330" width="43.85546875" customWidth="1"/>
    <col min="3331" max="3331" width="9" customWidth="1"/>
    <col min="3332" max="3335" width="14.5703125" customWidth="1"/>
    <col min="3585" max="3585" width="5.7109375" customWidth="1"/>
    <col min="3586" max="3586" width="43.85546875" customWidth="1"/>
    <col min="3587" max="3587" width="9" customWidth="1"/>
    <col min="3588" max="3591" width="14.5703125" customWidth="1"/>
    <col min="3841" max="3841" width="5.7109375" customWidth="1"/>
    <col min="3842" max="3842" width="43.85546875" customWidth="1"/>
    <col min="3843" max="3843" width="9" customWidth="1"/>
    <col min="3844" max="3847" width="14.5703125" customWidth="1"/>
    <col min="4097" max="4097" width="5.7109375" customWidth="1"/>
    <col min="4098" max="4098" width="43.85546875" customWidth="1"/>
    <col min="4099" max="4099" width="9" customWidth="1"/>
    <col min="4100" max="4103" width="14.5703125" customWidth="1"/>
    <col min="4353" max="4353" width="5.7109375" customWidth="1"/>
    <col min="4354" max="4354" width="43.85546875" customWidth="1"/>
    <col min="4355" max="4355" width="9" customWidth="1"/>
    <col min="4356" max="4359" width="14.5703125" customWidth="1"/>
    <col min="4609" max="4609" width="5.7109375" customWidth="1"/>
    <col min="4610" max="4610" width="43.85546875" customWidth="1"/>
    <col min="4611" max="4611" width="9" customWidth="1"/>
    <col min="4612" max="4615" width="14.5703125" customWidth="1"/>
    <col min="4865" max="4865" width="5.7109375" customWidth="1"/>
    <col min="4866" max="4866" width="43.85546875" customWidth="1"/>
    <col min="4867" max="4867" width="9" customWidth="1"/>
    <col min="4868" max="4871" width="14.5703125" customWidth="1"/>
    <col min="5121" max="5121" width="5.7109375" customWidth="1"/>
    <col min="5122" max="5122" width="43.85546875" customWidth="1"/>
    <col min="5123" max="5123" width="9" customWidth="1"/>
    <col min="5124" max="5127" width="14.5703125" customWidth="1"/>
    <col min="5377" max="5377" width="5.7109375" customWidth="1"/>
    <col min="5378" max="5378" width="43.85546875" customWidth="1"/>
    <col min="5379" max="5379" width="9" customWidth="1"/>
    <col min="5380" max="5383" width="14.5703125" customWidth="1"/>
    <col min="5633" max="5633" width="5.7109375" customWidth="1"/>
    <col min="5634" max="5634" width="43.85546875" customWidth="1"/>
    <col min="5635" max="5635" width="9" customWidth="1"/>
    <col min="5636" max="5639" width="14.5703125" customWidth="1"/>
    <col min="5889" max="5889" width="5.7109375" customWidth="1"/>
    <col min="5890" max="5890" width="43.85546875" customWidth="1"/>
    <col min="5891" max="5891" width="9" customWidth="1"/>
    <col min="5892" max="5895" width="14.5703125" customWidth="1"/>
    <col min="6145" max="6145" width="5.7109375" customWidth="1"/>
    <col min="6146" max="6146" width="43.85546875" customWidth="1"/>
    <col min="6147" max="6147" width="9" customWidth="1"/>
    <col min="6148" max="6151" width="14.5703125" customWidth="1"/>
    <col min="6401" max="6401" width="5.7109375" customWidth="1"/>
    <col min="6402" max="6402" width="43.85546875" customWidth="1"/>
    <col min="6403" max="6403" width="9" customWidth="1"/>
    <col min="6404" max="6407" width="14.5703125" customWidth="1"/>
    <col min="6657" max="6657" width="5.7109375" customWidth="1"/>
    <col min="6658" max="6658" width="43.85546875" customWidth="1"/>
    <col min="6659" max="6659" width="9" customWidth="1"/>
    <col min="6660" max="6663" width="14.5703125" customWidth="1"/>
    <col min="6913" max="6913" width="5.7109375" customWidth="1"/>
    <col min="6914" max="6914" width="43.85546875" customWidth="1"/>
    <col min="6915" max="6915" width="9" customWidth="1"/>
    <col min="6916" max="6919" width="14.5703125" customWidth="1"/>
    <col min="7169" max="7169" width="5.7109375" customWidth="1"/>
    <col min="7170" max="7170" width="43.85546875" customWidth="1"/>
    <col min="7171" max="7171" width="9" customWidth="1"/>
    <col min="7172" max="7175" width="14.5703125" customWidth="1"/>
    <col min="7425" max="7425" width="5.7109375" customWidth="1"/>
    <col min="7426" max="7426" width="43.85546875" customWidth="1"/>
    <col min="7427" max="7427" width="9" customWidth="1"/>
    <col min="7428" max="7431" width="14.5703125" customWidth="1"/>
    <col min="7681" max="7681" width="5.7109375" customWidth="1"/>
    <col min="7682" max="7682" width="43.85546875" customWidth="1"/>
    <col min="7683" max="7683" width="9" customWidth="1"/>
    <col min="7684" max="7687" width="14.5703125" customWidth="1"/>
    <col min="7937" max="7937" width="5.7109375" customWidth="1"/>
    <col min="7938" max="7938" width="43.85546875" customWidth="1"/>
    <col min="7939" max="7939" width="9" customWidth="1"/>
    <col min="7940" max="7943" width="14.5703125" customWidth="1"/>
    <col min="8193" max="8193" width="5.7109375" customWidth="1"/>
    <col min="8194" max="8194" width="43.85546875" customWidth="1"/>
    <col min="8195" max="8195" width="9" customWidth="1"/>
    <col min="8196" max="8199" width="14.5703125" customWidth="1"/>
    <col min="8449" max="8449" width="5.7109375" customWidth="1"/>
    <col min="8450" max="8450" width="43.85546875" customWidth="1"/>
    <col min="8451" max="8451" width="9" customWidth="1"/>
    <col min="8452" max="8455" width="14.5703125" customWidth="1"/>
    <col min="8705" max="8705" width="5.7109375" customWidth="1"/>
    <col min="8706" max="8706" width="43.85546875" customWidth="1"/>
    <col min="8707" max="8707" width="9" customWidth="1"/>
    <col min="8708" max="8711" width="14.5703125" customWidth="1"/>
    <col min="8961" max="8961" width="5.7109375" customWidth="1"/>
    <col min="8962" max="8962" width="43.85546875" customWidth="1"/>
    <col min="8963" max="8963" width="9" customWidth="1"/>
    <col min="8964" max="8967" width="14.5703125" customWidth="1"/>
    <col min="9217" max="9217" width="5.7109375" customWidth="1"/>
    <col min="9218" max="9218" width="43.85546875" customWidth="1"/>
    <col min="9219" max="9219" width="9" customWidth="1"/>
    <col min="9220" max="9223" width="14.5703125" customWidth="1"/>
    <col min="9473" max="9473" width="5.7109375" customWidth="1"/>
    <col min="9474" max="9474" width="43.85546875" customWidth="1"/>
    <col min="9475" max="9475" width="9" customWidth="1"/>
    <col min="9476" max="9479" width="14.5703125" customWidth="1"/>
    <col min="9729" max="9729" width="5.7109375" customWidth="1"/>
    <col min="9730" max="9730" width="43.85546875" customWidth="1"/>
    <col min="9731" max="9731" width="9" customWidth="1"/>
    <col min="9732" max="9735" width="14.5703125" customWidth="1"/>
    <col min="9985" max="9985" width="5.7109375" customWidth="1"/>
    <col min="9986" max="9986" width="43.85546875" customWidth="1"/>
    <col min="9987" max="9987" width="9" customWidth="1"/>
    <col min="9988" max="9991" width="14.5703125" customWidth="1"/>
    <col min="10241" max="10241" width="5.7109375" customWidth="1"/>
    <col min="10242" max="10242" width="43.85546875" customWidth="1"/>
    <col min="10243" max="10243" width="9" customWidth="1"/>
    <col min="10244" max="10247" width="14.5703125" customWidth="1"/>
    <col min="10497" max="10497" width="5.7109375" customWidth="1"/>
    <col min="10498" max="10498" width="43.85546875" customWidth="1"/>
    <col min="10499" max="10499" width="9" customWidth="1"/>
    <col min="10500" max="10503" width="14.5703125" customWidth="1"/>
    <col min="10753" max="10753" width="5.7109375" customWidth="1"/>
    <col min="10754" max="10754" width="43.85546875" customWidth="1"/>
    <col min="10755" max="10755" width="9" customWidth="1"/>
    <col min="10756" max="10759" width="14.5703125" customWidth="1"/>
    <col min="11009" max="11009" width="5.7109375" customWidth="1"/>
    <col min="11010" max="11010" width="43.85546875" customWidth="1"/>
    <col min="11011" max="11011" width="9" customWidth="1"/>
    <col min="11012" max="11015" width="14.5703125" customWidth="1"/>
    <col min="11265" max="11265" width="5.7109375" customWidth="1"/>
    <col min="11266" max="11266" width="43.85546875" customWidth="1"/>
    <col min="11267" max="11267" width="9" customWidth="1"/>
    <col min="11268" max="11271" width="14.5703125" customWidth="1"/>
    <col min="11521" max="11521" width="5.7109375" customWidth="1"/>
    <col min="11522" max="11522" width="43.85546875" customWidth="1"/>
    <col min="11523" max="11523" width="9" customWidth="1"/>
    <col min="11524" max="11527" width="14.5703125" customWidth="1"/>
    <col min="11777" max="11777" width="5.7109375" customWidth="1"/>
    <col min="11778" max="11778" width="43.85546875" customWidth="1"/>
    <col min="11779" max="11779" width="9" customWidth="1"/>
    <col min="11780" max="11783" width="14.5703125" customWidth="1"/>
    <col min="12033" max="12033" width="5.7109375" customWidth="1"/>
    <col min="12034" max="12034" width="43.85546875" customWidth="1"/>
    <col min="12035" max="12035" width="9" customWidth="1"/>
    <col min="12036" max="12039" width="14.5703125" customWidth="1"/>
    <col min="12289" max="12289" width="5.7109375" customWidth="1"/>
    <col min="12290" max="12290" width="43.85546875" customWidth="1"/>
    <col min="12291" max="12291" width="9" customWidth="1"/>
    <col min="12292" max="12295" width="14.5703125" customWidth="1"/>
    <col min="12545" max="12545" width="5.7109375" customWidth="1"/>
    <col min="12546" max="12546" width="43.85546875" customWidth="1"/>
    <col min="12547" max="12547" width="9" customWidth="1"/>
    <col min="12548" max="12551" width="14.5703125" customWidth="1"/>
    <col min="12801" max="12801" width="5.7109375" customWidth="1"/>
    <col min="12802" max="12802" width="43.85546875" customWidth="1"/>
    <col min="12803" max="12803" width="9" customWidth="1"/>
    <col min="12804" max="12807" width="14.5703125" customWidth="1"/>
    <col min="13057" max="13057" width="5.7109375" customWidth="1"/>
    <col min="13058" max="13058" width="43.85546875" customWidth="1"/>
    <col min="13059" max="13059" width="9" customWidth="1"/>
    <col min="13060" max="13063" width="14.5703125" customWidth="1"/>
    <col min="13313" max="13313" width="5.7109375" customWidth="1"/>
    <col min="13314" max="13314" width="43.85546875" customWidth="1"/>
    <col min="13315" max="13315" width="9" customWidth="1"/>
    <col min="13316" max="13319" width="14.5703125" customWidth="1"/>
    <col min="13569" max="13569" width="5.7109375" customWidth="1"/>
    <col min="13570" max="13570" width="43.85546875" customWidth="1"/>
    <col min="13571" max="13571" width="9" customWidth="1"/>
    <col min="13572" max="13575" width="14.5703125" customWidth="1"/>
    <col min="13825" max="13825" width="5.7109375" customWidth="1"/>
    <col min="13826" max="13826" width="43.85546875" customWidth="1"/>
    <col min="13827" max="13827" width="9" customWidth="1"/>
    <col min="13828" max="13831" width="14.5703125" customWidth="1"/>
    <col min="14081" max="14081" width="5.7109375" customWidth="1"/>
    <col min="14082" max="14082" width="43.85546875" customWidth="1"/>
    <col min="14083" max="14083" width="9" customWidth="1"/>
    <col min="14084" max="14087" width="14.5703125" customWidth="1"/>
    <col min="14337" max="14337" width="5.7109375" customWidth="1"/>
    <col min="14338" max="14338" width="43.85546875" customWidth="1"/>
    <col min="14339" max="14339" width="9" customWidth="1"/>
    <col min="14340" max="14343" width="14.5703125" customWidth="1"/>
    <col min="14593" max="14593" width="5.7109375" customWidth="1"/>
    <col min="14594" max="14594" width="43.85546875" customWidth="1"/>
    <col min="14595" max="14595" width="9" customWidth="1"/>
    <col min="14596" max="14599" width="14.5703125" customWidth="1"/>
    <col min="14849" max="14849" width="5.7109375" customWidth="1"/>
    <col min="14850" max="14850" width="43.85546875" customWidth="1"/>
    <col min="14851" max="14851" width="9" customWidth="1"/>
    <col min="14852" max="14855" width="14.5703125" customWidth="1"/>
    <col min="15105" max="15105" width="5.7109375" customWidth="1"/>
    <col min="15106" max="15106" width="43.85546875" customWidth="1"/>
    <col min="15107" max="15107" width="9" customWidth="1"/>
    <col min="15108" max="15111" width="14.5703125" customWidth="1"/>
    <col min="15361" max="15361" width="5.7109375" customWidth="1"/>
    <col min="15362" max="15362" width="43.85546875" customWidth="1"/>
    <col min="15363" max="15363" width="9" customWidth="1"/>
    <col min="15364" max="15367" width="14.5703125" customWidth="1"/>
    <col min="15617" max="15617" width="5.7109375" customWidth="1"/>
    <col min="15618" max="15618" width="43.85546875" customWidth="1"/>
    <col min="15619" max="15619" width="9" customWidth="1"/>
    <col min="15620" max="15623" width="14.5703125" customWidth="1"/>
    <col min="15873" max="15873" width="5.7109375" customWidth="1"/>
    <col min="15874" max="15874" width="43.85546875" customWidth="1"/>
    <col min="15875" max="15875" width="9" customWidth="1"/>
    <col min="15876" max="15879" width="14.5703125" customWidth="1"/>
    <col min="16129" max="16129" width="5.7109375" customWidth="1"/>
    <col min="16130" max="16130" width="43.85546875" customWidth="1"/>
    <col min="16131" max="16131" width="9" customWidth="1"/>
    <col min="16132" max="16135" width="14.5703125" customWidth="1"/>
  </cols>
  <sheetData>
    <row r="1" spans="1:7" ht="15.75" outlineLevel="1">
      <c r="A1" s="781" t="s">
        <v>801</v>
      </c>
      <c r="B1" s="781"/>
      <c r="C1" s="781"/>
      <c r="D1" s="781"/>
      <c r="E1" s="781"/>
      <c r="F1" s="781"/>
      <c r="G1" s="781"/>
    </row>
    <row r="2" spans="1:7" ht="15.75" outlineLevel="1">
      <c r="A2" s="782" t="s">
        <v>802</v>
      </c>
      <c r="B2" s="782"/>
      <c r="C2" s="782"/>
      <c r="D2" s="782"/>
      <c r="E2" s="782"/>
      <c r="F2" s="782"/>
      <c r="G2" s="782"/>
    </row>
    <row r="3" spans="1:7" ht="15.75" outlineLevel="1">
      <c r="A3" s="783" t="str">
        <f>'PL01'!A3:K3</f>
        <v>(Kèm theo Báo cáo số           /BC-UBND, ngày    tháng 10 năm 2018 của UBND huyện Đăk Tô)</v>
      </c>
      <c r="B3" s="783"/>
      <c r="C3" s="783"/>
      <c r="D3" s="783"/>
      <c r="E3" s="783"/>
      <c r="F3" s="783"/>
      <c r="G3" s="783"/>
    </row>
    <row r="4" spans="1:7" ht="15.75" outlineLevel="1">
      <c r="A4" s="65"/>
      <c r="B4" s="323"/>
      <c r="C4" s="323"/>
      <c r="D4" s="323"/>
      <c r="E4" s="323"/>
      <c r="F4" s="323"/>
      <c r="G4" s="323"/>
    </row>
    <row r="5" spans="1:7" ht="15.75" customHeight="1">
      <c r="A5" s="784" t="s">
        <v>55</v>
      </c>
      <c r="B5" s="784" t="s">
        <v>751</v>
      </c>
      <c r="C5" s="784" t="s">
        <v>18</v>
      </c>
      <c r="D5" s="784" t="s">
        <v>387</v>
      </c>
      <c r="E5" s="784" t="s">
        <v>797</v>
      </c>
      <c r="F5" s="785" t="s">
        <v>798</v>
      </c>
      <c r="G5" s="764" t="s">
        <v>800</v>
      </c>
    </row>
    <row r="6" spans="1:7" ht="12.75" customHeight="1">
      <c r="A6" s="784"/>
      <c r="B6" s="784"/>
      <c r="C6" s="784"/>
      <c r="D6" s="784"/>
      <c r="E6" s="784"/>
      <c r="F6" s="786"/>
      <c r="G6" s="788"/>
    </row>
    <row r="7" spans="1:7" ht="10.5" customHeight="1">
      <c r="A7" s="784"/>
      <c r="B7" s="784"/>
      <c r="C7" s="784"/>
      <c r="D7" s="784"/>
      <c r="E7" s="784"/>
      <c r="F7" s="787"/>
      <c r="G7" s="765"/>
    </row>
    <row r="8" spans="1:7" ht="15.75">
      <c r="A8" s="324" t="s">
        <v>40</v>
      </c>
      <c r="B8" s="325" t="s">
        <v>43</v>
      </c>
      <c r="C8" s="325" t="s">
        <v>176</v>
      </c>
      <c r="D8" s="326">
        <v>1</v>
      </c>
      <c r="E8" s="326">
        <v>2</v>
      </c>
      <c r="F8" s="326">
        <v>3</v>
      </c>
      <c r="G8" s="326">
        <v>4</v>
      </c>
    </row>
    <row r="9" spans="1:7" ht="15.75">
      <c r="A9" s="78" t="s">
        <v>40</v>
      </c>
      <c r="B9" s="334" t="s">
        <v>225</v>
      </c>
      <c r="C9" s="335"/>
      <c r="D9" s="329"/>
      <c r="E9" s="329"/>
      <c r="F9" s="329"/>
      <c r="G9" s="79"/>
    </row>
    <row r="10" spans="1:7" ht="15.75">
      <c r="A10" s="336" t="s">
        <v>38</v>
      </c>
      <c r="B10" s="337" t="s">
        <v>803</v>
      </c>
      <c r="C10" s="338" t="s">
        <v>37</v>
      </c>
      <c r="D10" s="339" t="e">
        <f>D14+D33+D36+D40+D43</f>
        <v>#REF!</v>
      </c>
      <c r="E10" s="339" t="e">
        <f>E14+E33+E36+E40+E43</f>
        <v>#REF!</v>
      </c>
      <c r="F10" s="339" t="e">
        <f>F14+F33+F36+F40+F43</f>
        <v>#REF!</v>
      </c>
      <c r="G10" s="339" t="e">
        <f>G14+G33+G36+G40+G43</f>
        <v>#REF!</v>
      </c>
    </row>
    <row r="11" spans="1:7" ht="15.75">
      <c r="A11" s="32" t="s">
        <v>56</v>
      </c>
      <c r="B11" s="340" t="s">
        <v>804</v>
      </c>
      <c r="C11" s="338" t="s">
        <v>76</v>
      </c>
      <c r="D11" s="16">
        <f>'6 tháng 2021'!F21</f>
        <v>7071.0429999999997</v>
      </c>
      <c r="E11" s="16">
        <f>'6 tháng 2021'!H21</f>
        <v>3120.1059380221645</v>
      </c>
      <c r="F11" s="16">
        <f>'6 tháng 2021'!I21</f>
        <v>7374.5459380221637</v>
      </c>
      <c r="G11" s="16">
        <f>'6 tháng 2021'!J21</f>
        <v>7617</v>
      </c>
    </row>
    <row r="12" spans="1:7" ht="15.75">
      <c r="A12" s="32"/>
      <c r="B12" s="341" t="s">
        <v>805</v>
      </c>
      <c r="C12" s="342" t="s">
        <v>49</v>
      </c>
      <c r="D12" s="22">
        <f>'6 tháng 2021'!E22</f>
        <v>6644.7176000000009</v>
      </c>
      <c r="E12" s="22">
        <f>'6 tháng 2021'!F22</f>
        <v>6644.5429999999997</v>
      </c>
      <c r="F12" s="22">
        <f>'6 tháng 2021'!H22</f>
        <v>2973.9459380221647</v>
      </c>
      <c r="G12" s="22">
        <f>'6 tháng 2021'!M22</f>
        <v>104.25403087141224</v>
      </c>
    </row>
    <row r="13" spans="1:7" ht="15.75">
      <c r="A13" s="32" t="s">
        <v>56</v>
      </c>
      <c r="B13" s="340" t="s">
        <v>806</v>
      </c>
      <c r="C13" s="342"/>
      <c r="D13" s="38"/>
      <c r="E13" s="332"/>
      <c r="F13" s="332"/>
      <c r="G13" s="20"/>
    </row>
    <row r="14" spans="1:7" ht="15.75">
      <c r="A14" s="11">
        <v>1</v>
      </c>
      <c r="B14" s="340" t="s">
        <v>22</v>
      </c>
      <c r="C14" s="338" t="s">
        <v>37</v>
      </c>
      <c r="D14" s="57">
        <f>D15+D30</f>
        <v>1614</v>
      </c>
      <c r="E14" s="57">
        <f>E15+E30</f>
        <v>1646.3700000000001</v>
      </c>
      <c r="F14" s="57">
        <f>F15+F30</f>
        <v>1646.3700000000001</v>
      </c>
      <c r="G14" s="57">
        <f>G15+G30</f>
        <v>1642</v>
      </c>
    </row>
    <row r="15" spans="1:7" ht="15.75">
      <c r="A15" s="11" t="s">
        <v>34</v>
      </c>
      <c r="B15" s="340" t="s">
        <v>440</v>
      </c>
      <c r="C15" s="338" t="s">
        <v>37</v>
      </c>
      <c r="D15" s="16">
        <f>D18+D21</f>
        <v>1531</v>
      </c>
      <c r="E15" s="16">
        <f>E18+E21</f>
        <v>1560.97</v>
      </c>
      <c r="F15" s="16">
        <f>F18+F21</f>
        <v>1560.97</v>
      </c>
      <c r="G15" s="16">
        <f>G18+G21</f>
        <v>1502</v>
      </c>
    </row>
    <row r="16" spans="1:7" ht="15.75">
      <c r="A16" s="19"/>
      <c r="B16" s="343" t="s">
        <v>27</v>
      </c>
      <c r="C16" s="342" t="s">
        <v>21</v>
      </c>
      <c r="D16" s="38">
        <f>D17/D15*10</f>
        <v>43.400019595035921</v>
      </c>
      <c r="E16" s="38">
        <f>E17/E15*10</f>
        <v>19.051909633254738</v>
      </c>
      <c r="F16" s="38">
        <f>F17/F15*10</f>
        <v>44.378725651499799</v>
      </c>
      <c r="G16" s="38">
        <f>G17/G15*10</f>
        <v>45.749800266311588</v>
      </c>
    </row>
    <row r="17" spans="1:7" ht="15.75">
      <c r="A17" s="19"/>
      <c r="B17" s="343" t="s">
        <v>28</v>
      </c>
      <c r="C17" s="342" t="s">
        <v>76</v>
      </c>
      <c r="D17" s="22">
        <f>D20+D23</f>
        <v>6644.5429999999997</v>
      </c>
      <c r="E17" s="22">
        <f>E20+E23</f>
        <v>2973.9459380221647</v>
      </c>
      <c r="F17" s="22">
        <f>F20+F23</f>
        <v>6927.3859380221638</v>
      </c>
      <c r="G17" s="22">
        <f>G20+G23</f>
        <v>6871.6200000000008</v>
      </c>
    </row>
    <row r="18" spans="1:7" s="345" customFormat="1" ht="15.75">
      <c r="A18" s="76"/>
      <c r="B18" s="344" t="s">
        <v>441</v>
      </c>
      <c r="C18" s="338" t="s">
        <v>37</v>
      </c>
      <c r="D18" s="57">
        <f>'6 tháng 2021'!F28</f>
        <v>571</v>
      </c>
      <c r="E18" s="57">
        <f>'6 tháng 2021'!H28</f>
        <v>573.87</v>
      </c>
      <c r="F18" s="57">
        <f>'6 tháng 2021'!I28</f>
        <v>573.87</v>
      </c>
      <c r="G18" s="57">
        <f>'6 tháng 2021'!J28</f>
        <v>557</v>
      </c>
    </row>
    <row r="19" spans="1:7" ht="15.75">
      <c r="A19" s="19"/>
      <c r="B19" s="343" t="s">
        <v>27</v>
      </c>
      <c r="C19" s="342" t="s">
        <v>21</v>
      </c>
      <c r="D19" s="58">
        <f>'6 tháng 2021'!F29</f>
        <v>47.33</v>
      </c>
      <c r="E19" s="58">
        <f>'6 tháng 2021'!H29</f>
        <v>51.822641678815145</v>
      </c>
      <c r="F19" s="58">
        <f>'6 tháng 2021'!I29</f>
        <v>51.822641678815145</v>
      </c>
      <c r="G19" s="58">
        <f>'6 tháng 2021'!J29</f>
        <v>50.1</v>
      </c>
    </row>
    <row r="20" spans="1:7" ht="15.75">
      <c r="A20" s="19"/>
      <c r="B20" s="343" t="s">
        <v>28</v>
      </c>
      <c r="C20" s="342" t="s">
        <v>76</v>
      </c>
      <c r="D20" s="22">
        <f>D18*D19/10</f>
        <v>2702.5430000000001</v>
      </c>
      <c r="E20" s="22">
        <f>E18*E19/10</f>
        <v>2973.9459380221647</v>
      </c>
      <c r="F20" s="22">
        <f>F18*F19/10</f>
        <v>2973.9459380221647</v>
      </c>
      <c r="G20" s="22">
        <f>G18*G19/10</f>
        <v>2790.57</v>
      </c>
    </row>
    <row r="21" spans="1:7" s="345" customFormat="1" ht="15.75">
      <c r="A21" s="76"/>
      <c r="B21" s="344" t="s">
        <v>807</v>
      </c>
      <c r="C21" s="338" t="s">
        <v>37</v>
      </c>
      <c r="D21" s="27">
        <f>D24+D27</f>
        <v>960</v>
      </c>
      <c r="E21" s="27">
        <f>E24+E27</f>
        <v>987.1</v>
      </c>
      <c r="F21" s="27">
        <f>F24+F27</f>
        <v>987.1</v>
      </c>
      <c r="G21" s="27">
        <f>G24+G27</f>
        <v>945</v>
      </c>
    </row>
    <row r="22" spans="1:7" ht="15.75">
      <c r="A22" s="19"/>
      <c r="B22" s="343" t="s">
        <v>27</v>
      </c>
      <c r="C22" s="342" t="s">
        <v>21</v>
      </c>
      <c r="D22" s="28">
        <f>D23/D21*10</f>
        <v>41.0625</v>
      </c>
      <c r="E22" s="28">
        <f>E23/E21*10</f>
        <v>0</v>
      </c>
      <c r="F22" s="28">
        <f>F23/F21*10</f>
        <v>40.051058656671053</v>
      </c>
      <c r="G22" s="28">
        <f>G23/G21*10</f>
        <v>43.185714285714283</v>
      </c>
    </row>
    <row r="23" spans="1:7" ht="15.75">
      <c r="A23" s="19"/>
      <c r="B23" s="343" t="s">
        <v>28</v>
      </c>
      <c r="C23" s="342" t="s">
        <v>76</v>
      </c>
      <c r="D23" s="29">
        <f>D26+D29</f>
        <v>3942</v>
      </c>
      <c r="E23" s="29">
        <f>E26+E29</f>
        <v>0</v>
      </c>
      <c r="F23" s="29">
        <f>F26+F29</f>
        <v>3953.4399999999996</v>
      </c>
      <c r="G23" s="29">
        <f>G26+G29</f>
        <v>4081.05</v>
      </c>
    </row>
    <row r="24" spans="1:7" s="349" customFormat="1" ht="15.75">
      <c r="A24" s="71"/>
      <c r="B24" s="341" t="s">
        <v>808</v>
      </c>
      <c r="C24" s="348" t="s">
        <v>37</v>
      </c>
      <c r="D24" s="72">
        <f>'6 tháng 2021'!F34</f>
        <v>900</v>
      </c>
      <c r="E24" s="72">
        <f>'6 tháng 2021'!H34</f>
        <v>893.2</v>
      </c>
      <c r="F24" s="72">
        <f>'6 tháng 2021'!I34</f>
        <v>893.2</v>
      </c>
      <c r="G24" s="72">
        <f>'6 tháng 2021'!J34</f>
        <v>885</v>
      </c>
    </row>
    <row r="25" spans="1:7" ht="15.75">
      <c r="A25" s="19"/>
      <c r="B25" s="343" t="s">
        <v>809</v>
      </c>
      <c r="C25" s="342" t="s">
        <v>21</v>
      </c>
      <c r="D25" s="38">
        <f>'6 tháng 2021'!F35</f>
        <v>43</v>
      </c>
      <c r="E25" s="38">
        <f>'6 tháng 2021'!H35</f>
        <v>0</v>
      </c>
      <c r="F25" s="38">
        <f>'6 tháng 2021'!I35</f>
        <v>43</v>
      </c>
      <c r="G25" s="38">
        <f>'6 tháng 2021'!J35</f>
        <v>45.3</v>
      </c>
    </row>
    <row r="26" spans="1:7" ht="15.75">
      <c r="A26" s="19"/>
      <c r="B26" s="343" t="s">
        <v>474</v>
      </c>
      <c r="C26" s="342" t="s">
        <v>76</v>
      </c>
      <c r="D26" s="22">
        <f>D24*D25/10</f>
        <v>3870</v>
      </c>
      <c r="E26" s="22">
        <f>E24*E25/10</f>
        <v>0</v>
      </c>
      <c r="F26" s="22">
        <f>F24*F25/10</f>
        <v>3840.7599999999998</v>
      </c>
      <c r="G26" s="22">
        <f>G24*G25/10</f>
        <v>4009.05</v>
      </c>
    </row>
    <row r="27" spans="1:7" s="349" customFormat="1" ht="15.75">
      <c r="A27" s="71"/>
      <c r="B27" s="341" t="s">
        <v>810</v>
      </c>
      <c r="C27" s="348" t="s">
        <v>37</v>
      </c>
      <c r="D27" s="72">
        <f>'6 tháng 2021'!F37</f>
        <v>60</v>
      </c>
      <c r="E27" s="72">
        <f>'6 tháng 2021'!H37</f>
        <v>93.9</v>
      </c>
      <c r="F27" s="72">
        <f>'6 tháng 2021'!I37</f>
        <v>93.9</v>
      </c>
      <c r="G27" s="72">
        <f>'6 tháng 2021'!J37</f>
        <v>60</v>
      </c>
    </row>
    <row r="28" spans="1:7" ht="15.75">
      <c r="A28" s="19"/>
      <c r="B28" s="343" t="s">
        <v>809</v>
      </c>
      <c r="C28" s="342" t="s">
        <v>21</v>
      </c>
      <c r="D28" s="38">
        <f>'6 tháng 2021'!F38</f>
        <v>12</v>
      </c>
      <c r="E28" s="38">
        <f>'6 tháng 2021'!H38</f>
        <v>0</v>
      </c>
      <c r="F28" s="38">
        <f>'6 tháng 2021'!I38</f>
        <v>12</v>
      </c>
      <c r="G28" s="38">
        <f>'6 tháng 2021'!J38</f>
        <v>12</v>
      </c>
    </row>
    <row r="29" spans="1:7" ht="15.75">
      <c r="A29" s="19"/>
      <c r="B29" s="343" t="s">
        <v>474</v>
      </c>
      <c r="C29" s="342" t="s">
        <v>76</v>
      </c>
      <c r="D29" s="22">
        <f>D28*D27/10</f>
        <v>72</v>
      </c>
      <c r="E29" s="22">
        <f>E28*E27/10</f>
        <v>0</v>
      </c>
      <c r="F29" s="22">
        <f>F28*F27/10</f>
        <v>112.68000000000002</v>
      </c>
      <c r="G29" s="22">
        <f>G28*G27/10</f>
        <v>72</v>
      </c>
    </row>
    <row r="30" spans="1:7" s="345" customFormat="1" ht="15.75">
      <c r="A30" s="11" t="s">
        <v>35</v>
      </c>
      <c r="B30" s="340" t="s">
        <v>811</v>
      </c>
      <c r="C30" s="338" t="s">
        <v>37</v>
      </c>
      <c r="D30" s="16">
        <f>'6 tháng 2021'!F40</f>
        <v>83</v>
      </c>
      <c r="E30" s="16">
        <f>'6 tháng 2021'!H40</f>
        <v>85.4</v>
      </c>
      <c r="F30" s="16">
        <f>'6 tháng 2021'!I40</f>
        <v>85.4</v>
      </c>
      <c r="G30" s="16">
        <f>'6 tháng 2021'!J40</f>
        <v>140</v>
      </c>
    </row>
    <row r="31" spans="1:7" ht="15.75">
      <c r="A31" s="32"/>
      <c r="B31" s="343" t="s">
        <v>27</v>
      </c>
      <c r="C31" s="342" t="s">
        <v>21</v>
      </c>
      <c r="D31" s="38">
        <f>'6 tháng 2021'!F41</f>
        <v>51.385542168674696</v>
      </c>
      <c r="E31" s="38">
        <f>'6 tháng 2021'!H41</f>
        <v>17.114754098360653</v>
      </c>
      <c r="F31" s="38">
        <f>'6 tháng 2021'!I41</f>
        <v>52.360655737704903</v>
      </c>
      <c r="G31" s="38">
        <f>'6 tháng 2021'!J41</f>
        <v>53.142857142857139</v>
      </c>
    </row>
    <row r="32" spans="1:7" ht="15.75">
      <c r="A32" s="32"/>
      <c r="B32" s="343" t="s">
        <v>28</v>
      </c>
      <c r="C32" s="342" t="s">
        <v>76</v>
      </c>
      <c r="D32" s="22">
        <f>'6 tháng 2021'!F42</f>
        <v>426.5</v>
      </c>
      <c r="E32" s="22">
        <f>'6 tháng 2021'!H42</f>
        <v>146.16</v>
      </c>
      <c r="F32" s="22">
        <f>'6 tháng 2021'!I42</f>
        <v>447.15999999999997</v>
      </c>
      <c r="G32" s="22">
        <f>'6 tháng 2021'!J42</f>
        <v>744</v>
      </c>
    </row>
    <row r="33" spans="1:7" ht="15.75">
      <c r="A33" s="11">
        <v>2</v>
      </c>
      <c r="B33" s="340" t="s">
        <v>812</v>
      </c>
      <c r="C33" s="342" t="s">
        <v>37</v>
      </c>
      <c r="D33" s="16">
        <f>'6 tháng 2021'!F49</f>
        <v>6000</v>
      </c>
      <c r="E33" s="16">
        <f>'6 tháng 2021'!H49</f>
        <v>5281.3</v>
      </c>
      <c r="F33" s="16">
        <f>'6 tháng 2021'!I49</f>
        <v>5281.3</v>
      </c>
      <c r="G33" s="16">
        <f>'6 tháng 2021'!J49</f>
        <v>5000</v>
      </c>
    </row>
    <row r="34" spans="1:7" ht="15.75">
      <c r="A34" s="32"/>
      <c r="B34" s="343" t="s">
        <v>27</v>
      </c>
      <c r="C34" s="342" t="s">
        <v>21</v>
      </c>
      <c r="D34" s="38">
        <f>'6 tháng 2021'!F50</f>
        <v>145</v>
      </c>
      <c r="E34" s="38">
        <f>'6 tháng 2021'!H50</f>
        <v>0</v>
      </c>
      <c r="F34" s="38">
        <f>'6 tháng 2021'!I50</f>
        <v>148</v>
      </c>
      <c r="G34" s="38">
        <f>'6 tháng 2021'!J50</f>
        <v>152</v>
      </c>
    </row>
    <row r="35" spans="1:7" ht="15.75">
      <c r="A35" s="32"/>
      <c r="B35" s="343" t="s">
        <v>28</v>
      </c>
      <c r="C35" s="342" t="s">
        <v>76</v>
      </c>
      <c r="D35" s="22">
        <f>'6 tháng 2021'!F51</f>
        <v>87000</v>
      </c>
      <c r="E35" s="22">
        <f>'6 tháng 2021'!H51</f>
        <v>0</v>
      </c>
      <c r="F35" s="22">
        <f>'6 tháng 2021'!I51</f>
        <v>78163.240000000005</v>
      </c>
      <c r="G35" s="22">
        <f>'6 tháng 2021'!J51</f>
        <v>76000</v>
      </c>
    </row>
    <row r="36" spans="1:7" ht="15.75">
      <c r="A36" s="11">
        <v>3</v>
      </c>
      <c r="B36" s="340" t="s">
        <v>813</v>
      </c>
      <c r="C36" s="342" t="s">
        <v>37</v>
      </c>
      <c r="D36" s="309">
        <f>'6 tháng 2021'!F52</f>
        <v>30</v>
      </c>
      <c r="E36" s="309">
        <f>'6 tháng 2021'!H52</f>
        <v>29.1</v>
      </c>
      <c r="F36" s="309">
        <f>'6 tháng 2021'!I52</f>
        <v>29.1</v>
      </c>
      <c r="G36" s="309">
        <f>'6 tháng 2021'!J52</f>
        <v>40.299999999999997</v>
      </c>
    </row>
    <row r="37" spans="1:7" ht="15.75">
      <c r="A37" s="32"/>
      <c r="B37" s="341" t="s">
        <v>814</v>
      </c>
      <c r="C37" s="342" t="s">
        <v>49</v>
      </c>
      <c r="D37" s="38">
        <f>'6 tháng 2021'!F53</f>
        <v>20</v>
      </c>
      <c r="E37" s="38">
        <f>'6 tháng 2021'!H53</f>
        <v>19.100000000000001</v>
      </c>
      <c r="F37" s="38">
        <f>'6 tháng 2021'!I53</f>
        <v>19.100000000000001</v>
      </c>
      <c r="G37" s="38">
        <f>'6 tháng 2021'!J53</f>
        <v>16</v>
      </c>
    </row>
    <row r="38" spans="1:7" ht="15.75">
      <c r="A38" s="32"/>
      <c r="B38" s="343" t="s">
        <v>27</v>
      </c>
      <c r="C38" s="342" t="s">
        <v>21</v>
      </c>
      <c r="D38" s="22">
        <f>'6 tháng 2021'!F54</f>
        <v>733.3</v>
      </c>
      <c r="E38" s="22">
        <f>'6 tháng 2021'!H54</f>
        <v>0</v>
      </c>
      <c r="F38" s="22">
        <f>'6 tháng 2021'!I54</f>
        <v>733.3</v>
      </c>
      <c r="G38" s="22">
        <f>'6 tháng 2021'!J54</f>
        <v>597.79999999999995</v>
      </c>
    </row>
    <row r="39" spans="1:7" ht="15.75">
      <c r="A39" s="32"/>
      <c r="B39" s="343" t="s">
        <v>28</v>
      </c>
      <c r="C39" s="342" t="s">
        <v>76</v>
      </c>
      <c r="D39" s="22">
        <f>'6 tháng 2021'!F55</f>
        <v>2199.9</v>
      </c>
      <c r="E39" s="22">
        <f>'6 tháng 2021'!H55</f>
        <v>0</v>
      </c>
      <c r="F39" s="22">
        <f>'6 tháng 2021'!I55</f>
        <v>2133.9029999999998</v>
      </c>
      <c r="G39" s="22">
        <f>'6 tháng 2021'!J55</f>
        <v>2409.1339999999996</v>
      </c>
    </row>
    <row r="40" spans="1:7" ht="15.75">
      <c r="A40" s="11">
        <v>4</v>
      </c>
      <c r="B40" s="30" t="s">
        <v>136</v>
      </c>
      <c r="C40" s="32" t="s">
        <v>37</v>
      </c>
      <c r="D40" s="16">
        <f>'6 tháng 2021'!F56</f>
        <v>230</v>
      </c>
      <c r="E40" s="16">
        <f>'6 tháng 2021'!H56</f>
        <v>256.39999999999998</v>
      </c>
      <c r="F40" s="16">
        <f>'6 tháng 2021'!I56</f>
        <v>256.39999999999998</v>
      </c>
      <c r="G40" s="16">
        <f>'6 tháng 2021'!J56</f>
        <v>252.5</v>
      </c>
    </row>
    <row r="41" spans="1:7" ht="15.75">
      <c r="A41" s="32"/>
      <c r="B41" s="37" t="s">
        <v>315</v>
      </c>
      <c r="C41" s="34" t="s">
        <v>21</v>
      </c>
      <c r="D41" s="38">
        <f>'6 tháng 2021'!F57</f>
        <v>136.63173913043477</v>
      </c>
      <c r="E41" s="38">
        <f>'6 tháng 2021'!H57</f>
        <v>72.43759750390015</v>
      </c>
      <c r="F41" s="38">
        <f>'6 tháng 2021'!I57</f>
        <v>135.35101404056161</v>
      </c>
      <c r="G41" s="38">
        <f>'6 tháng 2021'!J57</f>
        <v>135.66930693069307</v>
      </c>
    </row>
    <row r="42" spans="1:7" ht="15.75">
      <c r="A42" s="32"/>
      <c r="B42" s="37" t="s">
        <v>316</v>
      </c>
      <c r="C42" s="34" t="s">
        <v>76</v>
      </c>
      <c r="D42" s="22">
        <f>'6 tháng 2021'!F58</f>
        <v>3142.5299999999997</v>
      </c>
      <c r="E42" s="22">
        <f>'6 tháng 2021'!H58</f>
        <v>1857.3</v>
      </c>
      <c r="F42" s="22">
        <f>'6 tháng 2021'!I58</f>
        <v>3470.3999999999996</v>
      </c>
      <c r="G42" s="22">
        <f>'6 tháng 2021'!J58</f>
        <v>3425.65</v>
      </c>
    </row>
    <row r="43" spans="1:7" s="345" customFormat="1" ht="31.5">
      <c r="A43" s="11">
        <v>5</v>
      </c>
      <c r="B43" s="44" t="s">
        <v>411</v>
      </c>
      <c r="C43" s="31" t="s">
        <v>37</v>
      </c>
      <c r="D43" s="16" t="e">
        <f>'6 tháng 2021'!#REF!</f>
        <v>#REF!</v>
      </c>
      <c r="E43" s="16" t="e">
        <f>'6 tháng 2021'!#REF!</f>
        <v>#REF!</v>
      </c>
      <c r="F43" s="16" t="e">
        <f>'6 tháng 2021'!#REF!</f>
        <v>#REF!</v>
      </c>
      <c r="G43" s="16" t="e">
        <f>'6 tháng 2021'!#REF!</f>
        <v>#REF!</v>
      </c>
    </row>
    <row r="44" spans="1:7" s="345" customFormat="1" ht="15.75">
      <c r="A44" s="11" t="s">
        <v>39</v>
      </c>
      <c r="B44" s="340" t="s">
        <v>448</v>
      </c>
      <c r="C44" s="338"/>
      <c r="D44" s="16">
        <f>D45+D50</f>
        <v>9772.1</v>
      </c>
      <c r="E44" s="16">
        <f>E45+E50</f>
        <v>10029.6</v>
      </c>
      <c r="F44" s="16">
        <f>F45+F50</f>
        <v>10029.6</v>
      </c>
      <c r="G44" s="16">
        <f>G45+G50</f>
        <v>10237</v>
      </c>
    </row>
    <row r="45" spans="1:7" ht="15.75">
      <c r="A45" s="76">
        <v>1</v>
      </c>
      <c r="B45" s="340" t="s">
        <v>815</v>
      </c>
      <c r="C45" s="342" t="s">
        <v>37</v>
      </c>
      <c r="D45" s="16">
        <f>'6 tháng 2021'!F73</f>
        <v>1969.5</v>
      </c>
      <c r="E45" s="16">
        <f>'6 tháng 2021'!H73</f>
        <v>2299.5</v>
      </c>
      <c r="F45" s="16">
        <f>'6 tháng 2021'!I73</f>
        <v>2299.5</v>
      </c>
      <c r="G45" s="16">
        <f>'6 tháng 2021'!J73</f>
        <v>2651</v>
      </c>
    </row>
    <row r="46" spans="1:7" ht="15.75">
      <c r="A46" s="19"/>
      <c r="B46" s="341" t="s">
        <v>816</v>
      </c>
      <c r="C46" s="342" t="s">
        <v>49</v>
      </c>
      <c r="D46" s="22">
        <f>'6 tháng 2021'!F74</f>
        <v>50</v>
      </c>
      <c r="E46" s="22">
        <f>'6 tháng 2021'!H74</f>
        <v>381</v>
      </c>
      <c r="F46" s="22">
        <f>'6 tháng 2021'!I74</f>
        <v>381</v>
      </c>
      <c r="G46" s="22">
        <f>'6 tháng 2021'!J74</f>
        <v>0</v>
      </c>
    </row>
    <row r="47" spans="1:7" ht="15.75">
      <c r="A47" s="19"/>
      <c r="B47" s="341" t="s">
        <v>817</v>
      </c>
      <c r="C47" s="342" t="s">
        <v>49</v>
      </c>
      <c r="D47" s="22">
        <f>'6 tháng 2021'!F76</f>
        <v>1559</v>
      </c>
      <c r="E47" s="22">
        <f>'6 tháng 2021'!H76</f>
        <v>1558</v>
      </c>
      <c r="F47" s="22">
        <f>'6 tháng 2021'!I76</f>
        <v>1558</v>
      </c>
      <c r="G47" s="22">
        <f>'6 tháng 2021'!J76</f>
        <v>2027</v>
      </c>
    </row>
    <row r="48" spans="1:7" ht="15.75">
      <c r="A48" s="19"/>
      <c r="B48" s="343" t="s">
        <v>27</v>
      </c>
      <c r="C48" s="342" t="s">
        <v>21</v>
      </c>
      <c r="D48" s="22">
        <f>'6 tháng 2021'!F77</f>
        <v>35</v>
      </c>
      <c r="E48" s="22">
        <f>'6 tháng 2021'!H77</f>
        <v>0</v>
      </c>
      <c r="F48" s="22">
        <f>'6 tháng 2021'!I77</f>
        <v>35</v>
      </c>
      <c r="G48" s="22">
        <f>'6 tháng 2021'!J77</f>
        <v>35</v>
      </c>
    </row>
    <row r="49" spans="1:11" ht="15.75">
      <c r="A49" s="19"/>
      <c r="B49" s="343" t="s">
        <v>28</v>
      </c>
      <c r="C49" s="342" t="s">
        <v>76</v>
      </c>
      <c r="D49" s="22">
        <f>'6 tháng 2021'!F78</f>
        <v>5456.5</v>
      </c>
      <c r="E49" s="22">
        <f>'6 tháng 2021'!H78</f>
        <v>0</v>
      </c>
      <c r="F49" s="22">
        <f>'6 tháng 2021'!I78</f>
        <v>5453</v>
      </c>
      <c r="G49" s="22">
        <f>'6 tháng 2021'!J78</f>
        <v>7094.5</v>
      </c>
    </row>
    <row r="50" spans="1:11" ht="15.75">
      <c r="A50" s="76">
        <v>2</v>
      </c>
      <c r="B50" s="340" t="s">
        <v>818</v>
      </c>
      <c r="C50" s="342" t="s">
        <v>37</v>
      </c>
      <c r="D50" s="16">
        <f>'6 tháng 2021'!F79</f>
        <v>7802.6</v>
      </c>
      <c r="E50" s="16">
        <f>'6 tháng 2021'!H79</f>
        <v>7730.1</v>
      </c>
      <c r="F50" s="16">
        <f>'6 tháng 2021'!I79</f>
        <v>7730.1</v>
      </c>
      <c r="G50" s="16">
        <f>'6 tháng 2021'!J79</f>
        <v>7586</v>
      </c>
    </row>
    <row r="51" spans="1:11" ht="15.75">
      <c r="A51" s="19"/>
      <c r="B51" s="341" t="s">
        <v>816</v>
      </c>
      <c r="C51" s="342" t="s">
        <v>49</v>
      </c>
      <c r="D51" s="38">
        <f>'6 tháng 2021'!F80</f>
        <v>0</v>
      </c>
      <c r="E51" s="38">
        <f>'6 tháng 2021'!H80</f>
        <v>38.299999999999997</v>
      </c>
      <c r="F51" s="38">
        <f>'6 tháng 2021'!I80</f>
        <v>38.299999999999997</v>
      </c>
      <c r="G51" s="38">
        <f>'6 tháng 2021'!J80</f>
        <v>0</v>
      </c>
    </row>
    <row r="52" spans="1:11" ht="15.75">
      <c r="A52" s="19"/>
      <c r="B52" s="341" t="s">
        <v>817</v>
      </c>
      <c r="C52" s="342" t="s">
        <v>49</v>
      </c>
      <c r="D52" s="22">
        <f>'6 tháng 2021'!F82</f>
        <v>5755</v>
      </c>
      <c r="E52" s="22">
        <f>'6 tháng 2021'!H82</f>
        <v>5723.7</v>
      </c>
      <c r="F52" s="22">
        <f>'6 tháng 2021'!I82</f>
        <v>5723.7</v>
      </c>
      <c r="G52" s="22">
        <f>'6 tháng 2021'!J82</f>
        <v>6550</v>
      </c>
    </row>
    <row r="53" spans="1:11" ht="15.75">
      <c r="A53" s="19"/>
      <c r="B53" s="343" t="s">
        <v>27</v>
      </c>
      <c r="C53" s="342" t="s">
        <v>21</v>
      </c>
      <c r="D53" s="38">
        <f>'6 tháng 2021'!F83</f>
        <v>12.5</v>
      </c>
      <c r="E53" s="38">
        <f>'6 tháng 2021'!H83</f>
        <v>12.5</v>
      </c>
      <c r="F53" s="38">
        <f>'6 tháng 2021'!I83</f>
        <v>12.5</v>
      </c>
      <c r="G53" s="38">
        <f>'6 tháng 2021'!J83</f>
        <v>12.5</v>
      </c>
    </row>
    <row r="54" spans="1:11" ht="15.75">
      <c r="A54" s="19"/>
      <c r="B54" s="343" t="s">
        <v>28</v>
      </c>
      <c r="C54" s="342" t="s">
        <v>76</v>
      </c>
      <c r="D54" s="22">
        <f>'6 tháng 2021'!F84</f>
        <v>7193.75</v>
      </c>
      <c r="E54" s="22">
        <f>'6 tháng 2021'!H84</f>
        <v>7154.625</v>
      </c>
      <c r="F54" s="22">
        <f>'6 tháng 2021'!I84</f>
        <v>7154.625</v>
      </c>
      <c r="G54" s="22">
        <f>'6 tháng 2021'!J84</f>
        <v>8187.5</v>
      </c>
    </row>
    <row r="55" spans="1:11" ht="16.5" customHeight="1">
      <c r="A55" s="11" t="s">
        <v>43</v>
      </c>
      <c r="B55" s="340" t="s">
        <v>256</v>
      </c>
      <c r="C55" s="342"/>
      <c r="D55" s="22"/>
      <c r="E55" s="38"/>
      <c r="F55" s="38"/>
      <c r="G55" s="20"/>
    </row>
    <row r="56" spans="1:11" ht="15.75">
      <c r="A56" s="32">
        <v>1</v>
      </c>
      <c r="B56" s="343" t="s">
        <v>819</v>
      </c>
      <c r="C56" s="342" t="s">
        <v>54</v>
      </c>
      <c r="D56" s="22">
        <f>'6 tháng 2021'!F100</f>
        <v>2650</v>
      </c>
      <c r="E56" s="22">
        <f>'6 tháng 2021'!H100</f>
        <v>2536</v>
      </c>
      <c r="F56" s="22">
        <f>'6 tháng 2021'!I100</f>
        <v>2600</v>
      </c>
      <c r="G56" s="22">
        <f>'6 tháng 2021'!J100</f>
        <v>3100</v>
      </c>
    </row>
    <row r="57" spans="1:11" ht="15.75">
      <c r="A57" s="32">
        <v>2</v>
      </c>
      <c r="B57" s="343" t="s">
        <v>820</v>
      </c>
      <c r="C57" s="342" t="s">
        <v>54</v>
      </c>
      <c r="D57" s="22">
        <f>'6 tháng 2021'!F101</f>
        <v>5000</v>
      </c>
      <c r="E57" s="22">
        <f>'6 tháng 2021'!H101</f>
        <v>5087</v>
      </c>
      <c r="F57" s="22">
        <f>'6 tháng 2021'!I101</f>
        <v>5087</v>
      </c>
      <c r="G57" s="22">
        <f>'6 tháng 2021'!J101</f>
        <v>5700</v>
      </c>
    </row>
    <row r="58" spans="1:11" ht="15.75">
      <c r="A58" s="32">
        <v>3</v>
      </c>
      <c r="B58" s="343" t="s">
        <v>821</v>
      </c>
      <c r="C58" s="342" t="s">
        <v>54</v>
      </c>
      <c r="D58" s="22">
        <f>'6 tháng 2021'!F102</f>
        <v>13000</v>
      </c>
      <c r="E58" s="22">
        <f>'6 tháng 2021'!H102</f>
        <v>12551</v>
      </c>
      <c r="F58" s="22">
        <f>'6 tháng 2021'!I102</f>
        <v>12551</v>
      </c>
      <c r="G58" s="22">
        <f>'6 tháng 2021'!J102</f>
        <v>15500</v>
      </c>
    </row>
    <row r="59" spans="1:11" ht="15.75">
      <c r="A59" s="32" t="s">
        <v>176</v>
      </c>
      <c r="B59" s="340" t="s">
        <v>282</v>
      </c>
      <c r="C59" s="342"/>
      <c r="D59" s="58"/>
      <c r="E59" s="58"/>
      <c r="F59" s="58"/>
      <c r="G59" s="20"/>
    </row>
    <row r="60" spans="1:11" ht="15.75">
      <c r="A60" s="32" t="s">
        <v>38</v>
      </c>
      <c r="B60" s="340" t="s">
        <v>822</v>
      </c>
      <c r="C60" s="342" t="s">
        <v>37</v>
      </c>
      <c r="D60" s="66">
        <f>'6 tháng 2021'!F105</f>
        <v>85.5</v>
      </c>
      <c r="E60" s="66">
        <f>'6 tháng 2021'!H105</f>
        <v>89.100000000000009</v>
      </c>
      <c r="F60" s="66">
        <f>'6 tháng 2021'!I105</f>
        <v>89.100000000000009</v>
      </c>
      <c r="G60" s="66">
        <f>'6 tháng 2021'!J105</f>
        <v>92</v>
      </c>
    </row>
    <row r="61" spans="1:11" ht="15.75">
      <c r="A61" s="32" t="s">
        <v>34</v>
      </c>
      <c r="B61" s="341" t="s">
        <v>823</v>
      </c>
      <c r="C61" s="342" t="s">
        <v>49</v>
      </c>
      <c r="D61" s="58"/>
      <c r="E61" s="58"/>
      <c r="F61" s="58"/>
      <c r="G61" s="58"/>
      <c r="K61" s="346"/>
    </row>
    <row r="62" spans="1:11" ht="15.75">
      <c r="A62" s="32" t="s">
        <v>35</v>
      </c>
      <c r="B62" s="341" t="s">
        <v>824</v>
      </c>
      <c r="C62" s="342" t="s">
        <v>49</v>
      </c>
      <c r="D62" s="58"/>
      <c r="E62" s="58"/>
      <c r="F62" s="58"/>
      <c r="G62" s="58"/>
    </row>
    <row r="63" spans="1:11" ht="15.75">
      <c r="A63" s="32" t="s">
        <v>36</v>
      </c>
      <c r="B63" s="341" t="s">
        <v>829</v>
      </c>
      <c r="C63" s="342" t="s">
        <v>825</v>
      </c>
      <c r="D63" s="59"/>
      <c r="E63" s="59"/>
      <c r="F63" s="59"/>
      <c r="G63" s="20"/>
    </row>
    <row r="64" spans="1:11" ht="16.5" customHeight="1">
      <c r="A64" s="39">
        <v>2</v>
      </c>
      <c r="B64" s="340" t="s">
        <v>826</v>
      </c>
      <c r="C64" s="342" t="s">
        <v>76</v>
      </c>
      <c r="D64" s="57">
        <f>D65+D66</f>
        <v>335</v>
      </c>
      <c r="E64" s="57">
        <f>E65+E66</f>
        <v>124</v>
      </c>
      <c r="F64" s="57">
        <f>F65+F66</f>
        <v>207</v>
      </c>
      <c r="G64" s="57">
        <f>G65+G66</f>
        <v>324</v>
      </c>
    </row>
    <row r="65" spans="1:7" ht="15.75">
      <c r="A65" s="32"/>
      <c r="B65" s="341" t="s">
        <v>827</v>
      </c>
      <c r="C65" s="342" t="s">
        <v>49</v>
      </c>
      <c r="D65" s="59">
        <f>'6 tháng 2021'!F107</f>
        <v>210</v>
      </c>
      <c r="E65" s="59">
        <f>'6 tháng 2021'!H107</f>
        <v>86.5</v>
      </c>
      <c r="F65" s="59">
        <f>'6 tháng 2021'!I107</f>
        <v>137</v>
      </c>
      <c r="G65" s="59">
        <f>'6 tháng 2021'!J107</f>
        <v>214</v>
      </c>
    </row>
    <row r="66" spans="1:7" ht="15.75">
      <c r="A66" s="32"/>
      <c r="B66" s="341" t="s">
        <v>828</v>
      </c>
      <c r="C66" s="342" t="s">
        <v>49</v>
      </c>
      <c r="D66" s="59">
        <f>'6 tháng 2021'!F108</f>
        <v>125</v>
      </c>
      <c r="E66" s="59">
        <f>'6 tháng 2021'!H108</f>
        <v>37.5</v>
      </c>
      <c r="F66" s="59">
        <f>'6 tháng 2021'!I108</f>
        <v>70</v>
      </c>
      <c r="G66" s="59">
        <f>'6 tháng 2021'!J108</f>
        <v>110</v>
      </c>
    </row>
    <row r="67" spans="1:7" ht="6.75" customHeight="1">
      <c r="A67" s="333"/>
      <c r="B67" s="333"/>
      <c r="C67" s="333"/>
      <c r="D67" s="347"/>
      <c r="E67" s="347"/>
      <c r="F67" s="347"/>
      <c r="G67" s="347"/>
    </row>
    <row r="68" spans="1:7">
      <c r="A68" s="322"/>
      <c r="B68" s="322"/>
      <c r="C68" s="322"/>
    </row>
    <row r="69" spans="1:7">
      <c r="A69" s="322"/>
      <c r="B69" s="322"/>
      <c r="C69" s="322"/>
    </row>
    <row r="70" spans="1:7">
      <c r="A70" s="322"/>
      <c r="B70" s="322"/>
      <c r="C70" s="322"/>
    </row>
    <row r="71" spans="1:7">
      <c r="A71" s="322"/>
      <c r="B71" s="322"/>
      <c r="C71" s="322"/>
    </row>
    <row r="72" spans="1:7">
      <c r="A72" s="322"/>
      <c r="B72" s="322"/>
      <c r="C72" s="322"/>
    </row>
    <row r="73" spans="1:7">
      <c r="A73" s="322"/>
      <c r="B73" s="322"/>
      <c r="C73" s="322"/>
    </row>
    <row r="74" spans="1:7">
      <c r="A74" s="322"/>
      <c r="B74" s="322"/>
      <c r="C74" s="322"/>
    </row>
    <row r="75" spans="1:7">
      <c r="A75" s="322"/>
      <c r="B75" s="322"/>
      <c r="C75" s="322"/>
    </row>
    <row r="76" spans="1:7">
      <c r="A76" s="322"/>
      <c r="B76" s="322"/>
      <c r="C76" s="322"/>
    </row>
  </sheetData>
  <mergeCells count="10">
    <mergeCell ref="A1:G1"/>
    <mergeCell ref="A2:G2"/>
    <mergeCell ref="A3:G3"/>
    <mergeCell ref="A5:A7"/>
    <mergeCell ref="B5:B7"/>
    <mergeCell ref="C5:C7"/>
    <mergeCell ref="D5:D7"/>
    <mergeCell ref="E5:E7"/>
    <mergeCell ref="F5:F7"/>
    <mergeCell ref="G5:G7"/>
  </mergeCells>
  <pageMargins left="0.47244094488188976" right="0.31496062992125984" top="0.78740157480314965" bottom="0.59055118110236215" header="0.19685039370078741" footer="0.19685039370078741"/>
  <pageSetup paperSize="9" scale="83" fitToHeight="0" orientation="portrait" r:id="rId1"/>
  <headerFooter>
    <oddFooter>&amp;C&amp;P/&amp;N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rgb="FF0000FF"/>
  </sheetPr>
  <dimension ref="A1:G159"/>
  <sheetViews>
    <sheetView zoomScale="85" zoomScaleNormal="85" zoomScaleSheetLayoutView="85" workbookViewId="0">
      <selection activeCell="B19" sqref="B19"/>
    </sheetView>
  </sheetViews>
  <sheetFormatPr defaultColWidth="9.140625" defaultRowHeight="15"/>
  <cols>
    <col min="1" max="1" width="5" style="529" customWidth="1"/>
    <col min="2" max="2" width="43.140625" style="474" customWidth="1"/>
    <col min="3" max="3" width="11.85546875" style="529" customWidth="1"/>
    <col min="4" max="4" width="13.5703125" style="474" customWidth="1"/>
    <col min="5" max="5" width="15.140625" style="474" customWidth="1"/>
    <col min="6" max="6" width="10.42578125" style="474" bestFit="1" customWidth="1"/>
    <col min="7" max="16384" width="9.140625" style="474"/>
  </cols>
  <sheetData>
    <row r="1" spans="1:7" ht="15.75">
      <c r="A1" s="845" t="s">
        <v>213</v>
      </c>
      <c r="B1" s="845"/>
      <c r="C1" s="845"/>
      <c r="D1" s="845"/>
      <c r="E1" s="845"/>
    </row>
    <row r="2" spans="1:7" s="475" customFormat="1" ht="23.25">
      <c r="A2" s="850" t="s">
        <v>845</v>
      </c>
      <c r="B2" s="850"/>
      <c r="C2" s="850"/>
      <c r="D2" s="850"/>
      <c r="E2" s="850"/>
    </row>
    <row r="3" spans="1:7" s="475" customFormat="1" ht="19.5" customHeight="1">
      <c r="A3" s="851" t="str">
        <f>'B01'!A3:E3</f>
        <v>(Kèm theo Quyết định số 569/QĐ-UBND, ngày 17/12/2018 của UBND huyện Đăk Tô)</v>
      </c>
      <c r="B3" s="851"/>
      <c r="C3" s="851"/>
      <c r="D3" s="851"/>
      <c r="E3" s="851"/>
    </row>
    <row r="4" spans="1:7" s="475" customFormat="1" ht="19.5" customHeight="1">
      <c r="A4" s="849" t="s">
        <v>310</v>
      </c>
      <c r="B4" s="849"/>
      <c r="C4" s="849"/>
      <c r="D4" s="849"/>
      <c r="E4" s="849"/>
    </row>
    <row r="5" spans="1:7">
      <c r="A5" s="476"/>
      <c r="B5" s="476"/>
      <c r="C5" s="474"/>
      <c r="D5" s="477"/>
    </row>
    <row r="6" spans="1:7" s="8" customFormat="1" ht="21.75" customHeight="1">
      <c r="A6" s="771" t="s">
        <v>55</v>
      </c>
      <c r="B6" s="772" t="s">
        <v>69</v>
      </c>
      <c r="C6" s="772" t="s">
        <v>18</v>
      </c>
      <c r="D6" s="766" t="s">
        <v>848</v>
      </c>
      <c r="E6" s="772" t="s">
        <v>75</v>
      </c>
    </row>
    <row r="7" spans="1:7" s="8" customFormat="1" ht="15.75">
      <c r="A7" s="771"/>
      <c r="B7" s="771"/>
      <c r="C7" s="771"/>
      <c r="D7" s="767"/>
      <c r="E7" s="771"/>
    </row>
    <row r="8" spans="1:7" s="483" customFormat="1" ht="19.5" customHeight="1">
      <c r="A8" s="478" t="s">
        <v>40</v>
      </c>
      <c r="B8" s="479" t="s">
        <v>225</v>
      </c>
      <c r="C8" s="480"/>
      <c r="D8" s="481"/>
      <c r="E8" s="482"/>
    </row>
    <row r="9" spans="1:7" s="489" customFormat="1" ht="15.75">
      <c r="A9" s="484" t="s">
        <v>38</v>
      </c>
      <c r="B9" s="485" t="s">
        <v>300</v>
      </c>
      <c r="C9" s="486" t="s">
        <v>37</v>
      </c>
      <c r="D9" s="459">
        <f>'B03'!N8</f>
        <v>585</v>
      </c>
      <c r="E9" s="487" t="s">
        <v>226</v>
      </c>
      <c r="F9" s="488"/>
      <c r="G9" s="488"/>
    </row>
    <row r="10" spans="1:7" s="490" customFormat="1" ht="15.75">
      <c r="A10" s="486">
        <v>1</v>
      </c>
      <c r="B10" s="83" t="s">
        <v>227</v>
      </c>
      <c r="C10" s="486"/>
      <c r="D10" s="459">
        <f>'B03'!N9</f>
        <v>0</v>
      </c>
      <c r="E10" s="456"/>
      <c r="F10" s="488"/>
    </row>
    <row r="11" spans="1:7" s="493" customFormat="1" ht="15.75">
      <c r="A11" s="491" t="s">
        <v>56</v>
      </c>
      <c r="B11" s="83" t="s">
        <v>228</v>
      </c>
      <c r="C11" s="491" t="s">
        <v>37</v>
      </c>
      <c r="D11" s="459">
        <f>'B03'!N10</f>
        <v>174</v>
      </c>
      <c r="E11" s="492"/>
      <c r="F11" s="488"/>
    </row>
    <row r="12" spans="1:7" s="494" customFormat="1" ht="15.75">
      <c r="A12" s="484" t="s">
        <v>56</v>
      </c>
      <c r="B12" s="83" t="s">
        <v>229</v>
      </c>
      <c r="C12" s="491" t="s">
        <v>230</v>
      </c>
      <c r="D12" s="459">
        <f>'B03'!N11</f>
        <v>621.30000000000007</v>
      </c>
      <c r="E12" s="492"/>
      <c r="F12" s="488"/>
    </row>
    <row r="13" spans="1:7" s="497" customFormat="1" ht="15.75">
      <c r="A13" s="495"/>
      <c r="B13" s="3" t="s">
        <v>231</v>
      </c>
      <c r="C13" s="486" t="s">
        <v>230</v>
      </c>
      <c r="D13" s="26">
        <f>'B03'!N12</f>
        <v>593.70000000000005</v>
      </c>
      <c r="E13" s="496"/>
      <c r="F13" s="488"/>
    </row>
    <row r="14" spans="1:7" s="494" customFormat="1" ht="15.75">
      <c r="A14" s="484"/>
      <c r="B14" s="3" t="s">
        <v>232</v>
      </c>
      <c r="C14" s="486" t="s">
        <v>230</v>
      </c>
      <c r="D14" s="26">
        <f>'B03'!N13</f>
        <v>27.6</v>
      </c>
      <c r="E14" s="457"/>
      <c r="F14" s="488"/>
    </row>
    <row r="15" spans="1:7" s="2" customFormat="1" ht="15.75">
      <c r="A15" s="486" t="s">
        <v>34</v>
      </c>
      <c r="B15" s="3" t="s">
        <v>233</v>
      </c>
      <c r="C15" s="486"/>
      <c r="D15" s="26">
        <f>'B03'!N14</f>
        <v>0</v>
      </c>
      <c r="E15" s="456"/>
      <c r="F15" s="488"/>
    </row>
    <row r="16" spans="1:7" s="497" customFormat="1" ht="15.75">
      <c r="A16" s="495"/>
      <c r="B16" s="3" t="s">
        <v>234</v>
      </c>
      <c r="C16" s="486" t="s">
        <v>37</v>
      </c>
      <c r="D16" s="26">
        <f>'B03'!N15</f>
        <v>168</v>
      </c>
      <c r="E16" s="498"/>
      <c r="F16" s="488"/>
    </row>
    <row r="17" spans="1:6" s="497" customFormat="1" ht="15.75">
      <c r="A17" s="495"/>
      <c r="B17" s="84" t="s">
        <v>235</v>
      </c>
      <c r="C17" s="495" t="s">
        <v>236</v>
      </c>
      <c r="D17" s="25">
        <f>'B03'!N16</f>
        <v>35.339285714285715</v>
      </c>
      <c r="E17" s="499"/>
      <c r="F17" s="488"/>
    </row>
    <row r="18" spans="1:6" ht="15.75">
      <c r="A18" s="486"/>
      <c r="B18" s="3" t="s">
        <v>293</v>
      </c>
      <c r="C18" s="486" t="s">
        <v>230</v>
      </c>
      <c r="D18" s="26">
        <f>'B03'!N17</f>
        <v>593.70000000000005</v>
      </c>
      <c r="E18" s="498"/>
      <c r="F18" s="488"/>
    </row>
    <row r="19" spans="1:6" ht="15.75">
      <c r="A19" s="486"/>
      <c r="B19" s="3" t="s">
        <v>237</v>
      </c>
      <c r="C19" s="486"/>
      <c r="D19" s="26">
        <f>'B03'!N18</f>
        <v>0</v>
      </c>
      <c r="E19" s="500"/>
      <c r="F19" s="488"/>
    </row>
    <row r="20" spans="1:6" s="497" customFormat="1" ht="15.75">
      <c r="A20" s="495"/>
      <c r="B20" s="3" t="s">
        <v>291</v>
      </c>
      <c r="C20" s="486" t="s">
        <v>37</v>
      </c>
      <c r="D20" s="26">
        <f>'B03'!N19</f>
        <v>43</v>
      </c>
      <c r="E20" s="498"/>
      <c r="F20" s="488"/>
    </row>
    <row r="21" spans="1:6" s="497" customFormat="1" ht="15.75">
      <c r="A21" s="495"/>
      <c r="B21" s="84" t="s">
        <v>239</v>
      </c>
      <c r="C21" s="495" t="s">
        <v>236</v>
      </c>
      <c r="D21" s="25">
        <f>'B03'!N20</f>
        <v>39</v>
      </c>
      <c r="E21" s="499"/>
      <c r="F21" s="488"/>
    </row>
    <row r="22" spans="1:6" ht="15.75">
      <c r="A22" s="486"/>
      <c r="B22" s="3" t="s">
        <v>290</v>
      </c>
      <c r="C22" s="486" t="s">
        <v>230</v>
      </c>
      <c r="D22" s="26">
        <f>'B03'!N21</f>
        <v>167.7</v>
      </c>
      <c r="E22" s="498"/>
      <c r="F22" s="488"/>
    </row>
    <row r="23" spans="1:6" ht="15.75">
      <c r="A23" s="486"/>
      <c r="B23" s="3" t="s">
        <v>240</v>
      </c>
      <c r="C23" s="486"/>
      <c r="D23" s="26">
        <f>'B03'!N22</f>
        <v>0</v>
      </c>
      <c r="E23" s="500"/>
      <c r="F23" s="488"/>
    </row>
    <row r="24" spans="1:6" s="497" customFormat="1" ht="15.75">
      <c r="A24" s="495"/>
      <c r="B24" s="3" t="s">
        <v>291</v>
      </c>
      <c r="C24" s="486" t="s">
        <v>37</v>
      </c>
      <c r="D24" s="26">
        <f>'B03'!N23</f>
        <v>125</v>
      </c>
      <c r="E24" s="498"/>
      <c r="F24" s="488"/>
    </row>
    <row r="25" spans="1:6" s="497" customFormat="1" ht="15.75">
      <c r="A25" s="495"/>
      <c r="B25" s="84" t="s">
        <v>239</v>
      </c>
      <c r="C25" s="495" t="s">
        <v>236</v>
      </c>
      <c r="D25" s="25">
        <f>'B03'!N24</f>
        <v>35</v>
      </c>
      <c r="E25" s="499"/>
      <c r="F25" s="488"/>
    </row>
    <row r="26" spans="1:6" ht="15.75">
      <c r="A26" s="486"/>
      <c r="B26" s="3" t="s">
        <v>290</v>
      </c>
      <c r="C26" s="486" t="s">
        <v>230</v>
      </c>
      <c r="D26" s="26">
        <f>'B03'!N25</f>
        <v>426</v>
      </c>
      <c r="E26" s="498"/>
      <c r="F26" s="488"/>
    </row>
    <row r="27" spans="1:6" ht="15.75" customHeight="1">
      <c r="A27" s="486"/>
      <c r="B27" s="501" t="s">
        <v>241</v>
      </c>
      <c r="C27" s="486"/>
      <c r="D27" s="26">
        <f>'B03'!N26</f>
        <v>0</v>
      </c>
      <c r="E27" s="500"/>
      <c r="F27" s="488"/>
    </row>
    <row r="28" spans="1:6" s="497" customFormat="1" ht="15.75">
      <c r="A28" s="495"/>
      <c r="B28" s="3" t="s">
        <v>291</v>
      </c>
      <c r="C28" s="486" t="s">
        <v>37</v>
      </c>
      <c r="D28" s="26">
        <f>'B03'!N27</f>
        <v>120</v>
      </c>
      <c r="E28" s="498"/>
      <c r="F28" s="488"/>
    </row>
    <row r="29" spans="1:6" s="497" customFormat="1" ht="15.75">
      <c r="A29" s="495"/>
      <c r="B29" s="84" t="s">
        <v>239</v>
      </c>
      <c r="C29" s="495" t="s">
        <v>236</v>
      </c>
      <c r="D29" s="25">
        <f>'B03'!N28</f>
        <v>35</v>
      </c>
      <c r="E29" s="499"/>
      <c r="F29" s="488"/>
    </row>
    <row r="30" spans="1:6" ht="15.75">
      <c r="A30" s="486"/>
      <c r="B30" s="3" t="s">
        <v>290</v>
      </c>
      <c r="C30" s="486" t="s">
        <v>230</v>
      </c>
      <c r="D30" s="26">
        <f>'B03'!N29</f>
        <v>420</v>
      </c>
      <c r="E30" s="498"/>
      <c r="F30" s="488"/>
    </row>
    <row r="31" spans="1:6" ht="15.75">
      <c r="A31" s="486"/>
      <c r="B31" s="3" t="s">
        <v>242</v>
      </c>
      <c r="C31" s="486"/>
      <c r="D31" s="26">
        <f>'B03'!N30</f>
        <v>0</v>
      </c>
      <c r="E31" s="500"/>
      <c r="F31" s="488"/>
    </row>
    <row r="32" spans="1:6" s="497" customFormat="1" ht="15.75">
      <c r="A32" s="495"/>
      <c r="B32" s="3" t="s">
        <v>291</v>
      </c>
      <c r="C32" s="486" t="s">
        <v>37</v>
      </c>
      <c r="D32" s="26">
        <f>'B03'!N31</f>
        <v>5</v>
      </c>
      <c r="E32" s="498"/>
      <c r="F32" s="488"/>
    </row>
    <row r="33" spans="1:6" ht="15.75">
      <c r="A33" s="486"/>
      <c r="B33" s="84" t="s">
        <v>239</v>
      </c>
      <c r="C33" s="495" t="s">
        <v>236</v>
      </c>
      <c r="D33" s="25">
        <f>'B03'!N32</f>
        <v>12</v>
      </c>
      <c r="E33" s="502"/>
      <c r="F33" s="488"/>
    </row>
    <row r="34" spans="1:6" ht="15.75">
      <c r="A34" s="486"/>
      <c r="B34" s="3" t="s">
        <v>290</v>
      </c>
      <c r="C34" s="486" t="s">
        <v>230</v>
      </c>
      <c r="D34" s="26">
        <f>'B03'!N33</f>
        <v>6</v>
      </c>
      <c r="E34" s="498"/>
      <c r="F34" s="488"/>
    </row>
    <row r="35" spans="1:6" s="2" customFormat="1" ht="15.75">
      <c r="A35" s="486" t="s">
        <v>35</v>
      </c>
      <c r="B35" s="3" t="s">
        <v>243</v>
      </c>
      <c r="C35" s="486"/>
      <c r="D35" s="26">
        <f>'B03'!N34</f>
        <v>0</v>
      </c>
      <c r="E35" s="500"/>
      <c r="F35" s="488"/>
    </row>
    <row r="36" spans="1:6" s="497" customFormat="1" ht="15.75">
      <c r="A36" s="495"/>
      <c r="B36" s="503" t="s">
        <v>234</v>
      </c>
      <c r="C36" s="486" t="s">
        <v>37</v>
      </c>
      <c r="D36" s="26">
        <f>'B03'!N35</f>
        <v>6</v>
      </c>
      <c r="E36" s="498"/>
      <c r="F36" s="488"/>
    </row>
    <row r="37" spans="1:6" ht="15.75">
      <c r="A37" s="486"/>
      <c r="B37" s="504" t="s">
        <v>235</v>
      </c>
      <c r="C37" s="495" t="s">
        <v>236</v>
      </c>
      <c r="D37" s="25">
        <f>'B03'!N36</f>
        <v>46.000000000000007</v>
      </c>
      <c r="E37" s="502"/>
      <c r="F37" s="488"/>
    </row>
    <row r="38" spans="1:6" ht="15.75">
      <c r="A38" s="486"/>
      <c r="B38" s="503" t="s">
        <v>293</v>
      </c>
      <c r="C38" s="486" t="s">
        <v>230</v>
      </c>
      <c r="D38" s="26">
        <f>'B03'!N37</f>
        <v>27.6</v>
      </c>
      <c r="E38" s="498"/>
      <c r="F38" s="488"/>
    </row>
    <row r="39" spans="1:6" ht="15.75">
      <c r="A39" s="486"/>
      <c r="B39" s="3" t="s">
        <v>244</v>
      </c>
      <c r="C39" s="486"/>
      <c r="D39" s="26">
        <f>'B03'!N38</f>
        <v>0</v>
      </c>
      <c r="E39" s="500"/>
      <c r="F39" s="488"/>
    </row>
    <row r="40" spans="1:6" s="497" customFormat="1" ht="15.75">
      <c r="A40" s="495"/>
      <c r="B40" s="503" t="s">
        <v>238</v>
      </c>
      <c r="C40" s="486" t="s">
        <v>37</v>
      </c>
      <c r="D40" s="26">
        <f>'B03'!N39</f>
        <v>0</v>
      </c>
      <c r="E40" s="498"/>
      <c r="F40" s="488"/>
    </row>
    <row r="41" spans="1:6" ht="15.75">
      <c r="A41" s="486"/>
      <c r="B41" s="504" t="s">
        <v>239</v>
      </c>
      <c r="C41" s="495" t="s">
        <v>236</v>
      </c>
      <c r="D41" s="25">
        <f>'B03'!N40</f>
        <v>0</v>
      </c>
      <c r="E41" s="502"/>
      <c r="F41" s="488"/>
    </row>
    <row r="42" spans="1:6" ht="15.75">
      <c r="A42" s="486"/>
      <c r="B42" s="3" t="s">
        <v>290</v>
      </c>
      <c r="C42" s="486" t="s">
        <v>230</v>
      </c>
      <c r="D42" s="26">
        <f>'B03'!N41</f>
        <v>0</v>
      </c>
      <c r="E42" s="498"/>
      <c r="F42" s="488"/>
    </row>
    <row r="43" spans="1:6" ht="15.75">
      <c r="A43" s="486"/>
      <c r="B43" s="3" t="s">
        <v>245</v>
      </c>
      <c r="C43" s="486"/>
      <c r="D43" s="26">
        <f>'B03'!N42</f>
        <v>0</v>
      </c>
      <c r="E43" s="500"/>
      <c r="F43" s="488"/>
    </row>
    <row r="44" spans="1:6" s="497" customFormat="1" ht="15.75">
      <c r="A44" s="495"/>
      <c r="B44" s="503" t="s">
        <v>238</v>
      </c>
      <c r="C44" s="486" t="s">
        <v>37</v>
      </c>
      <c r="D44" s="26">
        <f>'B03'!N43</f>
        <v>6</v>
      </c>
      <c r="E44" s="498"/>
      <c r="F44" s="488"/>
    </row>
    <row r="45" spans="1:6" s="497" customFormat="1" ht="15.75">
      <c r="A45" s="495"/>
      <c r="B45" s="504" t="s">
        <v>239</v>
      </c>
      <c r="C45" s="495" t="s">
        <v>236</v>
      </c>
      <c r="D45" s="25">
        <f>'B03'!N44</f>
        <v>46</v>
      </c>
      <c r="E45" s="499"/>
      <c r="F45" s="488"/>
    </row>
    <row r="46" spans="1:6" ht="15.75">
      <c r="A46" s="486"/>
      <c r="B46" s="3" t="s">
        <v>290</v>
      </c>
      <c r="C46" s="486" t="s">
        <v>230</v>
      </c>
      <c r="D46" s="26">
        <f>'B03'!N45</f>
        <v>27.6</v>
      </c>
      <c r="E46" s="498"/>
      <c r="F46" s="488"/>
    </row>
    <row r="47" spans="1:6" ht="15.75">
      <c r="A47" s="486">
        <v>2</v>
      </c>
      <c r="B47" s="3" t="s">
        <v>246</v>
      </c>
      <c r="C47" s="486"/>
      <c r="D47" s="26">
        <f>'B03'!N46</f>
        <v>0</v>
      </c>
      <c r="E47" s="498"/>
      <c r="F47" s="488"/>
    </row>
    <row r="48" spans="1:6" s="497" customFormat="1" ht="15.75" customHeight="1">
      <c r="A48" s="495"/>
      <c r="B48" s="503" t="s">
        <v>238</v>
      </c>
      <c r="C48" s="486" t="s">
        <v>37</v>
      </c>
      <c r="D48" s="26">
        <f>'B03'!N47</f>
        <v>400</v>
      </c>
      <c r="E48" s="498"/>
      <c r="F48" s="488"/>
    </row>
    <row r="49" spans="1:6" s="497" customFormat="1" ht="15.75">
      <c r="A49" s="495"/>
      <c r="B49" s="504" t="s">
        <v>239</v>
      </c>
      <c r="C49" s="495" t="s">
        <v>236</v>
      </c>
      <c r="D49" s="25">
        <f>'B03'!N48</f>
        <v>146</v>
      </c>
      <c r="E49" s="499"/>
      <c r="F49" s="488"/>
    </row>
    <row r="50" spans="1:6" ht="15.75">
      <c r="A50" s="486"/>
      <c r="B50" s="3" t="s">
        <v>290</v>
      </c>
      <c r="C50" s="486" t="s">
        <v>230</v>
      </c>
      <c r="D50" s="26">
        <f>'B03'!N49</f>
        <v>5840</v>
      </c>
      <c r="E50" s="498"/>
      <c r="F50" s="488"/>
    </row>
    <row r="51" spans="1:6" ht="15.75">
      <c r="A51" s="32">
        <v>3</v>
      </c>
      <c r="B51" s="35" t="s">
        <v>317</v>
      </c>
      <c r="C51" s="32" t="s">
        <v>37</v>
      </c>
      <c r="D51" s="26">
        <f>'B03'!N50</f>
        <v>4</v>
      </c>
      <c r="E51" s="498"/>
      <c r="F51" s="488"/>
    </row>
    <row r="52" spans="1:6" ht="15.75">
      <c r="A52" s="39"/>
      <c r="B52" s="35" t="s">
        <v>123</v>
      </c>
      <c r="C52" s="32" t="s">
        <v>37</v>
      </c>
      <c r="D52" s="26">
        <f>'B03'!N51</f>
        <v>0</v>
      </c>
      <c r="E52" s="498"/>
      <c r="F52" s="488"/>
    </row>
    <row r="53" spans="1:6" ht="15.75">
      <c r="A53" s="39"/>
      <c r="B53" s="37" t="s">
        <v>315</v>
      </c>
      <c r="C53" s="34" t="s">
        <v>21</v>
      </c>
      <c r="D53" s="25">
        <f>'B03'!N52</f>
        <v>800</v>
      </c>
      <c r="E53" s="498"/>
      <c r="F53" s="488"/>
    </row>
    <row r="54" spans="1:6" ht="15.75">
      <c r="A54" s="39"/>
      <c r="B54" s="37" t="s">
        <v>316</v>
      </c>
      <c r="C54" s="34" t="s">
        <v>76</v>
      </c>
      <c r="D54" s="26">
        <f>'B03'!N53</f>
        <v>320</v>
      </c>
      <c r="E54" s="498"/>
      <c r="F54" s="488"/>
    </row>
    <row r="55" spans="1:6" s="497" customFormat="1" ht="15.75">
      <c r="A55" s="495">
        <v>4</v>
      </c>
      <c r="B55" s="505" t="s">
        <v>136</v>
      </c>
      <c r="C55" s="486"/>
      <c r="D55" s="26">
        <f>'B03'!N54</f>
        <v>0</v>
      </c>
      <c r="E55" s="498"/>
      <c r="F55" s="488"/>
    </row>
    <row r="56" spans="1:6" s="497" customFormat="1" ht="15.75">
      <c r="A56" s="495"/>
      <c r="B56" s="505" t="s">
        <v>26</v>
      </c>
      <c r="C56" s="486" t="s">
        <v>37</v>
      </c>
      <c r="D56" s="26">
        <f>'B03'!N55</f>
        <v>7</v>
      </c>
      <c r="E56" s="498"/>
      <c r="F56" s="488"/>
    </row>
    <row r="57" spans="1:6" s="497" customFormat="1" ht="15.75">
      <c r="A57" s="495"/>
      <c r="B57" s="506" t="s">
        <v>27</v>
      </c>
      <c r="C57" s="507" t="s">
        <v>21</v>
      </c>
      <c r="D57" s="25">
        <f>'B03'!N56</f>
        <v>110</v>
      </c>
      <c r="E57" s="508"/>
      <c r="F57" s="488"/>
    </row>
    <row r="58" spans="1:6" ht="15.75">
      <c r="A58" s="486"/>
      <c r="B58" s="505" t="s">
        <v>28</v>
      </c>
      <c r="C58" s="509" t="s">
        <v>76</v>
      </c>
      <c r="D58" s="26">
        <f>'B03'!N57</f>
        <v>81</v>
      </c>
      <c r="E58" s="498"/>
      <c r="F58" s="488"/>
    </row>
    <row r="59" spans="1:6" ht="15.75">
      <c r="A59" s="486"/>
      <c r="B59" s="40" t="s">
        <v>318</v>
      </c>
      <c r="C59" s="21"/>
      <c r="D59" s="26">
        <f>'B03'!N58</f>
        <v>0</v>
      </c>
      <c r="E59" s="498"/>
      <c r="F59" s="488"/>
    </row>
    <row r="60" spans="1:6" ht="15.75">
      <c r="A60" s="486"/>
      <c r="B60" s="510" t="s">
        <v>178</v>
      </c>
      <c r="C60" s="41" t="s">
        <v>37</v>
      </c>
      <c r="D60" s="26">
        <f>'B03'!N59</f>
        <v>2</v>
      </c>
      <c r="E60" s="498"/>
      <c r="F60" s="488"/>
    </row>
    <row r="61" spans="1:6" ht="15.75">
      <c r="A61" s="486"/>
      <c r="B61" s="510" t="s">
        <v>179</v>
      </c>
      <c r="C61" s="41" t="s">
        <v>21</v>
      </c>
      <c r="D61" s="25">
        <f>'B03'!N60</f>
        <v>130</v>
      </c>
      <c r="E61" s="498"/>
      <c r="F61" s="488"/>
    </row>
    <row r="62" spans="1:6" ht="15.75">
      <c r="A62" s="486"/>
      <c r="B62" s="510" t="s">
        <v>180</v>
      </c>
      <c r="C62" s="41" t="s">
        <v>76</v>
      </c>
      <c r="D62" s="26">
        <f>'B03'!N61</f>
        <v>26</v>
      </c>
      <c r="E62" s="498"/>
      <c r="F62" s="488"/>
    </row>
    <row r="63" spans="1:6" ht="15.75">
      <c r="A63" s="486"/>
      <c r="B63" s="511" t="s">
        <v>319</v>
      </c>
      <c r="C63" s="21"/>
      <c r="D63" s="26">
        <f>'B03'!N62</f>
        <v>0</v>
      </c>
      <c r="E63" s="498"/>
      <c r="F63" s="488"/>
    </row>
    <row r="64" spans="1:6" ht="15.75">
      <c r="A64" s="486"/>
      <c r="B64" s="510" t="s">
        <v>178</v>
      </c>
      <c r="C64" s="41" t="s">
        <v>37</v>
      </c>
      <c r="D64" s="26">
        <f>'B03'!N63</f>
        <v>5</v>
      </c>
      <c r="E64" s="498"/>
      <c r="F64" s="488"/>
    </row>
    <row r="65" spans="1:6" ht="15.75">
      <c r="A65" s="486"/>
      <c r="B65" s="510" t="s">
        <v>179</v>
      </c>
      <c r="C65" s="41" t="s">
        <v>21</v>
      </c>
      <c r="D65" s="25">
        <f>'B03'!N64</f>
        <v>110</v>
      </c>
      <c r="E65" s="498"/>
      <c r="F65" s="488"/>
    </row>
    <row r="66" spans="1:6" ht="15.75">
      <c r="A66" s="486"/>
      <c r="B66" s="510" t="s">
        <v>180</v>
      </c>
      <c r="C66" s="41" t="s">
        <v>76</v>
      </c>
      <c r="D66" s="26">
        <f>'B03'!N65</f>
        <v>55</v>
      </c>
      <c r="E66" s="498"/>
      <c r="F66" s="488"/>
    </row>
    <row r="67" spans="1:6" s="483" customFormat="1" ht="19.5" customHeight="1">
      <c r="A67" s="491" t="s">
        <v>39</v>
      </c>
      <c r="B67" s="83" t="s">
        <v>247</v>
      </c>
      <c r="C67" s="491"/>
      <c r="D67" s="459">
        <f>'B03'!N66</f>
        <v>307</v>
      </c>
      <c r="E67" s="457"/>
      <c r="F67" s="488"/>
    </row>
    <row r="68" spans="1:6" s="489" customFormat="1" ht="15.75">
      <c r="A68" s="484">
        <v>1</v>
      </c>
      <c r="B68" s="305" t="s">
        <v>248</v>
      </c>
      <c r="C68" s="484" t="s">
        <v>37</v>
      </c>
      <c r="D68" s="459">
        <f>'B03'!N67</f>
        <v>116</v>
      </c>
      <c r="E68" s="512"/>
      <c r="F68" s="488"/>
    </row>
    <row r="69" spans="1:6" ht="17.25" customHeight="1">
      <c r="A69" s="486" t="s">
        <v>34</v>
      </c>
      <c r="B69" s="3" t="s">
        <v>249</v>
      </c>
      <c r="C69" s="486" t="s">
        <v>37</v>
      </c>
      <c r="D69" s="26">
        <f>'B03'!N68</f>
        <v>61</v>
      </c>
      <c r="E69" s="456"/>
      <c r="F69" s="488"/>
    </row>
    <row r="70" spans="1:6" ht="17.25" hidden="1" customHeight="1">
      <c r="A70" s="513"/>
      <c r="B70" s="514" t="s">
        <v>361</v>
      </c>
      <c r="C70" s="486" t="s">
        <v>37</v>
      </c>
      <c r="D70" s="26">
        <f>'B03'!N69</f>
        <v>46</v>
      </c>
      <c r="E70" s="515"/>
      <c r="F70" s="488"/>
    </row>
    <row r="71" spans="1:6" ht="17.25" hidden="1" customHeight="1">
      <c r="A71" s="513"/>
      <c r="B71" s="514"/>
      <c r="C71" s="486"/>
      <c r="D71" s="26">
        <f>'B03'!N70</f>
        <v>10</v>
      </c>
      <c r="E71" s="515"/>
      <c r="F71" s="488"/>
    </row>
    <row r="72" spans="1:6" ht="15.75">
      <c r="A72" s="495"/>
      <c r="B72" s="84" t="s">
        <v>250</v>
      </c>
      <c r="C72" s="495" t="s">
        <v>37</v>
      </c>
      <c r="D72" s="26">
        <f>'B03'!N72</f>
        <v>5</v>
      </c>
      <c r="E72" s="456"/>
      <c r="F72" s="488"/>
    </row>
    <row r="73" spans="1:6" ht="18" customHeight="1">
      <c r="A73" s="486"/>
      <c r="B73" s="3" t="s">
        <v>251</v>
      </c>
      <c r="C73" s="486" t="s">
        <v>37</v>
      </c>
      <c r="D73" s="26">
        <f>'B03'!N73</f>
        <v>38</v>
      </c>
      <c r="E73" s="456"/>
      <c r="F73" s="488"/>
    </row>
    <row r="74" spans="1:6" ht="18" hidden="1" customHeight="1">
      <c r="A74" s="513"/>
      <c r="B74" s="514" t="s">
        <v>362</v>
      </c>
      <c r="C74" s="513" t="s">
        <v>37</v>
      </c>
      <c r="D74" s="26" t="e">
        <f>'B03'!#REF!</f>
        <v>#REF!</v>
      </c>
      <c r="E74" s="515"/>
      <c r="F74" s="488"/>
    </row>
    <row r="75" spans="1:6" ht="18" hidden="1" customHeight="1">
      <c r="A75" s="513"/>
      <c r="B75" s="514" t="s">
        <v>363</v>
      </c>
      <c r="C75" s="513" t="s">
        <v>37</v>
      </c>
      <c r="D75" s="26" t="e">
        <f>'B03'!#REF!</f>
        <v>#REF!</v>
      </c>
      <c r="E75" s="515"/>
      <c r="F75" s="488"/>
    </row>
    <row r="76" spans="1:6" ht="18" hidden="1" customHeight="1">
      <c r="A76" s="513"/>
      <c r="B76" s="514" t="s">
        <v>364</v>
      </c>
      <c r="C76" s="513" t="s">
        <v>37</v>
      </c>
      <c r="D76" s="26" t="e">
        <f>'B03'!#REF!</f>
        <v>#REF!</v>
      </c>
      <c r="E76" s="515"/>
      <c r="F76" s="488"/>
    </row>
    <row r="77" spans="1:6" s="497" customFormat="1" ht="15.75">
      <c r="A77" s="495"/>
      <c r="B77" s="84" t="s">
        <v>252</v>
      </c>
      <c r="C77" s="495" t="s">
        <v>236</v>
      </c>
      <c r="D77" s="25">
        <f>'B03'!N74</f>
        <v>29</v>
      </c>
      <c r="E77" s="516"/>
      <c r="F77" s="488"/>
    </row>
    <row r="78" spans="1:6" ht="15.75">
      <c r="A78" s="486"/>
      <c r="B78" s="3" t="s">
        <v>301</v>
      </c>
      <c r="C78" s="486" t="s">
        <v>230</v>
      </c>
      <c r="D78" s="26">
        <f>'B03'!N75</f>
        <v>110.2</v>
      </c>
      <c r="E78" s="498"/>
      <c r="F78" s="488"/>
    </row>
    <row r="79" spans="1:6" ht="15.75">
      <c r="A79" s="486" t="s">
        <v>35</v>
      </c>
      <c r="B79" s="3" t="s">
        <v>253</v>
      </c>
      <c r="C79" s="486" t="s">
        <v>37</v>
      </c>
      <c r="D79" s="26">
        <f>'B03'!N76</f>
        <v>55</v>
      </c>
      <c r="E79" s="498"/>
      <c r="F79" s="488"/>
    </row>
    <row r="80" spans="1:6" s="497" customFormat="1" ht="15.75">
      <c r="A80" s="495"/>
      <c r="B80" s="84" t="s">
        <v>292</v>
      </c>
      <c r="C80" s="495" t="s">
        <v>37</v>
      </c>
      <c r="D80" s="26">
        <f>'B03'!N77</f>
        <v>0</v>
      </c>
      <c r="E80" s="496"/>
      <c r="F80" s="488"/>
    </row>
    <row r="81" spans="1:6" ht="15.75">
      <c r="A81" s="486"/>
      <c r="B81" s="3" t="s">
        <v>251</v>
      </c>
      <c r="C81" s="486" t="s">
        <v>37</v>
      </c>
      <c r="D81" s="26">
        <f>'B03'!N78</f>
        <v>30</v>
      </c>
      <c r="E81" s="456"/>
      <c r="F81" s="488"/>
    </row>
    <row r="82" spans="1:6" s="517" customFormat="1" ht="15.75" hidden="1">
      <c r="A82" s="513"/>
      <c r="B82" s="514" t="s">
        <v>362</v>
      </c>
      <c r="C82" s="513" t="s">
        <v>37</v>
      </c>
      <c r="D82" s="26" t="e">
        <f>'B03'!#REF!</f>
        <v>#REF!</v>
      </c>
      <c r="E82" s="515"/>
      <c r="F82" s="488"/>
    </row>
    <row r="83" spans="1:6" ht="15.75" hidden="1">
      <c r="A83" s="486"/>
      <c r="B83" s="518" t="s">
        <v>365</v>
      </c>
      <c r="C83" s="513" t="s">
        <v>37</v>
      </c>
      <c r="D83" s="26" t="e">
        <f>'B03'!#REF!</f>
        <v>#REF!</v>
      </c>
      <c r="E83" s="456"/>
      <c r="F83" s="488"/>
    </row>
    <row r="84" spans="1:6" ht="15.75" hidden="1">
      <c r="A84" s="486"/>
      <c r="B84" s="518" t="s">
        <v>366</v>
      </c>
      <c r="C84" s="513" t="s">
        <v>37</v>
      </c>
      <c r="D84" s="26" t="e">
        <f>'B03'!#REF!</f>
        <v>#REF!</v>
      </c>
      <c r="E84" s="456"/>
      <c r="F84" s="488"/>
    </row>
    <row r="85" spans="1:6" ht="15.75" hidden="1">
      <c r="A85" s="486"/>
      <c r="B85" s="518" t="s">
        <v>367</v>
      </c>
      <c r="C85" s="513" t="s">
        <v>37</v>
      </c>
      <c r="D85" s="26" t="e">
        <f>'B03'!#REF!</f>
        <v>#REF!</v>
      </c>
      <c r="E85" s="456"/>
      <c r="F85" s="488"/>
    </row>
    <row r="86" spans="1:6" ht="15.75" hidden="1">
      <c r="A86" s="486"/>
      <c r="B86" s="514" t="s">
        <v>368</v>
      </c>
      <c r="C86" s="519"/>
      <c r="D86" s="26" t="e">
        <f>'B03'!#REF!</f>
        <v>#REF!</v>
      </c>
      <c r="E86" s="456"/>
      <c r="F86" s="488"/>
    </row>
    <row r="87" spans="1:6" ht="15.75" hidden="1">
      <c r="A87" s="486"/>
      <c r="B87" s="514"/>
      <c r="C87" s="519"/>
      <c r="D87" s="26" t="e">
        <f>'B03'!#REF!</f>
        <v>#REF!</v>
      </c>
      <c r="E87" s="456"/>
      <c r="F87" s="488"/>
    </row>
    <row r="88" spans="1:6" s="497" customFormat="1" ht="15.75">
      <c r="A88" s="495"/>
      <c r="B88" s="84" t="s">
        <v>252</v>
      </c>
      <c r="C88" s="495" t="s">
        <v>236</v>
      </c>
      <c r="D88" s="25">
        <f>'B03'!N79</f>
        <v>12.5</v>
      </c>
      <c r="E88" s="520"/>
      <c r="F88" s="488"/>
    </row>
    <row r="89" spans="1:6" ht="15.75" customHeight="1">
      <c r="A89" s="486"/>
      <c r="B89" s="3" t="s">
        <v>301</v>
      </c>
      <c r="C89" s="486" t="s">
        <v>230</v>
      </c>
      <c r="D89" s="26">
        <f>'B03'!N80</f>
        <v>37.5</v>
      </c>
      <c r="E89" s="521"/>
      <c r="F89" s="488"/>
    </row>
    <row r="90" spans="1:6" ht="15.75">
      <c r="A90" s="486">
        <v>2</v>
      </c>
      <c r="B90" s="3" t="s">
        <v>254</v>
      </c>
      <c r="C90" s="486" t="s">
        <v>37</v>
      </c>
      <c r="D90" s="26">
        <f>'B03'!N81</f>
        <v>191</v>
      </c>
      <c r="E90" s="498"/>
      <c r="F90" s="488"/>
    </row>
    <row r="91" spans="1:6" ht="15.75">
      <c r="A91" s="486"/>
      <c r="B91" s="84" t="s">
        <v>255</v>
      </c>
      <c r="C91" s="495" t="s">
        <v>37</v>
      </c>
      <c r="D91" s="26">
        <f>'B03'!N82</f>
        <v>0</v>
      </c>
      <c r="E91" s="498"/>
      <c r="F91" s="488"/>
    </row>
    <row r="92" spans="1:6" ht="19.5" hidden="1" customHeight="1">
      <c r="A92" s="513"/>
      <c r="B92" s="522" t="s">
        <v>369</v>
      </c>
      <c r="C92" s="523" t="s">
        <v>37</v>
      </c>
      <c r="D92" s="459" t="e">
        <f>'B03'!#REF!</f>
        <v>#REF!</v>
      </c>
      <c r="E92" s="498"/>
      <c r="F92" s="488"/>
    </row>
    <row r="93" spans="1:6" ht="19.5" hidden="1" customHeight="1">
      <c r="A93" s="513"/>
      <c r="B93" s="522" t="s">
        <v>370</v>
      </c>
      <c r="C93" s="523" t="s">
        <v>37</v>
      </c>
      <c r="D93" s="459" t="e">
        <f>'B03'!#REF!</f>
        <v>#REF!</v>
      </c>
      <c r="E93" s="498"/>
      <c r="F93" s="488"/>
    </row>
    <row r="94" spans="1:6" ht="19.5" hidden="1" customHeight="1">
      <c r="A94" s="513"/>
      <c r="B94" s="522" t="s">
        <v>361</v>
      </c>
      <c r="C94" s="523" t="s">
        <v>37</v>
      </c>
      <c r="D94" s="459" t="e">
        <f>'B03'!#REF!</f>
        <v>#REF!</v>
      </c>
      <c r="E94" s="498"/>
      <c r="F94" s="488"/>
    </row>
    <row r="95" spans="1:6" s="483" customFormat="1" ht="15.75">
      <c r="A95" s="524" t="s">
        <v>43</v>
      </c>
      <c r="B95" s="83" t="s">
        <v>256</v>
      </c>
      <c r="C95" s="491"/>
      <c r="D95" s="459">
        <f>'B03'!N83</f>
        <v>0</v>
      </c>
      <c r="E95" s="498"/>
      <c r="F95" s="488"/>
    </row>
    <row r="96" spans="1:6" ht="15.75">
      <c r="A96" s="486">
        <v>1</v>
      </c>
      <c r="B96" s="3" t="s">
        <v>257</v>
      </c>
      <c r="C96" s="486" t="s">
        <v>54</v>
      </c>
      <c r="D96" s="26">
        <f>'B03'!N84</f>
        <v>550</v>
      </c>
      <c r="E96" s="498"/>
      <c r="F96" s="488"/>
    </row>
    <row r="97" spans="1:6" s="517" customFormat="1" ht="15.75" hidden="1">
      <c r="A97" s="513"/>
      <c r="B97" s="514" t="s">
        <v>371</v>
      </c>
      <c r="C97" s="513"/>
      <c r="D97" s="26" t="e">
        <f>'B03'!#REF!</f>
        <v>#REF!</v>
      </c>
      <c r="E97" s="525"/>
      <c r="F97" s="488"/>
    </row>
    <row r="98" spans="1:6" ht="15.75">
      <c r="A98" s="486">
        <v>2</v>
      </c>
      <c r="B98" s="3" t="s">
        <v>258</v>
      </c>
      <c r="C98" s="486" t="s">
        <v>54</v>
      </c>
      <c r="D98" s="26">
        <f>'B03'!N85</f>
        <v>450</v>
      </c>
      <c r="E98" s="498"/>
      <c r="F98" s="488"/>
    </row>
    <row r="99" spans="1:6" s="517" customFormat="1" ht="15.75" hidden="1">
      <c r="A99" s="513"/>
      <c r="B99" s="514" t="s">
        <v>372</v>
      </c>
      <c r="C99" s="513"/>
      <c r="D99" s="26" t="e">
        <f>'B03'!#REF!</f>
        <v>#REF!</v>
      </c>
      <c r="E99" s="525"/>
      <c r="F99" s="488"/>
    </row>
    <row r="100" spans="1:6" ht="15" customHeight="1">
      <c r="A100" s="486">
        <v>3</v>
      </c>
      <c r="B100" s="3" t="s">
        <v>259</v>
      </c>
      <c r="C100" s="486" t="s">
        <v>54</v>
      </c>
      <c r="D100" s="26">
        <f>'B03'!N86</f>
        <v>400</v>
      </c>
      <c r="E100" s="498"/>
      <c r="F100" s="488"/>
    </row>
    <row r="101" spans="1:6" s="517" customFormat="1" ht="15" hidden="1" customHeight="1">
      <c r="A101" s="513"/>
      <c r="B101" s="514" t="s">
        <v>373</v>
      </c>
      <c r="C101" s="513"/>
      <c r="D101" s="26" t="e">
        <f>'B03'!#REF!</f>
        <v>#REF!</v>
      </c>
      <c r="E101" s="525"/>
      <c r="F101" s="488"/>
    </row>
    <row r="102" spans="1:6" ht="15" customHeight="1">
      <c r="A102" s="486">
        <v>4</v>
      </c>
      <c r="B102" s="3" t="s">
        <v>260</v>
      </c>
      <c r="C102" s="486" t="s">
        <v>54</v>
      </c>
      <c r="D102" s="26">
        <f>'B03'!N87</f>
        <v>2000</v>
      </c>
      <c r="E102" s="498"/>
      <c r="F102" s="488"/>
    </row>
    <row r="103" spans="1:6" s="517" customFormat="1" ht="15" hidden="1" customHeight="1">
      <c r="A103" s="513"/>
      <c r="B103" s="514" t="s">
        <v>374</v>
      </c>
      <c r="C103" s="513"/>
      <c r="D103" s="459" t="e">
        <f>'B03'!#REF!</f>
        <v>#REF!</v>
      </c>
      <c r="E103" s="525"/>
      <c r="F103" s="488"/>
    </row>
    <row r="104" spans="1:6" s="483" customFormat="1" ht="15.75">
      <c r="A104" s="524" t="s">
        <v>176</v>
      </c>
      <c r="B104" s="83" t="s">
        <v>282</v>
      </c>
      <c r="C104" s="491"/>
      <c r="D104" s="459">
        <f>'B03'!N88</f>
        <v>0</v>
      </c>
      <c r="E104" s="498"/>
      <c r="F104" s="488"/>
    </row>
    <row r="105" spans="1:6" ht="15.75">
      <c r="A105" s="486">
        <v>1</v>
      </c>
      <c r="B105" s="3" t="s">
        <v>283</v>
      </c>
      <c r="C105" s="486" t="s">
        <v>37</v>
      </c>
      <c r="D105" s="25">
        <f>'B03'!N89</f>
        <v>2</v>
      </c>
      <c r="E105" s="498"/>
      <c r="F105" s="488"/>
    </row>
    <row r="106" spans="1:6" ht="6.75" customHeight="1">
      <c r="A106" s="526"/>
      <c r="B106" s="527"/>
      <c r="C106" s="526"/>
      <c r="D106" s="528"/>
      <c r="E106" s="527"/>
    </row>
    <row r="107" spans="1:6">
      <c r="D107" s="530"/>
    </row>
    <row r="109" spans="1:6">
      <c r="D109" s="530"/>
    </row>
    <row r="110" spans="1:6">
      <c r="D110" s="530"/>
    </row>
    <row r="136" spans="5:5" ht="15.75">
      <c r="E136" s="2"/>
    </row>
    <row r="159" spans="2:2" ht="15.75">
      <c r="B159" s="2"/>
    </row>
  </sheetData>
  <mergeCells count="9">
    <mergeCell ref="E6:E7"/>
    <mergeCell ref="D6:D7"/>
    <mergeCell ref="A1:E1"/>
    <mergeCell ref="A2:E2"/>
    <mergeCell ref="A3:E3"/>
    <mergeCell ref="A4:E4"/>
    <mergeCell ref="A6:A7"/>
    <mergeCell ref="B6:B7"/>
    <mergeCell ref="C6:C7"/>
  </mergeCells>
  <pageMargins left="0.70866141732283472" right="0.59055118110236227" top="0.59055118110236227" bottom="0.59055118110236227" header="0.31496062992125984" footer="0.31496062992125984"/>
  <pageSetup paperSize="9" orientation="portrait" cellComments="atEnd" r:id="rId1"/>
  <headerFooter>
    <oddFooter>&amp;C&amp;P/&amp;N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0000"/>
    <pageSetUpPr fitToPage="1"/>
  </sheetPr>
  <dimension ref="A1:Q57"/>
  <sheetViews>
    <sheetView zoomScale="85" zoomScaleNormal="85" zoomScaleSheetLayoutView="100" workbookViewId="0">
      <pane xSplit="5" ySplit="6" topLeftCell="F7" activePane="bottomRight" state="frozen"/>
      <selection activeCell="B19" sqref="B19"/>
      <selection pane="topRight" activeCell="B19" sqref="B19"/>
      <selection pane="bottomLeft" activeCell="B19" sqref="B19"/>
      <selection pane="bottomRight" activeCell="B19" sqref="B19"/>
    </sheetView>
  </sheetViews>
  <sheetFormatPr defaultColWidth="9.140625" defaultRowHeight="15.75" outlineLevelRow="1" outlineLevelCol="1"/>
  <cols>
    <col min="1" max="1" width="7.28515625" style="5" customWidth="1"/>
    <col min="2" max="2" width="44" style="5" customWidth="1"/>
    <col min="3" max="3" width="8.42578125" style="5" customWidth="1"/>
    <col min="4" max="4" width="12.42578125" style="5" hidden="1" customWidth="1" outlineLevel="1"/>
    <col min="5" max="5" width="11.5703125" style="5" customWidth="1" collapsed="1"/>
    <col min="6" max="6" width="10.7109375" style="5" customWidth="1"/>
    <col min="7" max="7" width="10.28515625" style="5" customWidth="1"/>
    <col min="8" max="8" width="10.140625" style="5" customWidth="1"/>
    <col min="9" max="9" width="9.7109375" style="5" customWidth="1"/>
    <col min="10" max="10" width="9.5703125" style="5" customWidth="1"/>
    <col min="11" max="11" width="9.140625" style="5" customWidth="1"/>
    <col min="12" max="12" width="9" style="5" customWidth="1"/>
    <col min="13" max="13" width="9.42578125" style="5" customWidth="1"/>
    <col min="14" max="14" width="10.140625" style="5" customWidth="1"/>
    <col min="15" max="15" width="9.7109375" style="5" customWidth="1"/>
    <col min="16" max="16" width="10" style="5" bestFit="1" customWidth="1"/>
    <col min="17" max="16384" width="9.140625" style="5"/>
  </cols>
  <sheetData>
    <row r="1" spans="1:17" outlineLevel="1">
      <c r="A1" s="852" t="s">
        <v>261</v>
      </c>
      <c r="B1" s="853"/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</row>
    <row r="2" spans="1:17" s="419" customFormat="1" ht="18.75" outlineLevel="1">
      <c r="A2" s="854" t="s">
        <v>847</v>
      </c>
      <c r="B2" s="768"/>
      <c r="C2" s="768"/>
      <c r="D2" s="768"/>
      <c r="E2" s="768"/>
      <c r="F2" s="768"/>
      <c r="G2" s="768"/>
      <c r="H2" s="768"/>
      <c r="I2" s="768"/>
      <c r="J2" s="768"/>
      <c r="K2" s="768"/>
      <c r="L2" s="768"/>
      <c r="M2" s="768"/>
      <c r="N2" s="768"/>
      <c r="O2" s="768"/>
    </row>
    <row r="3" spans="1:17" outlineLevel="1">
      <c r="A3" s="855" t="str">
        <f>'B01'!A3:E3</f>
        <v>(Kèm theo Quyết định số 569/QĐ-UBND, ngày 17/12/2018 của UBND huyện Đăk Tô)</v>
      </c>
      <c r="B3" s="856"/>
      <c r="C3" s="856"/>
      <c r="D3" s="856"/>
      <c r="E3" s="856"/>
      <c r="F3" s="856"/>
      <c r="G3" s="856"/>
      <c r="H3" s="856"/>
      <c r="I3" s="856"/>
      <c r="J3" s="856"/>
      <c r="K3" s="856"/>
      <c r="L3" s="856"/>
      <c r="M3" s="856"/>
      <c r="N3" s="856"/>
      <c r="O3" s="856"/>
    </row>
    <row r="4" spans="1:17" ht="15" customHeight="1" outlineLevel="1">
      <c r="B4" s="77"/>
      <c r="C4" s="77"/>
      <c r="D4" s="77"/>
      <c r="E4" s="77"/>
      <c r="F4" s="420"/>
      <c r="G4" s="420"/>
      <c r="H4" s="420"/>
      <c r="I4" s="420"/>
      <c r="J4" s="420"/>
      <c r="K4" s="420"/>
      <c r="L4" s="420"/>
      <c r="M4" s="420"/>
      <c r="N4" s="420"/>
    </row>
    <row r="5" spans="1:17" ht="15" customHeight="1">
      <c r="A5" s="771" t="s">
        <v>55</v>
      </c>
      <c r="B5" s="771" t="s">
        <v>69</v>
      </c>
      <c r="C5" s="772" t="s">
        <v>18</v>
      </c>
      <c r="D5" s="772" t="s">
        <v>843</v>
      </c>
      <c r="E5" s="772" t="s">
        <v>841</v>
      </c>
      <c r="F5" s="772" t="s">
        <v>262</v>
      </c>
      <c r="G5" s="771"/>
      <c r="H5" s="771"/>
      <c r="I5" s="771"/>
      <c r="J5" s="771"/>
      <c r="K5" s="771"/>
      <c r="L5" s="771"/>
      <c r="M5" s="771"/>
      <c r="N5" s="771"/>
      <c r="O5" s="772" t="s">
        <v>75</v>
      </c>
    </row>
    <row r="6" spans="1:17" ht="31.5">
      <c r="A6" s="771"/>
      <c r="B6" s="771"/>
      <c r="C6" s="771"/>
      <c r="D6" s="848"/>
      <c r="E6" s="848"/>
      <c r="F6" s="617" t="s">
        <v>215</v>
      </c>
      <c r="G6" s="617" t="s">
        <v>216</v>
      </c>
      <c r="H6" s="617" t="s">
        <v>263</v>
      </c>
      <c r="I6" s="617" t="s">
        <v>264</v>
      </c>
      <c r="J6" s="617" t="s">
        <v>219</v>
      </c>
      <c r="K6" s="617" t="s">
        <v>220</v>
      </c>
      <c r="L6" s="617" t="s">
        <v>221</v>
      </c>
      <c r="M6" s="617" t="s">
        <v>222</v>
      </c>
      <c r="N6" s="617" t="s">
        <v>223</v>
      </c>
      <c r="O6" s="771"/>
    </row>
    <row r="7" spans="1:17">
      <c r="A7" s="421" t="s">
        <v>40</v>
      </c>
      <c r="B7" s="422" t="s">
        <v>891</v>
      </c>
      <c r="C7" s="423"/>
      <c r="D7" s="423"/>
      <c r="E7" s="439"/>
      <c r="F7" s="424"/>
      <c r="G7" s="424"/>
      <c r="H7" s="424"/>
      <c r="I7" s="424"/>
      <c r="J7" s="424"/>
      <c r="K7" s="424"/>
      <c r="L7" s="424"/>
      <c r="M7" s="424"/>
      <c r="N7" s="424"/>
      <c r="O7" s="79"/>
    </row>
    <row r="8" spans="1:17" hidden="1" outlineLevel="1">
      <c r="A8" s="440" t="s">
        <v>420</v>
      </c>
      <c r="B8" s="441" t="s">
        <v>893</v>
      </c>
      <c r="C8" s="442" t="s">
        <v>62</v>
      </c>
      <c r="D8" s="443"/>
      <c r="E8" s="443">
        <f>SUM(F8:N8)</f>
        <v>11350</v>
      </c>
      <c r="F8" s="443">
        <v>1806</v>
      </c>
      <c r="G8" s="443">
        <v>715</v>
      </c>
      <c r="H8" s="443">
        <v>3345</v>
      </c>
      <c r="I8" s="443">
        <v>1632</v>
      </c>
      <c r="J8" s="443">
        <v>908</v>
      </c>
      <c r="K8" s="443">
        <v>626</v>
      </c>
      <c r="L8" s="443">
        <v>788</v>
      </c>
      <c r="M8" s="443">
        <v>940</v>
      </c>
      <c r="N8" s="443">
        <v>590</v>
      </c>
      <c r="O8" s="444"/>
    </row>
    <row r="9" spans="1:17" hidden="1" outlineLevel="1">
      <c r="A9" s="440" t="s">
        <v>421</v>
      </c>
      <c r="B9" s="441" t="s">
        <v>894</v>
      </c>
      <c r="C9" s="442" t="s">
        <v>33</v>
      </c>
      <c r="D9" s="443"/>
      <c r="E9" s="443"/>
      <c r="F9" s="445">
        <f>F8/F12*100</f>
        <v>25.788947593888334</v>
      </c>
      <c r="G9" s="445">
        <f t="shared" ref="G9:N9" si="0">G8/G12*100</f>
        <v>24.237288135593221</v>
      </c>
      <c r="H9" s="445">
        <f t="shared" si="0"/>
        <v>22.590666576619167</v>
      </c>
      <c r="I9" s="445">
        <f t="shared" si="0"/>
        <v>29.106474050294274</v>
      </c>
      <c r="J9" s="445">
        <f t="shared" si="0"/>
        <v>22.243998040176386</v>
      </c>
      <c r="K9" s="445">
        <f t="shared" si="0"/>
        <v>21.372482075793787</v>
      </c>
      <c r="L9" s="445">
        <f t="shared" si="0"/>
        <v>23.777911888955945</v>
      </c>
      <c r="M9" s="445">
        <f t="shared" si="0"/>
        <v>21.475896732922092</v>
      </c>
      <c r="N9" s="445">
        <f t="shared" si="0"/>
        <v>23.581135091926459</v>
      </c>
      <c r="O9" s="444"/>
    </row>
    <row r="10" spans="1:17" hidden="1" outlineLevel="1">
      <c r="A10" s="440" t="s">
        <v>422</v>
      </c>
      <c r="B10" s="441" t="s">
        <v>895</v>
      </c>
      <c r="C10" s="442" t="s">
        <v>62</v>
      </c>
      <c r="D10" s="443"/>
      <c r="E10" s="443">
        <f t="shared" ref="E10:E20" si="1">SUM(F10:N10)</f>
        <v>11648.669969308594</v>
      </c>
      <c r="F10" s="443">
        <f t="shared" ref="F10:N10" si="2">F22%*F9</f>
        <v>1846.7723261459373</v>
      </c>
      <c r="G10" s="443">
        <f t="shared" si="2"/>
        <v>733.41597627118654</v>
      </c>
      <c r="H10" s="443">
        <f t="shared" si="2"/>
        <v>3393.7687310056058</v>
      </c>
      <c r="I10" s="443">
        <f t="shared" si="2"/>
        <v>1671.258812199037</v>
      </c>
      <c r="J10" s="443">
        <f t="shared" si="2"/>
        <v>936.17424791768747</v>
      </c>
      <c r="K10" s="443">
        <f t="shared" si="2"/>
        <v>650.53560942301135</v>
      </c>
      <c r="L10" s="443">
        <f t="shared" si="2"/>
        <v>825.99282317441157</v>
      </c>
      <c r="M10" s="443">
        <f t="shared" si="2"/>
        <v>973.34261823166548</v>
      </c>
      <c r="N10" s="443">
        <f t="shared" si="2"/>
        <v>617.40882494004802</v>
      </c>
      <c r="O10" s="444"/>
      <c r="Q10" s="77"/>
    </row>
    <row r="11" spans="1:17" ht="18" customHeight="1" collapsed="1">
      <c r="A11" s="425">
        <v>1</v>
      </c>
      <c r="B11" s="35" t="s">
        <v>360</v>
      </c>
      <c r="C11" s="425" t="s">
        <v>62</v>
      </c>
      <c r="D11" s="59">
        <f>'6 tháng 2021'!J127</f>
        <v>11650</v>
      </c>
      <c r="E11" s="59">
        <f t="shared" si="1"/>
        <v>11650</v>
      </c>
      <c r="F11" s="59">
        <f>ROUND(F10,-1)</f>
        <v>1850</v>
      </c>
      <c r="G11" s="59">
        <f t="shared" ref="G11:N11" si="3">ROUND(G10,-1)</f>
        <v>730</v>
      </c>
      <c r="H11" s="59">
        <f t="shared" si="3"/>
        <v>3390</v>
      </c>
      <c r="I11" s="59">
        <f t="shared" si="3"/>
        <v>1670</v>
      </c>
      <c r="J11" s="59">
        <f t="shared" si="3"/>
        <v>940</v>
      </c>
      <c r="K11" s="59">
        <f t="shared" si="3"/>
        <v>650</v>
      </c>
      <c r="L11" s="59">
        <f t="shared" si="3"/>
        <v>830</v>
      </c>
      <c r="M11" s="59">
        <f t="shared" si="3"/>
        <v>970</v>
      </c>
      <c r="N11" s="59">
        <f t="shared" si="3"/>
        <v>620</v>
      </c>
      <c r="O11" s="13"/>
      <c r="P11" s="77"/>
      <c r="Q11" s="77"/>
    </row>
    <row r="12" spans="1:17" ht="18" customHeight="1">
      <c r="A12" s="425">
        <v>2</v>
      </c>
      <c r="B12" s="35" t="s">
        <v>892</v>
      </c>
      <c r="C12" s="425" t="s">
        <v>266</v>
      </c>
      <c r="D12" s="59">
        <f>'6 tháng 2021'!J128</f>
        <v>49394</v>
      </c>
      <c r="E12" s="59">
        <f t="shared" si="1"/>
        <v>47571</v>
      </c>
      <c r="F12" s="59">
        <v>7003</v>
      </c>
      <c r="G12" s="59">
        <v>2950</v>
      </c>
      <c r="H12" s="59">
        <v>14807</v>
      </c>
      <c r="I12" s="59">
        <v>5607</v>
      </c>
      <c r="J12" s="59">
        <v>4082</v>
      </c>
      <c r="K12" s="59">
        <v>2929</v>
      </c>
      <c r="L12" s="59">
        <v>3314</v>
      </c>
      <c r="M12" s="59">
        <v>4377</v>
      </c>
      <c r="N12" s="59">
        <v>2502</v>
      </c>
      <c r="O12" s="13"/>
      <c r="P12" s="77"/>
      <c r="Q12" s="77"/>
    </row>
    <row r="13" spans="1:17" hidden="1" outlineLevel="1">
      <c r="A13" s="446" t="s">
        <v>423</v>
      </c>
      <c r="B13" s="447" t="s">
        <v>416</v>
      </c>
      <c r="C13" s="448" t="s">
        <v>266</v>
      </c>
      <c r="D13" s="449"/>
      <c r="E13" s="449">
        <f>SUM(F13:N13)</f>
        <v>1295</v>
      </c>
      <c r="F13" s="449">
        <v>195</v>
      </c>
      <c r="G13" s="449">
        <v>85</v>
      </c>
      <c r="H13" s="449">
        <v>235</v>
      </c>
      <c r="I13" s="449">
        <v>142</v>
      </c>
      <c r="J13" s="449">
        <v>120</v>
      </c>
      <c r="K13" s="449">
        <v>111</v>
      </c>
      <c r="L13" s="449">
        <v>142</v>
      </c>
      <c r="M13" s="449">
        <v>155</v>
      </c>
      <c r="N13" s="449">
        <v>110</v>
      </c>
      <c r="O13" s="450"/>
      <c r="P13" s="77"/>
      <c r="Q13" s="77"/>
    </row>
    <row r="14" spans="1:17" hidden="1" outlineLevel="1">
      <c r="A14" s="446" t="s">
        <v>424</v>
      </c>
      <c r="B14" s="447" t="s">
        <v>417</v>
      </c>
      <c r="C14" s="448" t="s">
        <v>266</v>
      </c>
      <c r="D14" s="449"/>
      <c r="E14" s="449">
        <f>SUM(F14:N14)</f>
        <v>255</v>
      </c>
      <c r="F14" s="449">
        <v>38</v>
      </c>
      <c r="G14" s="449">
        <v>18</v>
      </c>
      <c r="H14" s="449">
        <v>75</v>
      </c>
      <c r="I14" s="449">
        <v>26</v>
      </c>
      <c r="J14" s="449">
        <v>19</v>
      </c>
      <c r="K14" s="449">
        <v>18</v>
      </c>
      <c r="L14" s="449">
        <v>22</v>
      </c>
      <c r="M14" s="449">
        <v>24</v>
      </c>
      <c r="N14" s="449">
        <v>15</v>
      </c>
      <c r="O14" s="450"/>
      <c r="P14" s="77"/>
      <c r="Q14" s="77"/>
    </row>
    <row r="15" spans="1:17" hidden="1" outlineLevel="1">
      <c r="A15" s="446" t="s">
        <v>901</v>
      </c>
      <c r="B15" s="447" t="s">
        <v>418</v>
      </c>
      <c r="C15" s="448" t="s">
        <v>266</v>
      </c>
      <c r="D15" s="449"/>
      <c r="E15" s="449">
        <f>SUM(F15:N15)</f>
        <v>305</v>
      </c>
      <c r="F15" s="449">
        <v>82</v>
      </c>
      <c r="G15" s="449">
        <v>20</v>
      </c>
      <c r="H15" s="449">
        <v>125</v>
      </c>
      <c r="I15" s="449">
        <v>15</v>
      </c>
      <c r="J15" s="449">
        <v>8</v>
      </c>
      <c r="K15" s="449">
        <v>28</v>
      </c>
      <c r="L15" s="449">
        <v>6</v>
      </c>
      <c r="M15" s="449">
        <v>13</v>
      </c>
      <c r="N15" s="449">
        <v>8</v>
      </c>
      <c r="O15" s="450"/>
      <c r="P15" s="77"/>
      <c r="Q15" s="77"/>
    </row>
    <row r="16" spans="1:17" hidden="1" outlineLevel="1">
      <c r="A16" s="446" t="s">
        <v>902</v>
      </c>
      <c r="B16" s="447" t="s">
        <v>419</v>
      </c>
      <c r="C16" s="448" t="s">
        <v>266</v>
      </c>
      <c r="D16" s="449"/>
      <c r="E16" s="449">
        <f>SUM(F16:N16)</f>
        <v>471</v>
      </c>
      <c r="F16" s="449">
        <v>75</v>
      </c>
      <c r="G16" s="449">
        <v>26</v>
      </c>
      <c r="H16" s="449">
        <v>165</v>
      </c>
      <c r="I16" s="449">
        <v>30</v>
      </c>
      <c r="J16" s="449">
        <v>30</v>
      </c>
      <c r="K16" s="449">
        <v>45</v>
      </c>
      <c r="L16" s="449">
        <v>41</v>
      </c>
      <c r="M16" s="449">
        <v>33</v>
      </c>
      <c r="N16" s="449">
        <v>26</v>
      </c>
      <c r="O16" s="450"/>
      <c r="P16" s="77"/>
      <c r="Q16" s="77"/>
    </row>
    <row r="17" spans="1:17" hidden="1" outlineLevel="1">
      <c r="A17" s="451" t="s">
        <v>903</v>
      </c>
      <c r="B17" s="441" t="s">
        <v>896</v>
      </c>
      <c r="C17" s="442"/>
      <c r="D17" s="443"/>
      <c r="E17" s="443">
        <f t="shared" si="1"/>
        <v>1307.9499999999998</v>
      </c>
      <c r="F17" s="443">
        <f>F13*1.01</f>
        <v>196.95</v>
      </c>
      <c r="G17" s="443">
        <f t="shared" ref="G17:N17" si="4">G13*1.01</f>
        <v>85.85</v>
      </c>
      <c r="H17" s="443">
        <f t="shared" si="4"/>
        <v>237.35</v>
      </c>
      <c r="I17" s="443">
        <f t="shared" si="4"/>
        <v>143.41999999999999</v>
      </c>
      <c r="J17" s="443">
        <f t="shared" si="4"/>
        <v>121.2</v>
      </c>
      <c r="K17" s="443">
        <f t="shared" si="4"/>
        <v>112.11</v>
      </c>
      <c r="L17" s="443">
        <f t="shared" si="4"/>
        <v>143.41999999999999</v>
      </c>
      <c r="M17" s="443">
        <f t="shared" si="4"/>
        <v>156.55000000000001</v>
      </c>
      <c r="N17" s="443">
        <f t="shared" si="4"/>
        <v>111.1</v>
      </c>
      <c r="O17" s="452"/>
      <c r="P17" s="77"/>
      <c r="Q17" s="77"/>
    </row>
    <row r="18" spans="1:17" hidden="1" outlineLevel="1">
      <c r="A18" s="451" t="s">
        <v>904</v>
      </c>
      <c r="B18" s="441" t="s">
        <v>897</v>
      </c>
      <c r="C18" s="442"/>
      <c r="D18" s="443"/>
      <c r="E18" s="443">
        <f t="shared" si="1"/>
        <v>255</v>
      </c>
      <c r="F18" s="443">
        <f>F14</f>
        <v>38</v>
      </c>
      <c r="G18" s="443">
        <f t="shared" ref="G18:N18" si="5">G14</f>
        <v>18</v>
      </c>
      <c r="H18" s="443">
        <f t="shared" si="5"/>
        <v>75</v>
      </c>
      <c r="I18" s="443">
        <f t="shared" si="5"/>
        <v>26</v>
      </c>
      <c r="J18" s="443">
        <f t="shared" si="5"/>
        <v>19</v>
      </c>
      <c r="K18" s="443">
        <f t="shared" si="5"/>
        <v>18</v>
      </c>
      <c r="L18" s="443">
        <f t="shared" si="5"/>
        <v>22</v>
      </c>
      <c r="M18" s="443">
        <f t="shared" si="5"/>
        <v>24</v>
      </c>
      <c r="N18" s="443">
        <f t="shared" si="5"/>
        <v>15</v>
      </c>
      <c r="O18" s="452"/>
      <c r="P18" s="77"/>
      <c r="Q18" s="77"/>
    </row>
    <row r="19" spans="1:17" hidden="1" outlineLevel="1">
      <c r="A19" s="451" t="s">
        <v>905</v>
      </c>
      <c r="B19" s="441" t="s">
        <v>898</v>
      </c>
      <c r="C19" s="442"/>
      <c r="D19" s="443"/>
      <c r="E19" s="443">
        <f t="shared" si="1"/>
        <v>305</v>
      </c>
      <c r="F19" s="443">
        <f>F15</f>
        <v>82</v>
      </c>
      <c r="G19" s="443">
        <f t="shared" ref="G19:N19" si="6">G15</f>
        <v>20</v>
      </c>
      <c r="H19" s="443">
        <f t="shared" si="6"/>
        <v>125</v>
      </c>
      <c r="I19" s="443">
        <f t="shared" si="6"/>
        <v>15</v>
      </c>
      <c r="J19" s="443">
        <f t="shared" si="6"/>
        <v>8</v>
      </c>
      <c r="K19" s="443">
        <f t="shared" si="6"/>
        <v>28</v>
      </c>
      <c r="L19" s="443">
        <f t="shared" si="6"/>
        <v>6</v>
      </c>
      <c r="M19" s="443">
        <f t="shared" si="6"/>
        <v>13</v>
      </c>
      <c r="N19" s="443">
        <f t="shared" si="6"/>
        <v>8</v>
      </c>
      <c r="O19" s="452"/>
      <c r="P19" s="77"/>
      <c r="Q19" s="77"/>
    </row>
    <row r="20" spans="1:17" hidden="1" outlineLevel="1">
      <c r="A20" s="451" t="s">
        <v>906</v>
      </c>
      <c r="B20" s="441" t="s">
        <v>899</v>
      </c>
      <c r="C20" s="442"/>
      <c r="D20" s="443"/>
      <c r="E20" s="443">
        <f t="shared" si="1"/>
        <v>509.62200000000001</v>
      </c>
      <c r="F20" s="443">
        <f>F16*1.082</f>
        <v>81.150000000000006</v>
      </c>
      <c r="G20" s="443">
        <f t="shared" ref="G20:N20" si="7">G16*1.082</f>
        <v>28.132000000000001</v>
      </c>
      <c r="H20" s="443">
        <f t="shared" si="7"/>
        <v>178.53</v>
      </c>
      <c r="I20" s="443">
        <f t="shared" si="7"/>
        <v>32.46</v>
      </c>
      <c r="J20" s="443">
        <f t="shared" si="7"/>
        <v>32.46</v>
      </c>
      <c r="K20" s="443">
        <f t="shared" si="7"/>
        <v>48.690000000000005</v>
      </c>
      <c r="L20" s="443">
        <f t="shared" si="7"/>
        <v>44.362000000000002</v>
      </c>
      <c r="M20" s="443">
        <f t="shared" si="7"/>
        <v>35.706000000000003</v>
      </c>
      <c r="N20" s="443">
        <f t="shared" si="7"/>
        <v>28.132000000000001</v>
      </c>
      <c r="O20" s="452"/>
      <c r="P20" s="77"/>
      <c r="Q20" s="77"/>
    </row>
    <row r="21" spans="1:17" hidden="1" outlineLevel="1">
      <c r="A21" s="451" t="s">
        <v>907</v>
      </c>
      <c r="B21" s="441" t="s">
        <v>900</v>
      </c>
      <c r="C21" s="442" t="s">
        <v>33</v>
      </c>
      <c r="D21" s="443"/>
      <c r="E21" s="453">
        <f t="shared" ref="E21:N21" si="8">(E17-E18)/E12*100</f>
        <v>2.2134283492043472</v>
      </c>
      <c r="F21" s="454">
        <f t="shared" si="8"/>
        <v>2.2697415393402824</v>
      </c>
      <c r="G21" s="454">
        <f t="shared" si="8"/>
        <v>2.2999999999999998</v>
      </c>
      <c r="H21" s="454">
        <f t="shared" si="8"/>
        <v>1.0964408725602754</v>
      </c>
      <c r="I21" s="454">
        <f t="shared" si="8"/>
        <v>2.0941680042803634</v>
      </c>
      <c r="J21" s="454">
        <f t="shared" si="8"/>
        <v>2.5036746692797647</v>
      </c>
      <c r="K21" s="454">
        <f t="shared" si="8"/>
        <v>3.2130419938545582</v>
      </c>
      <c r="L21" s="454">
        <f t="shared" si="8"/>
        <v>3.6638503319251656</v>
      </c>
      <c r="M21" s="454">
        <f t="shared" si="8"/>
        <v>3.028329906328536</v>
      </c>
      <c r="N21" s="454">
        <f t="shared" si="8"/>
        <v>3.8409272581934455</v>
      </c>
      <c r="O21" s="452"/>
      <c r="P21" s="77"/>
      <c r="Q21" s="77"/>
    </row>
    <row r="22" spans="1:17" ht="18" customHeight="1" collapsed="1">
      <c r="A22" s="425">
        <v>3</v>
      </c>
      <c r="B22" s="35" t="s">
        <v>132</v>
      </c>
      <c r="C22" s="425" t="s">
        <v>49</v>
      </c>
      <c r="D22" s="59">
        <f>'6 tháng 2021'!J129</f>
        <v>50606</v>
      </c>
      <c r="E22" s="59">
        <f>SUM(F22:N22)</f>
        <v>48828.572</v>
      </c>
      <c r="F22" s="59">
        <f t="shared" ref="F22:N22" si="9">F12+F17-F18-F19+F20</f>
        <v>7161.0999999999995</v>
      </c>
      <c r="G22" s="59">
        <f t="shared" si="9"/>
        <v>3025.982</v>
      </c>
      <c r="H22" s="59">
        <f t="shared" si="9"/>
        <v>15022.880000000001</v>
      </c>
      <c r="I22" s="59">
        <f t="shared" si="9"/>
        <v>5741.88</v>
      </c>
      <c r="J22" s="59">
        <f t="shared" si="9"/>
        <v>4208.66</v>
      </c>
      <c r="K22" s="59">
        <f t="shared" si="9"/>
        <v>3043.8</v>
      </c>
      <c r="L22" s="59">
        <f t="shared" si="9"/>
        <v>3473.7820000000002</v>
      </c>
      <c r="M22" s="59">
        <f t="shared" si="9"/>
        <v>4532.2560000000003</v>
      </c>
      <c r="N22" s="59">
        <f t="shared" si="9"/>
        <v>2618.232</v>
      </c>
      <c r="O22" s="13"/>
      <c r="P22" s="77"/>
      <c r="Q22" s="77"/>
    </row>
    <row r="23" spans="1:17" ht="18" customHeight="1">
      <c r="A23" s="425">
        <v>4</v>
      </c>
      <c r="B23" s="35" t="s">
        <v>133</v>
      </c>
      <c r="C23" s="425" t="s">
        <v>49</v>
      </c>
      <c r="D23" s="59">
        <f>'6 tháng 2021'!J130</f>
        <v>50000</v>
      </c>
      <c r="E23" s="59">
        <f t="shared" ref="E23:N23" si="10">(E12+E22)/2</f>
        <v>48199.786</v>
      </c>
      <c r="F23" s="59">
        <f t="shared" si="10"/>
        <v>7082.0499999999993</v>
      </c>
      <c r="G23" s="59">
        <f t="shared" si="10"/>
        <v>2987.991</v>
      </c>
      <c r="H23" s="59">
        <f t="shared" si="10"/>
        <v>14914.94</v>
      </c>
      <c r="I23" s="59">
        <f t="shared" si="10"/>
        <v>5674.4400000000005</v>
      </c>
      <c r="J23" s="59">
        <f t="shared" si="10"/>
        <v>4145.33</v>
      </c>
      <c r="K23" s="59">
        <f t="shared" si="10"/>
        <v>2986.4</v>
      </c>
      <c r="L23" s="59">
        <f t="shared" si="10"/>
        <v>3393.8910000000001</v>
      </c>
      <c r="M23" s="59">
        <f t="shared" si="10"/>
        <v>4454.6280000000006</v>
      </c>
      <c r="N23" s="59">
        <f t="shared" si="10"/>
        <v>2560.116</v>
      </c>
      <c r="O23" s="13"/>
      <c r="P23" s="77"/>
      <c r="Q23" s="77"/>
    </row>
    <row r="24" spans="1:17" ht="18" customHeight="1">
      <c r="A24" s="425">
        <v>5</v>
      </c>
      <c r="B24" s="35" t="s">
        <v>267</v>
      </c>
      <c r="C24" s="425" t="s">
        <v>33</v>
      </c>
      <c r="D24" s="74" t="str">
        <f>'6 tháng 2021'!J138</f>
        <v>&gt;3</v>
      </c>
      <c r="E24" s="55" t="str">
        <f>D24</f>
        <v>&gt;3</v>
      </c>
      <c r="F24" s="55">
        <v>1.1000000000000001</v>
      </c>
      <c r="G24" s="55">
        <v>5</v>
      </c>
      <c r="H24" s="55">
        <v>0.7</v>
      </c>
      <c r="I24" s="55">
        <v>1</v>
      </c>
      <c r="J24" s="55">
        <v>3</v>
      </c>
      <c r="K24" s="55">
        <v>7.5</v>
      </c>
      <c r="L24" s="55">
        <v>7.5</v>
      </c>
      <c r="M24" s="55">
        <v>7.5</v>
      </c>
      <c r="N24" s="55">
        <v>7.5</v>
      </c>
      <c r="O24" s="13"/>
      <c r="P24" s="77"/>
      <c r="Q24" s="77"/>
    </row>
    <row r="25" spans="1:17">
      <c r="A25" s="426" t="s">
        <v>43</v>
      </c>
      <c r="B25" s="23" t="s">
        <v>268</v>
      </c>
      <c r="C25" s="427"/>
      <c r="D25" s="455"/>
      <c r="E25" s="456"/>
      <c r="F25" s="457"/>
      <c r="G25" s="458"/>
      <c r="H25" s="457"/>
      <c r="I25" s="457"/>
      <c r="J25" s="457"/>
      <c r="K25" s="457"/>
      <c r="L25" s="457"/>
      <c r="M25" s="457"/>
      <c r="N25" s="457"/>
      <c r="O25" s="13"/>
      <c r="P25" s="77"/>
      <c r="Q25" s="77"/>
    </row>
    <row r="26" spans="1:17">
      <c r="A26" s="428">
        <v>1</v>
      </c>
      <c r="B26" s="30" t="s">
        <v>909</v>
      </c>
      <c r="C26" s="425" t="s">
        <v>191</v>
      </c>
      <c r="D26" s="459">
        <f t="shared" ref="D26:N26" si="11">D27+D32+D33+D35</f>
        <v>14805</v>
      </c>
      <c r="E26" s="57">
        <f>E27+E32+E33+E35</f>
        <v>15221.8</v>
      </c>
      <c r="F26" s="57">
        <f t="shared" si="11"/>
        <v>2055</v>
      </c>
      <c r="G26" s="57">
        <f t="shared" si="11"/>
        <v>1105</v>
      </c>
      <c r="H26" s="57">
        <f t="shared" si="11"/>
        <v>4747</v>
      </c>
      <c r="I26" s="57">
        <f t="shared" si="11"/>
        <v>1664.8</v>
      </c>
      <c r="J26" s="57">
        <f t="shared" si="11"/>
        <v>1310</v>
      </c>
      <c r="K26" s="57">
        <f t="shared" si="11"/>
        <v>945</v>
      </c>
      <c r="L26" s="57">
        <f t="shared" si="11"/>
        <v>1205</v>
      </c>
      <c r="M26" s="57">
        <f t="shared" si="11"/>
        <v>1310</v>
      </c>
      <c r="N26" s="57">
        <f t="shared" si="11"/>
        <v>880</v>
      </c>
      <c r="O26" s="13"/>
      <c r="P26" s="77"/>
      <c r="Q26" s="77"/>
    </row>
    <row r="27" spans="1:17" ht="17.25" customHeight="1">
      <c r="A27" s="425" t="s">
        <v>34</v>
      </c>
      <c r="B27" s="35" t="s">
        <v>269</v>
      </c>
      <c r="C27" s="425" t="s">
        <v>191</v>
      </c>
      <c r="D27" s="26">
        <f>D28+D30</f>
        <v>4423</v>
      </c>
      <c r="E27" s="59">
        <f>SUM(F27:N27)</f>
        <v>4570</v>
      </c>
      <c r="F27" s="26">
        <f>F28+F30</f>
        <v>660</v>
      </c>
      <c r="G27" s="26">
        <f t="shared" ref="G27:N27" si="12">G28+G30</f>
        <v>340</v>
      </c>
      <c r="H27" s="26">
        <f t="shared" si="12"/>
        <v>1260</v>
      </c>
      <c r="I27" s="26">
        <f t="shared" si="12"/>
        <v>590</v>
      </c>
      <c r="J27" s="26">
        <f t="shared" si="12"/>
        <v>425</v>
      </c>
      <c r="K27" s="26">
        <f t="shared" si="12"/>
        <v>335</v>
      </c>
      <c r="L27" s="26">
        <f t="shared" si="12"/>
        <v>385</v>
      </c>
      <c r="M27" s="26">
        <f t="shared" si="12"/>
        <v>290</v>
      </c>
      <c r="N27" s="26">
        <f t="shared" si="12"/>
        <v>285</v>
      </c>
      <c r="O27" s="13"/>
      <c r="P27" s="77"/>
      <c r="Q27" s="77"/>
    </row>
    <row r="28" spans="1:17" ht="17.25" customHeight="1">
      <c r="A28" s="425" t="s">
        <v>270</v>
      </c>
      <c r="B28" s="35" t="s">
        <v>189</v>
      </c>
      <c r="C28" s="425" t="s">
        <v>271</v>
      </c>
      <c r="D28" s="26">
        <f>'6 tháng 2021'!J143</f>
        <v>523</v>
      </c>
      <c r="E28" s="59">
        <f>SUM(F28:N28)</f>
        <v>520</v>
      </c>
      <c r="F28" s="59">
        <v>65</v>
      </c>
      <c r="G28" s="59">
        <v>30</v>
      </c>
      <c r="H28" s="59">
        <v>220</v>
      </c>
      <c r="I28" s="59">
        <v>75</v>
      </c>
      <c r="J28" s="59">
        <v>40</v>
      </c>
      <c r="K28" s="59">
        <v>35</v>
      </c>
      <c r="L28" s="59">
        <v>25</v>
      </c>
      <c r="M28" s="59">
        <v>30</v>
      </c>
      <c r="N28" s="59">
        <v>0</v>
      </c>
      <c r="O28" s="13"/>
      <c r="P28" s="77"/>
      <c r="Q28" s="77"/>
    </row>
    <row r="29" spans="1:17" s="42" customFormat="1" ht="17.25" customHeight="1">
      <c r="A29" s="429"/>
      <c r="B29" s="33" t="s">
        <v>437</v>
      </c>
      <c r="C29" s="429" t="s">
        <v>271</v>
      </c>
      <c r="D29" s="26">
        <f>'6 tháng 2021'!J144</f>
        <v>400</v>
      </c>
      <c r="E29" s="86">
        <f t="shared" ref="E29:E35" si="13">SUM(F29:N29)</f>
        <v>361</v>
      </c>
      <c r="F29" s="86">
        <v>45</v>
      </c>
      <c r="G29" s="86">
        <v>30</v>
      </c>
      <c r="H29" s="86">
        <f>120-4</f>
        <v>116</v>
      </c>
      <c r="I29" s="86">
        <v>55</v>
      </c>
      <c r="J29" s="86">
        <v>25</v>
      </c>
      <c r="K29" s="86">
        <v>35</v>
      </c>
      <c r="L29" s="86">
        <v>25</v>
      </c>
      <c r="M29" s="86">
        <v>30</v>
      </c>
      <c r="N29" s="86">
        <v>0</v>
      </c>
      <c r="O29" s="437"/>
      <c r="P29" s="77"/>
      <c r="Q29" s="77"/>
    </row>
    <row r="30" spans="1:17" ht="17.25" customHeight="1">
      <c r="A30" s="425" t="s">
        <v>270</v>
      </c>
      <c r="B30" s="35" t="s">
        <v>190</v>
      </c>
      <c r="C30" s="425" t="s">
        <v>271</v>
      </c>
      <c r="D30" s="26">
        <f>'6 tháng 2021'!J145</f>
        <v>3900</v>
      </c>
      <c r="E30" s="59">
        <f t="shared" si="13"/>
        <v>4050</v>
      </c>
      <c r="F30" s="59">
        <v>595</v>
      </c>
      <c r="G30" s="59">
        <v>310</v>
      </c>
      <c r="H30" s="59">
        <v>1040</v>
      </c>
      <c r="I30" s="59">
        <v>515</v>
      </c>
      <c r="J30" s="59">
        <v>385</v>
      </c>
      <c r="K30" s="59">
        <v>300</v>
      </c>
      <c r="L30" s="59">
        <v>360</v>
      </c>
      <c r="M30" s="59">
        <v>260</v>
      </c>
      <c r="N30" s="59">
        <v>285</v>
      </c>
      <c r="O30" s="13"/>
      <c r="P30" s="77"/>
      <c r="Q30" s="77"/>
    </row>
    <row r="31" spans="1:17" ht="17.25" customHeight="1">
      <c r="A31" s="425"/>
      <c r="B31" s="33" t="s">
        <v>437</v>
      </c>
      <c r="C31" s="425" t="s">
        <v>271</v>
      </c>
      <c r="D31" s="26">
        <f>'6 tháng 2021'!J146</f>
        <v>3900</v>
      </c>
      <c r="E31" s="86">
        <f t="shared" si="13"/>
        <v>4050</v>
      </c>
      <c r="F31" s="86">
        <v>595</v>
      </c>
      <c r="G31" s="86">
        <v>310</v>
      </c>
      <c r="H31" s="86">
        <v>1040</v>
      </c>
      <c r="I31" s="86">
        <v>515</v>
      </c>
      <c r="J31" s="86">
        <v>385</v>
      </c>
      <c r="K31" s="86">
        <v>300</v>
      </c>
      <c r="L31" s="86">
        <v>360</v>
      </c>
      <c r="M31" s="86">
        <v>260</v>
      </c>
      <c r="N31" s="86">
        <v>285</v>
      </c>
      <c r="O31" s="13"/>
      <c r="P31" s="77"/>
      <c r="Q31" s="77"/>
    </row>
    <row r="32" spans="1:17" s="430" customFormat="1" ht="17.25" customHeight="1">
      <c r="A32" s="425" t="s">
        <v>35</v>
      </c>
      <c r="B32" s="35" t="s">
        <v>272</v>
      </c>
      <c r="C32" s="425" t="s">
        <v>191</v>
      </c>
      <c r="D32" s="26">
        <f>'6 tháng 2021'!J147</f>
        <v>6492</v>
      </c>
      <c r="E32" s="59">
        <f t="shared" si="13"/>
        <v>6078.8</v>
      </c>
      <c r="F32" s="59">
        <v>855</v>
      </c>
      <c r="G32" s="59">
        <v>465</v>
      </c>
      <c r="H32" s="59">
        <v>1554</v>
      </c>
      <c r="I32" s="59">
        <v>674.8</v>
      </c>
      <c r="J32" s="59">
        <v>545</v>
      </c>
      <c r="K32" s="59">
        <v>405</v>
      </c>
      <c r="L32" s="59">
        <v>525</v>
      </c>
      <c r="M32" s="59">
        <v>655</v>
      </c>
      <c r="N32" s="59">
        <v>400</v>
      </c>
      <c r="O32" s="13"/>
      <c r="P32" s="77"/>
      <c r="Q32" s="77"/>
    </row>
    <row r="33" spans="1:17" ht="17.25" customHeight="1">
      <c r="A33" s="425" t="s">
        <v>36</v>
      </c>
      <c r="B33" s="35" t="s">
        <v>273</v>
      </c>
      <c r="C33" s="425" t="s">
        <v>191</v>
      </c>
      <c r="D33" s="26">
        <f>'6 tháng 2021'!J148</f>
        <v>3850</v>
      </c>
      <c r="E33" s="59">
        <f t="shared" si="13"/>
        <v>3653</v>
      </c>
      <c r="F33" s="59">
        <v>540</v>
      </c>
      <c r="G33" s="59">
        <v>300</v>
      </c>
      <c r="H33" s="59">
        <v>1013</v>
      </c>
      <c r="I33" s="59">
        <v>400</v>
      </c>
      <c r="J33" s="59">
        <v>340</v>
      </c>
      <c r="K33" s="59">
        <v>205</v>
      </c>
      <c r="L33" s="59">
        <v>295</v>
      </c>
      <c r="M33" s="59">
        <v>365</v>
      </c>
      <c r="N33" s="59">
        <v>195</v>
      </c>
      <c r="O33" s="13"/>
      <c r="P33" s="77"/>
      <c r="Q33" s="77"/>
    </row>
    <row r="34" spans="1:17" s="42" customFormat="1" ht="17.25" customHeight="1">
      <c r="A34" s="429"/>
      <c r="B34" s="33" t="s">
        <v>434</v>
      </c>
      <c r="C34" s="425" t="s">
        <v>191</v>
      </c>
      <c r="D34" s="26" t="e">
        <f>'6 tháng 2021'!#REF!</f>
        <v>#REF!</v>
      </c>
      <c r="E34" s="86">
        <f t="shared" si="13"/>
        <v>3593</v>
      </c>
      <c r="F34" s="86">
        <v>540</v>
      </c>
      <c r="G34" s="86">
        <v>300</v>
      </c>
      <c r="H34" s="86">
        <f>1013-60</f>
        <v>953</v>
      </c>
      <c r="I34" s="86">
        <v>400</v>
      </c>
      <c r="J34" s="86">
        <v>340</v>
      </c>
      <c r="K34" s="86">
        <v>205</v>
      </c>
      <c r="L34" s="86">
        <v>295</v>
      </c>
      <c r="M34" s="86">
        <v>365</v>
      </c>
      <c r="N34" s="86">
        <v>195</v>
      </c>
      <c r="O34" s="437"/>
      <c r="P34" s="77"/>
      <c r="Q34" s="77"/>
    </row>
    <row r="35" spans="1:17" ht="17.25" customHeight="1">
      <c r="A35" s="425" t="s">
        <v>53</v>
      </c>
      <c r="B35" s="20" t="s">
        <v>274</v>
      </c>
      <c r="C35" s="425" t="s">
        <v>191</v>
      </c>
      <c r="D35" s="26">
        <f>'6 tháng 2021'!J149</f>
        <v>40</v>
      </c>
      <c r="E35" s="59">
        <f t="shared" si="13"/>
        <v>920</v>
      </c>
      <c r="F35" s="59"/>
      <c r="G35" s="59"/>
      <c r="H35" s="59">
        <v>920</v>
      </c>
      <c r="I35" s="59"/>
      <c r="J35" s="59"/>
      <c r="K35" s="59"/>
      <c r="L35" s="59"/>
      <c r="M35" s="59"/>
      <c r="N35" s="59"/>
      <c r="O35" s="13"/>
      <c r="P35" s="77"/>
      <c r="Q35" s="77"/>
    </row>
    <row r="36" spans="1:17" ht="21.75" customHeight="1">
      <c r="A36" s="426" t="s">
        <v>176</v>
      </c>
      <c r="B36" s="23" t="s">
        <v>427</v>
      </c>
      <c r="C36" s="427"/>
      <c r="D36" s="455"/>
      <c r="E36" s="460"/>
      <c r="F36" s="59"/>
      <c r="G36" s="59"/>
      <c r="H36" s="59"/>
      <c r="I36" s="59"/>
      <c r="J36" s="59"/>
      <c r="K36" s="59"/>
      <c r="L36" s="59"/>
      <c r="M36" s="59"/>
      <c r="N36" s="59"/>
      <c r="O36" s="13"/>
      <c r="P36" s="77"/>
      <c r="Q36" s="77"/>
    </row>
    <row r="37" spans="1:17" ht="24" hidden="1" outlineLevel="1">
      <c r="A37" s="461"/>
      <c r="B37" s="462" t="s">
        <v>883</v>
      </c>
      <c r="C37" s="463" t="s">
        <v>426</v>
      </c>
      <c r="D37" s="464"/>
      <c r="E37" s="443">
        <f>SUM(F37:N37)</f>
        <v>57</v>
      </c>
      <c r="F37" s="443">
        <v>5</v>
      </c>
      <c r="G37" s="443">
        <v>5</v>
      </c>
      <c r="H37" s="443">
        <v>8</v>
      </c>
      <c r="I37" s="443">
        <v>8</v>
      </c>
      <c r="J37" s="443">
        <v>7</v>
      </c>
      <c r="K37" s="443">
        <v>6</v>
      </c>
      <c r="L37" s="443">
        <v>5</v>
      </c>
      <c r="M37" s="443">
        <v>8</v>
      </c>
      <c r="N37" s="443">
        <v>5</v>
      </c>
      <c r="O37" s="452"/>
      <c r="P37" s="77"/>
      <c r="Q37" s="77"/>
    </row>
    <row r="38" spans="1:17" ht="24" hidden="1" outlineLevel="1">
      <c r="A38" s="461"/>
      <c r="B38" s="465" t="s">
        <v>884</v>
      </c>
      <c r="C38" s="463" t="s">
        <v>426</v>
      </c>
      <c r="D38" s="464"/>
      <c r="E38" s="445">
        <f t="shared" ref="E38:N38" si="14">E37/E39%</f>
        <v>85.074626865671632</v>
      </c>
      <c r="F38" s="443">
        <f t="shared" si="14"/>
        <v>71.428571428571416</v>
      </c>
      <c r="G38" s="443">
        <f t="shared" si="14"/>
        <v>100</v>
      </c>
      <c r="H38" s="443">
        <f t="shared" si="14"/>
        <v>66.666666666666671</v>
      </c>
      <c r="I38" s="443">
        <f t="shared" si="14"/>
        <v>100</v>
      </c>
      <c r="J38" s="443">
        <f t="shared" si="14"/>
        <v>87.5</v>
      </c>
      <c r="K38" s="443">
        <f t="shared" si="14"/>
        <v>100</v>
      </c>
      <c r="L38" s="443">
        <f t="shared" si="14"/>
        <v>100</v>
      </c>
      <c r="M38" s="443">
        <f t="shared" si="14"/>
        <v>80</v>
      </c>
      <c r="N38" s="443">
        <f t="shared" si="14"/>
        <v>83.333333333333343</v>
      </c>
      <c r="O38" s="452"/>
      <c r="P38" s="77"/>
      <c r="Q38" s="77"/>
    </row>
    <row r="39" spans="1:17" ht="24" hidden="1" outlineLevel="1">
      <c r="A39" s="442"/>
      <c r="B39" s="441" t="s">
        <v>885</v>
      </c>
      <c r="C39" s="463" t="s">
        <v>426</v>
      </c>
      <c r="D39" s="452">
        <v>67</v>
      </c>
      <c r="E39" s="443">
        <f>SUM(F39:N39)</f>
        <v>67</v>
      </c>
      <c r="F39" s="443">
        <v>7</v>
      </c>
      <c r="G39" s="443">
        <v>5</v>
      </c>
      <c r="H39" s="443">
        <v>12</v>
      </c>
      <c r="I39" s="443">
        <v>8</v>
      </c>
      <c r="J39" s="443">
        <v>8</v>
      </c>
      <c r="K39" s="443">
        <v>6</v>
      </c>
      <c r="L39" s="443">
        <v>5</v>
      </c>
      <c r="M39" s="443">
        <v>10</v>
      </c>
      <c r="N39" s="443">
        <v>6</v>
      </c>
      <c r="O39" s="452"/>
      <c r="P39" s="77"/>
      <c r="Q39" s="77"/>
    </row>
    <row r="40" spans="1:17" ht="24" hidden="1" outlineLevel="1">
      <c r="A40" s="442"/>
      <c r="B40" s="462" t="s">
        <v>886</v>
      </c>
      <c r="C40" s="463" t="s">
        <v>426</v>
      </c>
      <c r="D40" s="452">
        <f>'6 tháng 2021'!J191</f>
        <v>61</v>
      </c>
      <c r="E40" s="443">
        <f>SUM(F40:N40)</f>
        <v>61</v>
      </c>
      <c r="F40" s="443">
        <v>6</v>
      </c>
      <c r="G40" s="443">
        <f>G37</f>
        <v>5</v>
      </c>
      <c r="H40" s="443">
        <v>10</v>
      </c>
      <c r="I40" s="443">
        <f>I37</f>
        <v>8</v>
      </c>
      <c r="J40" s="443">
        <f>J37</f>
        <v>7</v>
      </c>
      <c r="K40" s="443">
        <f>K37</f>
        <v>6</v>
      </c>
      <c r="L40" s="443">
        <v>5</v>
      </c>
      <c r="M40" s="443">
        <v>9</v>
      </c>
      <c r="N40" s="443">
        <f>N37</f>
        <v>5</v>
      </c>
      <c r="O40" s="452"/>
      <c r="P40" s="77"/>
      <c r="Q40" s="77"/>
    </row>
    <row r="41" spans="1:17" ht="20.25" customHeight="1" collapsed="1">
      <c r="A41" s="425">
        <v>1</v>
      </c>
      <c r="B41" s="466" t="s">
        <v>385</v>
      </c>
      <c r="C41" s="425" t="s">
        <v>33</v>
      </c>
      <c r="D41" s="59">
        <f>'6 tháng 2021'!J192</f>
        <v>100</v>
      </c>
      <c r="E41" s="59">
        <f t="shared" ref="E41:N41" si="15">(E40*100)/E39</f>
        <v>91.044776119402982</v>
      </c>
      <c r="F41" s="59">
        <f t="shared" si="15"/>
        <v>85.714285714285708</v>
      </c>
      <c r="G41" s="59">
        <f t="shared" si="15"/>
        <v>100</v>
      </c>
      <c r="H41" s="59">
        <f t="shared" si="15"/>
        <v>83.333333333333329</v>
      </c>
      <c r="I41" s="59">
        <f t="shared" si="15"/>
        <v>100</v>
      </c>
      <c r="J41" s="59">
        <f t="shared" si="15"/>
        <v>87.5</v>
      </c>
      <c r="K41" s="59">
        <f t="shared" si="15"/>
        <v>100</v>
      </c>
      <c r="L41" s="59">
        <f t="shared" si="15"/>
        <v>100</v>
      </c>
      <c r="M41" s="59">
        <f t="shared" si="15"/>
        <v>90</v>
      </c>
      <c r="N41" s="59">
        <f t="shared" si="15"/>
        <v>83.333333333333329</v>
      </c>
      <c r="O41" s="13"/>
      <c r="P41" s="77"/>
      <c r="Q41" s="77"/>
    </row>
    <row r="42" spans="1:17" s="42" customFormat="1" ht="20.25" hidden="1" customHeight="1" outlineLevel="1">
      <c r="A42" s="448"/>
      <c r="B42" s="447" t="s">
        <v>887</v>
      </c>
      <c r="C42" s="448" t="s">
        <v>33</v>
      </c>
      <c r="D42" s="449"/>
      <c r="E42" s="467">
        <v>86.2</v>
      </c>
      <c r="F42" s="467">
        <v>85.1</v>
      </c>
      <c r="G42" s="467">
        <v>80</v>
      </c>
      <c r="H42" s="467">
        <v>89.6</v>
      </c>
      <c r="I42" s="467">
        <v>91.2</v>
      </c>
      <c r="J42" s="467">
        <v>83.5</v>
      </c>
      <c r="K42" s="467">
        <v>93.2</v>
      </c>
      <c r="L42" s="467">
        <v>79</v>
      </c>
      <c r="M42" s="467">
        <v>87.8</v>
      </c>
      <c r="N42" s="467">
        <v>80.5</v>
      </c>
      <c r="O42" s="468"/>
      <c r="P42" s="77"/>
      <c r="Q42" s="77"/>
    </row>
    <row r="43" spans="1:17" s="42" customFormat="1" ht="20.25" hidden="1" customHeight="1" outlineLevel="1">
      <c r="A43" s="448"/>
      <c r="B43" s="447" t="s">
        <v>915</v>
      </c>
      <c r="C43" s="448" t="s">
        <v>265</v>
      </c>
      <c r="D43" s="449"/>
      <c r="E43" s="449">
        <f>SUM(F43:N43)</f>
        <v>11382</v>
      </c>
      <c r="F43" s="449">
        <v>1881</v>
      </c>
      <c r="G43" s="449">
        <v>760</v>
      </c>
      <c r="H43" s="449">
        <v>3265</v>
      </c>
      <c r="I43" s="449">
        <v>1606</v>
      </c>
      <c r="J43" s="449">
        <v>899</v>
      </c>
      <c r="K43" s="449">
        <v>650</v>
      </c>
      <c r="L43" s="449">
        <v>803</v>
      </c>
      <c r="M43" s="449">
        <v>930</v>
      </c>
      <c r="N43" s="449">
        <v>588</v>
      </c>
      <c r="O43" s="468"/>
      <c r="P43" s="77"/>
      <c r="Q43" s="77"/>
    </row>
    <row r="44" spans="1:17" ht="20.25" hidden="1" customHeight="1" outlineLevel="1">
      <c r="A44" s="448"/>
      <c r="B44" s="447" t="s">
        <v>888</v>
      </c>
      <c r="C44" s="448" t="s">
        <v>265</v>
      </c>
      <c r="D44" s="469"/>
      <c r="E44" s="449">
        <f>SUM(F44:N44)</f>
        <v>10991</v>
      </c>
      <c r="F44" s="449">
        <v>1617</v>
      </c>
      <c r="G44" s="449">
        <v>753</v>
      </c>
      <c r="H44" s="449">
        <v>3169</v>
      </c>
      <c r="I44" s="449">
        <v>1589</v>
      </c>
      <c r="J44" s="449">
        <v>899</v>
      </c>
      <c r="K44" s="449">
        <v>650</v>
      </c>
      <c r="L44" s="449">
        <v>803</v>
      </c>
      <c r="M44" s="449">
        <v>925</v>
      </c>
      <c r="N44" s="449">
        <v>586</v>
      </c>
      <c r="O44" s="468"/>
      <c r="P44" s="77"/>
      <c r="Q44" s="77"/>
    </row>
    <row r="45" spans="1:17" ht="20.25" hidden="1" customHeight="1" outlineLevel="1">
      <c r="A45" s="448"/>
      <c r="B45" s="447" t="s">
        <v>889</v>
      </c>
      <c r="C45" s="448" t="s">
        <v>265</v>
      </c>
      <c r="D45" s="469"/>
      <c r="E45" s="449">
        <f>SUM(F45:N45)</f>
        <v>10314.258551999999</v>
      </c>
      <c r="F45" s="449">
        <f>F43*F46%</f>
        <v>1671.1631639999998</v>
      </c>
      <c r="G45" s="449">
        <f t="shared" ref="G45:N45" si="16">G43*G46%</f>
        <v>634.75200000000007</v>
      </c>
      <c r="H45" s="449">
        <f t="shared" si="16"/>
        <v>3054.1593600000001</v>
      </c>
      <c r="I45" s="449">
        <f t="shared" si="16"/>
        <v>1529.1175679999999</v>
      </c>
      <c r="J45" s="449">
        <f t="shared" si="16"/>
        <v>783.6942600000001</v>
      </c>
      <c r="K45" s="449">
        <f t="shared" si="16"/>
        <v>632.4552000000001</v>
      </c>
      <c r="L45" s="449">
        <f t="shared" si="16"/>
        <v>662.2822799999999</v>
      </c>
      <c r="M45" s="449">
        <f t="shared" si="16"/>
        <v>852.46776</v>
      </c>
      <c r="N45" s="449">
        <f t="shared" si="16"/>
        <v>494.16696000000002</v>
      </c>
      <c r="O45" s="468"/>
      <c r="P45" s="77"/>
      <c r="Q45" s="77"/>
    </row>
    <row r="46" spans="1:17" ht="20.25" hidden="1" customHeight="1" outlineLevel="1">
      <c r="A46" s="448"/>
      <c r="B46" s="447" t="s">
        <v>890</v>
      </c>
      <c r="C46" s="448" t="s">
        <v>33</v>
      </c>
      <c r="D46" s="469"/>
      <c r="E46" s="467">
        <f>E42*104.5%</f>
        <v>90.078999999999994</v>
      </c>
      <c r="F46" s="467">
        <f>F42*104.4%</f>
        <v>88.844399999999993</v>
      </c>
      <c r="G46" s="467">
        <f t="shared" ref="G46:N46" si="17">G42*104.4%</f>
        <v>83.52000000000001</v>
      </c>
      <c r="H46" s="467">
        <f t="shared" si="17"/>
        <v>93.542400000000001</v>
      </c>
      <c r="I46" s="467">
        <f t="shared" si="17"/>
        <v>95.212800000000001</v>
      </c>
      <c r="J46" s="467">
        <f t="shared" si="17"/>
        <v>87.174000000000007</v>
      </c>
      <c r="K46" s="467">
        <f t="shared" si="17"/>
        <v>97.30080000000001</v>
      </c>
      <c r="L46" s="467">
        <f t="shared" si="17"/>
        <v>82.475999999999999</v>
      </c>
      <c r="M46" s="467">
        <f t="shared" si="17"/>
        <v>91.663200000000003</v>
      </c>
      <c r="N46" s="467">
        <f t="shared" si="17"/>
        <v>84.042000000000002</v>
      </c>
      <c r="O46" s="468"/>
      <c r="P46" s="77"/>
      <c r="Q46" s="77"/>
    </row>
    <row r="47" spans="1:17" ht="20.25" hidden="1" customHeight="1" outlineLevel="1">
      <c r="A47" s="448"/>
      <c r="B47" s="447" t="s">
        <v>279</v>
      </c>
      <c r="C47" s="448" t="s">
        <v>265</v>
      </c>
      <c r="D47" s="449"/>
      <c r="E47" s="449">
        <f>SUM(F47:N47)</f>
        <v>10290</v>
      </c>
      <c r="F47" s="449">
        <f>ROUND(F43*F46%,-1)</f>
        <v>1670</v>
      </c>
      <c r="G47" s="449">
        <f t="shared" ref="G47:N47" si="18">ROUND(G43*G46%,-1)</f>
        <v>630</v>
      </c>
      <c r="H47" s="449">
        <f t="shared" si="18"/>
        <v>3050</v>
      </c>
      <c r="I47" s="449">
        <f t="shared" si="18"/>
        <v>1530</v>
      </c>
      <c r="J47" s="449">
        <f t="shared" si="18"/>
        <v>780</v>
      </c>
      <c r="K47" s="449">
        <f t="shared" si="18"/>
        <v>630</v>
      </c>
      <c r="L47" s="449">
        <f t="shared" si="18"/>
        <v>660</v>
      </c>
      <c r="M47" s="449">
        <f t="shared" si="18"/>
        <v>850</v>
      </c>
      <c r="N47" s="449">
        <f t="shared" si="18"/>
        <v>490</v>
      </c>
      <c r="O47" s="468"/>
      <c r="P47" s="77"/>
      <c r="Q47" s="77"/>
    </row>
    <row r="48" spans="1:17" ht="20.25" customHeight="1" collapsed="1">
      <c r="A48" s="425">
        <v>2</v>
      </c>
      <c r="B48" s="35" t="s">
        <v>280</v>
      </c>
      <c r="C48" s="425" t="s">
        <v>33</v>
      </c>
      <c r="D48" s="26">
        <f>'6 tháng 2021'!J190</f>
        <v>90.3</v>
      </c>
      <c r="E48" s="26">
        <f>E47/E43%</f>
        <v>90.405904059040594</v>
      </c>
      <c r="F48" s="26">
        <f>F46</f>
        <v>88.844399999999993</v>
      </c>
      <c r="G48" s="26">
        <f t="shared" ref="G48:N48" si="19">G46</f>
        <v>83.52000000000001</v>
      </c>
      <c r="H48" s="26">
        <f t="shared" si="19"/>
        <v>93.542400000000001</v>
      </c>
      <c r="I48" s="26">
        <f t="shared" si="19"/>
        <v>95.212800000000001</v>
      </c>
      <c r="J48" s="26">
        <f t="shared" si="19"/>
        <v>87.174000000000007</v>
      </c>
      <c r="K48" s="26">
        <f t="shared" si="19"/>
        <v>97.30080000000001</v>
      </c>
      <c r="L48" s="26">
        <f t="shared" si="19"/>
        <v>82.475999999999999</v>
      </c>
      <c r="M48" s="26">
        <f t="shared" si="19"/>
        <v>91.663200000000003</v>
      </c>
      <c r="N48" s="26">
        <f t="shared" si="19"/>
        <v>84.042000000000002</v>
      </c>
      <c r="O48" s="25"/>
      <c r="P48" s="77"/>
      <c r="Q48" s="77"/>
    </row>
    <row r="49" spans="1:17" ht="10.5" customHeight="1">
      <c r="A49" s="433"/>
      <c r="B49" s="434"/>
      <c r="C49" s="435"/>
      <c r="D49" s="435"/>
      <c r="E49" s="470"/>
      <c r="F49" s="99"/>
      <c r="G49" s="436"/>
      <c r="H49" s="99"/>
      <c r="I49" s="436"/>
      <c r="J49" s="436"/>
      <c r="K49" s="436"/>
      <c r="L49" s="436"/>
      <c r="M49" s="436"/>
      <c r="N49" s="436"/>
      <c r="O49" s="436"/>
      <c r="Q49" s="77"/>
    </row>
    <row r="50" spans="1:17">
      <c r="E50" s="77"/>
      <c r="F50" s="471"/>
      <c r="G50" s="471"/>
      <c r="H50" s="471"/>
      <c r="I50" s="471"/>
      <c r="J50" s="471"/>
      <c r="K50" s="471"/>
      <c r="L50" s="471"/>
      <c r="M50" s="471"/>
      <c r="N50" s="471"/>
      <c r="Q50" s="77"/>
    </row>
    <row r="51" spans="1:17">
      <c r="E51" s="472"/>
      <c r="F51" s="473"/>
      <c r="G51" s="473"/>
      <c r="H51" s="473"/>
      <c r="I51" s="473"/>
      <c r="J51" s="473"/>
      <c r="K51" s="473"/>
      <c r="L51" s="473"/>
      <c r="M51" s="473"/>
      <c r="N51" s="473"/>
    </row>
    <row r="52" spans="1:17">
      <c r="E52" s="77"/>
      <c r="F52" s="77"/>
      <c r="G52" s="77"/>
      <c r="H52" s="77"/>
      <c r="I52" s="77"/>
      <c r="J52" s="77"/>
      <c r="K52" s="77"/>
      <c r="L52" s="77"/>
      <c r="M52" s="77"/>
      <c r="N52" s="77"/>
    </row>
    <row r="53" spans="1:17">
      <c r="E53" s="77"/>
    </row>
    <row r="54" spans="1:17">
      <c r="F54" s="77"/>
      <c r="G54" s="77"/>
      <c r="H54" s="77"/>
      <c r="I54" s="77"/>
      <c r="J54" s="77"/>
      <c r="K54" s="77"/>
      <c r="L54" s="77"/>
      <c r="M54" s="77"/>
      <c r="N54" s="77"/>
    </row>
    <row r="56" spans="1:17">
      <c r="F56" s="77"/>
      <c r="G56" s="77"/>
      <c r="H56" s="77"/>
      <c r="I56" s="77"/>
      <c r="J56" s="77"/>
      <c r="K56" s="77"/>
      <c r="L56" s="77"/>
      <c r="M56" s="77"/>
      <c r="N56" s="77"/>
    </row>
    <row r="57" spans="1:17">
      <c r="F57" s="77"/>
      <c r="G57" s="77"/>
      <c r="H57" s="77"/>
      <c r="I57" s="77"/>
      <c r="J57" s="77"/>
      <c r="K57" s="77"/>
      <c r="L57" s="77"/>
      <c r="M57" s="77"/>
      <c r="N57" s="77"/>
    </row>
  </sheetData>
  <mergeCells count="10">
    <mergeCell ref="A1:O1"/>
    <mergeCell ref="A2:O2"/>
    <mergeCell ref="A3:O3"/>
    <mergeCell ref="A5:A6"/>
    <mergeCell ref="B5:B6"/>
    <mergeCell ref="C5:C6"/>
    <mergeCell ref="D5:D6"/>
    <mergeCell ref="E5:E6"/>
    <mergeCell ref="F5:N5"/>
    <mergeCell ref="O5:O6"/>
  </mergeCells>
  <pageMargins left="0.47244094488188981" right="0.39370078740157483" top="0.86614173228346458" bottom="0.59055118110236227" header="0.31496062992125984" footer="0.31496062992125984"/>
  <pageSetup paperSize="9" scale="83" fitToHeight="0" orientation="landscape" r:id="rId1"/>
  <headerFooter>
    <oddFooter>&amp;C&amp;P/&amp;N</oddFooter>
  </headerFooter>
  <ignoredErrors>
    <ignoredError sqref="E21" formula="1"/>
  </ignoredError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FF0000"/>
  </sheetPr>
  <dimension ref="A1:G40"/>
  <sheetViews>
    <sheetView zoomScale="70" zoomScaleNormal="70" zoomScaleSheetLayoutView="85" workbookViewId="0">
      <selection activeCell="B19" sqref="B19"/>
    </sheetView>
  </sheetViews>
  <sheetFormatPr defaultColWidth="9.140625" defaultRowHeight="15.75"/>
  <cols>
    <col min="1" max="1" width="7.28515625" style="5" customWidth="1"/>
    <col min="2" max="2" width="38.28515625" style="5" customWidth="1"/>
    <col min="3" max="3" width="10.42578125" style="5" customWidth="1"/>
    <col min="4" max="4" width="13.140625" style="5" customWidth="1"/>
    <col min="5" max="5" width="20.85546875" style="5" customWidth="1"/>
    <col min="6" max="16384" width="9.140625" style="5"/>
  </cols>
  <sheetData>
    <row r="1" spans="1:7">
      <c r="A1" s="852" t="s">
        <v>261</v>
      </c>
      <c r="B1" s="853"/>
      <c r="C1" s="853"/>
      <c r="D1" s="853"/>
      <c r="E1" s="853"/>
    </row>
    <row r="2" spans="1:7" s="419" customFormat="1" ht="18.75">
      <c r="A2" s="854" t="s">
        <v>847</v>
      </c>
      <c r="B2" s="768"/>
      <c r="C2" s="768"/>
      <c r="D2" s="768"/>
      <c r="E2" s="768"/>
    </row>
    <row r="3" spans="1:7">
      <c r="A3" s="855" t="str">
        <f>'B01'!A3:E3</f>
        <v>(Kèm theo Quyết định số 569/QĐ-UBND, ngày 17/12/2018 của UBND huyện Đăk Tô)</v>
      </c>
      <c r="B3" s="856"/>
      <c r="C3" s="856"/>
      <c r="D3" s="856"/>
      <c r="E3" s="856"/>
    </row>
    <row r="4" spans="1:7">
      <c r="A4" s="857" t="s">
        <v>302</v>
      </c>
      <c r="B4" s="857"/>
      <c r="C4" s="857"/>
      <c r="D4" s="857"/>
      <c r="E4" s="857"/>
    </row>
    <row r="5" spans="1:7" ht="15" customHeight="1">
      <c r="B5" s="77"/>
      <c r="C5" s="77"/>
      <c r="D5" s="420"/>
    </row>
    <row r="6" spans="1:7" ht="15" customHeight="1">
      <c r="A6" s="771" t="s">
        <v>55</v>
      </c>
      <c r="B6" s="771" t="s">
        <v>69</v>
      </c>
      <c r="C6" s="772" t="s">
        <v>18</v>
      </c>
      <c r="D6" s="766" t="s">
        <v>841</v>
      </c>
      <c r="E6" s="772" t="s">
        <v>75</v>
      </c>
    </row>
    <row r="7" spans="1:7">
      <c r="A7" s="771"/>
      <c r="B7" s="771"/>
      <c r="C7" s="771"/>
      <c r="D7" s="767"/>
      <c r="E7" s="771"/>
    </row>
    <row r="8" spans="1:7">
      <c r="A8" s="421" t="s">
        <v>40</v>
      </c>
      <c r="B8" s="422" t="s">
        <v>891</v>
      </c>
      <c r="C8" s="423"/>
      <c r="D8" s="424"/>
      <c r="E8" s="79"/>
    </row>
    <row r="9" spans="1:7" ht="18.75" customHeight="1">
      <c r="A9" s="425">
        <v>1</v>
      </c>
      <c r="B9" s="35" t="s">
        <v>360</v>
      </c>
      <c r="C9" s="425" t="s">
        <v>62</v>
      </c>
      <c r="D9" s="59">
        <f>'B05'!F11</f>
        <v>1850</v>
      </c>
      <c r="E9" s="13"/>
      <c r="G9" s="77"/>
    </row>
    <row r="10" spans="1:7" ht="18.75" customHeight="1">
      <c r="A10" s="425">
        <v>2</v>
      </c>
      <c r="B10" s="35" t="s">
        <v>131</v>
      </c>
      <c r="C10" s="425" t="s">
        <v>266</v>
      </c>
      <c r="D10" s="59">
        <f>'B05'!F12</f>
        <v>7003</v>
      </c>
      <c r="E10" s="13"/>
      <c r="G10" s="77"/>
    </row>
    <row r="11" spans="1:7" ht="18.75" customHeight="1">
      <c r="A11" s="425">
        <v>3</v>
      </c>
      <c r="B11" s="35" t="s">
        <v>132</v>
      </c>
      <c r="C11" s="425" t="s">
        <v>49</v>
      </c>
      <c r="D11" s="59">
        <f>'B05'!F22</f>
        <v>7161.0999999999995</v>
      </c>
      <c r="E11" s="13"/>
      <c r="G11" s="77"/>
    </row>
    <row r="12" spans="1:7" ht="18.75" customHeight="1">
      <c r="A12" s="425">
        <v>4</v>
      </c>
      <c r="B12" s="35" t="s">
        <v>133</v>
      </c>
      <c r="C12" s="425" t="s">
        <v>49</v>
      </c>
      <c r="D12" s="59">
        <f>'B05'!F23</f>
        <v>7082.0499999999993</v>
      </c>
      <c r="E12" s="13"/>
      <c r="G12" s="77"/>
    </row>
    <row r="13" spans="1:7" ht="18.75" customHeight="1">
      <c r="A13" s="425">
        <v>5</v>
      </c>
      <c r="B13" s="35" t="s">
        <v>267</v>
      </c>
      <c r="C13" s="425" t="s">
        <v>33</v>
      </c>
      <c r="D13" s="80">
        <f>'B05'!F24</f>
        <v>1.1000000000000001</v>
      </c>
      <c r="E13" s="13"/>
      <c r="G13" s="77"/>
    </row>
    <row r="14" spans="1:7" ht="18" customHeight="1">
      <c r="A14" s="426" t="s">
        <v>43</v>
      </c>
      <c r="B14" s="23" t="s">
        <v>268</v>
      </c>
      <c r="C14" s="427"/>
      <c r="D14" s="59">
        <f>'B05'!F25</f>
        <v>0</v>
      </c>
      <c r="E14" s="13"/>
      <c r="G14" s="77"/>
    </row>
    <row r="15" spans="1:7" ht="18" customHeight="1">
      <c r="A15" s="428">
        <v>1</v>
      </c>
      <c r="B15" s="30" t="s">
        <v>909</v>
      </c>
      <c r="C15" s="425" t="s">
        <v>191</v>
      </c>
      <c r="D15" s="59">
        <f>'B05'!F26</f>
        <v>2055</v>
      </c>
      <c r="E15" s="13"/>
      <c r="G15" s="77"/>
    </row>
    <row r="16" spans="1:7" ht="18" customHeight="1">
      <c r="A16" s="425" t="s">
        <v>34</v>
      </c>
      <c r="B16" s="35" t="s">
        <v>269</v>
      </c>
      <c r="C16" s="425" t="s">
        <v>191</v>
      </c>
      <c r="D16" s="59">
        <f>'B05'!F27</f>
        <v>660</v>
      </c>
      <c r="E16" s="13"/>
      <c r="G16" s="77"/>
    </row>
    <row r="17" spans="1:7" ht="18" customHeight="1">
      <c r="A17" s="425" t="s">
        <v>270</v>
      </c>
      <c r="B17" s="35" t="s">
        <v>189</v>
      </c>
      <c r="C17" s="425" t="s">
        <v>271</v>
      </c>
      <c r="D17" s="59">
        <f>'B05'!F28</f>
        <v>65</v>
      </c>
      <c r="E17" s="13"/>
      <c r="G17" s="77"/>
    </row>
    <row r="18" spans="1:7" ht="18" customHeight="1">
      <c r="A18" s="429"/>
      <c r="B18" s="33" t="s">
        <v>433</v>
      </c>
      <c r="C18" s="429"/>
      <c r="D18" s="59">
        <f>'B05'!F29</f>
        <v>45</v>
      </c>
      <c r="E18" s="13"/>
      <c r="G18" s="77"/>
    </row>
    <row r="19" spans="1:7" ht="18" customHeight="1">
      <c r="A19" s="425" t="s">
        <v>270</v>
      </c>
      <c r="B19" s="35" t="s">
        <v>190</v>
      </c>
      <c r="C19" s="425" t="s">
        <v>271</v>
      </c>
      <c r="D19" s="59">
        <f>'B05'!F30</f>
        <v>595</v>
      </c>
      <c r="E19" s="13"/>
      <c r="G19" s="77"/>
    </row>
    <row r="20" spans="1:7" ht="18" customHeight="1">
      <c r="A20" s="425"/>
      <c r="B20" s="33" t="s">
        <v>433</v>
      </c>
      <c r="C20" s="425"/>
      <c r="D20" s="59">
        <f>'B05'!F31</f>
        <v>595</v>
      </c>
      <c r="E20" s="13"/>
      <c r="G20" s="77"/>
    </row>
    <row r="21" spans="1:7" s="430" customFormat="1" ht="18" customHeight="1">
      <c r="A21" s="425" t="s">
        <v>35</v>
      </c>
      <c r="B21" s="35" t="s">
        <v>272</v>
      </c>
      <c r="C21" s="425" t="s">
        <v>191</v>
      </c>
      <c r="D21" s="59">
        <f>'B05'!F32</f>
        <v>855</v>
      </c>
      <c r="E21" s="13"/>
      <c r="G21" s="77"/>
    </row>
    <row r="22" spans="1:7" ht="18" customHeight="1">
      <c r="A22" s="425" t="s">
        <v>36</v>
      </c>
      <c r="B22" s="35" t="s">
        <v>273</v>
      </c>
      <c r="C22" s="425" t="s">
        <v>191</v>
      </c>
      <c r="D22" s="59">
        <f>'B05'!F33</f>
        <v>540</v>
      </c>
      <c r="E22" s="13"/>
      <c r="G22" s="77"/>
    </row>
    <row r="23" spans="1:7" s="42" customFormat="1" ht="18" customHeight="1">
      <c r="A23" s="429"/>
      <c r="B23" s="33" t="s">
        <v>913</v>
      </c>
      <c r="C23" s="429" t="s">
        <v>191</v>
      </c>
      <c r="D23" s="86">
        <f>'B05'!F34</f>
        <v>540</v>
      </c>
      <c r="E23" s="437"/>
      <c r="G23" s="438"/>
    </row>
    <row r="24" spans="1:7" ht="18" customHeight="1">
      <c r="A24" s="425" t="s">
        <v>53</v>
      </c>
      <c r="B24" s="20" t="s">
        <v>274</v>
      </c>
      <c r="C24" s="425" t="s">
        <v>191</v>
      </c>
      <c r="D24" s="59">
        <f>'B05'!F35</f>
        <v>0</v>
      </c>
      <c r="E24" s="13"/>
      <c r="G24" s="77"/>
    </row>
    <row r="25" spans="1:7">
      <c r="A25" s="426" t="s">
        <v>176</v>
      </c>
      <c r="B25" s="23" t="s">
        <v>275</v>
      </c>
      <c r="C25" s="427"/>
      <c r="D25" s="59">
        <f>'B05'!F36</f>
        <v>0</v>
      </c>
      <c r="E25" s="13"/>
      <c r="G25" s="77"/>
    </row>
    <row r="26" spans="1:7" hidden="1">
      <c r="A26" s="425">
        <v>1</v>
      </c>
      <c r="B26" s="35" t="s">
        <v>276</v>
      </c>
      <c r="C26" s="425" t="s">
        <v>129</v>
      </c>
      <c r="D26" s="59">
        <f>'B05'!F39</f>
        <v>7</v>
      </c>
      <c r="E26" s="13"/>
      <c r="G26" s="77"/>
    </row>
    <row r="27" spans="1:7" ht="18" hidden="1" customHeight="1">
      <c r="A27" s="425">
        <v>1</v>
      </c>
      <c r="B27" s="20" t="s">
        <v>384</v>
      </c>
      <c r="C27" s="431" t="s">
        <v>277</v>
      </c>
      <c r="D27" s="59">
        <f>'B05'!F40</f>
        <v>6</v>
      </c>
      <c r="E27" s="13"/>
      <c r="G27" s="77"/>
    </row>
    <row r="28" spans="1:7" ht="18" customHeight="1">
      <c r="A28" s="425">
        <v>1</v>
      </c>
      <c r="B28" s="432" t="s">
        <v>385</v>
      </c>
      <c r="C28" s="425" t="s">
        <v>33</v>
      </c>
      <c r="D28" s="59">
        <f>'B05'!F41</f>
        <v>85.714285714285708</v>
      </c>
      <c r="E28" s="13"/>
      <c r="G28" s="77"/>
    </row>
    <row r="29" spans="1:7" ht="18" hidden="1" customHeight="1">
      <c r="A29" s="425">
        <v>3</v>
      </c>
      <c r="B29" s="35" t="s">
        <v>278</v>
      </c>
      <c r="C29" s="425" t="s">
        <v>265</v>
      </c>
      <c r="D29" s="59">
        <f>'B05'!F44</f>
        <v>1617</v>
      </c>
      <c r="E29" s="13"/>
      <c r="G29" s="77"/>
    </row>
    <row r="30" spans="1:7" ht="18" hidden="1" customHeight="1">
      <c r="A30" s="425">
        <v>2</v>
      </c>
      <c r="B30" s="35" t="s">
        <v>279</v>
      </c>
      <c r="C30" s="425" t="s">
        <v>265</v>
      </c>
      <c r="D30" s="59">
        <f>'B05'!F47</f>
        <v>1670</v>
      </c>
      <c r="E30" s="13"/>
      <c r="G30" s="77"/>
    </row>
    <row r="31" spans="1:7" ht="18" customHeight="1">
      <c r="A31" s="425">
        <v>2</v>
      </c>
      <c r="B31" s="35" t="s">
        <v>280</v>
      </c>
      <c r="C31" s="425" t="s">
        <v>33</v>
      </c>
      <c r="D31" s="59">
        <f>'B05'!F48</f>
        <v>88.844399999999993</v>
      </c>
      <c r="E31" s="25"/>
      <c r="G31" s="77"/>
    </row>
    <row r="32" spans="1:7" ht="9" customHeight="1">
      <c r="A32" s="433"/>
      <c r="B32" s="434"/>
      <c r="C32" s="435"/>
      <c r="D32" s="99"/>
      <c r="E32" s="436"/>
      <c r="G32" s="77"/>
    </row>
    <row r="33" spans="4:7">
      <c r="G33" s="77"/>
    </row>
    <row r="37" spans="4:7">
      <c r="D37" s="77"/>
    </row>
    <row r="39" spans="4:7">
      <c r="D39" s="77"/>
    </row>
    <row r="40" spans="4:7">
      <c r="D40" s="77"/>
    </row>
  </sheetData>
  <mergeCells count="9">
    <mergeCell ref="A4:E4"/>
    <mergeCell ref="A1:E1"/>
    <mergeCell ref="A2:E2"/>
    <mergeCell ref="A3:E3"/>
    <mergeCell ref="A6:A7"/>
    <mergeCell ref="B6:B7"/>
    <mergeCell ref="C6:C7"/>
    <mergeCell ref="D6:D7"/>
    <mergeCell ref="E6:E7"/>
  </mergeCells>
  <pageMargins left="0.70866141732283472" right="0.59055118110236227" top="0.59055118110236227" bottom="0.59055118110236227" header="0.31496062992125984" footer="0.31496062992125984"/>
  <pageSetup paperSize="9" orientation="portrait" r:id="rId1"/>
  <headerFooter>
    <oddFooter>&amp;C&amp;P/&amp;N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FF0000"/>
  </sheetPr>
  <dimension ref="A1:G40"/>
  <sheetViews>
    <sheetView zoomScale="70" zoomScaleNormal="70" zoomScaleSheetLayoutView="85" workbookViewId="0">
      <selection activeCell="B19" sqref="B19"/>
    </sheetView>
  </sheetViews>
  <sheetFormatPr defaultColWidth="9.140625" defaultRowHeight="15.75"/>
  <cols>
    <col min="1" max="1" width="7.28515625" style="5" customWidth="1"/>
    <col min="2" max="2" width="38.28515625" style="5" customWidth="1"/>
    <col min="3" max="3" width="10.42578125" style="5" customWidth="1"/>
    <col min="4" max="4" width="13.140625" style="5" customWidth="1"/>
    <col min="5" max="5" width="20.85546875" style="5" customWidth="1"/>
    <col min="6" max="16384" width="9.140625" style="5"/>
  </cols>
  <sheetData>
    <row r="1" spans="1:7">
      <c r="A1" s="852" t="s">
        <v>261</v>
      </c>
      <c r="B1" s="853"/>
      <c r="C1" s="853"/>
      <c r="D1" s="853"/>
      <c r="E1" s="853"/>
    </row>
    <row r="2" spans="1:7" s="419" customFormat="1" ht="18.75">
      <c r="A2" s="854" t="s">
        <v>847</v>
      </c>
      <c r="B2" s="768"/>
      <c r="C2" s="768"/>
      <c r="D2" s="768"/>
      <c r="E2" s="768"/>
    </row>
    <row r="3" spans="1:7">
      <c r="A3" s="855" t="str">
        <f>'B01'!A3:E3</f>
        <v>(Kèm theo Quyết định số 569/QĐ-UBND, ngày 17/12/2018 của UBND huyện Đăk Tô)</v>
      </c>
      <c r="B3" s="856"/>
      <c r="C3" s="856"/>
      <c r="D3" s="856"/>
      <c r="E3" s="856"/>
    </row>
    <row r="4" spans="1:7">
      <c r="A4" s="857" t="s">
        <v>303</v>
      </c>
      <c r="B4" s="857"/>
      <c r="C4" s="857"/>
      <c r="D4" s="857"/>
      <c r="E4" s="857"/>
    </row>
    <row r="5" spans="1:7" ht="15" customHeight="1">
      <c r="B5" s="77"/>
      <c r="C5" s="77"/>
      <c r="D5" s="420"/>
    </row>
    <row r="6" spans="1:7" ht="15" customHeight="1">
      <c r="A6" s="771" t="s">
        <v>55</v>
      </c>
      <c r="B6" s="771" t="s">
        <v>69</v>
      </c>
      <c r="C6" s="772" t="s">
        <v>18</v>
      </c>
      <c r="D6" s="766" t="s">
        <v>841</v>
      </c>
      <c r="E6" s="772" t="s">
        <v>75</v>
      </c>
    </row>
    <row r="7" spans="1:7">
      <c r="A7" s="771"/>
      <c r="B7" s="771"/>
      <c r="C7" s="771"/>
      <c r="D7" s="767"/>
      <c r="E7" s="771"/>
    </row>
    <row r="8" spans="1:7">
      <c r="A8" s="421" t="s">
        <v>40</v>
      </c>
      <c r="B8" s="422" t="s">
        <v>891</v>
      </c>
      <c r="C8" s="423"/>
      <c r="D8" s="424"/>
      <c r="E8" s="79"/>
    </row>
    <row r="9" spans="1:7" ht="18.75" customHeight="1">
      <c r="A9" s="425">
        <v>1</v>
      </c>
      <c r="B9" s="35" t="s">
        <v>360</v>
      </c>
      <c r="C9" s="425" t="s">
        <v>62</v>
      </c>
      <c r="D9" s="59">
        <f>'B05'!G11</f>
        <v>730</v>
      </c>
      <c r="E9" s="13"/>
      <c r="G9" s="77"/>
    </row>
    <row r="10" spans="1:7" ht="18.75" customHeight="1">
      <c r="A10" s="425">
        <v>2</v>
      </c>
      <c r="B10" s="35" t="s">
        <v>131</v>
      </c>
      <c r="C10" s="425" t="s">
        <v>266</v>
      </c>
      <c r="D10" s="59">
        <f>'B05'!G12</f>
        <v>2950</v>
      </c>
      <c r="E10" s="13"/>
      <c r="G10" s="77"/>
    </row>
    <row r="11" spans="1:7" ht="18.75" customHeight="1">
      <c r="A11" s="425">
        <v>3</v>
      </c>
      <c r="B11" s="35" t="s">
        <v>132</v>
      </c>
      <c r="C11" s="425" t="s">
        <v>49</v>
      </c>
      <c r="D11" s="59">
        <f>'B05'!G22</f>
        <v>3025.982</v>
      </c>
      <c r="E11" s="13"/>
      <c r="G11" s="77"/>
    </row>
    <row r="12" spans="1:7" ht="18.75" customHeight="1">
      <c r="A12" s="425">
        <v>4</v>
      </c>
      <c r="B12" s="35" t="s">
        <v>133</v>
      </c>
      <c r="C12" s="425" t="s">
        <v>49</v>
      </c>
      <c r="D12" s="59">
        <f>'B05'!G23</f>
        <v>2987.991</v>
      </c>
      <c r="E12" s="13"/>
      <c r="G12" s="77"/>
    </row>
    <row r="13" spans="1:7" ht="18.75" customHeight="1">
      <c r="A13" s="425">
        <v>5</v>
      </c>
      <c r="B13" s="35" t="s">
        <v>267</v>
      </c>
      <c r="C13" s="425" t="s">
        <v>33</v>
      </c>
      <c r="D13" s="80">
        <f>'B05'!G24</f>
        <v>5</v>
      </c>
      <c r="E13" s="13"/>
      <c r="G13" s="77"/>
    </row>
    <row r="14" spans="1:7" ht="18" customHeight="1">
      <c r="A14" s="426" t="s">
        <v>43</v>
      </c>
      <c r="B14" s="23" t="s">
        <v>268</v>
      </c>
      <c r="C14" s="427"/>
      <c r="D14" s="59">
        <f>'B05'!G25</f>
        <v>0</v>
      </c>
      <c r="E14" s="13"/>
      <c r="G14" s="77"/>
    </row>
    <row r="15" spans="1:7" ht="18" customHeight="1">
      <c r="A15" s="428">
        <v>1</v>
      </c>
      <c r="B15" s="30" t="s">
        <v>909</v>
      </c>
      <c r="C15" s="425" t="s">
        <v>191</v>
      </c>
      <c r="D15" s="59">
        <f>'B05'!G26</f>
        <v>1105</v>
      </c>
      <c r="E15" s="13"/>
      <c r="G15" s="77"/>
    </row>
    <row r="16" spans="1:7" ht="18" customHeight="1">
      <c r="A16" s="425" t="s">
        <v>34</v>
      </c>
      <c r="B16" s="35" t="s">
        <v>269</v>
      </c>
      <c r="C16" s="425" t="s">
        <v>191</v>
      </c>
      <c r="D16" s="59">
        <f>'B05'!G27</f>
        <v>340</v>
      </c>
      <c r="E16" s="13"/>
      <c r="G16" s="77"/>
    </row>
    <row r="17" spans="1:7" ht="18" customHeight="1">
      <c r="A17" s="429" t="s">
        <v>270</v>
      </c>
      <c r="B17" s="33" t="s">
        <v>189</v>
      </c>
      <c r="C17" s="429" t="s">
        <v>271</v>
      </c>
      <c r="D17" s="59">
        <f>'B05'!G28</f>
        <v>30</v>
      </c>
      <c r="E17" s="13"/>
      <c r="G17" s="77"/>
    </row>
    <row r="18" spans="1:7" ht="18" customHeight="1">
      <c r="A18" s="429"/>
      <c r="B18" s="33" t="s">
        <v>433</v>
      </c>
      <c r="C18" s="429"/>
      <c r="D18" s="59">
        <f>'B05'!G29</f>
        <v>30</v>
      </c>
      <c r="E18" s="13"/>
      <c r="G18" s="77"/>
    </row>
    <row r="19" spans="1:7" ht="18" customHeight="1">
      <c r="A19" s="429" t="s">
        <v>270</v>
      </c>
      <c r="B19" s="33" t="s">
        <v>190</v>
      </c>
      <c r="C19" s="429" t="s">
        <v>271</v>
      </c>
      <c r="D19" s="59">
        <f>'B05'!G30</f>
        <v>310</v>
      </c>
      <c r="E19" s="13"/>
      <c r="G19" s="77"/>
    </row>
    <row r="20" spans="1:7" ht="18" customHeight="1">
      <c r="A20" s="429"/>
      <c r="B20" s="33" t="s">
        <v>433</v>
      </c>
      <c r="C20" s="429"/>
      <c r="D20" s="59">
        <f>'B05'!G31</f>
        <v>310</v>
      </c>
      <c r="E20" s="13"/>
      <c r="G20" s="77"/>
    </row>
    <row r="21" spans="1:7" s="430" customFormat="1" ht="18" customHeight="1">
      <c r="A21" s="425" t="s">
        <v>35</v>
      </c>
      <c r="B21" s="35" t="s">
        <v>272</v>
      </c>
      <c r="C21" s="425" t="s">
        <v>191</v>
      </c>
      <c r="D21" s="59">
        <f>'B05'!G32</f>
        <v>465</v>
      </c>
      <c r="E21" s="13"/>
      <c r="G21" s="77"/>
    </row>
    <row r="22" spans="1:7" ht="18" customHeight="1">
      <c r="A22" s="425" t="s">
        <v>36</v>
      </c>
      <c r="B22" s="35" t="s">
        <v>273</v>
      </c>
      <c r="C22" s="425" t="s">
        <v>191</v>
      </c>
      <c r="D22" s="59">
        <f>'B05'!G33</f>
        <v>300</v>
      </c>
      <c r="E22" s="13"/>
      <c r="G22" s="77"/>
    </row>
    <row r="23" spans="1:7" ht="18" customHeight="1">
      <c r="A23" s="425"/>
      <c r="B23" s="33" t="s">
        <v>913</v>
      </c>
      <c r="C23" s="425" t="s">
        <v>191</v>
      </c>
      <c r="D23" s="59">
        <f>'B05'!G34</f>
        <v>300</v>
      </c>
      <c r="E23" s="13"/>
      <c r="G23" s="77"/>
    </row>
    <row r="24" spans="1:7" ht="18" customHeight="1">
      <c r="A24" s="425" t="s">
        <v>53</v>
      </c>
      <c r="B24" s="20" t="s">
        <v>274</v>
      </c>
      <c r="C24" s="425" t="s">
        <v>191</v>
      </c>
      <c r="D24" s="59">
        <f>'B05'!G35</f>
        <v>0</v>
      </c>
      <c r="E24" s="13"/>
      <c r="G24" s="77"/>
    </row>
    <row r="25" spans="1:7">
      <c r="A25" s="426" t="s">
        <v>176</v>
      </c>
      <c r="B25" s="23" t="s">
        <v>275</v>
      </c>
      <c r="C25" s="427"/>
      <c r="D25" s="59">
        <f>'B05'!G36</f>
        <v>0</v>
      </c>
      <c r="E25" s="13"/>
      <c r="G25" s="77"/>
    </row>
    <row r="26" spans="1:7" hidden="1">
      <c r="A26" s="425">
        <v>1</v>
      </c>
      <c r="B26" s="35" t="s">
        <v>276</v>
      </c>
      <c r="C26" s="425" t="s">
        <v>129</v>
      </c>
      <c r="D26" s="59">
        <f>'B05'!G39</f>
        <v>5</v>
      </c>
      <c r="E26" s="13"/>
      <c r="G26" s="77"/>
    </row>
    <row r="27" spans="1:7" ht="18" hidden="1" customHeight="1">
      <c r="A27" s="425">
        <v>1</v>
      </c>
      <c r="B27" s="20" t="s">
        <v>384</v>
      </c>
      <c r="C27" s="431" t="s">
        <v>277</v>
      </c>
      <c r="D27" s="59">
        <f>'B05'!G40</f>
        <v>5</v>
      </c>
      <c r="E27" s="13"/>
      <c r="G27" s="77"/>
    </row>
    <row r="28" spans="1:7" ht="18" customHeight="1">
      <c r="A28" s="425">
        <v>1</v>
      </c>
      <c r="B28" s="432" t="s">
        <v>385</v>
      </c>
      <c r="C28" s="425" t="s">
        <v>33</v>
      </c>
      <c r="D28" s="59">
        <f>'B05'!G41</f>
        <v>100</v>
      </c>
      <c r="E28" s="13"/>
      <c r="G28" s="77"/>
    </row>
    <row r="29" spans="1:7" ht="18" hidden="1" customHeight="1">
      <c r="A29" s="425">
        <v>3</v>
      </c>
      <c r="B29" s="35" t="s">
        <v>278</v>
      </c>
      <c r="C29" s="425" t="s">
        <v>265</v>
      </c>
      <c r="D29" s="59">
        <f>'B05'!G44</f>
        <v>753</v>
      </c>
      <c r="E29" s="13"/>
      <c r="G29" s="77"/>
    </row>
    <row r="30" spans="1:7" ht="18" hidden="1" customHeight="1">
      <c r="A30" s="425">
        <v>2</v>
      </c>
      <c r="B30" s="35" t="s">
        <v>279</v>
      </c>
      <c r="C30" s="425" t="s">
        <v>265</v>
      </c>
      <c r="D30" s="59">
        <f>'B05'!G47</f>
        <v>630</v>
      </c>
      <c r="E30" s="13"/>
      <c r="G30" s="77"/>
    </row>
    <row r="31" spans="1:7" ht="18" customHeight="1">
      <c r="A31" s="425">
        <v>2</v>
      </c>
      <c r="B31" s="35" t="s">
        <v>280</v>
      </c>
      <c r="C31" s="425" t="s">
        <v>33</v>
      </c>
      <c r="D31" s="59">
        <f>'B05'!G48</f>
        <v>83.52000000000001</v>
      </c>
      <c r="E31" s="25"/>
      <c r="G31" s="77"/>
    </row>
    <row r="32" spans="1:7" ht="9" customHeight="1">
      <c r="A32" s="433"/>
      <c r="B32" s="434"/>
      <c r="C32" s="435"/>
      <c r="D32" s="99"/>
      <c r="E32" s="436"/>
      <c r="G32" s="77"/>
    </row>
    <row r="33" spans="4:7">
      <c r="G33" s="77"/>
    </row>
    <row r="37" spans="4:7">
      <c r="D37" s="77"/>
    </row>
    <row r="39" spans="4:7">
      <c r="D39" s="77"/>
    </row>
    <row r="40" spans="4:7">
      <c r="D40" s="77"/>
    </row>
  </sheetData>
  <mergeCells count="9">
    <mergeCell ref="E6:E7"/>
    <mergeCell ref="A1:E1"/>
    <mergeCell ref="A2:E2"/>
    <mergeCell ref="A3:E3"/>
    <mergeCell ref="A4:E4"/>
    <mergeCell ref="A6:A7"/>
    <mergeCell ref="B6:B7"/>
    <mergeCell ref="C6:C7"/>
    <mergeCell ref="D6:D7"/>
  </mergeCells>
  <pageMargins left="0.70866141732283472" right="0.59055118110236227" top="0.59055118110236227" bottom="0.59055118110236227" header="0.31496062992125984" footer="0.31496062992125984"/>
  <pageSetup paperSize="9" orientation="portrait" r:id="rId1"/>
  <headerFooter>
    <oddFooter>&amp;C&amp;P/&amp;N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FF0000"/>
  </sheetPr>
  <dimension ref="A1:G40"/>
  <sheetViews>
    <sheetView zoomScale="70" zoomScaleNormal="70" zoomScaleSheetLayoutView="85" workbookViewId="0">
      <selection activeCell="B19" sqref="B19"/>
    </sheetView>
  </sheetViews>
  <sheetFormatPr defaultColWidth="9.140625" defaultRowHeight="15.75"/>
  <cols>
    <col min="1" max="1" width="7.28515625" style="5" customWidth="1"/>
    <col min="2" max="2" width="38.28515625" style="5" customWidth="1"/>
    <col min="3" max="3" width="10.42578125" style="5" customWidth="1"/>
    <col min="4" max="4" width="13.140625" style="5" customWidth="1"/>
    <col min="5" max="5" width="20.85546875" style="5" customWidth="1"/>
    <col min="6" max="16384" width="9.140625" style="5"/>
  </cols>
  <sheetData>
    <row r="1" spans="1:7">
      <c r="A1" s="852" t="s">
        <v>261</v>
      </c>
      <c r="B1" s="853"/>
      <c r="C1" s="853"/>
      <c r="D1" s="853"/>
      <c r="E1" s="853"/>
    </row>
    <row r="2" spans="1:7" s="419" customFormat="1" ht="18.75">
      <c r="A2" s="854" t="s">
        <v>847</v>
      </c>
      <c r="B2" s="768"/>
      <c r="C2" s="768"/>
      <c r="D2" s="768"/>
      <c r="E2" s="768"/>
    </row>
    <row r="3" spans="1:7">
      <c r="A3" s="855" t="str">
        <f>'B01'!A3:E3</f>
        <v>(Kèm theo Quyết định số 569/QĐ-UBND, ngày 17/12/2018 của UBND huyện Đăk Tô)</v>
      </c>
      <c r="B3" s="856"/>
      <c r="C3" s="856"/>
      <c r="D3" s="856"/>
      <c r="E3" s="856"/>
    </row>
    <row r="4" spans="1:7">
      <c r="A4" s="857" t="s">
        <v>386</v>
      </c>
      <c r="B4" s="857"/>
      <c r="C4" s="857"/>
      <c r="D4" s="857"/>
      <c r="E4" s="857"/>
    </row>
    <row r="5" spans="1:7" ht="15" customHeight="1">
      <c r="B5" s="77"/>
      <c r="C5" s="77"/>
      <c r="D5" s="420"/>
    </row>
    <row r="6" spans="1:7" ht="15" customHeight="1">
      <c r="A6" s="771" t="s">
        <v>55</v>
      </c>
      <c r="B6" s="771" t="s">
        <v>69</v>
      </c>
      <c r="C6" s="772" t="s">
        <v>18</v>
      </c>
      <c r="D6" s="766" t="s">
        <v>841</v>
      </c>
      <c r="E6" s="772" t="s">
        <v>75</v>
      </c>
    </row>
    <row r="7" spans="1:7">
      <c r="A7" s="771"/>
      <c r="B7" s="771"/>
      <c r="C7" s="771"/>
      <c r="D7" s="767"/>
      <c r="E7" s="771"/>
    </row>
    <row r="8" spans="1:7">
      <c r="A8" s="421" t="s">
        <v>40</v>
      </c>
      <c r="B8" s="422" t="s">
        <v>891</v>
      </c>
      <c r="C8" s="423"/>
      <c r="D8" s="424"/>
      <c r="E8" s="79"/>
    </row>
    <row r="9" spans="1:7" ht="18.75" customHeight="1">
      <c r="A9" s="425">
        <v>1</v>
      </c>
      <c r="B9" s="35" t="s">
        <v>360</v>
      </c>
      <c r="C9" s="425" t="s">
        <v>62</v>
      </c>
      <c r="D9" s="59">
        <f>'B05'!H11</f>
        <v>3390</v>
      </c>
      <c r="E9" s="13"/>
      <c r="G9" s="77"/>
    </row>
    <row r="10" spans="1:7" ht="18.75" customHeight="1">
      <c r="A10" s="425">
        <v>2</v>
      </c>
      <c r="B10" s="35" t="s">
        <v>131</v>
      </c>
      <c r="C10" s="425" t="s">
        <v>266</v>
      </c>
      <c r="D10" s="59">
        <f>'B05'!H12</f>
        <v>14807</v>
      </c>
      <c r="E10" s="13"/>
      <c r="G10" s="77"/>
    </row>
    <row r="11" spans="1:7" ht="18.75" customHeight="1">
      <c r="A11" s="425">
        <v>3</v>
      </c>
      <c r="B11" s="35" t="s">
        <v>132</v>
      </c>
      <c r="C11" s="425" t="s">
        <v>49</v>
      </c>
      <c r="D11" s="59">
        <f>'B05'!H22</f>
        <v>15022.880000000001</v>
      </c>
      <c r="E11" s="13"/>
      <c r="G11" s="77"/>
    </row>
    <row r="12" spans="1:7" ht="18.75" customHeight="1">
      <c r="A12" s="425">
        <v>4</v>
      </c>
      <c r="B12" s="35" t="s">
        <v>133</v>
      </c>
      <c r="C12" s="425" t="s">
        <v>49</v>
      </c>
      <c r="D12" s="59">
        <f>'B05'!H23</f>
        <v>14914.94</v>
      </c>
      <c r="E12" s="13"/>
      <c r="G12" s="77"/>
    </row>
    <row r="13" spans="1:7" ht="18.75" customHeight="1">
      <c r="A13" s="425">
        <v>5</v>
      </c>
      <c r="B13" s="35" t="s">
        <v>267</v>
      </c>
      <c r="C13" s="425" t="s">
        <v>33</v>
      </c>
      <c r="D13" s="80">
        <f>'B05'!H24</f>
        <v>0.7</v>
      </c>
      <c r="E13" s="13"/>
      <c r="G13" s="77"/>
    </row>
    <row r="14" spans="1:7" ht="18" customHeight="1">
      <c r="A14" s="426" t="s">
        <v>43</v>
      </c>
      <c r="B14" s="23" t="s">
        <v>268</v>
      </c>
      <c r="C14" s="427"/>
      <c r="D14" s="59">
        <f>'B05'!H25</f>
        <v>0</v>
      </c>
      <c r="E14" s="13"/>
      <c r="G14" s="77"/>
    </row>
    <row r="15" spans="1:7" ht="18" customHeight="1">
      <c r="A15" s="428">
        <v>1</v>
      </c>
      <c r="B15" s="30" t="s">
        <v>909</v>
      </c>
      <c r="C15" s="425" t="s">
        <v>191</v>
      </c>
      <c r="D15" s="59">
        <f>'B05'!H26</f>
        <v>4747</v>
      </c>
      <c r="E15" s="13"/>
      <c r="G15" s="77"/>
    </row>
    <row r="16" spans="1:7" ht="18" customHeight="1">
      <c r="A16" s="425" t="s">
        <v>34</v>
      </c>
      <c r="B16" s="35" t="s">
        <v>269</v>
      </c>
      <c r="C16" s="425" t="s">
        <v>191</v>
      </c>
      <c r="D16" s="59">
        <f>'B05'!H27</f>
        <v>1260</v>
      </c>
      <c r="E16" s="13"/>
      <c r="G16" s="77"/>
    </row>
    <row r="17" spans="1:7" ht="18" customHeight="1">
      <c r="A17" s="425" t="s">
        <v>270</v>
      </c>
      <c r="B17" s="35" t="s">
        <v>189</v>
      </c>
      <c r="C17" s="425" t="s">
        <v>271</v>
      </c>
      <c r="D17" s="59">
        <f>'B05'!H28</f>
        <v>220</v>
      </c>
      <c r="E17" s="13"/>
      <c r="G17" s="77"/>
    </row>
    <row r="18" spans="1:7" ht="18" customHeight="1">
      <c r="A18" s="429"/>
      <c r="B18" s="33" t="s">
        <v>433</v>
      </c>
      <c r="C18" s="429" t="s">
        <v>271</v>
      </c>
      <c r="D18" s="59">
        <f>'B05'!H29</f>
        <v>116</v>
      </c>
      <c r="E18" s="13"/>
      <c r="G18" s="77"/>
    </row>
    <row r="19" spans="1:7" ht="18" customHeight="1">
      <c r="A19" s="429" t="s">
        <v>270</v>
      </c>
      <c r="B19" s="33" t="s">
        <v>190</v>
      </c>
      <c r="C19" s="429" t="s">
        <v>271</v>
      </c>
      <c r="D19" s="59">
        <f>'B05'!H30</f>
        <v>1040</v>
      </c>
      <c r="E19" s="13"/>
      <c r="G19" s="77"/>
    </row>
    <row r="20" spans="1:7" ht="18" customHeight="1">
      <c r="A20" s="429"/>
      <c r="B20" s="33" t="s">
        <v>433</v>
      </c>
      <c r="C20" s="429"/>
      <c r="D20" s="59">
        <f>'B05'!H31</f>
        <v>1040</v>
      </c>
      <c r="E20" s="13"/>
      <c r="G20" s="77"/>
    </row>
    <row r="21" spans="1:7" s="430" customFormat="1" ht="18" customHeight="1">
      <c r="A21" s="425" t="s">
        <v>35</v>
      </c>
      <c r="B21" s="35" t="s">
        <v>272</v>
      </c>
      <c r="C21" s="425" t="s">
        <v>191</v>
      </c>
      <c r="D21" s="59">
        <f>'B05'!H32</f>
        <v>1554</v>
      </c>
      <c r="E21" s="13"/>
      <c r="G21" s="77"/>
    </row>
    <row r="22" spans="1:7" ht="18" customHeight="1">
      <c r="A22" s="425" t="s">
        <v>36</v>
      </c>
      <c r="B22" s="35" t="s">
        <v>273</v>
      </c>
      <c r="C22" s="425" t="s">
        <v>191</v>
      </c>
      <c r="D22" s="59">
        <f>'B05'!H33</f>
        <v>1013</v>
      </c>
      <c r="E22" s="13"/>
      <c r="G22" s="77"/>
    </row>
    <row r="23" spans="1:7" ht="18" customHeight="1">
      <c r="A23" s="425"/>
      <c r="B23" s="33" t="s">
        <v>913</v>
      </c>
      <c r="C23" s="425" t="s">
        <v>191</v>
      </c>
      <c r="D23" s="59">
        <f>'B05'!H34</f>
        <v>953</v>
      </c>
      <c r="E23" s="13"/>
      <c r="G23" s="77"/>
    </row>
    <row r="24" spans="1:7" ht="18" customHeight="1">
      <c r="A24" s="425" t="s">
        <v>53</v>
      </c>
      <c r="B24" s="20" t="s">
        <v>274</v>
      </c>
      <c r="C24" s="425" t="s">
        <v>191</v>
      </c>
      <c r="D24" s="59">
        <f>'B05'!H35</f>
        <v>920</v>
      </c>
      <c r="E24" s="13"/>
      <c r="G24" s="77"/>
    </row>
    <row r="25" spans="1:7">
      <c r="A25" s="426" t="s">
        <v>176</v>
      </c>
      <c r="B25" s="23" t="s">
        <v>275</v>
      </c>
      <c r="C25" s="427"/>
      <c r="D25" s="59">
        <f>'B05'!H36</f>
        <v>0</v>
      </c>
      <c r="E25" s="13"/>
      <c r="G25" s="77"/>
    </row>
    <row r="26" spans="1:7" hidden="1">
      <c r="A26" s="425">
        <v>1</v>
      </c>
      <c r="B26" s="35" t="s">
        <v>276</v>
      </c>
      <c r="C26" s="425" t="s">
        <v>129</v>
      </c>
      <c r="D26" s="59">
        <f>'B05'!H39</f>
        <v>12</v>
      </c>
      <c r="E26" s="13"/>
      <c r="G26" s="77"/>
    </row>
    <row r="27" spans="1:7" ht="18" hidden="1" customHeight="1">
      <c r="A27" s="425">
        <v>1</v>
      </c>
      <c r="B27" s="20" t="s">
        <v>384</v>
      </c>
      <c r="C27" s="431" t="s">
        <v>277</v>
      </c>
      <c r="D27" s="59">
        <f>'B05'!H40</f>
        <v>10</v>
      </c>
      <c r="E27" s="13"/>
      <c r="G27" s="77"/>
    </row>
    <row r="28" spans="1:7" ht="18" customHeight="1">
      <c r="A28" s="425">
        <v>1</v>
      </c>
      <c r="B28" s="432" t="s">
        <v>385</v>
      </c>
      <c r="C28" s="425" t="s">
        <v>33</v>
      </c>
      <c r="D28" s="59">
        <f>'B05'!H41</f>
        <v>83.333333333333329</v>
      </c>
      <c r="E28" s="13"/>
      <c r="G28" s="77"/>
    </row>
    <row r="29" spans="1:7" ht="18" hidden="1" customHeight="1">
      <c r="A29" s="425">
        <v>3</v>
      </c>
      <c r="B29" s="35" t="s">
        <v>278</v>
      </c>
      <c r="C29" s="425" t="s">
        <v>265</v>
      </c>
      <c r="D29" s="59">
        <f>'B05'!H44</f>
        <v>3169</v>
      </c>
      <c r="E29" s="13"/>
      <c r="G29" s="77"/>
    </row>
    <row r="30" spans="1:7" ht="18" hidden="1" customHeight="1">
      <c r="A30" s="425">
        <v>2</v>
      </c>
      <c r="B30" s="35" t="s">
        <v>279</v>
      </c>
      <c r="C30" s="425" t="s">
        <v>265</v>
      </c>
      <c r="D30" s="59">
        <f>'B05'!H47</f>
        <v>3050</v>
      </c>
      <c r="E30" s="13"/>
      <c r="G30" s="77"/>
    </row>
    <row r="31" spans="1:7" ht="18" customHeight="1">
      <c r="A31" s="425">
        <v>2</v>
      </c>
      <c r="B31" s="35" t="s">
        <v>280</v>
      </c>
      <c r="C31" s="425" t="s">
        <v>33</v>
      </c>
      <c r="D31" s="59">
        <f>'B05'!H48</f>
        <v>93.542400000000001</v>
      </c>
      <c r="E31" s="25"/>
      <c r="G31" s="77"/>
    </row>
    <row r="32" spans="1:7" ht="9" customHeight="1">
      <c r="A32" s="433"/>
      <c r="B32" s="434"/>
      <c r="C32" s="435"/>
      <c r="D32" s="99"/>
      <c r="E32" s="436"/>
      <c r="G32" s="77"/>
    </row>
    <row r="33" spans="4:7">
      <c r="G33" s="77"/>
    </row>
    <row r="37" spans="4:7">
      <c r="D37" s="77"/>
    </row>
    <row r="39" spans="4:7">
      <c r="D39" s="77"/>
    </row>
    <row r="40" spans="4:7">
      <c r="D40" s="77"/>
    </row>
  </sheetData>
  <mergeCells count="9">
    <mergeCell ref="E6:E7"/>
    <mergeCell ref="A1:E1"/>
    <mergeCell ref="A2:E2"/>
    <mergeCell ref="A3:E3"/>
    <mergeCell ref="A4:E4"/>
    <mergeCell ref="A6:A7"/>
    <mergeCell ref="B6:B7"/>
    <mergeCell ref="C6:C7"/>
    <mergeCell ref="D6:D7"/>
  </mergeCells>
  <pageMargins left="0.70866141732283472" right="0.59055118110236227" top="0.59055118110236227" bottom="0.59055118110236227" header="0.31496062992125984" footer="0.31496062992125984"/>
  <pageSetup paperSize="9" orientation="portrait" r:id="rId1"/>
  <headerFooter>
    <oddFooter>&amp;C&amp;P/&amp;N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FF0000"/>
  </sheetPr>
  <dimension ref="A1:G40"/>
  <sheetViews>
    <sheetView zoomScale="70" zoomScaleNormal="70" zoomScaleSheetLayoutView="85" workbookViewId="0">
      <selection activeCell="B19" sqref="B19"/>
    </sheetView>
  </sheetViews>
  <sheetFormatPr defaultColWidth="9.140625" defaultRowHeight="15.75"/>
  <cols>
    <col min="1" max="1" width="7.28515625" style="5" customWidth="1"/>
    <col min="2" max="2" width="38.28515625" style="5" customWidth="1"/>
    <col min="3" max="3" width="10.42578125" style="5" customWidth="1"/>
    <col min="4" max="4" width="13.140625" style="5" customWidth="1"/>
    <col min="5" max="5" width="20.85546875" style="5" customWidth="1"/>
    <col min="6" max="16384" width="9.140625" style="5"/>
  </cols>
  <sheetData>
    <row r="1" spans="1:7">
      <c r="A1" s="852" t="s">
        <v>261</v>
      </c>
      <c r="B1" s="853"/>
      <c r="C1" s="853"/>
      <c r="D1" s="853"/>
      <c r="E1" s="853"/>
    </row>
    <row r="2" spans="1:7" s="419" customFormat="1" ht="18.75">
      <c r="A2" s="854" t="s">
        <v>847</v>
      </c>
      <c r="B2" s="768"/>
      <c r="C2" s="768"/>
      <c r="D2" s="768"/>
      <c r="E2" s="768"/>
    </row>
    <row r="3" spans="1:7">
      <c r="A3" s="855" t="str">
        <f>'B01'!A3:E3</f>
        <v>(Kèm theo Quyết định số 569/QĐ-UBND, ngày 17/12/2018 của UBND huyện Đăk Tô)</v>
      </c>
      <c r="B3" s="856"/>
      <c r="C3" s="856"/>
      <c r="D3" s="856"/>
      <c r="E3" s="856"/>
    </row>
    <row r="4" spans="1:7">
      <c r="A4" s="857" t="s">
        <v>305</v>
      </c>
      <c r="B4" s="857"/>
      <c r="C4" s="857"/>
      <c r="D4" s="857"/>
      <c r="E4" s="857"/>
    </row>
    <row r="5" spans="1:7" ht="15" customHeight="1">
      <c r="B5" s="77"/>
      <c r="C5" s="77"/>
      <c r="D5" s="420"/>
    </row>
    <row r="6" spans="1:7" ht="15" customHeight="1">
      <c r="A6" s="771" t="s">
        <v>55</v>
      </c>
      <c r="B6" s="771" t="s">
        <v>69</v>
      </c>
      <c r="C6" s="772" t="s">
        <v>18</v>
      </c>
      <c r="D6" s="766" t="s">
        <v>841</v>
      </c>
      <c r="E6" s="772" t="s">
        <v>75</v>
      </c>
    </row>
    <row r="7" spans="1:7">
      <c r="A7" s="771"/>
      <c r="B7" s="771"/>
      <c r="C7" s="771"/>
      <c r="D7" s="767"/>
      <c r="E7" s="771"/>
    </row>
    <row r="8" spans="1:7">
      <c r="A8" s="421" t="s">
        <v>40</v>
      </c>
      <c r="B8" s="422" t="s">
        <v>891</v>
      </c>
      <c r="C8" s="423"/>
      <c r="D8" s="424"/>
      <c r="E8" s="79"/>
    </row>
    <row r="9" spans="1:7" ht="18.75" customHeight="1">
      <c r="A9" s="425">
        <v>1</v>
      </c>
      <c r="B9" s="35" t="s">
        <v>360</v>
      </c>
      <c r="C9" s="425" t="s">
        <v>62</v>
      </c>
      <c r="D9" s="59">
        <f>'B05'!I11</f>
        <v>1670</v>
      </c>
      <c r="E9" s="13"/>
      <c r="G9" s="77"/>
    </row>
    <row r="10" spans="1:7" ht="18.75" customHeight="1">
      <c r="A10" s="425">
        <v>2</v>
      </c>
      <c r="B10" s="35" t="s">
        <v>131</v>
      </c>
      <c r="C10" s="425" t="s">
        <v>266</v>
      </c>
      <c r="D10" s="59">
        <f>'B05'!I12</f>
        <v>5607</v>
      </c>
      <c r="E10" s="13"/>
      <c r="G10" s="77"/>
    </row>
    <row r="11" spans="1:7" ht="18.75" customHeight="1">
      <c r="A11" s="425">
        <v>3</v>
      </c>
      <c r="B11" s="35" t="s">
        <v>132</v>
      </c>
      <c r="C11" s="425" t="s">
        <v>49</v>
      </c>
      <c r="D11" s="59">
        <f>'B05'!I22</f>
        <v>5741.88</v>
      </c>
      <c r="E11" s="13"/>
      <c r="G11" s="77"/>
    </row>
    <row r="12" spans="1:7" ht="18.75" customHeight="1">
      <c r="A12" s="425">
        <v>4</v>
      </c>
      <c r="B12" s="35" t="s">
        <v>133</v>
      </c>
      <c r="C12" s="425" t="s">
        <v>49</v>
      </c>
      <c r="D12" s="59">
        <f>'B05'!I23</f>
        <v>5674.4400000000005</v>
      </c>
      <c r="E12" s="13"/>
      <c r="G12" s="77"/>
    </row>
    <row r="13" spans="1:7" ht="18.75" customHeight="1">
      <c r="A13" s="425">
        <v>5</v>
      </c>
      <c r="B13" s="35" t="s">
        <v>267</v>
      </c>
      <c r="C13" s="425" t="s">
        <v>33</v>
      </c>
      <c r="D13" s="80">
        <f>'B05'!I24</f>
        <v>1</v>
      </c>
      <c r="E13" s="13"/>
      <c r="G13" s="77"/>
    </row>
    <row r="14" spans="1:7" ht="18" customHeight="1">
      <c r="A14" s="426" t="s">
        <v>43</v>
      </c>
      <c r="B14" s="23" t="s">
        <v>268</v>
      </c>
      <c r="C14" s="427"/>
      <c r="D14" s="59">
        <f>'B05'!I25</f>
        <v>0</v>
      </c>
      <c r="E14" s="13"/>
      <c r="G14" s="77"/>
    </row>
    <row r="15" spans="1:7" ht="18" customHeight="1">
      <c r="A15" s="428">
        <v>1</v>
      </c>
      <c r="B15" s="30" t="s">
        <v>909</v>
      </c>
      <c r="C15" s="425" t="s">
        <v>191</v>
      </c>
      <c r="D15" s="59">
        <f>'B05'!I26</f>
        <v>1664.8</v>
      </c>
      <c r="E15" s="13"/>
      <c r="G15" s="77"/>
    </row>
    <row r="16" spans="1:7" ht="18" customHeight="1">
      <c r="A16" s="425" t="s">
        <v>34</v>
      </c>
      <c r="B16" s="35" t="s">
        <v>269</v>
      </c>
      <c r="C16" s="425" t="s">
        <v>191</v>
      </c>
      <c r="D16" s="59">
        <f>'B05'!I27</f>
        <v>590</v>
      </c>
      <c r="E16" s="13"/>
      <c r="G16" s="77"/>
    </row>
    <row r="17" spans="1:7" ht="18" customHeight="1">
      <c r="A17" s="425" t="s">
        <v>270</v>
      </c>
      <c r="B17" s="35" t="s">
        <v>189</v>
      </c>
      <c r="C17" s="425" t="s">
        <v>271</v>
      </c>
      <c r="D17" s="59">
        <f>'B05'!I28</f>
        <v>75</v>
      </c>
      <c r="E17" s="13"/>
      <c r="G17" s="77"/>
    </row>
    <row r="18" spans="1:7" ht="18" customHeight="1">
      <c r="A18" s="429"/>
      <c r="B18" s="33" t="s">
        <v>433</v>
      </c>
      <c r="C18" s="429" t="s">
        <v>271</v>
      </c>
      <c r="D18" s="59">
        <f>'B05'!I29</f>
        <v>55</v>
      </c>
      <c r="E18" s="13"/>
      <c r="G18" s="77"/>
    </row>
    <row r="19" spans="1:7" ht="18" customHeight="1">
      <c r="A19" s="425" t="s">
        <v>270</v>
      </c>
      <c r="B19" s="35" t="s">
        <v>190</v>
      </c>
      <c r="C19" s="425" t="s">
        <v>271</v>
      </c>
      <c r="D19" s="59">
        <f>'B05'!I30</f>
        <v>515</v>
      </c>
      <c r="E19" s="13"/>
      <c r="G19" s="77"/>
    </row>
    <row r="20" spans="1:7" ht="18" customHeight="1">
      <c r="A20" s="425"/>
      <c r="B20" s="33" t="s">
        <v>433</v>
      </c>
      <c r="C20" s="425"/>
      <c r="D20" s="59">
        <f>'B05'!I31</f>
        <v>515</v>
      </c>
      <c r="E20" s="13"/>
      <c r="G20" s="77"/>
    </row>
    <row r="21" spans="1:7" s="430" customFormat="1" ht="18" customHeight="1">
      <c r="A21" s="425" t="s">
        <v>35</v>
      </c>
      <c r="B21" s="35" t="s">
        <v>272</v>
      </c>
      <c r="C21" s="425" t="s">
        <v>191</v>
      </c>
      <c r="D21" s="59">
        <f>'B05'!I32</f>
        <v>674.8</v>
      </c>
      <c r="E21" s="13"/>
      <c r="G21" s="77"/>
    </row>
    <row r="22" spans="1:7" ht="18" customHeight="1">
      <c r="A22" s="425" t="s">
        <v>36</v>
      </c>
      <c r="B22" s="35" t="s">
        <v>273</v>
      </c>
      <c r="C22" s="425" t="s">
        <v>191</v>
      </c>
      <c r="D22" s="59">
        <f>'B05'!I33</f>
        <v>400</v>
      </c>
      <c r="E22" s="13"/>
      <c r="G22" s="77"/>
    </row>
    <row r="23" spans="1:7" ht="18" customHeight="1">
      <c r="A23" s="425"/>
      <c r="B23" s="33" t="s">
        <v>913</v>
      </c>
      <c r="C23" s="425" t="s">
        <v>191</v>
      </c>
      <c r="D23" s="59">
        <f>'B05'!I34</f>
        <v>400</v>
      </c>
      <c r="E23" s="13"/>
      <c r="G23" s="77"/>
    </row>
    <row r="24" spans="1:7" ht="18" customHeight="1">
      <c r="A24" s="425" t="s">
        <v>53</v>
      </c>
      <c r="B24" s="20" t="s">
        <v>274</v>
      </c>
      <c r="C24" s="425" t="s">
        <v>191</v>
      </c>
      <c r="D24" s="59">
        <f>'B05'!I35</f>
        <v>0</v>
      </c>
      <c r="E24" s="13"/>
      <c r="G24" s="77"/>
    </row>
    <row r="25" spans="1:7">
      <c r="A25" s="426" t="s">
        <v>176</v>
      </c>
      <c r="B25" s="23" t="s">
        <v>275</v>
      </c>
      <c r="C25" s="427"/>
      <c r="D25" s="59">
        <f>'B05'!I36</f>
        <v>0</v>
      </c>
      <c r="E25" s="13"/>
      <c r="G25" s="77"/>
    </row>
    <row r="26" spans="1:7" hidden="1">
      <c r="A26" s="425">
        <v>1</v>
      </c>
      <c r="B26" s="35" t="s">
        <v>276</v>
      </c>
      <c r="C26" s="425" t="s">
        <v>129</v>
      </c>
      <c r="D26" s="59">
        <f>'B05'!I39</f>
        <v>8</v>
      </c>
      <c r="E26" s="13"/>
      <c r="G26" s="77"/>
    </row>
    <row r="27" spans="1:7" ht="18" hidden="1" customHeight="1">
      <c r="A27" s="425">
        <v>1</v>
      </c>
      <c r="B27" s="20" t="s">
        <v>384</v>
      </c>
      <c r="C27" s="431" t="s">
        <v>277</v>
      </c>
      <c r="D27" s="59">
        <f>'B05'!I40</f>
        <v>8</v>
      </c>
      <c r="E27" s="13"/>
      <c r="G27" s="77"/>
    </row>
    <row r="28" spans="1:7" ht="18" customHeight="1">
      <c r="A28" s="425">
        <v>1</v>
      </c>
      <c r="B28" s="432" t="s">
        <v>385</v>
      </c>
      <c r="C28" s="425" t="s">
        <v>33</v>
      </c>
      <c r="D28" s="59">
        <f>'B05'!I41</f>
        <v>100</v>
      </c>
      <c r="E28" s="13"/>
      <c r="G28" s="77"/>
    </row>
    <row r="29" spans="1:7" ht="18" hidden="1" customHeight="1">
      <c r="A29" s="425">
        <v>3</v>
      </c>
      <c r="B29" s="35" t="s">
        <v>278</v>
      </c>
      <c r="C29" s="425" t="s">
        <v>265</v>
      </c>
      <c r="D29" s="59">
        <f>'B05'!I44</f>
        <v>1589</v>
      </c>
      <c r="E29" s="13"/>
      <c r="G29" s="77"/>
    </row>
    <row r="30" spans="1:7" ht="18" hidden="1" customHeight="1">
      <c r="A30" s="425">
        <v>2</v>
      </c>
      <c r="B30" s="35" t="s">
        <v>279</v>
      </c>
      <c r="C30" s="425" t="s">
        <v>265</v>
      </c>
      <c r="D30" s="59">
        <f>'B05'!I47</f>
        <v>1530</v>
      </c>
      <c r="E30" s="13"/>
      <c r="G30" s="77"/>
    </row>
    <row r="31" spans="1:7" ht="18" customHeight="1">
      <c r="A31" s="425">
        <v>2</v>
      </c>
      <c r="B31" s="35" t="s">
        <v>280</v>
      </c>
      <c r="C31" s="425" t="s">
        <v>33</v>
      </c>
      <c r="D31" s="59">
        <f>'B05'!I48</f>
        <v>95.212800000000001</v>
      </c>
      <c r="E31" s="25"/>
      <c r="G31" s="77"/>
    </row>
    <row r="32" spans="1:7" ht="9" customHeight="1">
      <c r="A32" s="433"/>
      <c r="B32" s="434"/>
      <c r="C32" s="435"/>
      <c r="D32" s="99"/>
      <c r="E32" s="436"/>
      <c r="G32" s="77"/>
    </row>
    <row r="33" spans="4:7">
      <c r="G33" s="77"/>
    </row>
    <row r="37" spans="4:7">
      <c r="D37" s="77"/>
    </row>
    <row r="39" spans="4:7">
      <c r="D39" s="77"/>
    </row>
    <row r="40" spans="4:7">
      <c r="D40" s="77"/>
    </row>
  </sheetData>
  <mergeCells count="9">
    <mergeCell ref="E6:E7"/>
    <mergeCell ref="D6:D7"/>
    <mergeCell ref="A1:E1"/>
    <mergeCell ref="A2:E2"/>
    <mergeCell ref="A3:E3"/>
    <mergeCell ref="A4:E4"/>
    <mergeCell ref="A6:A7"/>
    <mergeCell ref="B6:B7"/>
    <mergeCell ref="C6:C7"/>
  </mergeCells>
  <pageMargins left="0.70866141732283472" right="0.59055118110236227" top="0.59055118110236227" bottom="0.59055118110236227" header="0.31496062992125984" footer="0.31496062992125984"/>
  <pageSetup paperSize="9" orientation="portrait" r:id="rId1"/>
  <headerFooter>
    <oddFooter>&amp;C&amp;P/&amp;N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FF0000"/>
  </sheetPr>
  <dimension ref="A1:G40"/>
  <sheetViews>
    <sheetView topLeftCell="A2" zoomScale="70" zoomScaleNormal="70" zoomScaleSheetLayoutView="85" workbookViewId="0">
      <selection activeCell="B19" sqref="B19"/>
    </sheetView>
  </sheetViews>
  <sheetFormatPr defaultColWidth="9.140625" defaultRowHeight="15.75"/>
  <cols>
    <col min="1" max="1" width="7.28515625" style="5" customWidth="1"/>
    <col min="2" max="2" width="38.28515625" style="5" customWidth="1"/>
    <col min="3" max="3" width="10.42578125" style="5" customWidth="1"/>
    <col min="4" max="4" width="13.140625" style="5" customWidth="1"/>
    <col min="5" max="5" width="20.85546875" style="5" customWidth="1"/>
    <col min="6" max="16384" width="9.140625" style="5"/>
  </cols>
  <sheetData>
    <row r="1" spans="1:7">
      <c r="A1" s="852" t="s">
        <v>261</v>
      </c>
      <c r="B1" s="853"/>
      <c r="C1" s="853"/>
      <c r="D1" s="853"/>
      <c r="E1" s="853"/>
    </row>
    <row r="2" spans="1:7" s="419" customFormat="1" ht="18.75">
      <c r="A2" s="854" t="s">
        <v>847</v>
      </c>
      <c r="B2" s="768"/>
      <c r="C2" s="768"/>
      <c r="D2" s="768"/>
      <c r="E2" s="768"/>
    </row>
    <row r="3" spans="1:7">
      <c r="A3" s="855" t="str">
        <f>'B01'!A3:E3</f>
        <v>(Kèm theo Quyết định số 569/QĐ-UBND, ngày 17/12/2018 của UBND huyện Đăk Tô)</v>
      </c>
      <c r="B3" s="856"/>
      <c r="C3" s="856"/>
      <c r="D3" s="856"/>
      <c r="E3" s="856"/>
    </row>
    <row r="4" spans="1:7">
      <c r="A4" s="857" t="s">
        <v>306</v>
      </c>
      <c r="B4" s="857"/>
      <c r="C4" s="857"/>
      <c r="D4" s="857"/>
      <c r="E4" s="857"/>
    </row>
    <row r="5" spans="1:7" ht="15" customHeight="1">
      <c r="B5" s="77"/>
      <c r="C5" s="77"/>
      <c r="D5" s="420"/>
    </row>
    <row r="6" spans="1:7" ht="15" customHeight="1">
      <c r="A6" s="771" t="s">
        <v>55</v>
      </c>
      <c r="B6" s="771" t="s">
        <v>69</v>
      </c>
      <c r="C6" s="772" t="s">
        <v>18</v>
      </c>
      <c r="D6" s="766" t="s">
        <v>841</v>
      </c>
      <c r="E6" s="772" t="s">
        <v>75</v>
      </c>
    </row>
    <row r="7" spans="1:7">
      <c r="A7" s="771"/>
      <c r="B7" s="771"/>
      <c r="C7" s="771"/>
      <c r="D7" s="767"/>
      <c r="E7" s="771"/>
    </row>
    <row r="8" spans="1:7">
      <c r="A8" s="421" t="s">
        <v>40</v>
      </c>
      <c r="B8" s="422" t="s">
        <v>891</v>
      </c>
      <c r="C8" s="423"/>
      <c r="D8" s="424"/>
      <c r="E8" s="79"/>
    </row>
    <row r="9" spans="1:7" ht="18.75" customHeight="1">
      <c r="A9" s="425">
        <v>1</v>
      </c>
      <c r="B9" s="35" t="s">
        <v>360</v>
      </c>
      <c r="C9" s="425" t="s">
        <v>62</v>
      </c>
      <c r="D9" s="59">
        <f>'B05'!J11</f>
        <v>940</v>
      </c>
      <c r="E9" s="13"/>
      <c r="G9" s="77"/>
    </row>
    <row r="10" spans="1:7" ht="18.75" customHeight="1">
      <c r="A10" s="425">
        <v>2</v>
      </c>
      <c r="B10" s="35" t="s">
        <v>131</v>
      </c>
      <c r="C10" s="425" t="s">
        <v>266</v>
      </c>
      <c r="D10" s="59">
        <f>'B05'!J12</f>
        <v>4082</v>
      </c>
      <c r="E10" s="13"/>
      <c r="G10" s="77"/>
    </row>
    <row r="11" spans="1:7" ht="18.75" customHeight="1">
      <c r="A11" s="425">
        <v>3</v>
      </c>
      <c r="B11" s="35" t="s">
        <v>132</v>
      </c>
      <c r="C11" s="425" t="s">
        <v>49</v>
      </c>
      <c r="D11" s="59">
        <f>'B05'!J22</f>
        <v>4208.66</v>
      </c>
      <c r="E11" s="13"/>
      <c r="G11" s="77"/>
    </row>
    <row r="12" spans="1:7" ht="18.75" customHeight="1">
      <c r="A12" s="425">
        <v>4</v>
      </c>
      <c r="B12" s="35" t="s">
        <v>133</v>
      </c>
      <c r="C12" s="425" t="s">
        <v>49</v>
      </c>
      <c r="D12" s="59">
        <f>'B05'!J23</f>
        <v>4145.33</v>
      </c>
      <c r="E12" s="13"/>
      <c r="G12" s="77"/>
    </row>
    <row r="13" spans="1:7" ht="18.75" customHeight="1">
      <c r="A13" s="425">
        <v>5</v>
      </c>
      <c r="B13" s="35" t="s">
        <v>267</v>
      </c>
      <c r="C13" s="425" t="s">
        <v>33</v>
      </c>
      <c r="D13" s="80">
        <f>'B05'!J24</f>
        <v>3</v>
      </c>
      <c r="E13" s="13"/>
      <c r="G13" s="77"/>
    </row>
    <row r="14" spans="1:7" ht="18" customHeight="1">
      <c r="A14" s="426" t="s">
        <v>43</v>
      </c>
      <c r="B14" s="23" t="s">
        <v>268</v>
      </c>
      <c r="C14" s="427"/>
      <c r="D14" s="59">
        <f>'B05'!J25</f>
        <v>0</v>
      </c>
      <c r="E14" s="13"/>
      <c r="G14" s="77"/>
    </row>
    <row r="15" spans="1:7" ht="18" customHeight="1">
      <c r="A15" s="428">
        <v>1</v>
      </c>
      <c r="B15" s="30" t="s">
        <v>909</v>
      </c>
      <c r="C15" s="425" t="s">
        <v>191</v>
      </c>
      <c r="D15" s="59">
        <f>'B05'!J26</f>
        <v>1310</v>
      </c>
      <c r="E15" s="13"/>
      <c r="G15" s="77"/>
    </row>
    <row r="16" spans="1:7" ht="18" customHeight="1">
      <c r="A16" s="425" t="s">
        <v>34</v>
      </c>
      <c r="B16" s="35" t="s">
        <v>269</v>
      </c>
      <c r="C16" s="425" t="s">
        <v>191</v>
      </c>
      <c r="D16" s="59">
        <f>'B05'!J27</f>
        <v>425</v>
      </c>
      <c r="E16" s="13"/>
      <c r="G16" s="77"/>
    </row>
    <row r="17" spans="1:7" ht="18" customHeight="1">
      <c r="A17" s="425" t="s">
        <v>270</v>
      </c>
      <c r="B17" s="35" t="s">
        <v>189</v>
      </c>
      <c r="C17" s="425" t="s">
        <v>271</v>
      </c>
      <c r="D17" s="59">
        <f>'B05'!J28</f>
        <v>40</v>
      </c>
      <c r="E17" s="13"/>
      <c r="G17" s="77"/>
    </row>
    <row r="18" spans="1:7" ht="18" customHeight="1">
      <c r="A18" s="429"/>
      <c r="B18" s="33" t="s">
        <v>433</v>
      </c>
      <c r="C18" s="425" t="s">
        <v>271</v>
      </c>
      <c r="D18" s="59">
        <f>'B05'!J29</f>
        <v>25</v>
      </c>
      <c r="E18" s="13"/>
      <c r="G18" s="77"/>
    </row>
    <row r="19" spans="1:7" ht="18" customHeight="1">
      <c r="A19" s="425" t="s">
        <v>270</v>
      </c>
      <c r="B19" s="35" t="s">
        <v>190</v>
      </c>
      <c r="C19" s="425" t="s">
        <v>271</v>
      </c>
      <c r="D19" s="59">
        <f>'B05'!J30</f>
        <v>385</v>
      </c>
      <c r="E19" s="13"/>
      <c r="G19" s="77"/>
    </row>
    <row r="20" spans="1:7" ht="18" customHeight="1">
      <c r="A20" s="425"/>
      <c r="B20" s="33" t="s">
        <v>433</v>
      </c>
      <c r="C20" s="425"/>
      <c r="D20" s="59">
        <f>'B05'!J31</f>
        <v>385</v>
      </c>
      <c r="E20" s="13"/>
      <c r="G20" s="77"/>
    </row>
    <row r="21" spans="1:7" s="430" customFormat="1" ht="18" customHeight="1">
      <c r="A21" s="425" t="s">
        <v>35</v>
      </c>
      <c r="B21" s="35" t="s">
        <v>272</v>
      </c>
      <c r="C21" s="425" t="s">
        <v>191</v>
      </c>
      <c r="D21" s="59">
        <f>'B05'!J32</f>
        <v>545</v>
      </c>
      <c r="E21" s="13"/>
      <c r="G21" s="77"/>
    </row>
    <row r="22" spans="1:7" ht="18" customHeight="1">
      <c r="A22" s="425" t="s">
        <v>36</v>
      </c>
      <c r="B22" s="35" t="s">
        <v>273</v>
      </c>
      <c r="C22" s="425" t="s">
        <v>191</v>
      </c>
      <c r="D22" s="59">
        <f>'B05'!J33</f>
        <v>340</v>
      </c>
      <c r="E22" s="13"/>
      <c r="G22" s="77"/>
    </row>
    <row r="23" spans="1:7" ht="18" customHeight="1">
      <c r="A23" s="425"/>
      <c r="B23" s="33" t="s">
        <v>913</v>
      </c>
      <c r="C23" s="425" t="s">
        <v>191</v>
      </c>
      <c r="D23" s="59">
        <f>'B05'!J34</f>
        <v>340</v>
      </c>
      <c r="E23" s="13"/>
      <c r="G23" s="77"/>
    </row>
    <row r="24" spans="1:7" ht="18" customHeight="1">
      <c r="A24" s="425" t="s">
        <v>53</v>
      </c>
      <c r="B24" s="20" t="s">
        <v>274</v>
      </c>
      <c r="C24" s="425" t="s">
        <v>191</v>
      </c>
      <c r="D24" s="59">
        <f>'B05'!J35</f>
        <v>0</v>
      </c>
      <c r="E24" s="13"/>
      <c r="G24" s="77"/>
    </row>
    <row r="25" spans="1:7">
      <c r="A25" s="426" t="s">
        <v>176</v>
      </c>
      <c r="B25" s="23" t="s">
        <v>275</v>
      </c>
      <c r="C25" s="427"/>
      <c r="D25" s="59">
        <f>'B05'!J36</f>
        <v>0</v>
      </c>
      <c r="E25" s="13"/>
      <c r="G25" s="77"/>
    </row>
    <row r="26" spans="1:7" hidden="1">
      <c r="A26" s="425">
        <v>1</v>
      </c>
      <c r="B26" s="35" t="s">
        <v>276</v>
      </c>
      <c r="C26" s="425" t="s">
        <v>129</v>
      </c>
      <c r="D26" s="59">
        <f>'B05'!J39</f>
        <v>8</v>
      </c>
      <c r="E26" s="13"/>
      <c r="G26" s="77"/>
    </row>
    <row r="27" spans="1:7" ht="18" hidden="1" customHeight="1">
      <c r="A27" s="425">
        <v>1</v>
      </c>
      <c r="B27" s="20" t="s">
        <v>384</v>
      </c>
      <c r="C27" s="431" t="s">
        <v>277</v>
      </c>
      <c r="D27" s="59">
        <f>'B05'!J40</f>
        <v>7</v>
      </c>
      <c r="E27" s="13"/>
      <c r="G27" s="77"/>
    </row>
    <row r="28" spans="1:7" ht="18" customHeight="1">
      <c r="A28" s="425">
        <v>1</v>
      </c>
      <c r="B28" s="432" t="s">
        <v>385</v>
      </c>
      <c r="C28" s="425" t="s">
        <v>33</v>
      </c>
      <c r="D28" s="59">
        <f>'B05'!J41</f>
        <v>87.5</v>
      </c>
      <c r="E28" s="13"/>
      <c r="G28" s="77"/>
    </row>
    <row r="29" spans="1:7" ht="18" hidden="1" customHeight="1">
      <c r="A29" s="425">
        <v>3</v>
      </c>
      <c r="B29" s="35" t="s">
        <v>278</v>
      </c>
      <c r="C29" s="425" t="s">
        <v>265</v>
      </c>
      <c r="D29" s="59">
        <f>'B05'!J44</f>
        <v>899</v>
      </c>
      <c r="E29" s="13"/>
      <c r="G29" s="77"/>
    </row>
    <row r="30" spans="1:7" ht="18" hidden="1" customHeight="1">
      <c r="A30" s="425">
        <v>2</v>
      </c>
      <c r="B30" s="35" t="s">
        <v>279</v>
      </c>
      <c r="C30" s="425" t="s">
        <v>265</v>
      </c>
      <c r="D30" s="59">
        <f>'B05'!J47</f>
        <v>780</v>
      </c>
      <c r="E30" s="13"/>
      <c r="G30" s="77"/>
    </row>
    <row r="31" spans="1:7" ht="18" customHeight="1">
      <c r="A31" s="425">
        <v>2</v>
      </c>
      <c r="B31" s="35" t="s">
        <v>280</v>
      </c>
      <c r="C31" s="425" t="s">
        <v>33</v>
      </c>
      <c r="D31" s="59">
        <f>'B05'!J48</f>
        <v>87.174000000000007</v>
      </c>
      <c r="E31" s="25"/>
      <c r="G31" s="77"/>
    </row>
    <row r="32" spans="1:7" ht="9" customHeight="1">
      <c r="A32" s="433"/>
      <c r="B32" s="434"/>
      <c r="C32" s="435"/>
      <c r="D32" s="99"/>
      <c r="E32" s="436"/>
      <c r="G32" s="77"/>
    </row>
    <row r="33" spans="4:7">
      <c r="G33" s="77"/>
    </row>
    <row r="37" spans="4:7">
      <c r="D37" s="77"/>
    </row>
    <row r="39" spans="4:7">
      <c r="D39" s="77"/>
    </row>
    <row r="40" spans="4:7">
      <c r="D40" s="77"/>
    </row>
  </sheetData>
  <mergeCells count="9">
    <mergeCell ref="E6:E7"/>
    <mergeCell ref="D6:D7"/>
    <mergeCell ref="A1:E1"/>
    <mergeCell ref="A2:E2"/>
    <mergeCell ref="A3:E3"/>
    <mergeCell ref="A4:E4"/>
    <mergeCell ref="A6:A7"/>
    <mergeCell ref="B6:B7"/>
    <mergeCell ref="C6:C7"/>
  </mergeCells>
  <pageMargins left="0.70866141732283472" right="0.59055118110236227" top="0.59055118110236227" bottom="0.59055118110236227" header="0.31496062992125984" footer="0.31496062992125984"/>
  <pageSetup paperSize="9" orientation="portrait" r:id="rId1"/>
  <headerFooter>
    <oddFooter>&amp;C&amp;P/&amp;N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FF0000"/>
  </sheetPr>
  <dimension ref="A1:G40"/>
  <sheetViews>
    <sheetView zoomScale="70" zoomScaleNormal="70" zoomScaleSheetLayoutView="85" workbookViewId="0">
      <selection activeCell="B19" sqref="B19"/>
    </sheetView>
  </sheetViews>
  <sheetFormatPr defaultColWidth="9.140625" defaultRowHeight="15.75"/>
  <cols>
    <col min="1" max="1" width="7.28515625" style="5" customWidth="1"/>
    <col min="2" max="2" width="38.28515625" style="5" customWidth="1"/>
    <col min="3" max="3" width="10.42578125" style="5" customWidth="1"/>
    <col min="4" max="4" width="13.140625" style="5" customWidth="1"/>
    <col min="5" max="5" width="20.85546875" style="5" customWidth="1"/>
    <col min="6" max="16384" width="9.140625" style="5"/>
  </cols>
  <sheetData>
    <row r="1" spans="1:7">
      <c r="A1" s="852" t="s">
        <v>261</v>
      </c>
      <c r="B1" s="853"/>
      <c r="C1" s="853"/>
      <c r="D1" s="853"/>
      <c r="E1" s="853"/>
    </row>
    <row r="2" spans="1:7" s="419" customFormat="1" ht="18.75">
      <c r="A2" s="854" t="s">
        <v>847</v>
      </c>
      <c r="B2" s="768"/>
      <c r="C2" s="768"/>
      <c r="D2" s="768"/>
      <c r="E2" s="768"/>
    </row>
    <row r="3" spans="1:7">
      <c r="A3" s="855" t="str">
        <f>'B01'!A3:E3</f>
        <v>(Kèm theo Quyết định số 569/QĐ-UBND, ngày 17/12/2018 của UBND huyện Đăk Tô)</v>
      </c>
      <c r="B3" s="856"/>
      <c r="C3" s="856"/>
      <c r="D3" s="856"/>
      <c r="E3" s="856"/>
    </row>
    <row r="4" spans="1:7">
      <c r="A4" s="857" t="s">
        <v>307</v>
      </c>
      <c r="B4" s="857"/>
      <c r="C4" s="857"/>
      <c r="D4" s="857"/>
      <c r="E4" s="857"/>
    </row>
    <row r="5" spans="1:7" ht="15" customHeight="1">
      <c r="B5" s="77"/>
      <c r="C5" s="77"/>
      <c r="D5" s="420"/>
    </row>
    <row r="6" spans="1:7" ht="15" customHeight="1">
      <c r="A6" s="771" t="s">
        <v>55</v>
      </c>
      <c r="B6" s="771" t="s">
        <v>69</v>
      </c>
      <c r="C6" s="772" t="s">
        <v>18</v>
      </c>
      <c r="D6" s="766" t="s">
        <v>841</v>
      </c>
      <c r="E6" s="772" t="s">
        <v>75</v>
      </c>
    </row>
    <row r="7" spans="1:7">
      <c r="A7" s="771"/>
      <c r="B7" s="771"/>
      <c r="C7" s="771"/>
      <c r="D7" s="767"/>
      <c r="E7" s="771"/>
    </row>
    <row r="8" spans="1:7">
      <c r="A8" s="421" t="s">
        <v>40</v>
      </c>
      <c r="B8" s="422" t="s">
        <v>891</v>
      </c>
      <c r="C8" s="423"/>
      <c r="D8" s="424"/>
      <c r="E8" s="79"/>
    </row>
    <row r="9" spans="1:7" ht="18.75" customHeight="1">
      <c r="A9" s="425">
        <v>1</v>
      </c>
      <c r="B9" s="35" t="s">
        <v>360</v>
      </c>
      <c r="C9" s="425" t="s">
        <v>62</v>
      </c>
      <c r="D9" s="59">
        <f>'B05'!K11</f>
        <v>650</v>
      </c>
      <c r="E9" s="13"/>
      <c r="G9" s="77"/>
    </row>
    <row r="10" spans="1:7" ht="18.75" customHeight="1">
      <c r="A10" s="425">
        <v>2</v>
      </c>
      <c r="B10" s="35" t="s">
        <v>131</v>
      </c>
      <c r="C10" s="425" t="s">
        <v>266</v>
      </c>
      <c r="D10" s="59">
        <f>'B05'!K12</f>
        <v>2929</v>
      </c>
      <c r="E10" s="13"/>
      <c r="G10" s="77"/>
    </row>
    <row r="11" spans="1:7" ht="18.75" customHeight="1">
      <c r="A11" s="425">
        <v>3</v>
      </c>
      <c r="B11" s="35" t="s">
        <v>132</v>
      </c>
      <c r="C11" s="425" t="s">
        <v>49</v>
      </c>
      <c r="D11" s="59">
        <f>'B05'!K22</f>
        <v>3043.8</v>
      </c>
      <c r="E11" s="13"/>
      <c r="G11" s="77"/>
    </row>
    <row r="12" spans="1:7" ht="18.75" customHeight="1">
      <c r="A12" s="425">
        <v>4</v>
      </c>
      <c r="B12" s="35" t="s">
        <v>133</v>
      </c>
      <c r="C12" s="425" t="s">
        <v>49</v>
      </c>
      <c r="D12" s="59">
        <f>'B05'!K23</f>
        <v>2986.4</v>
      </c>
      <c r="E12" s="13"/>
      <c r="G12" s="77"/>
    </row>
    <row r="13" spans="1:7" ht="18.75" customHeight="1">
      <c r="A13" s="425">
        <v>5</v>
      </c>
      <c r="B13" s="35" t="s">
        <v>267</v>
      </c>
      <c r="C13" s="425" t="s">
        <v>33</v>
      </c>
      <c r="D13" s="80">
        <f>'B05'!K24</f>
        <v>7.5</v>
      </c>
      <c r="E13" s="13"/>
      <c r="G13" s="77"/>
    </row>
    <row r="14" spans="1:7" ht="18" customHeight="1">
      <c r="A14" s="426" t="s">
        <v>43</v>
      </c>
      <c r="B14" s="23" t="s">
        <v>268</v>
      </c>
      <c r="C14" s="427"/>
      <c r="D14" s="59">
        <f>'B05'!K25</f>
        <v>0</v>
      </c>
      <c r="E14" s="13"/>
      <c r="G14" s="77"/>
    </row>
    <row r="15" spans="1:7" ht="18" customHeight="1">
      <c r="A15" s="428">
        <v>1</v>
      </c>
      <c r="B15" s="30" t="s">
        <v>909</v>
      </c>
      <c r="C15" s="425" t="s">
        <v>191</v>
      </c>
      <c r="D15" s="59">
        <f>'B05'!K26</f>
        <v>945</v>
      </c>
      <c r="E15" s="13"/>
      <c r="G15" s="77"/>
    </row>
    <row r="16" spans="1:7" ht="18" customHeight="1">
      <c r="A16" s="425" t="s">
        <v>34</v>
      </c>
      <c r="B16" s="35" t="s">
        <v>269</v>
      </c>
      <c r="C16" s="425" t="s">
        <v>191</v>
      </c>
      <c r="D16" s="59">
        <f>'B05'!K27</f>
        <v>335</v>
      </c>
      <c r="E16" s="13"/>
      <c r="G16" s="77"/>
    </row>
    <row r="17" spans="1:7" ht="18" customHeight="1">
      <c r="A17" s="425" t="s">
        <v>270</v>
      </c>
      <c r="B17" s="35" t="s">
        <v>189</v>
      </c>
      <c r="C17" s="425" t="s">
        <v>271</v>
      </c>
      <c r="D17" s="59">
        <f>'B05'!K28</f>
        <v>35</v>
      </c>
      <c r="E17" s="13"/>
      <c r="G17" s="77"/>
    </row>
    <row r="18" spans="1:7" ht="18" customHeight="1">
      <c r="A18" s="429"/>
      <c r="B18" s="33" t="s">
        <v>433</v>
      </c>
      <c r="C18" s="429" t="s">
        <v>271</v>
      </c>
      <c r="D18" s="59">
        <f>'B05'!K29</f>
        <v>35</v>
      </c>
      <c r="E18" s="13"/>
      <c r="G18" s="77"/>
    </row>
    <row r="19" spans="1:7" ht="18" customHeight="1">
      <c r="A19" s="429" t="s">
        <v>270</v>
      </c>
      <c r="B19" s="33" t="s">
        <v>190</v>
      </c>
      <c r="C19" s="429" t="s">
        <v>271</v>
      </c>
      <c r="D19" s="59">
        <f>'B05'!K30</f>
        <v>300</v>
      </c>
      <c r="E19" s="13"/>
      <c r="G19" s="77"/>
    </row>
    <row r="20" spans="1:7" ht="18" customHeight="1">
      <c r="A20" s="429"/>
      <c r="B20" s="33" t="s">
        <v>433</v>
      </c>
      <c r="C20" s="429"/>
      <c r="D20" s="59">
        <f>'B05'!K31</f>
        <v>300</v>
      </c>
      <c r="E20" s="13"/>
      <c r="G20" s="77"/>
    </row>
    <row r="21" spans="1:7" s="430" customFormat="1" ht="18" customHeight="1">
      <c r="A21" s="425" t="s">
        <v>35</v>
      </c>
      <c r="B21" s="35" t="s">
        <v>272</v>
      </c>
      <c r="C21" s="425" t="s">
        <v>191</v>
      </c>
      <c r="D21" s="59">
        <f>'B05'!K32</f>
        <v>405</v>
      </c>
      <c r="E21" s="13"/>
      <c r="G21" s="77"/>
    </row>
    <row r="22" spans="1:7" ht="18" customHeight="1">
      <c r="A22" s="425" t="s">
        <v>36</v>
      </c>
      <c r="B22" s="35" t="s">
        <v>273</v>
      </c>
      <c r="C22" s="425" t="s">
        <v>191</v>
      </c>
      <c r="D22" s="59">
        <f>'B05'!K33</f>
        <v>205</v>
      </c>
      <c r="E22" s="13"/>
      <c r="G22" s="77"/>
    </row>
    <row r="23" spans="1:7" ht="18" customHeight="1">
      <c r="A23" s="425"/>
      <c r="B23" s="33" t="s">
        <v>913</v>
      </c>
      <c r="C23" s="425" t="s">
        <v>191</v>
      </c>
      <c r="D23" s="59">
        <f>'B05'!K34</f>
        <v>205</v>
      </c>
      <c r="E23" s="13"/>
      <c r="G23" s="77"/>
    </row>
    <row r="24" spans="1:7" ht="18" customHeight="1">
      <c r="A24" s="425" t="s">
        <v>53</v>
      </c>
      <c r="B24" s="20" t="s">
        <v>274</v>
      </c>
      <c r="C24" s="425" t="s">
        <v>191</v>
      </c>
      <c r="D24" s="59">
        <f>'B05'!K35</f>
        <v>0</v>
      </c>
      <c r="E24" s="13"/>
      <c r="G24" s="77"/>
    </row>
    <row r="25" spans="1:7">
      <c r="A25" s="426" t="s">
        <v>176</v>
      </c>
      <c r="B25" s="23" t="s">
        <v>275</v>
      </c>
      <c r="C25" s="427"/>
      <c r="D25" s="59">
        <f>'B05'!K36</f>
        <v>0</v>
      </c>
      <c r="E25" s="13"/>
      <c r="G25" s="77"/>
    </row>
    <row r="26" spans="1:7" hidden="1">
      <c r="A26" s="425">
        <v>1</v>
      </c>
      <c r="B26" s="35" t="s">
        <v>276</v>
      </c>
      <c r="C26" s="425" t="s">
        <v>129</v>
      </c>
      <c r="D26" s="59">
        <f>'B05'!K39</f>
        <v>6</v>
      </c>
      <c r="E26" s="13"/>
      <c r="G26" s="77"/>
    </row>
    <row r="27" spans="1:7" ht="18" hidden="1" customHeight="1">
      <c r="A27" s="425">
        <v>1</v>
      </c>
      <c r="B27" s="20" t="s">
        <v>384</v>
      </c>
      <c r="C27" s="431" t="s">
        <v>277</v>
      </c>
      <c r="D27" s="59">
        <f>'B05'!K40</f>
        <v>6</v>
      </c>
      <c r="E27" s="13"/>
      <c r="G27" s="77"/>
    </row>
    <row r="28" spans="1:7" ht="18" customHeight="1">
      <c r="A28" s="425">
        <v>1</v>
      </c>
      <c r="B28" s="432" t="s">
        <v>385</v>
      </c>
      <c r="C28" s="425" t="s">
        <v>33</v>
      </c>
      <c r="D28" s="59">
        <f>'B05'!K41</f>
        <v>100</v>
      </c>
      <c r="E28" s="13"/>
      <c r="G28" s="77"/>
    </row>
    <row r="29" spans="1:7" ht="18" hidden="1" customHeight="1">
      <c r="A29" s="425">
        <v>3</v>
      </c>
      <c r="B29" s="35" t="s">
        <v>278</v>
      </c>
      <c r="C29" s="425" t="s">
        <v>265</v>
      </c>
      <c r="D29" s="59">
        <f>'B05'!K44</f>
        <v>650</v>
      </c>
      <c r="E29" s="13"/>
      <c r="G29" s="77"/>
    </row>
    <row r="30" spans="1:7" ht="18" hidden="1" customHeight="1">
      <c r="A30" s="425">
        <v>2</v>
      </c>
      <c r="B30" s="35" t="s">
        <v>279</v>
      </c>
      <c r="C30" s="425" t="s">
        <v>265</v>
      </c>
      <c r="D30" s="59">
        <f>'B05'!K47</f>
        <v>630</v>
      </c>
      <c r="E30" s="13"/>
      <c r="G30" s="77"/>
    </row>
    <row r="31" spans="1:7" ht="18" customHeight="1">
      <c r="A31" s="425">
        <v>2</v>
      </c>
      <c r="B31" s="35" t="s">
        <v>280</v>
      </c>
      <c r="C31" s="425" t="s">
        <v>33</v>
      </c>
      <c r="D31" s="59">
        <f>'B05'!K48</f>
        <v>97.30080000000001</v>
      </c>
      <c r="E31" s="25"/>
      <c r="G31" s="77"/>
    </row>
    <row r="32" spans="1:7" ht="9" customHeight="1">
      <c r="A32" s="433"/>
      <c r="B32" s="434"/>
      <c r="C32" s="435"/>
      <c r="D32" s="99"/>
      <c r="E32" s="436"/>
      <c r="G32" s="77"/>
    </row>
    <row r="33" spans="4:7">
      <c r="G33" s="77"/>
    </row>
    <row r="37" spans="4:7">
      <c r="D37" s="77"/>
    </row>
    <row r="39" spans="4:7">
      <c r="D39" s="77"/>
    </row>
    <row r="40" spans="4:7">
      <c r="D40" s="77"/>
    </row>
  </sheetData>
  <mergeCells count="9">
    <mergeCell ref="E6:E7"/>
    <mergeCell ref="D6:D7"/>
    <mergeCell ref="A1:E1"/>
    <mergeCell ref="A2:E2"/>
    <mergeCell ref="A3:E3"/>
    <mergeCell ref="A4:E4"/>
    <mergeCell ref="A6:A7"/>
    <mergeCell ref="B6:B7"/>
    <mergeCell ref="C6:C7"/>
  </mergeCells>
  <pageMargins left="0.70866141732283472" right="0.59055118110236227" top="0.59055118110236227" bottom="0.59055118110236227" header="0.31496062992125984" footer="0.31496062992125984"/>
  <pageSetup paperSize="9" orientation="portrait" r:id="rId1"/>
  <headerFooter>
    <oddFooter>&amp;C&amp;P/&amp;N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FF0000"/>
  </sheetPr>
  <dimension ref="A1:G40"/>
  <sheetViews>
    <sheetView zoomScale="85" zoomScaleNormal="85" zoomScaleSheetLayoutView="85" workbookViewId="0">
      <selection activeCell="B19" sqref="B19"/>
    </sheetView>
  </sheetViews>
  <sheetFormatPr defaultColWidth="9.140625" defaultRowHeight="15.75"/>
  <cols>
    <col min="1" max="1" width="7.28515625" style="5" customWidth="1"/>
    <col min="2" max="2" width="38.28515625" style="5" customWidth="1"/>
    <col min="3" max="3" width="10.42578125" style="5" customWidth="1"/>
    <col min="4" max="4" width="13.140625" style="5" customWidth="1"/>
    <col min="5" max="5" width="20.85546875" style="5" customWidth="1"/>
    <col min="6" max="16384" width="9.140625" style="5"/>
  </cols>
  <sheetData>
    <row r="1" spans="1:7">
      <c r="A1" s="852" t="s">
        <v>261</v>
      </c>
      <c r="B1" s="853"/>
      <c r="C1" s="853"/>
      <c r="D1" s="853"/>
      <c r="E1" s="853"/>
    </row>
    <row r="2" spans="1:7" s="419" customFormat="1" ht="18.75">
      <c r="A2" s="854" t="s">
        <v>847</v>
      </c>
      <c r="B2" s="768"/>
      <c r="C2" s="768"/>
      <c r="D2" s="768"/>
      <c r="E2" s="768"/>
    </row>
    <row r="3" spans="1:7">
      <c r="A3" s="855" t="str">
        <f>'B01'!A3:E3</f>
        <v>(Kèm theo Quyết định số 569/QĐ-UBND, ngày 17/12/2018 của UBND huyện Đăk Tô)</v>
      </c>
      <c r="B3" s="856"/>
      <c r="C3" s="856"/>
      <c r="D3" s="856"/>
      <c r="E3" s="856"/>
    </row>
    <row r="4" spans="1:7">
      <c r="A4" s="857" t="s">
        <v>308</v>
      </c>
      <c r="B4" s="857"/>
      <c r="C4" s="857"/>
      <c r="D4" s="857"/>
      <c r="E4" s="857"/>
    </row>
    <row r="5" spans="1:7" ht="15" customHeight="1">
      <c r="B5" s="77"/>
      <c r="C5" s="77"/>
      <c r="D5" s="420"/>
    </row>
    <row r="6" spans="1:7" ht="15" customHeight="1">
      <c r="A6" s="771" t="s">
        <v>55</v>
      </c>
      <c r="B6" s="771" t="s">
        <v>69</v>
      </c>
      <c r="C6" s="772" t="s">
        <v>18</v>
      </c>
      <c r="D6" s="766" t="s">
        <v>841</v>
      </c>
      <c r="E6" s="772" t="s">
        <v>75</v>
      </c>
    </row>
    <row r="7" spans="1:7">
      <c r="A7" s="771"/>
      <c r="B7" s="771"/>
      <c r="C7" s="771"/>
      <c r="D7" s="767"/>
      <c r="E7" s="771"/>
    </row>
    <row r="8" spans="1:7">
      <c r="A8" s="421" t="s">
        <v>40</v>
      </c>
      <c r="B8" s="422" t="s">
        <v>891</v>
      </c>
      <c r="C8" s="423"/>
      <c r="D8" s="424"/>
      <c r="E8" s="79"/>
    </row>
    <row r="9" spans="1:7" ht="18.75" customHeight="1">
      <c r="A9" s="425">
        <v>1</v>
      </c>
      <c r="B9" s="35" t="s">
        <v>360</v>
      </c>
      <c r="C9" s="425" t="s">
        <v>62</v>
      </c>
      <c r="D9" s="59">
        <f>'B05'!L11</f>
        <v>830</v>
      </c>
      <c r="E9" s="13"/>
      <c r="G9" s="77"/>
    </row>
    <row r="10" spans="1:7" ht="18.75" customHeight="1">
      <c r="A10" s="425">
        <v>2</v>
      </c>
      <c r="B10" s="35" t="s">
        <v>131</v>
      </c>
      <c r="C10" s="425" t="s">
        <v>266</v>
      </c>
      <c r="D10" s="59">
        <f>'B05'!L12</f>
        <v>3314</v>
      </c>
      <c r="E10" s="13"/>
      <c r="G10" s="77"/>
    </row>
    <row r="11" spans="1:7" ht="18.75" customHeight="1">
      <c r="A11" s="425">
        <v>3</v>
      </c>
      <c r="B11" s="35" t="s">
        <v>132</v>
      </c>
      <c r="C11" s="425" t="s">
        <v>49</v>
      </c>
      <c r="D11" s="59">
        <f>'B05'!L22</f>
        <v>3473.7820000000002</v>
      </c>
      <c r="E11" s="13"/>
      <c r="G11" s="77"/>
    </row>
    <row r="12" spans="1:7" ht="18.75" customHeight="1">
      <c r="A12" s="425">
        <v>4</v>
      </c>
      <c r="B12" s="35" t="s">
        <v>133</v>
      </c>
      <c r="C12" s="425" t="s">
        <v>49</v>
      </c>
      <c r="D12" s="59">
        <f>'B05'!L23</f>
        <v>3393.8910000000001</v>
      </c>
      <c r="E12" s="13"/>
      <c r="G12" s="77"/>
    </row>
    <row r="13" spans="1:7" ht="18.75" customHeight="1">
      <c r="A13" s="425">
        <v>5</v>
      </c>
      <c r="B13" s="35" t="s">
        <v>267</v>
      </c>
      <c r="C13" s="425" t="s">
        <v>33</v>
      </c>
      <c r="D13" s="80">
        <f>'B05'!L24</f>
        <v>7.5</v>
      </c>
      <c r="E13" s="13"/>
      <c r="G13" s="77"/>
    </row>
    <row r="14" spans="1:7" ht="18" customHeight="1">
      <c r="A14" s="426" t="s">
        <v>43</v>
      </c>
      <c r="B14" s="23" t="s">
        <v>268</v>
      </c>
      <c r="C14" s="427"/>
      <c r="D14" s="59">
        <f>'B05'!L25</f>
        <v>0</v>
      </c>
      <c r="E14" s="13"/>
      <c r="G14" s="77"/>
    </row>
    <row r="15" spans="1:7" ht="18" customHeight="1">
      <c r="A15" s="428">
        <v>1</v>
      </c>
      <c r="B15" s="30" t="s">
        <v>909</v>
      </c>
      <c r="C15" s="425" t="s">
        <v>191</v>
      </c>
      <c r="D15" s="59">
        <f>'B05'!L26</f>
        <v>1205</v>
      </c>
      <c r="E15" s="13"/>
      <c r="G15" s="77"/>
    </row>
    <row r="16" spans="1:7" ht="18" customHeight="1">
      <c r="A16" s="425" t="s">
        <v>34</v>
      </c>
      <c r="B16" s="35" t="s">
        <v>269</v>
      </c>
      <c r="C16" s="425" t="s">
        <v>191</v>
      </c>
      <c r="D16" s="59">
        <f>'B05'!L27</f>
        <v>385</v>
      </c>
      <c r="E16" s="13"/>
      <c r="G16" s="77"/>
    </row>
    <row r="17" spans="1:7" ht="18" customHeight="1">
      <c r="A17" s="425" t="s">
        <v>270</v>
      </c>
      <c r="B17" s="35" t="s">
        <v>189</v>
      </c>
      <c r="C17" s="425" t="s">
        <v>271</v>
      </c>
      <c r="D17" s="59">
        <f>'B05'!L28</f>
        <v>25</v>
      </c>
      <c r="E17" s="13"/>
      <c r="G17" s="77"/>
    </row>
    <row r="18" spans="1:7" ht="18" customHeight="1">
      <c r="A18" s="429"/>
      <c r="B18" s="33" t="s">
        <v>433</v>
      </c>
      <c r="C18" s="425" t="s">
        <v>271</v>
      </c>
      <c r="D18" s="59">
        <f>'B05'!L29</f>
        <v>25</v>
      </c>
      <c r="E18" s="13"/>
      <c r="G18" s="77"/>
    </row>
    <row r="19" spans="1:7" ht="18" customHeight="1">
      <c r="A19" s="425" t="s">
        <v>270</v>
      </c>
      <c r="B19" s="35" t="s">
        <v>190</v>
      </c>
      <c r="C19" s="425" t="s">
        <v>271</v>
      </c>
      <c r="D19" s="59">
        <f>'B05'!L30</f>
        <v>360</v>
      </c>
      <c r="E19" s="13"/>
      <c r="G19" s="77"/>
    </row>
    <row r="20" spans="1:7" ht="18" customHeight="1">
      <c r="A20" s="425"/>
      <c r="B20" s="33" t="s">
        <v>433</v>
      </c>
      <c r="C20" s="425"/>
      <c r="D20" s="59">
        <f>'B05'!L31</f>
        <v>360</v>
      </c>
      <c r="E20" s="13"/>
      <c r="G20" s="77"/>
    </row>
    <row r="21" spans="1:7" s="430" customFormat="1" ht="18" customHeight="1">
      <c r="A21" s="425" t="s">
        <v>35</v>
      </c>
      <c r="B21" s="35" t="s">
        <v>272</v>
      </c>
      <c r="C21" s="425" t="s">
        <v>191</v>
      </c>
      <c r="D21" s="59">
        <f>'B05'!L32</f>
        <v>525</v>
      </c>
      <c r="E21" s="13"/>
      <c r="G21" s="77"/>
    </row>
    <row r="22" spans="1:7" ht="18" customHeight="1">
      <c r="A22" s="425" t="s">
        <v>36</v>
      </c>
      <c r="B22" s="35" t="s">
        <v>273</v>
      </c>
      <c r="C22" s="425" t="s">
        <v>191</v>
      </c>
      <c r="D22" s="59">
        <f>'B05'!L33</f>
        <v>295</v>
      </c>
      <c r="E22" s="13"/>
      <c r="G22" s="77"/>
    </row>
    <row r="23" spans="1:7" ht="18" customHeight="1">
      <c r="A23" s="425"/>
      <c r="B23" s="33" t="s">
        <v>913</v>
      </c>
      <c r="C23" s="425" t="s">
        <v>191</v>
      </c>
      <c r="D23" s="59">
        <f>'B05'!L34</f>
        <v>295</v>
      </c>
      <c r="E23" s="13"/>
      <c r="G23" s="77"/>
    </row>
    <row r="24" spans="1:7" ht="18" customHeight="1">
      <c r="A24" s="425" t="s">
        <v>53</v>
      </c>
      <c r="B24" s="20" t="s">
        <v>274</v>
      </c>
      <c r="C24" s="425" t="s">
        <v>191</v>
      </c>
      <c r="D24" s="59">
        <f>'B05'!L35</f>
        <v>0</v>
      </c>
      <c r="E24" s="13"/>
      <c r="G24" s="77"/>
    </row>
    <row r="25" spans="1:7">
      <c r="A25" s="426" t="s">
        <v>176</v>
      </c>
      <c r="B25" s="23" t="s">
        <v>275</v>
      </c>
      <c r="C25" s="427"/>
      <c r="D25" s="59">
        <f>'B05'!L36</f>
        <v>0</v>
      </c>
      <c r="E25" s="13"/>
      <c r="G25" s="77"/>
    </row>
    <row r="26" spans="1:7" hidden="1">
      <c r="A26" s="425">
        <v>1</v>
      </c>
      <c r="B26" s="35" t="s">
        <v>276</v>
      </c>
      <c r="C26" s="425" t="s">
        <v>129</v>
      </c>
      <c r="D26" s="59">
        <f>'B05'!L39</f>
        <v>5</v>
      </c>
      <c r="E26" s="13"/>
      <c r="G26" s="77"/>
    </row>
    <row r="27" spans="1:7" ht="18" hidden="1" customHeight="1">
      <c r="A27" s="425">
        <v>1</v>
      </c>
      <c r="B27" s="20" t="s">
        <v>384</v>
      </c>
      <c r="C27" s="431" t="s">
        <v>277</v>
      </c>
      <c r="D27" s="59">
        <f>'B05'!L40</f>
        <v>5</v>
      </c>
      <c r="E27" s="13"/>
      <c r="G27" s="77"/>
    </row>
    <row r="28" spans="1:7" ht="18" customHeight="1">
      <c r="A28" s="425">
        <v>1</v>
      </c>
      <c r="B28" s="432" t="s">
        <v>385</v>
      </c>
      <c r="C28" s="425" t="s">
        <v>33</v>
      </c>
      <c r="D28" s="59">
        <f>'B05'!L41</f>
        <v>100</v>
      </c>
      <c r="E28" s="13"/>
      <c r="G28" s="77"/>
    </row>
    <row r="29" spans="1:7" ht="18" hidden="1" customHeight="1">
      <c r="A29" s="425">
        <v>3</v>
      </c>
      <c r="B29" s="35" t="s">
        <v>278</v>
      </c>
      <c r="C29" s="425" t="s">
        <v>265</v>
      </c>
      <c r="D29" s="59">
        <f>'B05'!L44</f>
        <v>803</v>
      </c>
      <c r="E29" s="13"/>
      <c r="G29" s="77"/>
    </row>
    <row r="30" spans="1:7" ht="18" hidden="1" customHeight="1">
      <c r="A30" s="425">
        <v>2</v>
      </c>
      <c r="B30" s="35" t="s">
        <v>279</v>
      </c>
      <c r="C30" s="425" t="s">
        <v>265</v>
      </c>
      <c r="D30" s="59">
        <f>'B05'!L47</f>
        <v>660</v>
      </c>
      <c r="E30" s="13"/>
      <c r="G30" s="77"/>
    </row>
    <row r="31" spans="1:7" ht="18" customHeight="1">
      <c r="A31" s="425">
        <v>2</v>
      </c>
      <c r="B31" s="35" t="s">
        <v>280</v>
      </c>
      <c r="C31" s="425" t="s">
        <v>33</v>
      </c>
      <c r="D31" s="59">
        <f>'B05'!L48</f>
        <v>82.475999999999999</v>
      </c>
      <c r="E31" s="25"/>
      <c r="G31" s="77"/>
    </row>
    <row r="32" spans="1:7" ht="9" customHeight="1">
      <c r="A32" s="433"/>
      <c r="B32" s="434"/>
      <c r="C32" s="435"/>
      <c r="D32" s="99"/>
      <c r="E32" s="436"/>
      <c r="G32" s="77"/>
    </row>
    <row r="33" spans="4:7">
      <c r="G33" s="77"/>
    </row>
    <row r="37" spans="4:7">
      <c r="D37" s="77"/>
    </row>
    <row r="39" spans="4:7">
      <c r="D39" s="77"/>
    </row>
    <row r="40" spans="4:7">
      <c r="D40" s="77"/>
    </row>
  </sheetData>
  <mergeCells count="9">
    <mergeCell ref="E6:E7"/>
    <mergeCell ref="D6:D7"/>
    <mergeCell ref="A1:E1"/>
    <mergeCell ref="A2:E2"/>
    <mergeCell ref="A3:E3"/>
    <mergeCell ref="A4:E4"/>
    <mergeCell ref="A6:A7"/>
    <mergeCell ref="B6:B7"/>
    <mergeCell ref="C6:C7"/>
  </mergeCells>
  <pageMargins left="0.70866141732283472" right="0.59055118110236227" top="0.59055118110236227" bottom="0.59055118110236227" header="0.31496062992125984" footer="0.31496062992125984"/>
  <pageSetup paperSize="9" orientation="portrait" r:id="rId1"/>
  <headerFooter>
    <oddFooter>&amp;C&amp;P/&amp;N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FF0000"/>
  </sheetPr>
  <dimension ref="A1:G40"/>
  <sheetViews>
    <sheetView zoomScale="85" zoomScaleNormal="85" zoomScaleSheetLayoutView="85" workbookViewId="0">
      <selection activeCell="B19" sqref="B19"/>
    </sheetView>
  </sheetViews>
  <sheetFormatPr defaultColWidth="9.140625" defaultRowHeight="15.75"/>
  <cols>
    <col min="1" max="1" width="7.28515625" style="5" customWidth="1"/>
    <col min="2" max="2" width="38.28515625" style="5" customWidth="1"/>
    <col min="3" max="3" width="10.42578125" style="5" customWidth="1"/>
    <col min="4" max="4" width="13.140625" style="5" customWidth="1"/>
    <col min="5" max="5" width="20.85546875" style="5" customWidth="1"/>
    <col min="6" max="16384" width="9.140625" style="5"/>
  </cols>
  <sheetData>
    <row r="1" spans="1:7">
      <c r="A1" s="852" t="s">
        <v>261</v>
      </c>
      <c r="B1" s="853"/>
      <c r="C1" s="853"/>
      <c r="D1" s="853"/>
      <c r="E1" s="853"/>
    </row>
    <row r="2" spans="1:7" s="419" customFormat="1" ht="18.75">
      <c r="A2" s="854" t="s">
        <v>847</v>
      </c>
      <c r="B2" s="768"/>
      <c r="C2" s="768"/>
      <c r="D2" s="768"/>
      <c r="E2" s="768"/>
    </row>
    <row r="3" spans="1:7">
      <c r="A3" s="855" t="str">
        <f>'B01'!A3:E3</f>
        <v>(Kèm theo Quyết định số 569/QĐ-UBND, ngày 17/12/2018 của UBND huyện Đăk Tô)</v>
      </c>
      <c r="B3" s="856"/>
      <c r="C3" s="856"/>
      <c r="D3" s="856"/>
      <c r="E3" s="856"/>
    </row>
    <row r="4" spans="1:7">
      <c r="A4" s="857" t="s">
        <v>309</v>
      </c>
      <c r="B4" s="857"/>
      <c r="C4" s="857"/>
      <c r="D4" s="857"/>
      <c r="E4" s="857"/>
    </row>
    <row r="5" spans="1:7" ht="15" customHeight="1">
      <c r="B5" s="77"/>
      <c r="C5" s="77"/>
      <c r="D5" s="420"/>
    </row>
    <row r="6" spans="1:7" ht="15" customHeight="1">
      <c r="A6" s="771" t="s">
        <v>55</v>
      </c>
      <c r="B6" s="771" t="s">
        <v>69</v>
      </c>
      <c r="C6" s="772" t="s">
        <v>18</v>
      </c>
      <c r="D6" s="766" t="s">
        <v>841</v>
      </c>
      <c r="E6" s="772" t="s">
        <v>75</v>
      </c>
    </row>
    <row r="7" spans="1:7">
      <c r="A7" s="771"/>
      <c r="B7" s="771"/>
      <c r="C7" s="771"/>
      <c r="D7" s="767"/>
      <c r="E7" s="771"/>
    </row>
    <row r="8" spans="1:7">
      <c r="A8" s="421" t="s">
        <v>40</v>
      </c>
      <c r="B8" s="422" t="s">
        <v>891</v>
      </c>
      <c r="C8" s="423"/>
      <c r="D8" s="424"/>
      <c r="E8" s="79"/>
    </row>
    <row r="9" spans="1:7" ht="18.75" customHeight="1">
      <c r="A9" s="425">
        <v>1</v>
      </c>
      <c r="B9" s="35" t="s">
        <v>360</v>
      </c>
      <c r="C9" s="425" t="s">
        <v>62</v>
      </c>
      <c r="D9" s="59">
        <f>'B05'!M11</f>
        <v>970</v>
      </c>
      <c r="E9" s="13"/>
      <c r="G9" s="77"/>
    </row>
    <row r="10" spans="1:7" ht="18.75" customHeight="1">
      <c r="A10" s="425">
        <v>2</v>
      </c>
      <c r="B10" s="35" t="s">
        <v>131</v>
      </c>
      <c r="C10" s="425" t="s">
        <v>266</v>
      </c>
      <c r="D10" s="59">
        <f>'B05'!M12</f>
        <v>4377</v>
      </c>
      <c r="E10" s="13"/>
      <c r="G10" s="77"/>
    </row>
    <row r="11" spans="1:7" ht="18.75" customHeight="1">
      <c r="A11" s="425">
        <v>3</v>
      </c>
      <c r="B11" s="35" t="s">
        <v>132</v>
      </c>
      <c r="C11" s="425" t="s">
        <v>49</v>
      </c>
      <c r="D11" s="59">
        <f>'B05'!M22</f>
        <v>4532.2560000000003</v>
      </c>
      <c r="E11" s="13"/>
      <c r="G11" s="77"/>
    </row>
    <row r="12" spans="1:7" ht="18.75" customHeight="1">
      <c r="A12" s="425">
        <v>4</v>
      </c>
      <c r="B12" s="35" t="s">
        <v>133</v>
      </c>
      <c r="C12" s="425" t="s">
        <v>49</v>
      </c>
      <c r="D12" s="59">
        <f>'B05'!M23</f>
        <v>4454.6280000000006</v>
      </c>
      <c r="E12" s="13"/>
      <c r="G12" s="77"/>
    </row>
    <row r="13" spans="1:7" ht="18.75" customHeight="1">
      <c r="A13" s="425">
        <v>5</v>
      </c>
      <c r="B13" s="35" t="s">
        <v>267</v>
      </c>
      <c r="C13" s="425" t="s">
        <v>33</v>
      </c>
      <c r="D13" s="80">
        <f>'B05'!M24</f>
        <v>7.5</v>
      </c>
      <c r="E13" s="13"/>
      <c r="G13" s="77"/>
    </row>
    <row r="14" spans="1:7" ht="18" customHeight="1">
      <c r="A14" s="426" t="s">
        <v>43</v>
      </c>
      <c r="B14" s="23" t="s">
        <v>268</v>
      </c>
      <c r="C14" s="427"/>
      <c r="D14" s="59">
        <f>'B05'!M25</f>
        <v>0</v>
      </c>
      <c r="E14" s="13"/>
      <c r="G14" s="77"/>
    </row>
    <row r="15" spans="1:7" ht="18" customHeight="1">
      <c r="A15" s="428">
        <v>1</v>
      </c>
      <c r="B15" s="30" t="s">
        <v>909</v>
      </c>
      <c r="C15" s="425" t="s">
        <v>191</v>
      </c>
      <c r="D15" s="59">
        <f>'B05'!M26</f>
        <v>1310</v>
      </c>
      <c r="E15" s="13"/>
      <c r="G15" s="77"/>
    </row>
    <row r="16" spans="1:7" ht="18" customHeight="1">
      <c r="A16" s="425" t="s">
        <v>34</v>
      </c>
      <c r="B16" s="35" t="s">
        <v>269</v>
      </c>
      <c r="C16" s="425" t="s">
        <v>191</v>
      </c>
      <c r="D16" s="59">
        <f>'B05'!M27</f>
        <v>290</v>
      </c>
      <c r="E16" s="13"/>
      <c r="G16" s="77"/>
    </row>
    <row r="17" spans="1:7" ht="18" customHeight="1">
      <c r="A17" s="425" t="s">
        <v>270</v>
      </c>
      <c r="B17" s="35" t="s">
        <v>189</v>
      </c>
      <c r="C17" s="425" t="s">
        <v>271</v>
      </c>
      <c r="D17" s="59">
        <f>'B05'!M28</f>
        <v>30</v>
      </c>
      <c r="E17" s="13"/>
      <c r="G17" s="77"/>
    </row>
    <row r="18" spans="1:7" ht="18" customHeight="1">
      <c r="A18" s="429"/>
      <c r="B18" s="33" t="s">
        <v>433</v>
      </c>
      <c r="C18" s="425" t="s">
        <v>271</v>
      </c>
      <c r="D18" s="59">
        <f>'B05'!M29</f>
        <v>30</v>
      </c>
      <c r="E18" s="13"/>
      <c r="G18" s="77"/>
    </row>
    <row r="19" spans="1:7" ht="18" customHeight="1">
      <c r="A19" s="425" t="s">
        <v>270</v>
      </c>
      <c r="B19" s="35" t="s">
        <v>190</v>
      </c>
      <c r="C19" s="425" t="s">
        <v>271</v>
      </c>
      <c r="D19" s="59">
        <f>'B05'!M30</f>
        <v>260</v>
      </c>
      <c r="E19" s="13"/>
      <c r="G19" s="77"/>
    </row>
    <row r="20" spans="1:7" ht="18" customHeight="1">
      <c r="A20" s="425"/>
      <c r="B20" s="33" t="s">
        <v>433</v>
      </c>
      <c r="C20" s="425"/>
      <c r="D20" s="59">
        <f>'B05'!M31</f>
        <v>260</v>
      </c>
      <c r="E20" s="13"/>
      <c r="G20" s="77"/>
    </row>
    <row r="21" spans="1:7" s="430" customFormat="1" ht="18" customHeight="1">
      <c r="A21" s="425" t="s">
        <v>35</v>
      </c>
      <c r="B21" s="35" t="s">
        <v>272</v>
      </c>
      <c r="C21" s="425" t="s">
        <v>191</v>
      </c>
      <c r="D21" s="59">
        <f>'B05'!M32</f>
        <v>655</v>
      </c>
      <c r="E21" s="13"/>
      <c r="G21" s="77"/>
    </row>
    <row r="22" spans="1:7" ht="18" customHeight="1">
      <c r="A22" s="425" t="s">
        <v>36</v>
      </c>
      <c r="B22" s="35" t="s">
        <v>273</v>
      </c>
      <c r="C22" s="425" t="s">
        <v>191</v>
      </c>
      <c r="D22" s="59">
        <f>'B05'!M33</f>
        <v>365</v>
      </c>
      <c r="E22" s="13"/>
      <c r="G22" s="77"/>
    </row>
    <row r="23" spans="1:7" ht="18" customHeight="1">
      <c r="A23" s="425"/>
      <c r="B23" s="33" t="s">
        <v>913</v>
      </c>
      <c r="C23" s="425" t="s">
        <v>191</v>
      </c>
      <c r="D23" s="59">
        <f>'B05'!M34</f>
        <v>365</v>
      </c>
      <c r="E23" s="13"/>
      <c r="G23" s="77"/>
    </row>
    <row r="24" spans="1:7" ht="18" customHeight="1">
      <c r="A24" s="425" t="s">
        <v>53</v>
      </c>
      <c r="B24" s="20" t="s">
        <v>274</v>
      </c>
      <c r="C24" s="425" t="s">
        <v>191</v>
      </c>
      <c r="D24" s="59">
        <f>'B05'!M35</f>
        <v>0</v>
      </c>
      <c r="E24" s="13"/>
      <c r="G24" s="77"/>
    </row>
    <row r="25" spans="1:7">
      <c r="A25" s="426" t="s">
        <v>176</v>
      </c>
      <c r="B25" s="23" t="s">
        <v>275</v>
      </c>
      <c r="C25" s="427"/>
      <c r="D25" s="59">
        <f>'B05'!M36</f>
        <v>0</v>
      </c>
      <c r="E25" s="13"/>
      <c r="G25" s="77"/>
    </row>
    <row r="26" spans="1:7" hidden="1">
      <c r="A26" s="425">
        <v>1</v>
      </c>
      <c r="B26" s="35" t="s">
        <v>276</v>
      </c>
      <c r="C26" s="425" t="s">
        <v>129</v>
      </c>
      <c r="D26" s="59">
        <f>'B05'!M39</f>
        <v>10</v>
      </c>
      <c r="E26" s="13"/>
      <c r="G26" s="77"/>
    </row>
    <row r="27" spans="1:7" ht="18" hidden="1" customHeight="1">
      <c r="A27" s="425">
        <v>1</v>
      </c>
      <c r="B27" s="20" t="s">
        <v>384</v>
      </c>
      <c r="C27" s="431" t="s">
        <v>277</v>
      </c>
      <c r="D27" s="59">
        <f>'B05'!M40</f>
        <v>9</v>
      </c>
      <c r="E27" s="13"/>
      <c r="G27" s="77"/>
    </row>
    <row r="28" spans="1:7" ht="18" customHeight="1">
      <c r="A28" s="425">
        <v>1</v>
      </c>
      <c r="B28" s="432" t="s">
        <v>385</v>
      </c>
      <c r="C28" s="425" t="s">
        <v>33</v>
      </c>
      <c r="D28" s="59">
        <f>'B05'!M41</f>
        <v>90</v>
      </c>
      <c r="E28" s="13"/>
      <c r="G28" s="77"/>
    </row>
    <row r="29" spans="1:7" ht="18" hidden="1" customHeight="1">
      <c r="A29" s="425">
        <v>3</v>
      </c>
      <c r="B29" s="35" t="s">
        <v>278</v>
      </c>
      <c r="C29" s="425" t="s">
        <v>265</v>
      </c>
      <c r="D29" s="59">
        <f>'B05'!M44</f>
        <v>925</v>
      </c>
      <c r="E29" s="13"/>
      <c r="G29" s="77"/>
    </row>
    <row r="30" spans="1:7" ht="18" hidden="1" customHeight="1">
      <c r="A30" s="425">
        <v>2</v>
      </c>
      <c r="B30" s="35" t="s">
        <v>279</v>
      </c>
      <c r="C30" s="425" t="s">
        <v>265</v>
      </c>
      <c r="D30" s="59">
        <f>'B05'!M47</f>
        <v>850</v>
      </c>
      <c r="E30" s="13"/>
      <c r="G30" s="77"/>
    </row>
    <row r="31" spans="1:7" ht="18" customHeight="1">
      <c r="A31" s="425">
        <v>2</v>
      </c>
      <c r="B31" s="35" t="s">
        <v>280</v>
      </c>
      <c r="C31" s="425" t="s">
        <v>33</v>
      </c>
      <c r="D31" s="59">
        <f>'B05'!M48</f>
        <v>91.663200000000003</v>
      </c>
      <c r="E31" s="25"/>
      <c r="G31" s="77"/>
    </row>
    <row r="32" spans="1:7" ht="9" customHeight="1">
      <c r="A32" s="433"/>
      <c r="B32" s="434"/>
      <c r="C32" s="435"/>
      <c r="D32" s="99"/>
      <c r="E32" s="436"/>
      <c r="G32" s="77"/>
    </row>
    <row r="33" spans="4:7">
      <c r="G33" s="77"/>
    </row>
    <row r="37" spans="4:7">
      <c r="D37" s="77"/>
    </row>
    <row r="39" spans="4:7">
      <c r="D39" s="77"/>
    </row>
    <row r="40" spans="4:7">
      <c r="D40" s="77"/>
    </row>
  </sheetData>
  <mergeCells count="9">
    <mergeCell ref="E6:E7"/>
    <mergeCell ref="D6:D7"/>
    <mergeCell ref="A1:E1"/>
    <mergeCell ref="A2:E2"/>
    <mergeCell ref="A3:E3"/>
    <mergeCell ref="A4:E4"/>
    <mergeCell ref="A6:A7"/>
    <mergeCell ref="B6:B7"/>
    <mergeCell ref="C6:C7"/>
  </mergeCells>
  <pageMargins left="0.70866141732283472" right="0.59055118110236227" top="0.59055118110236227" bottom="0.59055118110236227" header="0.31496062992125984" footer="0.31496062992125984"/>
  <pageSetup paperSize="9" orientation="portrait" r:id="rId1"/>
  <headerFoot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L31"/>
  <sheetViews>
    <sheetView zoomScale="70" zoomScaleNormal="70" workbookViewId="0">
      <pane xSplit="3" ySplit="7" topLeftCell="D8" activePane="bottomRight" state="frozen"/>
      <selection activeCell="F28" sqref="F28"/>
      <selection pane="topRight" activeCell="F28" sqref="F28"/>
      <selection pane="bottomLeft" activeCell="F28" sqref="F28"/>
      <selection pane="bottomRight" activeCell="F28" sqref="F28"/>
    </sheetView>
  </sheetViews>
  <sheetFormatPr defaultColWidth="10.28515625" defaultRowHeight="12.75" outlineLevelRow="1"/>
  <cols>
    <col min="1" max="1" width="4.140625" style="199" customWidth="1"/>
    <col min="2" max="2" width="48.7109375" style="199" customWidth="1"/>
    <col min="3" max="3" width="12.140625" style="199" customWidth="1"/>
    <col min="4" max="10" width="12.42578125" style="199" customWidth="1"/>
    <col min="11" max="16384" width="10.28515625" style="199"/>
  </cols>
  <sheetData>
    <row r="1" spans="1:10" ht="18.75" outlineLevel="1">
      <c r="A1" s="292"/>
      <c r="B1" s="212"/>
      <c r="C1" s="212"/>
      <c r="D1" s="212"/>
      <c r="E1" s="212"/>
      <c r="F1" s="212"/>
      <c r="G1" s="212"/>
      <c r="H1" s="212"/>
      <c r="I1" s="212"/>
      <c r="J1" s="293" t="s">
        <v>521</v>
      </c>
    </row>
    <row r="2" spans="1:10" ht="16.5" outlineLevel="1">
      <c r="A2" s="789" t="s">
        <v>522</v>
      </c>
      <c r="B2" s="789"/>
      <c r="C2" s="789"/>
      <c r="D2" s="789"/>
      <c r="E2" s="789"/>
      <c r="F2" s="789"/>
      <c r="G2" s="789"/>
      <c r="H2" s="789"/>
      <c r="I2" s="789"/>
      <c r="J2" s="789"/>
    </row>
    <row r="3" spans="1:10" ht="16.5" outlineLevel="1">
      <c r="A3" s="790" t="s">
        <v>523</v>
      </c>
      <c r="B3" s="790"/>
      <c r="C3" s="790"/>
      <c r="D3" s="790"/>
      <c r="E3" s="790"/>
      <c r="F3" s="790"/>
      <c r="G3" s="790"/>
      <c r="H3" s="790"/>
      <c r="I3" s="790"/>
      <c r="J3" s="790"/>
    </row>
    <row r="4" spans="1:10" ht="15.75" outlineLevel="1">
      <c r="A4" s="212"/>
      <c r="B4" s="212"/>
      <c r="C4" s="212"/>
      <c r="D4" s="212"/>
      <c r="E4" s="212"/>
      <c r="F4" s="212"/>
      <c r="G4" s="212"/>
      <c r="H4" s="212"/>
      <c r="I4" s="212"/>
      <c r="J4" s="212"/>
    </row>
    <row r="5" spans="1:10" s="294" customFormat="1" ht="15.75">
      <c r="A5" s="773" t="s">
        <v>524</v>
      </c>
      <c r="B5" s="773" t="s">
        <v>69</v>
      </c>
      <c r="C5" s="773" t="s">
        <v>525</v>
      </c>
      <c r="D5" s="773" t="s">
        <v>526</v>
      </c>
      <c r="E5" s="773" t="s">
        <v>514</v>
      </c>
      <c r="F5" s="773"/>
      <c r="G5" s="773"/>
      <c r="H5" s="773"/>
      <c r="I5" s="773" t="s">
        <v>516</v>
      </c>
      <c r="J5" s="773" t="s">
        <v>518</v>
      </c>
    </row>
    <row r="6" spans="1:10" s="294" customFormat="1" ht="63">
      <c r="A6" s="773"/>
      <c r="B6" s="773"/>
      <c r="C6" s="773"/>
      <c r="D6" s="773"/>
      <c r="E6" s="291" t="s">
        <v>470</v>
      </c>
      <c r="F6" s="291" t="s">
        <v>723</v>
      </c>
      <c r="G6" s="291" t="s">
        <v>515</v>
      </c>
      <c r="H6" s="291" t="s">
        <v>517</v>
      </c>
      <c r="I6" s="773"/>
      <c r="J6" s="773"/>
    </row>
    <row r="7" spans="1:10" s="295" customFormat="1" ht="15.75">
      <c r="A7" s="291">
        <v>1</v>
      </c>
      <c r="B7" s="291">
        <v>2</v>
      </c>
      <c r="C7" s="291">
        <v>3</v>
      </c>
      <c r="D7" s="291">
        <v>4</v>
      </c>
      <c r="E7" s="291">
        <v>5</v>
      </c>
      <c r="F7" s="291">
        <v>6</v>
      </c>
      <c r="G7" s="291">
        <v>7</v>
      </c>
      <c r="H7" s="291" t="s">
        <v>480</v>
      </c>
      <c r="I7" s="291">
        <v>9</v>
      </c>
      <c r="J7" s="291" t="s">
        <v>519</v>
      </c>
    </row>
    <row r="8" spans="1:10" ht="36" customHeight="1">
      <c r="A8" s="296">
        <v>1</v>
      </c>
      <c r="B8" s="79" t="s">
        <v>527</v>
      </c>
      <c r="C8" s="296" t="s">
        <v>331</v>
      </c>
      <c r="D8" s="297">
        <f>'6 tháng 2021'!E123</f>
        <v>595000</v>
      </c>
      <c r="E8" s="297">
        <f>'6 tháng 2021'!F123</f>
        <v>696000</v>
      </c>
      <c r="F8" s="297">
        <f>'6 tháng 2021'!H123</f>
        <v>450000</v>
      </c>
      <c r="G8" s="297">
        <f>'6 tháng 2021'!I123</f>
        <v>698000</v>
      </c>
      <c r="H8" s="58">
        <f t="shared" ref="H8:H30" si="0">IFERROR(G8/D8%,"")</f>
        <v>117.31092436974789</v>
      </c>
      <c r="I8" s="297">
        <f>'6 tháng 2021'!J123</f>
        <v>900000</v>
      </c>
      <c r="J8" s="58">
        <f t="shared" ref="J8:J30" si="1">IFERROR(I8/G8%,"")</f>
        <v>128.93982808022923</v>
      </c>
    </row>
    <row r="9" spans="1:10" ht="34.5" customHeight="1">
      <c r="A9" s="219">
        <v>2</v>
      </c>
      <c r="B9" s="20" t="s">
        <v>528</v>
      </c>
      <c r="C9" s="219" t="s">
        <v>331</v>
      </c>
      <c r="D9" s="59">
        <v>108387</v>
      </c>
      <c r="E9" s="59">
        <v>82860</v>
      </c>
      <c r="F9" s="59">
        <v>82108</v>
      </c>
      <c r="G9" s="59">
        <v>95437</v>
      </c>
      <c r="H9" s="58">
        <f t="shared" si="0"/>
        <v>88.052072665541075</v>
      </c>
      <c r="I9" s="59">
        <v>90225</v>
      </c>
      <c r="J9" s="58">
        <f t="shared" si="1"/>
        <v>94.538805704286602</v>
      </c>
    </row>
    <row r="10" spans="1:10" ht="20.25" customHeight="1">
      <c r="A10" s="219"/>
      <c r="B10" s="62" t="s">
        <v>70</v>
      </c>
      <c r="C10" s="219"/>
      <c r="D10" s="59"/>
      <c r="E10" s="59"/>
      <c r="F10" s="59"/>
      <c r="G10" s="59"/>
      <c r="H10" s="58" t="str">
        <f t="shared" si="0"/>
        <v/>
      </c>
      <c r="I10" s="59"/>
      <c r="J10" s="58" t="str">
        <f t="shared" si="1"/>
        <v/>
      </c>
    </row>
    <row r="11" spans="1:10" ht="20.25" customHeight="1">
      <c r="A11" s="219" t="s">
        <v>155</v>
      </c>
      <c r="B11" s="20" t="s">
        <v>529</v>
      </c>
      <c r="C11" s="219" t="s">
        <v>331</v>
      </c>
      <c r="D11" s="59"/>
      <c r="E11" s="59"/>
      <c r="F11" s="59"/>
      <c r="G11" s="59"/>
      <c r="H11" s="58" t="str">
        <f t="shared" si="0"/>
        <v/>
      </c>
      <c r="I11" s="59"/>
      <c r="J11" s="58" t="str">
        <f t="shared" si="1"/>
        <v/>
      </c>
    </row>
    <row r="12" spans="1:10" ht="20.25" customHeight="1">
      <c r="A12" s="219" t="s">
        <v>155</v>
      </c>
      <c r="B12" s="20" t="s">
        <v>530</v>
      </c>
      <c r="C12" s="219" t="s">
        <v>331</v>
      </c>
      <c r="D12" s="59">
        <f>D9</f>
        <v>108387</v>
      </c>
      <c r="E12" s="59">
        <v>82860</v>
      </c>
      <c r="F12" s="59">
        <v>61227</v>
      </c>
      <c r="G12" s="59">
        <v>94917</v>
      </c>
      <c r="H12" s="58">
        <f t="shared" si="0"/>
        <v>87.572310332419946</v>
      </c>
      <c r="I12" s="59">
        <f>I9</f>
        <v>90225</v>
      </c>
      <c r="J12" s="58">
        <f t="shared" si="1"/>
        <v>95.056733777932308</v>
      </c>
    </row>
    <row r="13" spans="1:10" ht="20.25" customHeight="1">
      <c r="A13" s="219"/>
      <c r="B13" s="62" t="s">
        <v>70</v>
      </c>
      <c r="C13" s="219"/>
      <c r="D13" s="59"/>
      <c r="E13" s="59"/>
      <c r="F13" s="59"/>
      <c r="G13" s="59"/>
      <c r="H13" s="58" t="str">
        <f t="shared" si="0"/>
        <v/>
      </c>
      <c r="I13" s="59"/>
      <c r="J13" s="58" t="str">
        <f t="shared" si="1"/>
        <v/>
      </c>
    </row>
    <row r="14" spans="1:10" ht="20.25" customHeight="1">
      <c r="A14" s="219"/>
      <c r="B14" s="20" t="s">
        <v>531</v>
      </c>
      <c r="C14" s="219" t="s">
        <v>331</v>
      </c>
      <c r="D14" s="59"/>
      <c r="E14" s="59"/>
      <c r="F14" s="59"/>
      <c r="G14" s="59"/>
      <c r="H14" s="58"/>
      <c r="I14" s="59"/>
      <c r="J14" s="58"/>
    </row>
    <row r="15" spans="1:10" ht="20.25" customHeight="1">
      <c r="A15" s="219"/>
      <c r="B15" s="20" t="s">
        <v>532</v>
      </c>
      <c r="C15" s="219" t="s">
        <v>331</v>
      </c>
      <c r="D15" s="59">
        <v>9705.7999999999993</v>
      </c>
      <c r="E15" s="59">
        <v>3320</v>
      </c>
      <c r="F15" s="59">
        <v>5036.8999999999996</v>
      </c>
      <c r="G15" s="59">
        <v>5848</v>
      </c>
      <c r="H15" s="58">
        <f>IFERROR(G15/D15%,"")</f>
        <v>60.252632446578339</v>
      </c>
      <c r="I15" s="59">
        <v>4870</v>
      </c>
      <c r="J15" s="58">
        <f>IFERROR(I15/G15%,"")</f>
        <v>83.276333789329684</v>
      </c>
    </row>
    <row r="16" spans="1:10" ht="20.25" customHeight="1">
      <c r="A16" s="219"/>
      <c r="B16" s="20" t="s">
        <v>533</v>
      </c>
      <c r="C16" s="219" t="s">
        <v>331</v>
      </c>
      <c r="D16" s="59">
        <v>64255</v>
      </c>
      <c r="E16" s="59">
        <v>65600</v>
      </c>
      <c r="F16" s="59">
        <v>53808</v>
      </c>
      <c r="G16" s="59">
        <v>64560</v>
      </c>
      <c r="H16" s="58">
        <f t="shared" si="0"/>
        <v>100.47467123181076</v>
      </c>
      <c r="I16" s="59">
        <v>70485</v>
      </c>
      <c r="J16" s="58">
        <f t="shared" si="1"/>
        <v>109.17750929368029</v>
      </c>
    </row>
    <row r="17" spans="1:12" ht="20.25" customHeight="1">
      <c r="A17" s="219"/>
      <c r="B17" s="20" t="s">
        <v>534</v>
      </c>
      <c r="C17" s="219" t="s">
        <v>331</v>
      </c>
      <c r="D17" s="59">
        <v>1269</v>
      </c>
      <c r="E17" s="59">
        <v>0</v>
      </c>
      <c r="F17" s="59">
        <v>853.5</v>
      </c>
      <c r="G17" s="59">
        <v>972</v>
      </c>
      <c r="H17" s="58">
        <f t="shared" si="0"/>
        <v>76.59574468085107</v>
      </c>
      <c r="I17" s="59">
        <v>1155</v>
      </c>
      <c r="J17" s="58">
        <f t="shared" si="1"/>
        <v>118.82716049382715</v>
      </c>
    </row>
    <row r="18" spans="1:12" ht="38.25" customHeight="1">
      <c r="A18" s="219">
        <v>3</v>
      </c>
      <c r="B18" s="20" t="s">
        <v>535</v>
      </c>
      <c r="C18" s="219" t="s">
        <v>331</v>
      </c>
      <c r="D18" s="59">
        <v>22793</v>
      </c>
      <c r="E18" s="59">
        <v>22292.63</v>
      </c>
      <c r="F18" s="59">
        <v>24204</v>
      </c>
      <c r="G18" s="59">
        <v>34385.83</v>
      </c>
      <c r="H18" s="58">
        <f t="shared" si="0"/>
        <v>150.86136094414951</v>
      </c>
      <c r="I18" s="59">
        <v>31531.47</v>
      </c>
      <c r="J18" s="58">
        <f t="shared" si="1"/>
        <v>91.699022533409831</v>
      </c>
    </row>
    <row r="19" spans="1:12" ht="23.25" customHeight="1">
      <c r="A19" s="32">
        <v>4</v>
      </c>
      <c r="B19" s="20" t="s">
        <v>536</v>
      </c>
      <c r="C19" s="219" t="s">
        <v>331</v>
      </c>
      <c r="D19" s="59">
        <f>D20+D27</f>
        <v>269428.45640000002</v>
      </c>
      <c r="E19" s="59">
        <f>E20+E27</f>
        <v>248274</v>
      </c>
      <c r="F19" s="59">
        <f>F20+F27</f>
        <v>151599.81599999999</v>
      </c>
      <c r="G19" s="59">
        <f>G20+G27</f>
        <v>267046.08927200001</v>
      </c>
      <c r="H19" s="58">
        <f t="shared" si="0"/>
        <v>99.115770041579026</v>
      </c>
      <c r="I19" s="59">
        <f>I20+I27</f>
        <v>273702</v>
      </c>
      <c r="J19" s="58">
        <f t="shared" si="1"/>
        <v>102.49242022084832</v>
      </c>
    </row>
    <row r="20" spans="1:12" ht="20.25" customHeight="1">
      <c r="A20" s="219" t="s">
        <v>537</v>
      </c>
      <c r="B20" s="20" t="s">
        <v>538</v>
      </c>
      <c r="C20" s="219" t="s">
        <v>331</v>
      </c>
      <c r="D20" s="59">
        <f>D21+D25+D26</f>
        <v>36880.456399999995</v>
      </c>
      <c r="E20" s="59">
        <f>E21+E25+E26</f>
        <v>29059</v>
      </c>
      <c r="F20" s="59">
        <f>F21+F25+F26</f>
        <v>17864.815999999999</v>
      </c>
      <c r="G20" s="59">
        <f>G21+G25+G26</f>
        <v>44760.089271999997</v>
      </c>
      <c r="H20" s="58">
        <f t="shared" si="0"/>
        <v>121.36533449190179</v>
      </c>
      <c r="I20" s="59">
        <f>I21+I25+I26</f>
        <v>29067</v>
      </c>
      <c r="J20" s="58">
        <f t="shared" si="1"/>
        <v>64.93954876489282</v>
      </c>
    </row>
    <row r="21" spans="1:12" ht="20.25" customHeight="1">
      <c r="A21" s="219" t="s">
        <v>155</v>
      </c>
      <c r="B21" s="20" t="s">
        <v>539</v>
      </c>
      <c r="C21" s="219" t="s">
        <v>331</v>
      </c>
      <c r="D21" s="59">
        <v>26948.12</v>
      </c>
      <c r="E21" s="59">
        <v>16821</v>
      </c>
      <c r="F21" s="59">
        <v>14236.11</v>
      </c>
      <c r="G21" s="59">
        <v>31989.269671999999</v>
      </c>
      <c r="H21" s="59">
        <f t="shared" si="0"/>
        <v>118.70686961465215</v>
      </c>
      <c r="I21" s="59">
        <v>12664</v>
      </c>
      <c r="J21" s="58">
        <f t="shared" si="1"/>
        <v>39.588274849190185</v>
      </c>
    </row>
    <row r="22" spans="1:12" ht="20.25" customHeight="1">
      <c r="A22" s="219"/>
      <c r="B22" s="62" t="s">
        <v>70</v>
      </c>
      <c r="C22" s="219"/>
      <c r="D22" s="59"/>
      <c r="E22" s="59"/>
      <c r="F22" s="59"/>
      <c r="G22" s="59"/>
      <c r="H22" s="59" t="str">
        <f t="shared" si="0"/>
        <v/>
      </c>
      <c r="I22" s="59"/>
      <c r="J22" s="58" t="str">
        <f t="shared" si="1"/>
        <v/>
      </c>
    </row>
    <row r="23" spans="1:12" s="93" customFormat="1" ht="20.25" customHeight="1">
      <c r="A23" s="219"/>
      <c r="B23" s="47" t="s">
        <v>540</v>
      </c>
      <c r="C23" s="219" t="s">
        <v>331</v>
      </c>
      <c r="D23" s="59">
        <v>7077.7559999999994</v>
      </c>
      <c r="E23" s="59">
        <v>1311</v>
      </c>
      <c r="F23" s="59">
        <v>1262.087</v>
      </c>
      <c r="G23" s="59">
        <v>8275.2906719999992</v>
      </c>
      <c r="H23" s="59">
        <f t="shared" si="0"/>
        <v>116.91969420816429</v>
      </c>
      <c r="I23" s="59">
        <v>1600</v>
      </c>
      <c r="J23" s="58">
        <f t="shared" si="1"/>
        <v>19.334668272302594</v>
      </c>
    </row>
    <row r="24" spans="1:12" s="211" customFormat="1" ht="20.25" customHeight="1">
      <c r="A24" s="215"/>
      <c r="B24" s="47" t="s">
        <v>541</v>
      </c>
      <c r="C24" s="219" t="s">
        <v>331</v>
      </c>
      <c r="D24" s="59">
        <v>1860</v>
      </c>
      <c r="E24" s="59">
        <v>2470</v>
      </c>
      <c r="F24" s="59">
        <v>507.77</v>
      </c>
      <c r="G24" s="59">
        <v>2470</v>
      </c>
      <c r="H24" s="59">
        <f t="shared" si="0"/>
        <v>132.79569892473117</v>
      </c>
      <c r="I24" s="86"/>
      <c r="J24" s="58">
        <f t="shared" si="1"/>
        <v>0</v>
      </c>
    </row>
    <row r="25" spans="1:12" ht="47.25">
      <c r="A25" s="219" t="s">
        <v>155</v>
      </c>
      <c r="B25" s="20" t="s">
        <v>542</v>
      </c>
      <c r="C25" s="219" t="s">
        <v>331</v>
      </c>
      <c r="D25" s="59">
        <v>9869.7063999999991</v>
      </c>
      <c r="E25" s="59">
        <f>11578+660</f>
        <v>12238</v>
      </c>
      <c r="F25" s="59">
        <v>3628.7060000000001</v>
      </c>
      <c r="G25" s="59">
        <f>12110.8196+660</f>
        <v>12770.819600000001</v>
      </c>
      <c r="H25" s="59">
        <f t="shared" si="0"/>
        <v>129.39411855250324</v>
      </c>
      <c r="I25" s="59">
        <v>16403</v>
      </c>
      <c r="J25" s="58">
        <f t="shared" si="1"/>
        <v>128.44124742001679</v>
      </c>
      <c r="L25" s="298"/>
    </row>
    <row r="26" spans="1:12" ht="18.75" customHeight="1">
      <c r="A26" s="219" t="s">
        <v>155</v>
      </c>
      <c r="B26" s="20" t="s">
        <v>543</v>
      </c>
      <c r="C26" s="219" t="s">
        <v>331</v>
      </c>
      <c r="D26" s="59">
        <v>62.63</v>
      </c>
      <c r="E26" s="59"/>
      <c r="F26" s="59"/>
      <c r="G26" s="59"/>
      <c r="H26" s="59">
        <f t="shared" si="0"/>
        <v>0</v>
      </c>
      <c r="I26" s="59"/>
      <c r="J26" s="58" t="str">
        <f t="shared" si="1"/>
        <v/>
      </c>
    </row>
    <row r="27" spans="1:12" ht="18.75" customHeight="1">
      <c r="A27" s="219" t="s">
        <v>544</v>
      </c>
      <c r="B27" s="20" t="s">
        <v>545</v>
      </c>
      <c r="C27" s="219" t="s">
        <v>331</v>
      </c>
      <c r="D27" s="59">
        <v>232548</v>
      </c>
      <c r="E27" s="59">
        <v>219215</v>
      </c>
      <c r="F27" s="59">
        <v>133735</v>
      </c>
      <c r="G27" s="59">
        <v>222286</v>
      </c>
      <c r="H27" s="58">
        <f t="shared" si="0"/>
        <v>95.587147599635344</v>
      </c>
      <c r="I27" s="59">
        <v>244635</v>
      </c>
      <c r="J27" s="58">
        <f t="shared" si="1"/>
        <v>110.05416445480147</v>
      </c>
    </row>
    <row r="28" spans="1:12" ht="18.75" hidden="1" customHeight="1" outlineLevel="1">
      <c r="A28" s="219">
        <v>5</v>
      </c>
      <c r="B28" s="20" t="s">
        <v>546</v>
      </c>
      <c r="C28" s="219" t="s">
        <v>331</v>
      </c>
      <c r="D28" s="59">
        <f>D29+D30</f>
        <v>69633.416399999987</v>
      </c>
      <c r="E28" s="59">
        <f>E29+E30</f>
        <v>69320.186600000001</v>
      </c>
      <c r="F28" s="59">
        <f>F29+F30</f>
        <v>18231.2</v>
      </c>
      <c r="G28" s="59">
        <f>G29+G30</f>
        <v>69320.186600000001</v>
      </c>
      <c r="H28" s="58">
        <f t="shared" si="0"/>
        <v>99.550173155083073</v>
      </c>
      <c r="I28" s="59">
        <f>I29+I30</f>
        <v>51352</v>
      </c>
      <c r="J28" s="58">
        <f t="shared" si="1"/>
        <v>74.07943128647031</v>
      </c>
    </row>
    <row r="29" spans="1:12" ht="18.75" hidden="1" customHeight="1" outlineLevel="1">
      <c r="A29" s="219" t="s">
        <v>155</v>
      </c>
      <c r="B29" s="20" t="s">
        <v>547</v>
      </c>
      <c r="C29" s="219" t="s">
        <v>331</v>
      </c>
      <c r="D29" s="59"/>
      <c r="E29" s="59"/>
      <c r="F29" s="59"/>
      <c r="G29" s="59"/>
      <c r="H29" s="58" t="str">
        <f t="shared" si="0"/>
        <v/>
      </c>
      <c r="I29" s="59"/>
      <c r="J29" s="58" t="str">
        <f t="shared" si="1"/>
        <v/>
      </c>
    </row>
    <row r="30" spans="1:12" ht="18.75" hidden="1" customHeight="1" outlineLevel="1">
      <c r="A30" s="219" t="s">
        <v>155</v>
      </c>
      <c r="B30" s="20" t="s">
        <v>548</v>
      </c>
      <c r="C30" s="219" t="s">
        <v>331</v>
      </c>
      <c r="D30" s="59">
        <v>69633.416399999987</v>
      </c>
      <c r="E30" s="59">
        <v>69320.186600000001</v>
      </c>
      <c r="F30" s="59">
        <v>18231.2</v>
      </c>
      <c r="G30" s="59">
        <f>E30</f>
        <v>69320.186600000001</v>
      </c>
      <c r="H30" s="58">
        <f t="shared" si="0"/>
        <v>99.550173155083073</v>
      </c>
      <c r="I30" s="59">
        <v>51352</v>
      </c>
      <c r="J30" s="58">
        <f t="shared" si="1"/>
        <v>74.07943128647031</v>
      </c>
    </row>
    <row r="31" spans="1:12" ht="15.75" collapsed="1">
      <c r="A31" s="245"/>
      <c r="B31" s="245"/>
      <c r="C31" s="245"/>
      <c r="D31" s="99"/>
      <c r="E31" s="99"/>
      <c r="F31" s="99"/>
      <c r="G31" s="99"/>
      <c r="H31" s="299"/>
      <c r="I31" s="99"/>
      <c r="J31" s="299"/>
    </row>
  </sheetData>
  <mergeCells count="9">
    <mergeCell ref="A2:J2"/>
    <mergeCell ref="A3:J3"/>
    <mergeCell ref="A5:A6"/>
    <mergeCell ref="B5:B6"/>
    <mergeCell ref="C5:C6"/>
    <mergeCell ref="D5:D6"/>
    <mergeCell ref="E5:H5"/>
    <mergeCell ref="I5:I6"/>
    <mergeCell ref="J5:J6"/>
  </mergeCells>
  <printOptions horizontalCentered="1"/>
  <pageMargins left="0.39370078740157483" right="0.19685039370078741" top="0.78740157480314965" bottom="0.39370078740157483" header="0.31496062992125984" footer="0.31496062992125984"/>
  <pageSetup paperSize="9" scale="65" fitToHeight="0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rgb="FFFF0000"/>
  </sheetPr>
  <dimension ref="A1:G40"/>
  <sheetViews>
    <sheetView zoomScale="85" zoomScaleNormal="85" zoomScaleSheetLayoutView="85" workbookViewId="0">
      <selection activeCell="B19" sqref="B19"/>
    </sheetView>
  </sheetViews>
  <sheetFormatPr defaultColWidth="9.140625" defaultRowHeight="15.75"/>
  <cols>
    <col min="1" max="1" width="7.28515625" style="5" customWidth="1"/>
    <col min="2" max="2" width="38.28515625" style="5" customWidth="1"/>
    <col min="3" max="3" width="10.42578125" style="5" customWidth="1"/>
    <col min="4" max="4" width="13.140625" style="5" customWidth="1"/>
    <col min="5" max="5" width="20.85546875" style="5" customWidth="1"/>
    <col min="6" max="16384" width="9.140625" style="5"/>
  </cols>
  <sheetData>
    <row r="1" spans="1:7">
      <c r="A1" s="852" t="s">
        <v>261</v>
      </c>
      <c r="B1" s="853"/>
      <c r="C1" s="853"/>
      <c r="D1" s="853"/>
      <c r="E1" s="853"/>
    </row>
    <row r="2" spans="1:7" s="419" customFormat="1" ht="18.75">
      <c r="A2" s="854" t="s">
        <v>847</v>
      </c>
      <c r="B2" s="768"/>
      <c r="C2" s="768"/>
      <c r="D2" s="768"/>
      <c r="E2" s="768"/>
    </row>
    <row r="3" spans="1:7">
      <c r="A3" s="855" t="str">
        <f>'B01'!A3:E3</f>
        <v>(Kèm theo Quyết định số 569/QĐ-UBND, ngày 17/12/2018 của UBND huyện Đăk Tô)</v>
      </c>
      <c r="B3" s="856"/>
      <c r="C3" s="856"/>
      <c r="D3" s="856"/>
      <c r="E3" s="856"/>
    </row>
    <row r="4" spans="1:7">
      <c r="A4" s="857" t="s">
        <v>310</v>
      </c>
      <c r="B4" s="857"/>
      <c r="C4" s="857"/>
      <c r="D4" s="857"/>
      <c r="E4" s="857"/>
    </row>
    <row r="5" spans="1:7" ht="15" customHeight="1">
      <c r="B5" s="77"/>
      <c r="C5" s="77"/>
      <c r="D5" s="420"/>
    </row>
    <row r="6" spans="1:7" ht="15" customHeight="1">
      <c r="A6" s="771" t="s">
        <v>55</v>
      </c>
      <c r="B6" s="771" t="s">
        <v>69</v>
      </c>
      <c r="C6" s="772" t="s">
        <v>18</v>
      </c>
      <c r="D6" s="766" t="s">
        <v>841</v>
      </c>
      <c r="E6" s="772" t="s">
        <v>75</v>
      </c>
    </row>
    <row r="7" spans="1:7">
      <c r="A7" s="771"/>
      <c r="B7" s="771"/>
      <c r="C7" s="771"/>
      <c r="D7" s="767"/>
      <c r="E7" s="771"/>
    </row>
    <row r="8" spans="1:7">
      <c r="A8" s="421" t="s">
        <v>40</v>
      </c>
      <c r="B8" s="422" t="s">
        <v>891</v>
      </c>
      <c r="C8" s="423"/>
      <c r="D8" s="424"/>
      <c r="E8" s="79"/>
    </row>
    <row r="9" spans="1:7" ht="18.75" customHeight="1">
      <c r="A9" s="425">
        <v>1</v>
      </c>
      <c r="B9" s="35" t="s">
        <v>360</v>
      </c>
      <c r="C9" s="425" t="s">
        <v>62</v>
      </c>
      <c r="D9" s="59">
        <f>'B05'!N11</f>
        <v>620</v>
      </c>
      <c r="E9" s="13"/>
      <c r="G9" s="77"/>
    </row>
    <row r="10" spans="1:7" ht="18.75" customHeight="1">
      <c r="A10" s="425">
        <v>2</v>
      </c>
      <c r="B10" s="35" t="s">
        <v>131</v>
      </c>
      <c r="C10" s="425" t="s">
        <v>266</v>
      </c>
      <c r="D10" s="59">
        <f>'B05'!N12</f>
        <v>2502</v>
      </c>
      <c r="E10" s="13"/>
      <c r="G10" s="77"/>
    </row>
    <row r="11" spans="1:7" ht="18.75" customHeight="1">
      <c r="A11" s="425">
        <v>3</v>
      </c>
      <c r="B11" s="35" t="s">
        <v>132</v>
      </c>
      <c r="C11" s="425" t="s">
        <v>49</v>
      </c>
      <c r="D11" s="59">
        <f>'B05'!N22</f>
        <v>2618.232</v>
      </c>
      <c r="E11" s="13"/>
      <c r="G11" s="77"/>
    </row>
    <row r="12" spans="1:7" ht="18.75" customHeight="1">
      <c r="A12" s="425">
        <v>4</v>
      </c>
      <c r="B12" s="35" t="s">
        <v>133</v>
      </c>
      <c r="C12" s="425" t="s">
        <v>49</v>
      </c>
      <c r="D12" s="59">
        <f>'B05'!N23</f>
        <v>2560.116</v>
      </c>
      <c r="E12" s="13"/>
      <c r="G12" s="77"/>
    </row>
    <row r="13" spans="1:7" ht="18.75" customHeight="1">
      <c r="A13" s="425">
        <v>5</v>
      </c>
      <c r="B13" s="35" t="s">
        <v>267</v>
      </c>
      <c r="C13" s="425" t="s">
        <v>33</v>
      </c>
      <c r="D13" s="80">
        <f>'B05'!N24</f>
        <v>7.5</v>
      </c>
      <c r="E13" s="13"/>
      <c r="G13" s="77"/>
    </row>
    <row r="14" spans="1:7" ht="18" customHeight="1">
      <c r="A14" s="426" t="s">
        <v>43</v>
      </c>
      <c r="B14" s="23" t="s">
        <v>268</v>
      </c>
      <c r="C14" s="427"/>
      <c r="D14" s="59">
        <f>'B05'!N25</f>
        <v>0</v>
      </c>
      <c r="E14" s="13"/>
      <c r="G14" s="77"/>
    </row>
    <row r="15" spans="1:7" ht="18" customHeight="1">
      <c r="A15" s="428">
        <v>1</v>
      </c>
      <c r="B15" s="30" t="s">
        <v>909</v>
      </c>
      <c r="C15" s="425" t="s">
        <v>191</v>
      </c>
      <c r="D15" s="59">
        <f>'B05'!N26</f>
        <v>880</v>
      </c>
      <c r="E15" s="13"/>
      <c r="G15" s="77"/>
    </row>
    <row r="16" spans="1:7" ht="18" customHeight="1">
      <c r="A16" s="425" t="s">
        <v>34</v>
      </c>
      <c r="B16" s="35" t="s">
        <v>269</v>
      </c>
      <c r="C16" s="425" t="s">
        <v>191</v>
      </c>
      <c r="D16" s="59">
        <f>'B05'!N27</f>
        <v>285</v>
      </c>
      <c r="E16" s="13"/>
      <c r="G16" s="77"/>
    </row>
    <row r="17" spans="1:7" ht="18" customHeight="1">
      <c r="A17" s="425" t="s">
        <v>270</v>
      </c>
      <c r="B17" s="35" t="s">
        <v>189</v>
      </c>
      <c r="C17" s="425" t="s">
        <v>271</v>
      </c>
      <c r="D17" s="59">
        <f>'B05'!N28</f>
        <v>0</v>
      </c>
      <c r="E17" s="13"/>
      <c r="G17" s="77"/>
    </row>
    <row r="18" spans="1:7" ht="18" customHeight="1">
      <c r="A18" s="429"/>
      <c r="B18" s="33" t="s">
        <v>433</v>
      </c>
      <c r="C18" s="425" t="s">
        <v>271</v>
      </c>
      <c r="D18" s="59">
        <f>'B05'!N29</f>
        <v>0</v>
      </c>
      <c r="E18" s="13"/>
      <c r="G18" s="77"/>
    </row>
    <row r="19" spans="1:7" ht="18" customHeight="1">
      <c r="A19" s="425" t="s">
        <v>270</v>
      </c>
      <c r="B19" s="35" t="s">
        <v>190</v>
      </c>
      <c r="C19" s="425" t="s">
        <v>271</v>
      </c>
      <c r="D19" s="59">
        <f>'B05'!N30</f>
        <v>285</v>
      </c>
      <c r="E19" s="13"/>
      <c r="G19" s="77"/>
    </row>
    <row r="20" spans="1:7" ht="18" customHeight="1">
      <c r="A20" s="425"/>
      <c r="B20" s="33" t="s">
        <v>433</v>
      </c>
      <c r="C20" s="425"/>
      <c r="D20" s="59">
        <f>'B05'!N31</f>
        <v>285</v>
      </c>
      <c r="E20" s="13"/>
      <c r="G20" s="77"/>
    </row>
    <row r="21" spans="1:7" s="430" customFormat="1" ht="18" customHeight="1">
      <c r="A21" s="425" t="s">
        <v>35</v>
      </c>
      <c r="B21" s="35" t="s">
        <v>272</v>
      </c>
      <c r="C21" s="425" t="s">
        <v>191</v>
      </c>
      <c r="D21" s="59">
        <f>'B05'!N32</f>
        <v>400</v>
      </c>
      <c r="E21" s="13"/>
      <c r="G21" s="77"/>
    </row>
    <row r="22" spans="1:7" ht="18" customHeight="1">
      <c r="A22" s="425" t="s">
        <v>36</v>
      </c>
      <c r="B22" s="35" t="s">
        <v>273</v>
      </c>
      <c r="C22" s="425" t="s">
        <v>191</v>
      </c>
      <c r="D22" s="59">
        <f>'B05'!N33</f>
        <v>195</v>
      </c>
      <c r="E22" s="13"/>
      <c r="G22" s="77"/>
    </row>
    <row r="23" spans="1:7" ht="18" customHeight="1">
      <c r="A23" s="425"/>
      <c r="B23" s="33" t="s">
        <v>913</v>
      </c>
      <c r="C23" s="425" t="s">
        <v>191</v>
      </c>
      <c r="D23" s="59">
        <f>'B05'!N34</f>
        <v>195</v>
      </c>
      <c r="E23" s="13"/>
      <c r="G23" s="77"/>
    </row>
    <row r="24" spans="1:7" ht="18" customHeight="1">
      <c r="A24" s="425" t="s">
        <v>53</v>
      </c>
      <c r="B24" s="20" t="s">
        <v>274</v>
      </c>
      <c r="C24" s="425" t="s">
        <v>191</v>
      </c>
      <c r="D24" s="59">
        <f>'B05'!N35</f>
        <v>0</v>
      </c>
      <c r="E24" s="13"/>
      <c r="G24" s="77"/>
    </row>
    <row r="25" spans="1:7">
      <c r="A25" s="426" t="s">
        <v>176</v>
      </c>
      <c r="B25" s="23" t="s">
        <v>275</v>
      </c>
      <c r="C25" s="427"/>
      <c r="D25" s="59">
        <f>'B05'!N36</f>
        <v>0</v>
      </c>
      <c r="E25" s="13"/>
      <c r="G25" s="77"/>
    </row>
    <row r="26" spans="1:7" hidden="1">
      <c r="A26" s="425">
        <v>1</v>
      </c>
      <c r="B26" s="35" t="s">
        <v>276</v>
      </c>
      <c r="C26" s="425" t="s">
        <v>129</v>
      </c>
      <c r="D26" s="59">
        <f>'B05'!N39</f>
        <v>6</v>
      </c>
      <c r="E26" s="13"/>
      <c r="G26" s="77"/>
    </row>
    <row r="27" spans="1:7" ht="18" hidden="1" customHeight="1">
      <c r="A27" s="425">
        <v>1</v>
      </c>
      <c r="B27" s="20" t="s">
        <v>384</v>
      </c>
      <c r="C27" s="431" t="s">
        <v>277</v>
      </c>
      <c r="D27" s="59">
        <f>'B05'!N40</f>
        <v>5</v>
      </c>
      <c r="E27" s="13"/>
      <c r="G27" s="77"/>
    </row>
    <row r="28" spans="1:7" ht="18" customHeight="1">
      <c r="A28" s="425">
        <v>1</v>
      </c>
      <c r="B28" s="432" t="s">
        <v>385</v>
      </c>
      <c r="C28" s="425" t="s">
        <v>33</v>
      </c>
      <c r="D28" s="59">
        <f>'B05'!N41</f>
        <v>83.333333333333329</v>
      </c>
      <c r="E28" s="13"/>
      <c r="G28" s="77"/>
    </row>
    <row r="29" spans="1:7" ht="18" hidden="1" customHeight="1">
      <c r="A29" s="425">
        <v>3</v>
      </c>
      <c r="B29" s="35" t="s">
        <v>278</v>
      </c>
      <c r="C29" s="425" t="s">
        <v>265</v>
      </c>
      <c r="D29" s="59">
        <f>'B05'!N44</f>
        <v>586</v>
      </c>
      <c r="E29" s="13"/>
      <c r="G29" s="77"/>
    </row>
    <row r="30" spans="1:7" ht="18" hidden="1" customHeight="1">
      <c r="A30" s="425">
        <v>2</v>
      </c>
      <c r="B30" s="35" t="s">
        <v>279</v>
      </c>
      <c r="C30" s="425" t="s">
        <v>265</v>
      </c>
      <c r="D30" s="59">
        <f>'B05'!N47</f>
        <v>490</v>
      </c>
      <c r="E30" s="13"/>
      <c r="G30" s="77"/>
    </row>
    <row r="31" spans="1:7" ht="18" customHeight="1">
      <c r="A31" s="425">
        <v>2</v>
      </c>
      <c r="B31" s="35" t="s">
        <v>280</v>
      </c>
      <c r="C31" s="425" t="s">
        <v>33</v>
      </c>
      <c r="D31" s="59">
        <f>'B05'!N48</f>
        <v>84.042000000000002</v>
      </c>
      <c r="E31" s="25"/>
      <c r="G31" s="77"/>
    </row>
    <row r="32" spans="1:7" ht="9" customHeight="1">
      <c r="A32" s="433"/>
      <c r="B32" s="434"/>
      <c r="C32" s="435"/>
      <c r="D32" s="99"/>
      <c r="E32" s="436"/>
      <c r="G32" s="77"/>
    </row>
    <row r="33" spans="4:7">
      <c r="G33" s="77"/>
    </row>
    <row r="37" spans="4:7">
      <c r="D37" s="77"/>
    </row>
    <row r="39" spans="4:7">
      <c r="D39" s="77"/>
    </row>
    <row r="40" spans="4:7">
      <c r="D40" s="77"/>
    </row>
  </sheetData>
  <mergeCells count="9">
    <mergeCell ref="E6:E7"/>
    <mergeCell ref="D6:D7"/>
    <mergeCell ref="A1:E1"/>
    <mergeCell ref="A2:E2"/>
    <mergeCell ref="A3:E3"/>
    <mergeCell ref="A4:E4"/>
    <mergeCell ref="A6:A7"/>
    <mergeCell ref="B6:B7"/>
    <mergeCell ref="C6:C7"/>
  </mergeCells>
  <pageMargins left="0.70866141732283472" right="0.59055118110236227" top="0.59055118110236227" bottom="0.59055118110236227" header="0.31496062992125984" footer="0.31496062992125984"/>
  <pageSetup paperSize="9" orientation="portrait" r:id="rId1"/>
  <headerFoot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50"/>
  <sheetViews>
    <sheetView zoomScale="70" zoomScaleNormal="70" workbookViewId="0">
      <pane xSplit="2" ySplit="7" topLeftCell="C26" activePane="bottomRight" state="frozen"/>
      <selection activeCell="F28" sqref="F28"/>
      <selection pane="topRight" activeCell="F28" sqref="F28"/>
      <selection pane="bottomLeft" activeCell="F28" sqref="F28"/>
      <selection pane="bottomRight" activeCell="F28" sqref="F28"/>
    </sheetView>
  </sheetViews>
  <sheetFormatPr defaultColWidth="10.28515625" defaultRowHeight="12.75" outlineLevelRow="1"/>
  <cols>
    <col min="1" max="1" width="4.140625" style="246" customWidth="1"/>
    <col min="2" max="2" width="42.7109375" style="195" customWidth="1"/>
    <col min="3" max="3" width="12.28515625" style="195" customWidth="1"/>
    <col min="4" max="10" width="12.5703125" style="195" customWidth="1"/>
    <col min="11" max="16384" width="10.28515625" style="195"/>
  </cols>
  <sheetData>
    <row r="1" spans="1:10" ht="18.75" outlineLevel="1">
      <c r="B1" s="182"/>
      <c r="C1" s="183"/>
      <c r="D1" s="183"/>
      <c r="E1" s="183"/>
      <c r="F1" s="183"/>
      <c r="G1" s="183"/>
      <c r="H1" s="183"/>
      <c r="J1" s="184" t="s">
        <v>521</v>
      </c>
    </row>
    <row r="2" spans="1:10" ht="16.5" outlineLevel="1">
      <c r="A2" s="791" t="s">
        <v>549</v>
      </c>
      <c r="B2" s="791"/>
      <c r="C2" s="791"/>
      <c r="D2" s="791"/>
      <c r="E2" s="791"/>
      <c r="F2" s="791"/>
      <c r="G2" s="791"/>
      <c r="H2" s="791"/>
      <c r="I2" s="791"/>
      <c r="J2" s="791"/>
    </row>
    <row r="3" spans="1:10" ht="16.5" outlineLevel="1">
      <c r="A3" s="791" t="s">
        <v>550</v>
      </c>
      <c r="B3" s="791"/>
      <c r="C3" s="791"/>
      <c r="D3" s="791"/>
      <c r="E3" s="791"/>
      <c r="F3" s="791"/>
      <c r="G3" s="791"/>
      <c r="H3" s="791"/>
      <c r="I3" s="791"/>
      <c r="J3" s="791"/>
    </row>
    <row r="4" spans="1:10" ht="18.75" outlineLevel="1">
      <c r="A4" s="200"/>
      <c r="B4" s="200"/>
      <c r="C4" s="200"/>
      <c r="D4" s="200"/>
      <c r="E4" s="200"/>
      <c r="F4" s="200"/>
      <c r="G4" s="200"/>
      <c r="H4" s="200"/>
      <c r="I4" s="200"/>
      <c r="J4" s="200"/>
    </row>
    <row r="5" spans="1:10" s="196" customFormat="1" ht="26.25" customHeight="1">
      <c r="A5" s="792" t="s">
        <v>524</v>
      </c>
      <c r="B5" s="792" t="s">
        <v>69</v>
      </c>
      <c r="C5" s="792" t="s">
        <v>525</v>
      </c>
      <c r="D5" s="792" t="s">
        <v>526</v>
      </c>
      <c r="E5" s="792" t="s">
        <v>514</v>
      </c>
      <c r="F5" s="792"/>
      <c r="G5" s="792"/>
      <c r="H5" s="792"/>
      <c r="I5" s="792" t="s">
        <v>516</v>
      </c>
      <c r="J5" s="792" t="s">
        <v>518</v>
      </c>
    </row>
    <row r="6" spans="1:10" s="196" customFormat="1" ht="63">
      <c r="A6" s="792"/>
      <c r="B6" s="792"/>
      <c r="C6" s="792"/>
      <c r="D6" s="792"/>
      <c r="E6" s="181" t="s">
        <v>470</v>
      </c>
      <c r="F6" s="181" t="s">
        <v>723</v>
      </c>
      <c r="G6" s="181" t="s">
        <v>515</v>
      </c>
      <c r="H6" s="181" t="s">
        <v>517</v>
      </c>
      <c r="I6" s="792"/>
      <c r="J6" s="792"/>
    </row>
    <row r="7" spans="1:10" s="198" customFormat="1">
      <c r="A7" s="197">
        <v>1</v>
      </c>
      <c r="B7" s="197">
        <v>2</v>
      </c>
      <c r="C7" s="197">
        <v>3</v>
      </c>
      <c r="D7" s="197">
        <v>4</v>
      </c>
      <c r="E7" s="197">
        <v>5</v>
      </c>
      <c r="F7" s="197">
        <v>6</v>
      </c>
      <c r="G7" s="197">
        <v>7</v>
      </c>
      <c r="H7" s="197" t="s">
        <v>480</v>
      </c>
      <c r="I7" s="197">
        <v>9</v>
      </c>
      <c r="J7" s="197" t="s">
        <v>519</v>
      </c>
    </row>
    <row r="8" spans="1:10" s="183" customFormat="1" ht="24.95" customHeight="1">
      <c r="A8" s="201" t="s">
        <v>40</v>
      </c>
      <c r="B8" s="202" t="s">
        <v>551</v>
      </c>
      <c r="C8" s="201"/>
      <c r="D8" s="279"/>
      <c r="E8" s="279"/>
      <c r="F8" s="279"/>
      <c r="G8" s="279"/>
      <c r="H8" s="273"/>
      <c r="I8" s="279"/>
      <c r="J8" s="273"/>
    </row>
    <row r="9" spans="1:10" s="182" customFormat="1" ht="39.950000000000003" customHeight="1">
      <c r="A9" s="203">
        <v>1</v>
      </c>
      <c r="B9" s="204" t="s">
        <v>552</v>
      </c>
      <c r="C9" s="188"/>
      <c r="D9" s="280"/>
      <c r="E9" s="57"/>
      <c r="F9" s="280"/>
      <c r="G9" s="57"/>
      <c r="H9" s="274"/>
      <c r="I9" s="57"/>
      <c r="J9" s="66"/>
    </row>
    <row r="10" spans="1:10" s="205" customFormat="1" ht="24.95" customHeight="1">
      <c r="A10" s="188" t="s">
        <v>537</v>
      </c>
      <c r="B10" s="206" t="s">
        <v>553</v>
      </c>
      <c r="C10" s="188"/>
      <c r="D10" s="268"/>
      <c r="E10" s="59"/>
      <c r="F10" s="268"/>
      <c r="G10" s="59"/>
      <c r="H10" s="266"/>
      <c r="I10" s="59"/>
      <c r="J10" s="58"/>
    </row>
    <row r="11" spans="1:10" s="205" customFormat="1" ht="24.95" customHeight="1">
      <c r="A11" s="217" t="s">
        <v>155</v>
      </c>
      <c r="B11" s="206" t="s">
        <v>27</v>
      </c>
      <c r="C11" s="188" t="s">
        <v>21</v>
      </c>
      <c r="D11" s="266">
        <f>'6 tháng 2021'!E29</f>
        <v>47.2</v>
      </c>
      <c r="E11" s="266">
        <f>'6 tháng 2021'!F29</f>
        <v>47.33</v>
      </c>
      <c r="F11" s="266">
        <f>'6 tháng 2021'!H29</f>
        <v>51.822641678815145</v>
      </c>
      <c r="G11" s="266">
        <f>'6 tháng 2021'!I29</f>
        <v>51.822641678815145</v>
      </c>
      <c r="H11" s="58">
        <f t="shared" ref="H11:H47" si="0">IFERROR(G11/D11%,"")</f>
        <v>109.79373237037106</v>
      </c>
      <c r="I11" s="266">
        <f>'6 tháng 2021'!J29</f>
        <v>50.1</v>
      </c>
      <c r="J11" s="58">
        <f t="shared" ref="J11:J47" si="1">IFERROR(I11/G11%,"")</f>
        <v>96.675889875526465</v>
      </c>
    </row>
    <row r="12" spans="1:10" s="205" customFormat="1" ht="24.95" customHeight="1">
      <c r="A12" s="217" t="s">
        <v>155</v>
      </c>
      <c r="B12" s="206" t="s">
        <v>28</v>
      </c>
      <c r="C12" s="188" t="s">
        <v>76</v>
      </c>
      <c r="D12" s="268">
        <f>'6 tháng 2021'!E30</f>
        <v>2692.76</v>
      </c>
      <c r="E12" s="268">
        <f>'6 tháng 2021'!F30</f>
        <v>2702.5430000000001</v>
      </c>
      <c r="F12" s="268">
        <f>'6 tháng 2021'!H30</f>
        <v>2973.9459380221647</v>
      </c>
      <c r="G12" s="268">
        <f>'6 tháng 2021'!I30</f>
        <v>2973.9459380221647</v>
      </c>
      <c r="H12" s="58">
        <f t="shared" si="0"/>
        <v>110.44229482100761</v>
      </c>
      <c r="I12" s="268">
        <f>'6 tháng 2021'!J30</f>
        <v>2790</v>
      </c>
      <c r="J12" s="58">
        <f t="shared" si="1"/>
        <v>93.814751785821002</v>
      </c>
    </row>
    <row r="13" spans="1:10" s="205" customFormat="1" ht="23.45" customHeight="1">
      <c r="A13" s="188" t="s">
        <v>544</v>
      </c>
      <c r="B13" s="206" t="s">
        <v>554</v>
      </c>
      <c r="C13" s="188"/>
      <c r="D13" s="268"/>
      <c r="E13" s="59"/>
      <c r="F13" s="268"/>
      <c r="G13" s="59"/>
      <c r="H13" s="58" t="str">
        <f t="shared" si="0"/>
        <v/>
      </c>
      <c r="I13" s="59"/>
      <c r="J13" s="58" t="str">
        <f t="shared" si="1"/>
        <v/>
      </c>
    </row>
    <row r="14" spans="1:10" s="205" customFormat="1" ht="23.45" customHeight="1">
      <c r="A14" s="217" t="s">
        <v>155</v>
      </c>
      <c r="B14" s="206" t="s">
        <v>27</v>
      </c>
      <c r="C14" s="188" t="s">
        <v>21</v>
      </c>
      <c r="D14" s="266">
        <f>'6 tháng 2021'!E41</f>
        <v>47.733366141732283</v>
      </c>
      <c r="E14" s="266">
        <f>'6 tháng 2021'!F41</f>
        <v>51.385542168674696</v>
      </c>
      <c r="F14" s="266">
        <f>'6 tháng 2021'!H41</f>
        <v>17.114754098360653</v>
      </c>
      <c r="G14" s="266">
        <f>'6 tháng 2021'!I41</f>
        <v>52.360655737704903</v>
      </c>
      <c r="H14" s="58">
        <f t="shared" si="0"/>
        <v>109.69403578669278</v>
      </c>
      <c r="I14" s="266">
        <f>'6 tháng 2021'!J41</f>
        <v>53.142857142857139</v>
      </c>
      <c r="J14" s="58">
        <f t="shared" si="1"/>
        <v>101.49387243939533</v>
      </c>
    </row>
    <row r="15" spans="1:10" s="205" customFormat="1" ht="23.45" customHeight="1">
      <c r="A15" s="217" t="s">
        <v>155</v>
      </c>
      <c r="B15" s="206" t="s">
        <v>28</v>
      </c>
      <c r="C15" s="188" t="s">
        <v>76</v>
      </c>
      <c r="D15" s="268">
        <f>'6 tháng 2021'!E42</f>
        <v>484.97099999999995</v>
      </c>
      <c r="E15" s="268">
        <f>'6 tháng 2021'!F42</f>
        <v>426.5</v>
      </c>
      <c r="F15" s="268">
        <f>'6 tháng 2021'!H42</f>
        <v>146.16</v>
      </c>
      <c r="G15" s="268">
        <f>'6 tháng 2021'!I42</f>
        <v>447.15999999999997</v>
      </c>
      <c r="H15" s="58">
        <f t="shared" si="0"/>
        <v>92.203451340389435</v>
      </c>
      <c r="I15" s="268">
        <f>'6 tháng 2021'!J42</f>
        <v>744</v>
      </c>
      <c r="J15" s="58">
        <f t="shared" si="1"/>
        <v>166.38339744163164</v>
      </c>
    </row>
    <row r="16" spans="1:10" s="205" customFormat="1" ht="23.45" customHeight="1">
      <c r="A16" s="188" t="s">
        <v>555</v>
      </c>
      <c r="B16" s="206" t="s">
        <v>556</v>
      </c>
      <c r="C16" s="1"/>
      <c r="D16" s="268"/>
      <c r="E16" s="59"/>
      <c r="F16" s="268"/>
      <c r="G16" s="59"/>
      <c r="H16" s="58" t="str">
        <f t="shared" si="0"/>
        <v/>
      </c>
      <c r="I16" s="59"/>
      <c r="J16" s="58" t="str">
        <f t="shared" si="1"/>
        <v/>
      </c>
    </row>
    <row r="17" spans="1:10" s="205" customFormat="1" ht="23.45" customHeight="1">
      <c r="A17" s="188" t="s">
        <v>557</v>
      </c>
      <c r="B17" s="206" t="s">
        <v>558</v>
      </c>
      <c r="C17" s="188"/>
      <c r="D17" s="268"/>
      <c r="E17" s="59"/>
      <c r="F17" s="268"/>
      <c r="G17" s="59"/>
      <c r="H17" s="58" t="str">
        <f t="shared" si="0"/>
        <v/>
      </c>
      <c r="I17" s="59"/>
      <c r="J17" s="58" t="str">
        <f t="shared" si="1"/>
        <v/>
      </c>
    </row>
    <row r="18" spans="1:10" s="205" customFormat="1" ht="23.45" customHeight="1">
      <c r="A18" s="217" t="s">
        <v>155</v>
      </c>
      <c r="B18" s="206" t="s">
        <v>27</v>
      </c>
      <c r="C18" s="188" t="s">
        <v>21</v>
      </c>
      <c r="D18" s="266">
        <f>'6 tháng 2021'!E77</f>
        <v>35.65</v>
      </c>
      <c r="E18" s="266">
        <f>'6 tháng 2021'!F77</f>
        <v>35</v>
      </c>
      <c r="F18" s="266">
        <f>'6 tháng 2021'!H77</f>
        <v>0</v>
      </c>
      <c r="G18" s="266">
        <f>'6 tháng 2021'!I77</f>
        <v>35</v>
      </c>
      <c r="H18" s="58">
        <f t="shared" si="0"/>
        <v>98.176718092566631</v>
      </c>
      <c r="I18" s="266">
        <f>'6 tháng 2021'!J77</f>
        <v>35</v>
      </c>
      <c r="J18" s="58">
        <f t="shared" si="1"/>
        <v>100</v>
      </c>
    </row>
    <row r="19" spans="1:10" s="205" customFormat="1" ht="23.45" customHeight="1">
      <c r="A19" s="217" t="s">
        <v>155</v>
      </c>
      <c r="B19" s="206" t="s">
        <v>28</v>
      </c>
      <c r="C19" s="188" t="s">
        <v>76</v>
      </c>
      <c r="D19" s="268">
        <f>'6 tháng 2021'!E78</f>
        <v>4933.96</v>
      </c>
      <c r="E19" s="268">
        <f>'6 tháng 2021'!F78</f>
        <v>5456.5</v>
      </c>
      <c r="F19" s="268">
        <f>'6 tháng 2021'!H78</f>
        <v>0</v>
      </c>
      <c r="G19" s="268">
        <f>'6 tháng 2021'!I78</f>
        <v>5453</v>
      </c>
      <c r="H19" s="58">
        <f t="shared" si="0"/>
        <v>110.51974478917543</v>
      </c>
      <c r="I19" s="268">
        <f>'6 tháng 2021'!J78</f>
        <v>7094.5</v>
      </c>
      <c r="J19" s="58">
        <f t="shared" si="1"/>
        <v>130.10269576379974</v>
      </c>
    </row>
    <row r="20" spans="1:10" s="205" customFormat="1" ht="23.45" customHeight="1">
      <c r="A20" s="188" t="s">
        <v>557</v>
      </c>
      <c r="B20" s="206" t="s">
        <v>559</v>
      </c>
      <c r="C20" s="188"/>
      <c r="D20" s="268"/>
      <c r="E20" s="59"/>
      <c r="F20" s="268"/>
      <c r="G20" s="59"/>
      <c r="H20" s="58" t="str">
        <f t="shared" si="0"/>
        <v/>
      </c>
      <c r="I20" s="59"/>
      <c r="J20" s="58" t="str">
        <f t="shared" si="1"/>
        <v/>
      </c>
    </row>
    <row r="21" spans="1:10" s="205" customFormat="1" ht="23.45" customHeight="1">
      <c r="A21" s="217" t="s">
        <v>155</v>
      </c>
      <c r="B21" s="206" t="s">
        <v>27</v>
      </c>
      <c r="C21" s="188" t="s">
        <v>21</v>
      </c>
      <c r="D21" s="266">
        <f>'6 tháng 2021'!E83</f>
        <v>12.35</v>
      </c>
      <c r="E21" s="266">
        <f>'6 tháng 2021'!F83</f>
        <v>12.5</v>
      </c>
      <c r="F21" s="266">
        <f>'6 tháng 2021'!H83</f>
        <v>12.5</v>
      </c>
      <c r="G21" s="266">
        <f>'6 tháng 2021'!I83</f>
        <v>12.5</v>
      </c>
      <c r="H21" s="58">
        <f t="shared" si="0"/>
        <v>101.21457489878543</v>
      </c>
      <c r="I21" s="266">
        <f>'6 tháng 2021'!J83</f>
        <v>12.5</v>
      </c>
      <c r="J21" s="58">
        <f t="shared" si="1"/>
        <v>100</v>
      </c>
    </row>
    <row r="22" spans="1:10" s="205" customFormat="1" ht="23.45" customHeight="1">
      <c r="A22" s="217" t="s">
        <v>155</v>
      </c>
      <c r="B22" s="206" t="s">
        <v>28</v>
      </c>
      <c r="C22" s="188" t="s">
        <v>76</v>
      </c>
      <c r="D22" s="268">
        <f>'6 tháng 2021'!E84</f>
        <v>6650.4750000000004</v>
      </c>
      <c r="E22" s="268">
        <f>'6 tháng 2021'!F84</f>
        <v>7193.75</v>
      </c>
      <c r="F22" s="268">
        <f>'6 tháng 2021'!H84</f>
        <v>7154.625</v>
      </c>
      <c r="G22" s="268">
        <f>'6 tháng 2021'!I84</f>
        <v>7154.625</v>
      </c>
      <c r="H22" s="58">
        <f t="shared" si="0"/>
        <v>107.5806615316951</v>
      </c>
      <c r="I22" s="268">
        <f>'6 tháng 2021'!J84</f>
        <v>8187.5</v>
      </c>
      <c r="J22" s="58">
        <f t="shared" si="1"/>
        <v>114.43646592239286</v>
      </c>
    </row>
    <row r="23" spans="1:10" s="182" customFormat="1" ht="23.45" customHeight="1">
      <c r="A23" s="203">
        <v>2</v>
      </c>
      <c r="B23" s="204" t="s">
        <v>560</v>
      </c>
      <c r="C23" s="1"/>
      <c r="D23" s="280"/>
      <c r="E23" s="57"/>
      <c r="F23" s="280"/>
      <c r="G23" s="59"/>
      <c r="H23" s="58" t="str">
        <f t="shared" si="0"/>
        <v/>
      </c>
      <c r="I23" s="57"/>
      <c r="J23" s="58" t="str">
        <f t="shared" si="1"/>
        <v/>
      </c>
    </row>
    <row r="24" spans="1:10" s="205" customFormat="1" ht="23.45" customHeight="1">
      <c r="A24" s="217" t="s">
        <v>155</v>
      </c>
      <c r="B24" s="206" t="s">
        <v>561</v>
      </c>
      <c r="C24" s="188" t="s">
        <v>76</v>
      </c>
      <c r="D24" s="268"/>
      <c r="E24" s="59"/>
      <c r="F24" s="268"/>
      <c r="G24" s="59"/>
      <c r="H24" s="58" t="str">
        <f t="shared" si="0"/>
        <v/>
      </c>
      <c r="I24" s="59"/>
      <c r="J24" s="58" t="str">
        <f t="shared" si="1"/>
        <v/>
      </c>
    </row>
    <row r="25" spans="1:10" s="205" customFormat="1" ht="23.45" customHeight="1">
      <c r="A25" s="188"/>
      <c r="B25" s="189" t="s">
        <v>562</v>
      </c>
      <c r="C25" s="188" t="s">
        <v>76</v>
      </c>
      <c r="D25" s="59"/>
      <c r="E25" s="59"/>
      <c r="F25" s="268"/>
      <c r="G25" s="59"/>
      <c r="H25" s="58" t="str">
        <f t="shared" si="0"/>
        <v/>
      </c>
      <c r="I25" s="59"/>
      <c r="J25" s="58" t="str">
        <f t="shared" si="1"/>
        <v/>
      </c>
    </row>
    <row r="26" spans="1:10" s="182" customFormat="1" ht="24" customHeight="1">
      <c r="A26" s="203">
        <v>3</v>
      </c>
      <c r="B26" s="204" t="s">
        <v>104</v>
      </c>
      <c r="C26" s="1"/>
      <c r="D26" s="280"/>
      <c r="E26" s="57"/>
      <c r="F26" s="280"/>
      <c r="G26" s="59"/>
      <c r="H26" s="58" t="str">
        <f t="shared" si="0"/>
        <v/>
      </c>
      <c r="I26" s="57"/>
      <c r="J26" s="58" t="str">
        <f t="shared" si="1"/>
        <v/>
      </c>
    </row>
    <row r="27" spans="1:10" s="205" customFormat="1" ht="24" customHeight="1">
      <c r="A27" s="217" t="s">
        <v>155</v>
      </c>
      <c r="B27" s="247" t="s">
        <v>563</v>
      </c>
      <c r="C27" s="1" t="s">
        <v>37</v>
      </c>
      <c r="D27" s="268">
        <f>'6 tháng 2021'!E110</f>
        <v>4</v>
      </c>
      <c r="E27" s="268">
        <f>'6 tháng 2021'!F110</f>
        <v>0</v>
      </c>
      <c r="F27" s="268">
        <f>'6 tháng 2021'!H110</f>
        <v>0</v>
      </c>
      <c r="G27" s="268">
        <f>'6 tháng 2021'!I110</f>
        <v>27</v>
      </c>
      <c r="H27" s="58">
        <f t="shared" si="0"/>
        <v>675</v>
      </c>
      <c r="I27" s="268">
        <f>'6 tháng 2021'!J110</f>
        <v>300</v>
      </c>
      <c r="J27" s="58">
        <f t="shared" si="1"/>
        <v>1111.1111111111111</v>
      </c>
    </row>
    <row r="28" spans="1:10" s="205" customFormat="1" ht="24" customHeight="1">
      <c r="A28" s="217" t="s">
        <v>155</v>
      </c>
      <c r="B28" s="206" t="s">
        <v>564</v>
      </c>
      <c r="C28" s="1" t="s">
        <v>33</v>
      </c>
      <c r="D28" s="266">
        <f>'6 tháng 2021'!E114</f>
        <v>31.37105055292259</v>
      </c>
      <c r="E28" s="266">
        <f>'6 tháng 2021'!F114</f>
        <v>31.370458135860982</v>
      </c>
      <c r="F28" s="266">
        <f>'6 tháng 2021'!H114</f>
        <v>31.370458135860982</v>
      </c>
      <c r="G28" s="266">
        <f>'6 tháng 2021'!I114</f>
        <v>31.370458135860982</v>
      </c>
      <c r="H28" s="58">
        <f t="shared" si="0"/>
        <v>99.998111580418353</v>
      </c>
      <c r="I28" s="266">
        <f>'6 tháng 2021'!J114</f>
        <v>47.34</v>
      </c>
      <c r="J28" s="58">
        <f t="shared" si="1"/>
        <v>150.90630744051364</v>
      </c>
    </row>
    <row r="29" spans="1:10" s="182" customFormat="1" ht="24" customHeight="1">
      <c r="A29" s="203">
        <v>4</v>
      </c>
      <c r="B29" s="204" t="s">
        <v>325</v>
      </c>
      <c r="C29" s="188" t="s">
        <v>76</v>
      </c>
      <c r="D29" s="280">
        <f>D30+D31</f>
        <v>320</v>
      </c>
      <c r="E29" s="280">
        <f>E30+E31</f>
        <v>335</v>
      </c>
      <c r="F29" s="280">
        <f>F30+F31</f>
        <v>124</v>
      </c>
      <c r="G29" s="280">
        <f>G30+G31</f>
        <v>207</v>
      </c>
      <c r="H29" s="58">
        <f t="shared" si="0"/>
        <v>64.6875</v>
      </c>
      <c r="I29" s="280">
        <f>I30+I31</f>
        <v>324</v>
      </c>
      <c r="J29" s="58">
        <f t="shared" si="1"/>
        <v>156.52173913043478</v>
      </c>
    </row>
    <row r="30" spans="1:10" s="205" customFormat="1" ht="24" customHeight="1">
      <c r="A30" s="217" t="s">
        <v>155</v>
      </c>
      <c r="B30" s="206" t="s">
        <v>565</v>
      </c>
      <c r="C30" s="188" t="s">
        <v>76</v>
      </c>
      <c r="D30" s="268">
        <f>'6 tháng 2021'!E108</f>
        <v>110</v>
      </c>
      <c r="E30" s="268">
        <f>'6 tháng 2021'!F108</f>
        <v>125</v>
      </c>
      <c r="F30" s="268">
        <f>'6 tháng 2021'!H108</f>
        <v>37.5</v>
      </c>
      <c r="G30" s="268">
        <f>'6 tháng 2021'!I108</f>
        <v>70</v>
      </c>
      <c r="H30" s="58">
        <f t="shared" si="0"/>
        <v>63.636363636363633</v>
      </c>
      <c r="I30" s="268">
        <f>'6 tháng 2021'!J108</f>
        <v>110</v>
      </c>
      <c r="J30" s="58">
        <f t="shared" si="1"/>
        <v>157.14285714285714</v>
      </c>
    </row>
    <row r="31" spans="1:10" s="205" customFormat="1" ht="24" customHeight="1">
      <c r="A31" s="217" t="s">
        <v>155</v>
      </c>
      <c r="B31" s="206" t="s">
        <v>566</v>
      </c>
      <c r="C31" s="188" t="s">
        <v>76</v>
      </c>
      <c r="D31" s="268">
        <f>'6 tháng 2021'!E107</f>
        <v>210</v>
      </c>
      <c r="E31" s="268">
        <f>'6 tháng 2021'!F107</f>
        <v>210</v>
      </c>
      <c r="F31" s="268">
        <f>'6 tháng 2021'!H107</f>
        <v>86.5</v>
      </c>
      <c r="G31" s="268">
        <f>'6 tháng 2021'!I107</f>
        <v>137</v>
      </c>
      <c r="H31" s="58">
        <f t="shared" si="0"/>
        <v>65.238095238095241</v>
      </c>
      <c r="I31" s="268">
        <f>'6 tháng 2021'!J107</f>
        <v>214</v>
      </c>
      <c r="J31" s="58">
        <f t="shared" si="1"/>
        <v>156.20437956204378</v>
      </c>
    </row>
    <row r="32" spans="1:10" s="205" customFormat="1" ht="24" customHeight="1">
      <c r="A32" s="203">
        <v>5</v>
      </c>
      <c r="B32" s="204" t="s">
        <v>567</v>
      </c>
      <c r="C32" s="188"/>
      <c r="D32" s="268"/>
      <c r="E32" s="59"/>
      <c r="F32" s="268"/>
      <c r="G32" s="59"/>
      <c r="H32" s="58" t="str">
        <f t="shared" si="0"/>
        <v/>
      </c>
      <c r="I32" s="59"/>
      <c r="J32" s="58" t="str">
        <f t="shared" si="1"/>
        <v/>
      </c>
    </row>
    <row r="33" spans="1:12" s="205" customFormat="1" ht="39.950000000000003" customHeight="1">
      <c r="A33" s="217" t="s">
        <v>155</v>
      </c>
      <c r="B33" s="206" t="s">
        <v>568</v>
      </c>
      <c r="C33" s="188" t="s">
        <v>33</v>
      </c>
      <c r="D33" s="266">
        <v>89.1</v>
      </c>
      <c r="E33" s="58">
        <v>91.1</v>
      </c>
      <c r="F33" s="58">
        <v>91.1</v>
      </c>
      <c r="G33" s="58">
        <v>91.1</v>
      </c>
      <c r="H33" s="58">
        <f t="shared" si="0"/>
        <v>102.24466891133558</v>
      </c>
      <c r="I33" s="58">
        <v>91.5</v>
      </c>
      <c r="J33" s="58">
        <f t="shared" si="1"/>
        <v>100.4390779363337</v>
      </c>
      <c r="L33" s="270"/>
    </row>
    <row r="34" spans="1:12" s="205" customFormat="1" ht="39.950000000000003" customHeight="1">
      <c r="A34" s="217" t="s">
        <v>155</v>
      </c>
      <c r="B34" s="206" t="s">
        <v>569</v>
      </c>
      <c r="C34" s="188" t="s">
        <v>570</v>
      </c>
      <c r="D34" s="266">
        <f>72/8</f>
        <v>9</v>
      </c>
      <c r="E34" s="266">
        <f>95/8</f>
        <v>11.875</v>
      </c>
      <c r="F34" s="266">
        <f>95/8</f>
        <v>11.875</v>
      </c>
      <c r="G34" s="266">
        <f>95/8</f>
        <v>11.875</v>
      </c>
      <c r="H34" s="58">
        <f t="shared" si="0"/>
        <v>131.94444444444446</v>
      </c>
      <c r="I34" s="58">
        <f>112/8</f>
        <v>14</v>
      </c>
      <c r="J34" s="58">
        <f t="shared" si="1"/>
        <v>117.89473684210527</v>
      </c>
    </row>
    <row r="35" spans="1:12" s="205" customFormat="1" ht="25.5" customHeight="1">
      <c r="A35" s="217" t="s">
        <v>155</v>
      </c>
      <c r="B35" s="206" t="s">
        <v>571</v>
      </c>
      <c r="C35" s="188" t="s">
        <v>572</v>
      </c>
      <c r="D35" s="268">
        <v>2</v>
      </c>
      <c r="E35" s="59">
        <v>2</v>
      </c>
      <c r="F35" s="268">
        <v>2</v>
      </c>
      <c r="G35" s="59">
        <v>2</v>
      </c>
      <c r="H35" s="58">
        <f t="shared" si="0"/>
        <v>100</v>
      </c>
      <c r="I35" s="59">
        <v>3</v>
      </c>
      <c r="J35" s="58">
        <f t="shared" si="1"/>
        <v>150</v>
      </c>
    </row>
    <row r="36" spans="1:12" s="205" customFormat="1" ht="24" customHeight="1">
      <c r="A36" s="217" t="s">
        <v>155</v>
      </c>
      <c r="B36" s="206" t="s">
        <v>573</v>
      </c>
      <c r="C36" s="188" t="s">
        <v>33</v>
      </c>
      <c r="D36" s="266">
        <f>D35/8%</f>
        <v>25</v>
      </c>
      <c r="E36" s="266">
        <f>E35/8%</f>
        <v>25</v>
      </c>
      <c r="F36" s="266">
        <f>F35/8%</f>
        <v>25</v>
      </c>
      <c r="G36" s="266">
        <f>G35/8%</f>
        <v>25</v>
      </c>
      <c r="H36" s="58">
        <f t="shared" si="0"/>
        <v>100</v>
      </c>
      <c r="I36" s="266">
        <f>I35/8%</f>
        <v>37.5</v>
      </c>
      <c r="J36" s="58">
        <f t="shared" si="1"/>
        <v>150</v>
      </c>
    </row>
    <row r="37" spans="1:12" s="183" customFormat="1" ht="24" customHeight="1">
      <c r="A37" s="203" t="s">
        <v>43</v>
      </c>
      <c r="B37" s="204" t="s">
        <v>111</v>
      </c>
      <c r="C37" s="203"/>
      <c r="D37" s="280"/>
      <c r="E37" s="280"/>
      <c r="F37" s="280"/>
      <c r="G37" s="280"/>
      <c r="H37" s="58" t="str">
        <f t="shared" si="0"/>
        <v/>
      </c>
      <c r="I37" s="280"/>
      <c r="J37" s="58" t="str">
        <f t="shared" si="1"/>
        <v/>
      </c>
    </row>
    <row r="38" spans="1:12" s="183" customFormat="1" ht="39.950000000000003" customHeight="1">
      <c r="A38" s="203">
        <v>1</v>
      </c>
      <c r="B38" s="204" t="s">
        <v>574</v>
      </c>
      <c r="C38" s="167" t="s">
        <v>575</v>
      </c>
      <c r="D38" s="280">
        <f>'6 tháng 2021'!E116</f>
        <v>708000</v>
      </c>
      <c r="E38" s="280">
        <f>'6 tháng 2021'!F116</f>
        <v>722000</v>
      </c>
      <c r="F38" s="280">
        <f>'6 tháng 2021'!H116</f>
        <v>435000</v>
      </c>
      <c r="G38" s="280">
        <f>'6 tháng 2021'!I116</f>
        <v>730000</v>
      </c>
      <c r="H38" s="66">
        <f t="shared" si="0"/>
        <v>103.10734463276836</v>
      </c>
      <c r="I38" s="280">
        <f>'6 tháng 2021'!J116</f>
        <v>850000</v>
      </c>
      <c r="J38" s="58">
        <f t="shared" si="1"/>
        <v>116.43835616438356</v>
      </c>
    </row>
    <row r="39" spans="1:12" s="183" customFormat="1" ht="24" customHeight="1">
      <c r="A39" s="203">
        <v>2</v>
      </c>
      <c r="B39" s="204" t="s">
        <v>576</v>
      </c>
      <c r="C39" s="203"/>
      <c r="D39" s="280"/>
      <c r="E39" s="280"/>
      <c r="F39" s="280"/>
      <c r="G39" s="280"/>
      <c r="H39" s="58" t="str">
        <f t="shared" si="0"/>
        <v/>
      </c>
      <c r="I39" s="280"/>
      <c r="J39" s="58" t="str">
        <f t="shared" si="1"/>
        <v/>
      </c>
    </row>
    <row r="40" spans="1:12" s="191" customFormat="1" ht="24" customHeight="1">
      <c r="A40" s="188"/>
      <c r="B40" s="206" t="str">
        <f>'6 tháng 2021'!B118</f>
        <v>Đá, cát, sỏi xây dựng</v>
      </c>
      <c r="C40" s="188" t="str">
        <f>'6 tháng 2021'!C118</f>
        <v>1000m3</v>
      </c>
      <c r="D40" s="268">
        <f>'6 tháng 2021'!E118</f>
        <v>42</v>
      </c>
      <c r="E40" s="268">
        <f>'6 tháng 2021'!F118</f>
        <v>40</v>
      </c>
      <c r="F40" s="268">
        <f>'6 tháng 2021'!H118</f>
        <v>30</v>
      </c>
      <c r="G40" s="268">
        <f>'6 tháng 2021'!I118</f>
        <v>38</v>
      </c>
      <c r="H40" s="58">
        <f t="shared" si="0"/>
        <v>90.476190476190482</v>
      </c>
      <c r="I40" s="268">
        <f>'6 tháng 2021'!J118</f>
        <v>150</v>
      </c>
      <c r="J40" s="58">
        <f t="shared" si="1"/>
        <v>394.73684210526318</v>
      </c>
    </row>
    <row r="41" spans="1:12" s="191" customFormat="1" ht="24" customHeight="1">
      <c r="A41" s="188"/>
      <c r="B41" s="206" t="e">
        <f>'6 tháng 2021'!#REF!</f>
        <v>#REF!</v>
      </c>
      <c r="C41" s="188" t="e">
        <f>'6 tháng 2021'!#REF!</f>
        <v>#REF!</v>
      </c>
      <c r="D41" s="268" t="e">
        <f>'6 tháng 2021'!#REF!</f>
        <v>#REF!</v>
      </c>
      <c r="E41" s="268" t="e">
        <f>'6 tháng 2021'!#REF!</f>
        <v>#REF!</v>
      </c>
      <c r="F41" s="268" t="e">
        <f>'6 tháng 2021'!#REF!</f>
        <v>#REF!</v>
      </c>
      <c r="G41" s="268" t="e">
        <f>'6 tháng 2021'!#REF!</f>
        <v>#REF!</v>
      </c>
      <c r="H41" s="58" t="str">
        <f t="shared" si="0"/>
        <v/>
      </c>
      <c r="I41" s="268" t="e">
        <f>'6 tháng 2021'!#REF!</f>
        <v>#REF!</v>
      </c>
      <c r="J41" s="58" t="str">
        <f t="shared" si="1"/>
        <v/>
      </c>
    </row>
    <row r="42" spans="1:12" s="191" customFormat="1" ht="24" customHeight="1">
      <c r="A42" s="188"/>
      <c r="B42" s="206" t="str">
        <f>'6 tháng 2021'!B119</f>
        <v>Tinh bột sắn</v>
      </c>
      <c r="C42" s="188" t="str">
        <f>'6 tháng 2021'!C119</f>
        <v>Tấn</v>
      </c>
      <c r="D42" s="268">
        <f>'6 tháng 2021'!E119</f>
        <v>60000</v>
      </c>
      <c r="E42" s="268">
        <f>'6 tháng 2021'!F119</f>
        <v>55000</v>
      </c>
      <c r="F42" s="268">
        <f>'6 tháng 2021'!H119</f>
        <v>31000</v>
      </c>
      <c r="G42" s="268">
        <f>'6 tháng 2021'!I119</f>
        <v>55300</v>
      </c>
      <c r="H42" s="58">
        <f t="shared" si="0"/>
        <v>92.166666666666671</v>
      </c>
      <c r="I42" s="268">
        <f>'6 tháng 2021'!J119</f>
        <v>52000</v>
      </c>
      <c r="J42" s="58">
        <f t="shared" si="1"/>
        <v>94.032549728752258</v>
      </c>
    </row>
    <row r="43" spans="1:12" s="191" customFormat="1" ht="24" customHeight="1">
      <c r="A43" s="188"/>
      <c r="B43" s="206" t="str">
        <f>'6 tháng 2021'!B120</f>
        <v>Cồn công nghiệp</v>
      </c>
      <c r="C43" s="188" t="str">
        <f>'6 tháng 2021'!C120</f>
        <v>Tấn</v>
      </c>
      <c r="D43" s="268">
        <f>'6 tháng 2021'!E120</f>
        <v>13000</v>
      </c>
      <c r="E43" s="268">
        <f>'6 tháng 2021'!F120</f>
        <v>12000</v>
      </c>
      <c r="F43" s="268">
        <f>'6 tháng 2021'!H120</f>
        <v>4950</v>
      </c>
      <c r="G43" s="268">
        <f>'6 tháng 2021'!I120</f>
        <v>12125</v>
      </c>
      <c r="H43" s="58">
        <f t="shared" si="0"/>
        <v>93.269230769230774</v>
      </c>
      <c r="I43" s="268">
        <f>'6 tháng 2021'!J120</f>
        <v>10000</v>
      </c>
      <c r="J43" s="58">
        <f t="shared" si="1"/>
        <v>82.474226804123717</v>
      </c>
    </row>
    <row r="44" spans="1:12" s="191" customFormat="1" ht="24" customHeight="1">
      <c r="A44" s="188"/>
      <c r="B44" s="206" t="str">
        <f>'6 tháng 2021'!B121</f>
        <v>Sản xuất thủy điện</v>
      </c>
      <c r="C44" s="188" t="str">
        <f>'6 tháng 2021'!C121</f>
        <v>1000 Kw/h</v>
      </c>
      <c r="D44" s="268">
        <f>'6 tháng 2021'!E121</f>
        <v>41000</v>
      </c>
      <c r="E44" s="268">
        <f>'6 tháng 2021'!F121</f>
        <v>60000</v>
      </c>
      <c r="F44" s="268">
        <f>'6 tháng 2021'!H121</f>
        <v>47180</v>
      </c>
      <c r="G44" s="268">
        <f>'6 tháng 2021'!I121</f>
        <v>67350</v>
      </c>
      <c r="H44" s="58">
        <f t="shared" si="0"/>
        <v>164.26829268292684</v>
      </c>
      <c r="I44" s="268">
        <f>'6 tháng 2021'!J121</f>
        <v>90000</v>
      </c>
      <c r="J44" s="58">
        <f t="shared" si="1"/>
        <v>133.630289532294</v>
      </c>
    </row>
    <row r="45" spans="1:12" ht="24" customHeight="1">
      <c r="A45" s="188"/>
      <c r="B45" s="206" t="e">
        <f>'6 tháng 2021'!#REF!</f>
        <v>#REF!</v>
      </c>
      <c r="C45" s="188" t="e">
        <f>'6 tháng 2021'!#REF!</f>
        <v>#REF!</v>
      </c>
      <c r="D45" s="268" t="e">
        <f>'6 tháng 2021'!#REF!</f>
        <v>#REF!</v>
      </c>
      <c r="E45" s="268" t="e">
        <f>'6 tháng 2021'!#REF!</f>
        <v>#REF!</v>
      </c>
      <c r="F45" s="268" t="e">
        <f>'6 tháng 2021'!#REF!</f>
        <v>#REF!</v>
      </c>
      <c r="G45" s="268" t="e">
        <f>'6 tháng 2021'!#REF!</f>
        <v>#REF!</v>
      </c>
      <c r="H45" s="58" t="str">
        <f t="shared" si="0"/>
        <v/>
      </c>
      <c r="I45" s="268" t="e">
        <f>'6 tháng 2021'!#REF!</f>
        <v>#REF!</v>
      </c>
      <c r="J45" s="58" t="str">
        <f t="shared" si="1"/>
        <v/>
      </c>
    </row>
    <row r="46" spans="1:12" s="183" customFormat="1" ht="24" customHeight="1">
      <c r="A46" s="203" t="s">
        <v>176</v>
      </c>
      <c r="B46" s="204" t="s">
        <v>577</v>
      </c>
      <c r="C46" s="203"/>
      <c r="D46" s="280"/>
      <c r="E46" s="280"/>
      <c r="F46" s="280"/>
      <c r="G46" s="280"/>
      <c r="H46" s="58" t="str">
        <f t="shared" si="0"/>
        <v/>
      </c>
      <c r="I46" s="280"/>
      <c r="J46" s="58" t="str">
        <f t="shared" si="1"/>
        <v/>
      </c>
    </row>
    <row r="47" spans="1:12" ht="39.950000000000003" customHeight="1">
      <c r="A47" s="217" t="s">
        <v>155</v>
      </c>
      <c r="B47" s="206" t="s">
        <v>578</v>
      </c>
      <c r="C47" s="1" t="s">
        <v>575</v>
      </c>
      <c r="D47" s="268">
        <f>'6 tháng 2021'!E123</f>
        <v>595000</v>
      </c>
      <c r="E47" s="268">
        <f>'6 tháng 2021'!F123</f>
        <v>696000</v>
      </c>
      <c r="F47" s="268">
        <f>'6 tháng 2021'!H123</f>
        <v>450000</v>
      </c>
      <c r="G47" s="268">
        <f>'6 tháng 2021'!I123</f>
        <v>698000</v>
      </c>
      <c r="H47" s="58">
        <f t="shared" si="0"/>
        <v>117.31092436974789</v>
      </c>
      <c r="I47" s="268">
        <f>'6 tháng 2021'!J123</f>
        <v>900000</v>
      </c>
      <c r="J47" s="58">
        <f t="shared" si="1"/>
        <v>128.93982808022923</v>
      </c>
    </row>
    <row r="48" spans="1:12" ht="18" customHeight="1">
      <c r="A48" s="248"/>
      <c r="B48" s="244"/>
      <c r="C48" s="244"/>
      <c r="D48" s="275"/>
      <c r="E48" s="275"/>
      <c r="F48" s="275"/>
      <c r="G48" s="275"/>
      <c r="H48" s="275"/>
      <c r="I48" s="275"/>
      <c r="J48" s="275"/>
    </row>
    <row r="49" ht="18" customHeight="1"/>
    <row r="50" ht="18" customHeight="1"/>
  </sheetData>
  <mergeCells count="9">
    <mergeCell ref="A2:J2"/>
    <mergeCell ref="A3:J3"/>
    <mergeCell ref="A5:A6"/>
    <mergeCell ref="B5:B6"/>
    <mergeCell ref="C5:C6"/>
    <mergeCell ref="D5:D6"/>
    <mergeCell ref="E5:H5"/>
    <mergeCell ref="I5:I6"/>
    <mergeCell ref="J5:J6"/>
  </mergeCells>
  <pageMargins left="0.39370078740157483" right="0.19685039370078741" top="0.78740157480314965" bottom="0.39370078740157483" header="0.31496062992125984" footer="0.31496062992125984"/>
  <pageSetup paperSize="9" scale="98" fitToHeight="0" orientation="landscape" r:id="rId1"/>
  <headerFoot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O180"/>
  <sheetViews>
    <sheetView zoomScale="70" zoomScaleNormal="70" zoomScaleSheetLayoutView="85" workbookViewId="0">
      <pane xSplit="2" ySplit="7" topLeftCell="C8" activePane="bottomRight" state="frozen"/>
      <selection activeCell="F28" sqref="F28"/>
      <selection pane="topRight" activeCell="F28" sqref="F28"/>
      <selection pane="bottomLeft" activeCell="F28" sqref="F28"/>
      <selection pane="bottomRight" activeCell="F28" sqref="F28"/>
    </sheetView>
  </sheetViews>
  <sheetFormatPr defaultColWidth="9.140625" defaultRowHeight="15.75" outlineLevelRow="1" outlineLevelCol="1"/>
  <cols>
    <col min="1" max="1" width="5.5703125" style="65" customWidth="1"/>
    <col min="2" max="2" width="39.140625" style="5" customWidth="1"/>
    <col min="3" max="3" width="12.140625" style="65" customWidth="1"/>
    <col min="4" max="4" width="12.140625" style="5" hidden="1" customWidth="1" outlineLevel="1"/>
    <col min="5" max="5" width="12.140625" style="5" customWidth="1" collapsed="1"/>
    <col min="6" max="12" width="12.140625" style="5" customWidth="1"/>
    <col min="13" max="13" width="10" style="5" bestFit="1" customWidth="1"/>
    <col min="14" max="14" width="9.140625" style="5" hidden="1" customWidth="1" outlineLevel="1"/>
    <col min="15" max="15" width="9.140625" style="5" collapsed="1"/>
    <col min="16" max="16384" width="9.140625" style="5"/>
  </cols>
  <sheetData>
    <row r="1" spans="1:14" ht="18.75" outlineLevel="1">
      <c r="A1" s="768" t="s">
        <v>716</v>
      </c>
      <c r="B1" s="768"/>
      <c r="C1" s="768"/>
      <c r="D1" s="768"/>
      <c r="E1" s="768"/>
      <c r="F1" s="768"/>
      <c r="G1" s="768"/>
      <c r="H1" s="768"/>
      <c r="I1" s="768"/>
      <c r="J1" s="768"/>
      <c r="K1" s="768"/>
      <c r="L1" s="768"/>
    </row>
    <row r="2" spans="1:14" ht="18.75" outlineLevel="1">
      <c r="A2" s="769" t="s">
        <v>715</v>
      </c>
      <c r="B2" s="769"/>
      <c r="C2" s="769"/>
      <c r="D2" s="769"/>
      <c r="E2" s="769"/>
      <c r="F2" s="769"/>
      <c r="G2" s="769"/>
      <c r="H2" s="769"/>
      <c r="I2" s="769"/>
      <c r="J2" s="769"/>
      <c r="K2" s="769"/>
      <c r="L2" s="769"/>
    </row>
    <row r="3" spans="1:14" ht="18.75" outlineLevel="1">
      <c r="A3" s="770" t="s">
        <v>748</v>
      </c>
      <c r="B3" s="770"/>
      <c r="C3" s="770"/>
      <c r="D3" s="770"/>
      <c r="E3" s="770"/>
      <c r="F3" s="770"/>
      <c r="G3" s="770"/>
      <c r="H3" s="770"/>
      <c r="I3" s="770"/>
      <c r="J3" s="770"/>
      <c r="K3" s="770"/>
      <c r="L3" s="770"/>
    </row>
    <row r="4" spans="1:14" outlineLevel="1">
      <c r="A4" s="7"/>
      <c r="B4" s="2"/>
      <c r="C4" s="8"/>
      <c r="D4" s="2"/>
      <c r="E4" s="2"/>
      <c r="F4" s="2"/>
      <c r="G4" s="2"/>
      <c r="H4" s="2"/>
      <c r="I4" s="2"/>
      <c r="J4" s="2"/>
      <c r="K4" s="2"/>
    </row>
    <row r="5" spans="1:14" ht="16.5" customHeight="1">
      <c r="A5" s="773" t="s">
        <v>55</v>
      </c>
      <c r="B5" s="774" t="s">
        <v>69</v>
      </c>
      <c r="C5" s="774" t="s">
        <v>18</v>
      </c>
      <c r="D5" s="774" t="s">
        <v>361</v>
      </c>
      <c r="E5" s="774" t="s">
        <v>415</v>
      </c>
      <c r="F5" s="774" t="s">
        <v>514</v>
      </c>
      <c r="G5" s="774"/>
      <c r="H5" s="774"/>
      <c r="I5" s="774"/>
      <c r="J5" s="793" t="s">
        <v>516</v>
      </c>
      <c r="K5" s="775" t="s">
        <v>520</v>
      </c>
      <c r="L5" s="775" t="s">
        <v>75</v>
      </c>
    </row>
    <row r="6" spans="1:14" ht="47.25">
      <c r="A6" s="773"/>
      <c r="B6" s="774"/>
      <c r="C6" s="773"/>
      <c r="D6" s="774"/>
      <c r="E6" s="773"/>
      <c r="F6" s="319" t="s">
        <v>470</v>
      </c>
      <c r="G6" s="319" t="s">
        <v>723</v>
      </c>
      <c r="H6" s="319" t="s">
        <v>515</v>
      </c>
      <c r="I6" s="319" t="s">
        <v>706</v>
      </c>
      <c r="J6" s="794"/>
      <c r="K6" s="776"/>
      <c r="L6" s="776"/>
    </row>
    <row r="7" spans="1:14">
      <c r="A7" s="319">
        <v>1</v>
      </c>
      <c r="B7" s="319">
        <v>2</v>
      </c>
      <c r="C7" s="319">
        <v>3</v>
      </c>
      <c r="D7" s="319"/>
      <c r="E7" s="319">
        <v>4</v>
      </c>
      <c r="F7" s="319">
        <v>5</v>
      </c>
      <c r="G7" s="319">
        <v>6</v>
      </c>
      <c r="H7" s="319">
        <v>7</v>
      </c>
      <c r="I7" s="319" t="s">
        <v>480</v>
      </c>
      <c r="J7" s="319">
        <v>9</v>
      </c>
      <c r="K7" s="319" t="s">
        <v>519</v>
      </c>
      <c r="L7" s="319">
        <v>11</v>
      </c>
    </row>
    <row r="8" spans="1:14" ht="20.25" customHeight="1">
      <c r="A8" s="11"/>
      <c r="B8" s="30" t="s">
        <v>177</v>
      </c>
      <c r="C8" s="24"/>
      <c r="D8" s="25"/>
      <c r="E8" s="25"/>
      <c r="F8" s="25"/>
      <c r="G8" s="25"/>
      <c r="H8" s="25"/>
      <c r="I8" s="66" t="str">
        <f t="shared" ref="I8:I66" si="0">IFERROR(H8/E8%,"")</f>
        <v/>
      </c>
      <c r="J8" s="25"/>
      <c r="K8" s="66" t="str">
        <f t="shared" ref="K8:K66" si="1">IFERROR(J8/H8%,"")</f>
        <v/>
      </c>
      <c r="L8" s="66"/>
      <c r="N8" s="284" t="str">
        <f t="shared" ref="N8:N68" si="2">IFERROR(H8/F8%,"")</f>
        <v/>
      </c>
    </row>
    <row r="9" spans="1:14" ht="20.25" customHeight="1">
      <c r="A9" s="32" t="s">
        <v>56</v>
      </c>
      <c r="B9" s="35" t="s">
        <v>401</v>
      </c>
      <c r="C9" s="32" t="s">
        <v>37</v>
      </c>
      <c r="D9" s="29">
        <f>D10+D60</f>
        <v>17898.73</v>
      </c>
      <c r="E9" s="29">
        <f>E10+E60</f>
        <v>17734.400000000001</v>
      </c>
      <c r="F9" s="29">
        <f>F10+F60</f>
        <v>18028.099999999999</v>
      </c>
      <c r="G9" s="29">
        <f>G10+G60</f>
        <v>17558.370000000003</v>
      </c>
      <c r="H9" s="29">
        <f>H10+H60</f>
        <v>17600.77</v>
      </c>
      <c r="I9" s="58">
        <f t="shared" si="0"/>
        <v>99.246492692168886</v>
      </c>
      <c r="J9" s="29">
        <f>J10+J60</f>
        <v>17334.599999999999</v>
      </c>
      <c r="K9" s="58">
        <f t="shared" si="1"/>
        <v>98.487736616068489</v>
      </c>
      <c r="L9" s="3"/>
      <c r="N9" s="284">
        <f t="shared" si="2"/>
        <v>97.629644832234135</v>
      </c>
    </row>
    <row r="10" spans="1:14" ht="17.25" customHeight="1">
      <c r="A10" s="11" t="s">
        <v>38</v>
      </c>
      <c r="B10" s="30" t="s">
        <v>439</v>
      </c>
      <c r="C10" s="11" t="s">
        <v>37</v>
      </c>
      <c r="D10" s="27">
        <f>D11+D40+D47+D43+D56</f>
        <v>8084.73</v>
      </c>
      <c r="E10" s="27">
        <f>E11+E40+E47+E43+E56</f>
        <v>7662.8</v>
      </c>
      <c r="F10" s="27">
        <f>F11+F40+F47+F43+F56</f>
        <v>7906</v>
      </c>
      <c r="G10" s="27">
        <f>G11+G40+G47+G43+G56</f>
        <v>7190.3700000000008</v>
      </c>
      <c r="H10" s="27">
        <f>H11+H40+H47+H43+H56</f>
        <v>7221.170000000001</v>
      </c>
      <c r="I10" s="66">
        <f t="shared" si="0"/>
        <v>94.236701988829168</v>
      </c>
      <c r="J10" s="27">
        <f>J11+J40+J47+J43+J56</f>
        <v>6905</v>
      </c>
      <c r="K10" s="66">
        <f t="shared" si="1"/>
        <v>95.621623642706084</v>
      </c>
      <c r="L10" s="3"/>
      <c r="N10" s="284">
        <f t="shared" si="2"/>
        <v>91.337844674930437</v>
      </c>
    </row>
    <row r="11" spans="1:14" s="18" customFormat="1" ht="17.25" customHeight="1">
      <c r="A11" s="11">
        <v>1</v>
      </c>
      <c r="B11" s="30" t="s">
        <v>22</v>
      </c>
      <c r="C11" s="11" t="s">
        <v>37</v>
      </c>
      <c r="D11" s="27">
        <f>D16+D31</f>
        <v>1649.23</v>
      </c>
      <c r="E11" s="27">
        <f>E16+E31</f>
        <v>1641.6</v>
      </c>
      <c r="F11" s="27">
        <f>F16+F31</f>
        <v>1614</v>
      </c>
      <c r="G11" s="27">
        <f>G16+G31</f>
        <v>1646.17</v>
      </c>
      <c r="H11" s="27">
        <f>H16+H31</f>
        <v>1652.97</v>
      </c>
      <c r="I11" s="66">
        <f t="shared" si="0"/>
        <v>100.69261695906432</v>
      </c>
      <c r="J11" s="27">
        <f>J16+J31</f>
        <v>1613</v>
      </c>
      <c r="K11" s="66">
        <f t="shared" si="1"/>
        <v>97.58192828665976</v>
      </c>
      <c r="L11" s="83"/>
      <c r="N11" s="284">
        <f t="shared" si="2"/>
        <v>102.41449814126393</v>
      </c>
    </row>
    <row r="12" spans="1:14" ht="17.25" customHeight="1">
      <c r="A12" s="32" t="s">
        <v>56</v>
      </c>
      <c r="B12" s="35" t="s">
        <v>23</v>
      </c>
      <c r="C12" s="34" t="s">
        <v>20</v>
      </c>
      <c r="D12" s="29">
        <f t="shared" ref="D12:J12" si="3">SUM(D13:D14)</f>
        <v>6733.6763900000005</v>
      </c>
      <c r="E12" s="29">
        <f t="shared" si="3"/>
        <v>7129.6886000000004</v>
      </c>
      <c r="F12" s="29">
        <f t="shared" si="3"/>
        <v>7071.0429999999997</v>
      </c>
      <c r="G12" s="29">
        <f>SUM(G13:G14)</f>
        <v>3118.9459380221647</v>
      </c>
      <c r="H12" s="29">
        <f>SUM(H13:H14)</f>
        <v>7402.6259380221645</v>
      </c>
      <c r="I12" s="58">
        <f t="shared" si="0"/>
        <v>103.82818035029138</v>
      </c>
      <c r="J12" s="29">
        <f t="shared" si="3"/>
        <v>7401</v>
      </c>
      <c r="K12" s="58">
        <f t="shared" si="1"/>
        <v>99.978035658754365</v>
      </c>
      <c r="L12" s="3"/>
      <c r="N12" s="284">
        <f t="shared" si="2"/>
        <v>104.68930733446486</v>
      </c>
    </row>
    <row r="13" spans="1:14" ht="17.25" customHeight="1">
      <c r="A13" s="32"/>
      <c r="B13" s="33" t="s">
        <v>24</v>
      </c>
      <c r="C13" s="34" t="s">
        <v>76</v>
      </c>
      <c r="D13" s="29">
        <f t="shared" ref="D13:J13" si="4">D18</f>
        <v>6298.7078300000003</v>
      </c>
      <c r="E13" s="29">
        <f t="shared" si="4"/>
        <v>6644.7176000000009</v>
      </c>
      <c r="F13" s="29">
        <f t="shared" si="4"/>
        <v>6644.5429999999997</v>
      </c>
      <c r="G13" s="29">
        <f t="shared" si="4"/>
        <v>2973.9459380221647</v>
      </c>
      <c r="H13" s="29">
        <f t="shared" si="4"/>
        <v>6956.6259380221645</v>
      </c>
      <c r="I13" s="58">
        <f t="shared" si="0"/>
        <v>104.69407967047634</v>
      </c>
      <c r="J13" s="29">
        <f t="shared" si="4"/>
        <v>6951</v>
      </c>
      <c r="K13" s="58">
        <f t="shared" si="1"/>
        <v>99.919128352274683</v>
      </c>
      <c r="L13" s="3"/>
      <c r="N13" s="284">
        <f t="shared" si="2"/>
        <v>104.69683073797798</v>
      </c>
    </row>
    <row r="14" spans="1:14" ht="17.25" customHeight="1">
      <c r="A14" s="32"/>
      <c r="B14" s="35" t="s">
        <v>137</v>
      </c>
      <c r="C14" s="34" t="s">
        <v>76</v>
      </c>
      <c r="D14" s="29">
        <f t="shared" ref="D14:J14" si="5">D33</f>
        <v>434.96856000000002</v>
      </c>
      <c r="E14" s="29">
        <f t="shared" si="5"/>
        <v>484.97099999999995</v>
      </c>
      <c r="F14" s="29">
        <f t="shared" si="5"/>
        <v>426.5</v>
      </c>
      <c r="G14" s="29">
        <f t="shared" si="5"/>
        <v>145</v>
      </c>
      <c r="H14" s="29">
        <f t="shared" si="5"/>
        <v>446</v>
      </c>
      <c r="I14" s="58">
        <f t="shared" si="0"/>
        <v>91.964261780601333</v>
      </c>
      <c r="J14" s="29">
        <f t="shared" si="5"/>
        <v>450</v>
      </c>
      <c r="K14" s="58">
        <f t="shared" si="1"/>
        <v>100.89686098654708</v>
      </c>
      <c r="L14" s="3"/>
      <c r="N14" s="284">
        <f t="shared" si="2"/>
        <v>104.57209847596718</v>
      </c>
    </row>
    <row r="15" spans="1:14" ht="17.25" customHeight="1">
      <c r="A15" s="32" t="s">
        <v>56</v>
      </c>
      <c r="B15" s="35" t="s">
        <v>25</v>
      </c>
      <c r="C15" s="32" t="s">
        <v>57</v>
      </c>
      <c r="D15" s="29">
        <f>D12/D116*1000</f>
        <v>150.81697702024726</v>
      </c>
      <c r="E15" s="29">
        <f>E12/E116*1000</f>
        <v>155.57664284545305</v>
      </c>
      <c r="F15" s="29">
        <f>F12/F116*1000</f>
        <v>150.66410270068715</v>
      </c>
      <c r="G15" s="29">
        <f>G12/G116*1000</f>
        <v>66.724698364952658</v>
      </c>
      <c r="H15" s="29">
        <f>H12/H116*1000</f>
        <v>157.72920551903616</v>
      </c>
      <c r="I15" s="58">
        <f t="shared" si="0"/>
        <v>101.38360272738461</v>
      </c>
      <c r="J15" s="29">
        <f>J12/J116*1000</f>
        <v>154.11525847259097</v>
      </c>
      <c r="K15" s="58">
        <f t="shared" si="1"/>
        <v>97.708764819709288</v>
      </c>
      <c r="L15" s="3"/>
      <c r="N15" s="284">
        <f t="shared" si="2"/>
        <v>104.68930733446487</v>
      </c>
    </row>
    <row r="16" spans="1:14" s="18" customFormat="1" ht="17.25" customHeight="1">
      <c r="A16" s="11" t="s">
        <v>34</v>
      </c>
      <c r="B16" s="44" t="s">
        <v>440</v>
      </c>
      <c r="C16" s="11" t="s">
        <v>37</v>
      </c>
      <c r="D16" s="16">
        <f>D19+D22</f>
        <v>1558.31</v>
      </c>
      <c r="E16" s="16">
        <f>E19+E22</f>
        <v>1540</v>
      </c>
      <c r="F16" s="16">
        <f>F19+F22</f>
        <v>1531</v>
      </c>
      <c r="G16" s="16">
        <f>G19+G22</f>
        <v>1560.97</v>
      </c>
      <c r="H16" s="16">
        <f>H19+H22</f>
        <v>1567.77</v>
      </c>
      <c r="I16" s="66">
        <f t="shared" si="0"/>
        <v>101.80324675324675</v>
      </c>
      <c r="J16" s="16">
        <f>J19+J22</f>
        <v>1530</v>
      </c>
      <c r="K16" s="66">
        <f t="shared" si="1"/>
        <v>97.590845595973903</v>
      </c>
      <c r="L16" s="83"/>
      <c r="N16" s="284">
        <f t="shared" si="2"/>
        <v>102.40169823644676</v>
      </c>
    </row>
    <row r="17" spans="1:14" ht="17.25" customHeight="1">
      <c r="A17" s="32"/>
      <c r="B17" s="37" t="s">
        <v>27</v>
      </c>
      <c r="C17" s="34" t="s">
        <v>21</v>
      </c>
      <c r="D17" s="38">
        <f t="shared" ref="D17:J17" si="6">D18/D16*10</f>
        <v>40.420120707689748</v>
      </c>
      <c r="E17" s="38">
        <f t="shared" si="6"/>
        <v>43.147516883116886</v>
      </c>
      <c r="F17" s="38">
        <f t="shared" si="6"/>
        <v>43.400019595035921</v>
      </c>
      <c r="G17" s="38">
        <f t="shared" si="6"/>
        <v>19.051909633254738</v>
      </c>
      <c r="H17" s="38">
        <f t="shared" si="6"/>
        <v>44.372745606958702</v>
      </c>
      <c r="I17" s="58">
        <f t="shared" si="0"/>
        <v>102.83962742783289</v>
      </c>
      <c r="J17" s="38">
        <f t="shared" si="6"/>
        <v>45.431372549019606</v>
      </c>
      <c r="K17" s="58">
        <f t="shared" si="1"/>
        <v>102.38575938355928</v>
      </c>
      <c r="L17" s="3"/>
      <c r="N17" s="284">
        <f t="shared" si="2"/>
        <v>102.24130316299221</v>
      </c>
    </row>
    <row r="18" spans="1:14" ht="17.25" customHeight="1">
      <c r="A18" s="32"/>
      <c r="B18" s="37" t="s">
        <v>28</v>
      </c>
      <c r="C18" s="34" t="s">
        <v>76</v>
      </c>
      <c r="D18" s="22">
        <f>D21+D24</f>
        <v>6298.7078300000003</v>
      </c>
      <c r="E18" s="22">
        <f>E21+E24</f>
        <v>6644.7176000000009</v>
      </c>
      <c r="F18" s="22">
        <f>F21+F24</f>
        <v>6644.5429999999997</v>
      </c>
      <c r="G18" s="22">
        <f>G21+G24</f>
        <v>2973.9459380221647</v>
      </c>
      <c r="H18" s="22">
        <f>H21+H24</f>
        <v>6956.6259380221645</v>
      </c>
      <c r="I18" s="58">
        <f t="shared" si="0"/>
        <v>104.69407967047634</v>
      </c>
      <c r="J18" s="22">
        <f>J21+J24</f>
        <v>6951</v>
      </c>
      <c r="K18" s="58">
        <f t="shared" si="1"/>
        <v>99.919128352274683</v>
      </c>
      <c r="L18" s="3"/>
      <c r="N18" s="284">
        <f t="shared" si="2"/>
        <v>104.69683073797798</v>
      </c>
    </row>
    <row r="19" spans="1:14" ht="17.25" customHeight="1">
      <c r="A19" s="32" t="s">
        <v>420</v>
      </c>
      <c r="B19" s="116" t="s">
        <v>441</v>
      </c>
      <c r="C19" s="32" t="s">
        <v>37</v>
      </c>
      <c r="D19" s="22">
        <v>597.30999999999995</v>
      </c>
      <c r="E19" s="137">
        <v>570.5</v>
      </c>
      <c r="F19" s="59">
        <v>571</v>
      </c>
      <c r="G19" s="59">
        <v>573.87</v>
      </c>
      <c r="H19" s="59">
        <v>573.87</v>
      </c>
      <c r="I19" s="58">
        <f t="shared" si="0"/>
        <v>100.59070990359334</v>
      </c>
      <c r="J19" s="59">
        <v>570</v>
      </c>
      <c r="K19" s="58">
        <f t="shared" si="1"/>
        <v>99.325631240524856</v>
      </c>
      <c r="L19" s="3"/>
      <c r="N19" s="284">
        <f t="shared" si="2"/>
        <v>100.50262697022767</v>
      </c>
    </row>
    <row r="20" spans="1:14" ht="17.25" customHeight="1">
      <c r="A20" s="32"/>
      <c r="B20" s="116" t="s">
        <v>27</v>
      </c>
      <c r="C20" s="34" t="s">
        <v>21</v>
      </c>
      <c r="D20" s="25">
        <v>39.33</v>
      </c>
      <c r="E20" s="38">
        <v>47.2</v>
      </c>
      <c r="F20" s="58">
        <v>47.33</v>
      </c>
      <c r="G20" s="58">
        <v>51.822641678815145</v>
      </c>
      <c r="H20" s="58">
        <v>51.822641678815145</v>
      </c>
      <c r="I20" s="58">
        <f t="shared" si="0"/>
        <v>109.79373237037106</v>
      </c>
      <c r="J20" s="58">
        <v>52</v>
      </c>
      <c r="K20" s="58">
        <f t="shared" si="1"/>
        <v>100.34224098857038</v>
      </c>
      <c r="L20" s="3"/>
      <c r="N20" s="284">
        <f t="shared" si="2"/>
        <v>109.49216496686066</v>
      </c>
    </row>
    <row r="21" spans="1:14" ht="17.25" customHeight="1">
      <c r="A21" s="32"/>
      <c r="B21" s="117" t="s">
        <v>28</v>
      </c>
      <c r="C21" s="34" t="s">
        <v>76</v>
      </c>
      <c r="D21" s="22">
        <f t="shared" ref="D21:J21" si="7">D19*D20/10</f>
        <v>2349.2202299999999</v>
      </c>
      <c r="E21" s="22">
        <f t="shared" si="7"/>
        <v>2692.76</v>
      </c>
      <c r="F21" s="22">
        <f t="shared" si="7"/>
        <v>2702.5430000000001</v>
      </c>
      <c r="G21" s="22">
        <f t="shared" si="7"/>
        <v>2973.9459380221647</v>
      </c>
      <c r="H21" s="22">
        <f t="shared" si="7"/>
        <v>2973.9459380221647</v>
      </c>
      <c r="I21" s="58">
        <f t="shared" si="0"/>
        <v>110.44229482100761</v>
      </c>
      <c r="J21" s="22">
        <f t="shared" si="7"/>
        <v>2964</v>
      </c>
      <c r="K21" s="58">
        <f t="shared" si="1"/>
        <v>99.665564262786191</v>
      </c>
      <c r="L21" s="3"/>
      <c r="N21" s="284">
        <f t="shared" si="2"/>
        <v>110.04250211827026</v>
      </c>
    </row>
    <row r="22" spans="1:14" ht="17.25" customHeight="1">
      <c r="A22" s="32" t="s">
        <v>421</v>
      </c>
      <c r="B22" s="116" t="s">
        <v>442</v>
      </c>
      <c r="C22" s="32" t="s">
        <v>37</v>
      </c>
      <c r="D22" s="22">
        <f>D25+D28</f>
        <v>961</v>
      </c>
      <c r="E22" s="29">
        <f>E25+E28</f>
        <v>969.5</v>
      </c>
      <c r="F22" s="29">
        <f>F25+F28</f>
        <v>960</v>
      </c>
      <c r="G22" s="29">
        <f>G25+G28</f>
        <v>987.1</v>
      </c>
      <c r="H22" s="29">
        <f>H25+H28</f>
        <v>993.9</v>
      </c>
      <c r="I22" s="58">
        <f t="shared" si="0"/>
        <v>102.51676121712222</v>
      </c>
      <c r="J22" s="29">
        <f>J25+J28</f>
        <v>960</v>
      </c>
      <c r="K22" s="58">
        <f t="shared" si="1"/>
        <v>96.589194083911863</v>
      </c>
      <c r="L22" s="3"/>
      <c r="N22" s="284">
        <f t="shared" si="2"/>
        <v>103.53125</v>
      </c>
    </row>
    <row r="23" spans="1:14" ht="17.25" customHeight="1">
      <c r="A23" s="32"/>
      <c r="B23" s="117" t="s">
        <v>27</v>
      </c>
      <c r="C23" s="34" t="s">
        <v>21</v>
      </c>
      <c r="D23" s="38">
        <f t="shared" ref="D23:J23" si="8">D24/D22*10</f>
        <v>41.097685744016658</v>
      </c>
      <c r="E23" s="28">
        <f t="shared" si="8"/>
        <v>40.762842702423939</v>
      </c>
      <c r="F23" s="28">
        <f t="shared" si="8"/>
        <v>41.0625</v>
      </c>
      <c r="G23" s="28">
        <f t="shared" si="8"/>
        <v>0</v>
      </c>
      <c r="H23" s="28">
        <f t="shared" si="8"/>
        <v>40.071234530636886</v>
      </c>
      <c r="I23" s="58">
        <f t="shared" si="0"/>
        <v>98.303336750000682</v>
      </c>
      <c r="J23" s="28">
        <f t="shared" si="8"/>
        <v>41.53125</v>
      </c>
      <c r="K23" s="58">
        <f t="shared" si="1"/>
        <v>103.64355000903915</v>
      </c>
      <c r="L23" s="3"/>
      <c r="N23" s="284">
        <f t="shared" si="2"/>
        <v>97.58595928313396</v>
      </c>
    </row>
    <row r="24" spans="1:14" ht="17.25" customHeight="1">
      <c r="A24" s="32"/>
      <c r="B24" s="117" t="s">
        <v>28</v>
      </c>
      <c r="C24" s="34" t="s">
        <v>76</v>
      </c>
      <c r="D24" s="22">
        <f>D27+D30</f>
        <v>3949.4876000000004</v>
      </c>
      <c r="E24" s="29">
        <f>E27+E30</f>
        <v>3951.9576000000006</v>
      </c>
      <c r="F24" s="29">
        <f>F27+F30</f>
        <v>3942</v>
      </c>
      <c r="G24" s="29">
        <f>G27+G30</f>
        <v>0</v>
      </c>
      <c r="H24" s="29">
        <f>H27+H30</f>
        <v>3982.68</v>
      </c>
      <c r="I24" s="58">
        <f t="shared" si="0"/>
        <v>100.77739700446176</v>
      </c>
      <c r="J24" s="29">
        <f>J27+J30</f>
        <v>3987</v>
      </c>
      <c r="K24" s="58">
        <f t="shared" si="1"/>
        <v>100.10846967368707</v>
      </c>
      <c r="L24" s="3"/>
      <c r="N24" s="284">
        <f t="shared" si="2"/>
        <v>101.03196347031962</v>
      </c>
    </row>
    <row r="25" spans="1:14" ht="17.25" customHeight="1">
      <c r="A25" s="32"/>
      <c r="B25" s="114" t="s">
        <v>443</v>
      </c>
      <c r="C25" s="32" t="s">
        <v>37</v>
      </c>
      <c r="D25" s="22">
        <v>906.4</v>
      </c>
      <c r="E25" s="38">
        <v>903.3</v>
      </c>
      <c r="F25" s="22">
        <v>900</v>
      </c>
      <c r="G25" s="22">
        <v>893.2</v>
      </c>
      <c r="H25" s="22">
        <v>900</v>
      </c>
      <c r="I25" s="58">
        <f t="shared" si="0"/>
        <v>99.63467286615743</v>
      </c>
      <c r="J25" s="22">
        <v>900</v>
      </c>
      <c r="K25" s="58">
        <f t="shared" si="1"/>
        <v>100</v>
      </c>
      <c r="L25" s="3"/>
      <c r="N25" s="284">
        <f t="shared" si="2"/>
        <v>100</v>
      </c>
    </row>
    <row r="26" spans="1:14" ht="17.25" customHeight="1">
      <c r="A26" s="32"/>
      <c r="B26" s="115" t="s">
        <v>27</v>
      </c>
      <c r="C26" s="34" t="s">
        <v>21</v>
      </c>
      <c r="D26" s="25">
        <v>42.83</v>
      </c>
      <c r="E26" s="38">
        <v>42.84</v>
      </c>
      <c r="F26" s="38">
        <v>43</v>
      </c>
      <c r="G26" s="38"/>
      <c r="H26" s="38">
        <v>43</v>
      </c>
      <c r="I26" s="58">
        <f t="shared" si="0"/>
        <v>100.37348272642389</v>
      </c>
      <c r="J26" s="38">
        <v>43.5</v>
      </c>
      <c r="K26" s="58">
        <f t="shared" si="1"/>
        <v>101.16279069767442</v>
      </c>
      <c r="L26" s="3"/>
      <c r="N26" s="284">
        <f t="shared" si="2"/>
        <v>100</v>
      </c>
    </row>
    <row r="27" spans="1:14" ht="17.25" customHeight="1">
      <c r="A27" s="32"/>
      <c r="B27" s="115" t="s">
        <v>28</v>
      </c>
      <c r="C27" s="34" t="s">
        <v>76</v>
      </c>
      <c r="D27" s="22">
        <f>D26*D25/10</f>
        <v>3882.1112000000003</v>
      </c>
      <c r="E27" s="22">
        <f t="shared" ref="E27:J27" si="9">E25*E26/10</f>
        <v>3869.7372000000005</v>
      </c>
      <c r="F27" s="22">
        <f t="shared" si="9"/>
        <v>3870</v>
      </c>
      <c r="G27" s="22">
        <f t="shared" si="9"/>
        <v>0</v>
      </c>
      <c r="H27" s="22">
        <f t="shared" si="9"/>
        <v>3870</v>
      </c>
      <c r="I27" s="58">
        <f t="shared" si="0"/>
        <v>100.00679115884148</v>
      </c>
      <c r="J27" s="22">
        <f t="shared" si="9"/>
        <v>3915</v>
      </c>
      <c r="K27" s="58">
        <f t="shared" si="1"/>
        <v>101.16279069767441</v>
      </c>
      <c r="L27" s="3"/>
      <c r="N27" s="284">
        <f t="shared" si="2"/>
        <v>99.999999999999986</v>
      </c>
    </row>
    <row r="28" spans="1:14" ht="17.25" customHeight="1">
      <c r="A28" s="32"/>
      <c r="B28" s="114" t="s">
        <v>456</v>
      </c>
      <c r="C28" s="32" t="s">
        <v>37</v>
      </c>
      <c r="D28" s="22">
        <v>54.6</v>
      </c>
      <c r="E28" s="22">
        <v>66.2</v>
      </c>
      <c r="F28" s="22">
        <v>60</v>
      </c>
      <c r="G28" s="22">
        <v>93.9</v>
      </c>
      <c r="H28" s="22">
        <v>93.9</v>
      </c>
      <c r="I28" s="58">
        <f t="shared" si="0"/>
        <v>141.8429003021148</v>
      </c>
      <c r="J28" s="22">
        <v>60</v>
      </c>
      <c r="K28" s="58">
        <f t="shared" si="1"/>
        <v>63.897763578274756</v>
      </c>
      <c r="L28" s="3"/>
      <c r="N28" s="284">
        <f t="shared" si="2"/>
        <v>156.50000000000003</v>
      </c>
    </row>
    <row r="29" spans="1:14" ht="17.25" customHeight="1">
      <c r="A29" s="32"/>
      <c r="B29" s="115" t="s">
        <v>27</v>
      </c>
      <c r="C29" s="34" t="s">
        <v>21</v>
      </c>
      <c r="D29" s="38">
        <v>12.34</v>
      </c>
      <c r="E29" s="38">
        <v>12.42</v>
      </c>
      <c r="F29" s="38">
        <v>12</v>
      </c>
      <c r="G29" s="38"/>
      <c r="H29" s="38">
        <v>12</v>
      </c>
      <c r="I29" s="58">
        <f t="shared" si="0"/>
        <v>96.618357487922708</v>
      </c>
      <c r="J29" s="38">
        <v>12</v>
      </c>
      <c r="K29" s="58">
        <f t="shared" si="1"/>
        <v>100</v>
      </c>
      <c r="L29" s="3"/>
      <c r="N29" s="284">
        <f t="shared" si="2"/>
        <v>100</v>
      </c>
    </row>
    <row r="30" spans="1:14" ht="17.25" customHeight="1">
      <c r="A30" s="32"/>
      <c r="B30" s="115" t="s">
        <v>28</v>
      </c>
      <c r="C30" s="34" t="s">
        <v>76</v>
      </c>
      <c r="D30" s="22">
        <f t="shared" ref="D30:J30" si="10">D29*D28/10</f>
        <v>67.376400000000004</v>
      </c>
      <c r="E30" s="22">
        <f t="shared" si="10"/>
        <v>82.220400000000012</v>
      </c>
      <c r="F30" s="22">
        <f t="shared" si="10"/>
        <v>72</v>
      </c>
      <c r="G30" s="22">
        <f t="shared" si="10"/>
        <v>0</v>
      </c>
      <c r="H30" s="22">
        <f t="shared" si="10"/>
        <v>112.68000000000002</v>
      </c>
      <c r="I30" s="58">
        <f t="shared" si="0"/>
        <v>137.04628048513507</v>
      </c>
      <c r="J30" s="22">
        <f t="shared" si="10"/>
        <v>72</v>
      </c>
      <c r="K30" s="58">
        <f t="shared" si="1"/>
        <v>63.897763578274748</v>
      </c>
      <c r="L30" s="3"/>
      <c r="N30" s="284">
        <f t="shared" si="2"/>
        <v>156.50000000000003</v>
      </c>
    </row>
    <row r="31" spans="1:14" s="18" customFormat="1" ht="17.25" customHeight="1">
      <c r="A31" s="11" t="s">
        <v>35</v>
      </c>
      <c r="B31" s="44" t="s">
        <v>444</v>
      </c>
      <c r="C31" s="11" t="s">
        <v>37</v>
      </c>
      <c r="D31" s="16">
        <f>D34+D37</f>
        <v>90.92</v>
      </c>
      <c r="E31" s="16">
        <f>E34+E37</f>
        <v>101.6</v>
      </c>
      <c r="F31" s="16">
        <f>F34+F37</f>
        <v>83</v>
      </c>
      <c r="G31" s="16">
        <f>G34+G37</f>
        <v>85.2</v>
      </c>
      <c r="H31" s="16">
        <f>H34+H37</f>
        <v>85.2</v>
      </c>
      <c r="I31" s="66">
        <f t="shared" si="0"/>
        <v>83.858267716535437</v>
      </c>
      <c r="J31" s="16">
        <f>J34+J37</f>
        <v>83</v>
      </c>
      <c r="K31" s="66">
        <f t="shared" si="1"/>
        <v>97.417840375586863</v>
      </c>
      <c r="L31" s="83"/>
      <c r="N31" s="284">
        <f t="shared" si="2"/>
        <v>102.65060240963857</v>
      </c>
    </row>
    <row r="32" spans="1:14" ht="17.25" customHeight="1">
      <c r="A32" s="32"/>
      <c r="B32" s="37" t="s">
        <v>27</v>
      </c>
      <c r="C32" s="34" t="s">
        <v>21</v>
      </c>
      <c r="D32" s="38">
        <f t="shared" ref="D32:J32" si="11">D33/D31*10</f>
        <v>47.840800703915534</v>
      </c>
      <c r="E32" s="38">
        <f t="shared" si="11"/>
        <v>47.733366141732283</v>
      </c>
      <c r="F32" s="38">
        <f t="shared" si="11"/>
        <v>51.385542168674696</v>
      </c>
      <c r="G32" s="38">
        <f t="shared" si="11"/>
        <v>17.018779342723004</v>
      </c>
      <c r="H32" s="38">
        <f t="shared" si="11"/>
        <v>52.347417840375584</v>
      </c>
      <c r="I32" s="58">
        <f t="shared" si="0"/>
        <v>109.66630278062317</v>
      </c>
      <c r="J32" s="38">
        <f t="shared" si="11"/>
        <v>54.216867469879517</v>
      </c>
      <c r="K32" s="58">
        <f t="shared" si="1"/>
        <v>103.57123561510616</v>
      </c>
      <c r="L32" s="3"/>
      <c r="N32" s="284">
        <f t="shared" si="2"/>
        <v>101.87187997071921</v>
      </c>
    </row>
    <row r="33" spans="1:14" ht="17.25" customHeight="1">
      <c r="A33" s="32"/>
      <c r="B33" s="37" t="s">
        <v>28</v>
      </c>
      <c r="C33" s="34" t="s">
        <v>76</v>
      </c>
      <c r="D33" s="22">
        <f>D36+D39</f>
        <v>434.96856000000002</v>
      </c>
      <c r="E33" s="22">
        <f>E36+E39</f>
        <v>484.97099999999995</v>
      </c>
      <c r="F33" s="22">
        <f>F36+F39</f>
        <v>426.5</v>
      </c>
      <c r="G33" s="22">
        <f>G36+G39</f>
        <v>145</v>
      </c>
      <c r="H33" s="22">
        <f>H36+H39</f>
        <v>446</v>
      </c>
      <c r="I33" s="58">
        <f t="shared" si="0"/>
        <v>91.964261780601333</v>
      </c>
      <c r="J33" s="22">
        <f>J36+J39</f>
        <v>450</v>
      </c>
      <c r="K33" s="58">
        <f t="shared" si="1"/>
        <v>100.89686098654708</v>
      </c>
      <c r="L33" s="3"/>
      <c r="N33" s="284">
        <f t="shared" si="2"/>
        <v>104.57209847596718</v>
      </c>
    </row>
    <row r="34" spans="1:14" ht="17.25" customHeight="1">
      <c r="A34" s="32" t="s">
        <v>423</v>
      </c>
      <c r="B34" s="116" t="s">
        <v>457</v>
      </c>
      <c r="C34" s="32" t="s">
        <v>37</v>
      </c>
      <c r="D34" s="29">
        <v>28.22</v>
      </c>
      <c r="E34" s="29">
        <v>38.700000000000003</v>
      </c>
      <c r="F34" s="29">
        <v>23</v>
      </c>
      <c r="G34" s="29">
        <v>25</v>
      </c>
      <c r="H34" s="29">
        <v>25</v>
      </c>
      <c r="I34" s="58">
        <f t="shared" si="0"/>
        <v>64.599483204134359</v>
      </c>
      <c r="J34" s="29">
        <v>23</v>
      </c>
      <c r="K34" s="58">
        <f t="shared" si="1"/>
        <v>92</v>
      </c>
      <c r="L34" s="3"/>
      <c r="N34" s="284">
        <f t="shared" si="2"/>
        <v>108.69565217391303</v>
      </c>
    </row>
    <row r="35" spans="1:14" ht="17.25" customHeight="1">
      <c r="A35" s="32"/>
      <c r="B35" s="116" t="s">
        <v>27</v>
      </c>
      <c r="C35" s="34" t="s">
        <v>21</v>
      </c>
      <c r="D35" s="28">
        <v>56.13</v>
      </c>
      <c r="E35" s="28">
        <v>47.3</v>
      </c>
      <c r="F35" s="28">
        <v>55</v>
      </c>
      <c r="G35" s="28">
        <v>58</v>
      </c>
      <c r="H35" s="28">
        <v>58</v>
      </c>
      <c r="I35" s="58">
        <f t="shared" si="0"/>
        <v>122.6215644820296</v>
      </c>
      <c r="J35" s="28">
        <v>60</v>
      </c>
      <c r="K35" s="58">
        <f t="shared" si="1"/>
        <v>103.44827586206897</v>
      </c>
      <c r="L35" s="3"/>
      <c r="N35" s="284">
        <f t="shared" si="2"/>
        <v>105.45454545454544</v>
      </c>
    </row>
    <row r="36" spans="1:14" ht="17.25" customHeight="1">
      <c r="A36" s="32"/>
      <c r="B36" s="117" t="s">
        <v>28</v>
      </c>
      <c r="C36" s="34" t="s">
        <v>76</v>
      </c>
      <c r="D36" s="29">
        <f t="shared" ref="D36:J36" si="12">D35*D34/10</f>
        <v>158.39885999999998</v>
      </c>
      <c r="E36" s="29">
        <f t="shared" si="12"/>
        <v>183.05099999999999</v>
      </c>
      <c r="F36" s="29">
        <f t="shared" si="12"/>
        <v>126.5</v>
      </c>
      <c r="G36" s="29">
        <f t="shared" si="12"/>
        <v>145</v>
      </c>
      <c r="H36" s="29">
        <f t="shared" si="12"/>
        <v>145</v>
      </c>
      <c r="I36" s="58">
        <f t="shared" si="0"/>
        <v>79.212896952215516</v>
      </c>
      <c r="J36" s="29">
        <f t="shared" si="12"/>
        <v>138</v>
      </c>
      <c r="K36" s="58">
        <f t="shared" si="1"/>
        <v>95.172413793103445</v>
      </c>
      <c r="L36" s="3"/>
      <c r="N36" s="284">
        <f t="shared" si="2"/>
        <v>114.62450592885376</v>
      </c>
    </row>
    <row r="37" spans="1:14" ht="17.25" customHeight="1">
      <c r="A37" s="32" t="s">
        <v>424</v>
      </c>
      <c r="B37" s="116" t="s">
        <v>458</v>
      </c>
      <c r="C37" s="32" t="s">
        <v>37</v>
      </c>
      <c r="D37" s="29">
        <v>62.7</v>
      </c>
      <c r="E37" s="29">
        <v>62.9</v>
      </c>
      <c r="F37" s="29">
        <v>60</v>
      </c>
      <c r="G37" s="29">
        <v>60.2</v>
      </c>
      <c r="H37" s="29">
        <v>60.2</v>
      </c>
      <c r="I37" s="58">
        <f t="shared" si="0"/>
        <v>95.707472178060414</v>
      </c>
      <c r="J37" s="29">
        <v>60</v>
      </c>
      <c r="K37" s="58">
        <f t="shared" si="1"/>
        <v>99.667774086378742</v>
      </c>
      <c r="L37" s="3"/>
      <c r="N37" s="284">
        <f t="shared" si="2"/>
        <v>100.33333333333334</v>
      </c>
    </row>
    <row r="38" spans="1:14" ht="17.25" customHeight="1">
      <c r="A38" s="32"/>
      <c r="B38" s="116" t="s">
        <v>27</v>
      </c>
      <c r="C38" s="34" t="s">
        <v>21</v>
      </c>
      <c r="D38" s="28">
        <v>44.11</v>
      </c>
      <c r="E38" s="28">
        <v>48</v>
      </c>
      <c r="F38" s="28">
        <v>50</v>
      </c>
      <c r="G38" s="28"/>
      <c r="H38" s="28">
        <v>50</v>
      </c>
      <c r="I38" s="58">
        <f>IFERROR(H38/E38%,"")</f>
        <v>104.16666666666667</v>
      </c>
      <c r="J38" s="28">
        <v>52</v>
      </c>
      <c r="K38" s="58">
        <f t="shared" si="1"/>
        <v>104</v>
      </c>
      <c r="L38" s="3"/>
      <c r="N38" s="284">
        <f t="shared" si="2"/>
        <v>100</v>
      </c>
    </row>
    <row r="39" spans="1:14" ht="17.25" customHeight="1">
      <c r="A39" s="32"/>
      <c r="B39" s="117" t="s">
        <v>28</v>
      </c>
      <c r="C39" s="34" t="s">
        <v>76</v>
      </c>
      <c r="D39" s="29">
        <f>D37*D38/10</f>
        <v>276.56970000000001</v>
      </c>
      <c r="E39" s="29">
        <f t="shared" ref="E39:J39" si="13">E38*E37/10</f>
        <v>301.91999999999996</v>
      </c>
      <c r="F39" s="29">
        <f t="shared" si="13"/>
        <v>300</v>
      </c>
      <c r="G39" s="29">
        <f t="shared" si="13"/>
        <v>0</v>
      </c>
      <c r="H39" s="29">
        <f t="shared" si="13"/>
        <v>301</v>
      </c>
      <c r="I39" s="58">
        <f>IFERROR(H39/E39%,"")</f>
        <v>99.695283518812943</v>
      </c>
      <c r="J39" s="29">
        <f t="shared" si="13"/>
        <v>312</v>
      </c>
      <c r="K39" s="58">
        <f t="shared" si="1"/>
        <v>103.65448504983389</v>
      </c>
      <c r="L39" s="3"/>
      <c r="N39" s="284">
        <f t="shared" si="2"/>
        <v>100.33333333333333</v>
      </c>
    </row>
    <row r="40" spans="1:14" ht="19.5" customHeight="1">
      <c r="A40" s="11">
        <v>2</v>
      </c>
      <c r="B40" s="30" t="s">
        <v>29</v>
      </c>
      <c r="C40" s="32" t="s">
        <v>37</v>
      </c>
      <c r="D40" s="27">
        <v>6199.5</v>
      </c>
      <c r="E40" s="27">
        <v>5720.5</v>
      </c>
      <c r="F40" s="27">
        <v>6000</v>
      </c>
      <c r="G40" s="27">
        <v>5281.3</v>
      </c>
      <c r="H40" s="27">
        <v>5281.3</v>
      </c>
      <c r="I40" s="66">
        <f t="shared" si="0"/>
        <v>92.322349444978585</v>
      </c>
      <c r="J40" s="27">
        <v>5000</v>
      </c>
      <c r="K40" s="66">
        <f t="shared" si="1"/>
        <v>94.673659894344198</v>
      </c>
      <c r="L40" s="3"/>
      <c r="N40" s="284">
        <f t="shared" si="2"/>
        <v>88.021666666666675</v>
      </c>
    </row>
    <row r="41" spans="1:14" ht="19.5" customHeight="1">
      <c r="A41" s="39"/>
      <c r="B41" s="37" t="s">
        <v>27</v>
      </c>
      <c r="C41" s="34" t="s">
        <v>21</v>
      </c>
      <c r="D41" s="28">
        <f>D42/D40*10</f>
        <v>148.34260827486088</v>
      </c>
      <c r="E41" s="28">
        <v>148.51</v>
      </c>
      <c r="F41" s="28">
        <v>145</v>
      </c>
      <c r="G41" s="28"/>
      <c r="H41" s="28">
        <v>148</v>
      </c>
      <c r="I41" s="58">
        <f t="shared" si="0"/>
        <v>99.656588781900211</v>
      </c>
      <c r="J41" s="28">
        <v>150</v>
      </c>
      <c r="K41" s="58">
        <f t="shared" si="1"/>
        <v>101.35135135135135</v>
      </c>
      <c r="L41" s="3"/>
      <c r="N41" s="284">
        <f t="shared" si="2"/>
        <v>102.06896551724138</v>
      </c>
    </row>
    <row r="42" spans="1:14" ht="19.5" customHeight="1">
      <c r="A42" s="39"/>
      <c r="B42" s="37" t="s">
        <v>28</v>
      </c>
      <c r="C42" s="34" t="s">
        <v>76</v>
      </c>
      <c r="D42" s="29">
        <v>91965</v>
      </c>
      <c r="E42" s="29">
        <f>E41*E40/10</f>
        <v>84955.145499999999</v>
      </c>
      <c r="F42" s="29">
        <f>F41*F40/10</f>
        <v>87000</v>
      </c>
      <c r="G42" s="29">
        <f>G41*G40/10</f>
        <v>0</v>
      </c>
      <c r="H42" s="29">
        <f>H41*H40/10</f>
        <v>78163.240000000005</v>
      </c>
      <c r="I42" s="58">
        <f t="shared" si="0"/>
        <v>92.005304140171248</v>
      </c>
      <c r="J42" s="29">
        <f>J41*J40/10</f>
        <v>75000</v>
      </c>
      <c r="K42" s="58">
        <f t="shared" si="1"/>
        <v>95.953033676700187</v>
      </c>
      <c r="L42" s="3"/>
      <c r="N42" s="284">
        <f t="shared" si="2"/>
        <v>89.842804597701161</v>
      </c>
    </row>
    <row r="43" spans="1:14" s="18" customFormat="1" ht="19.5" customHeight="1">
      <c r="A43" s="11">
        <v>3</v>
      </c>
      <c r="B43" s="30" t="s">
        <v>317</v>
      </c>
      <c r="C43" s="11" t="s">
        <v>37</v>
      </c>
      <c r="D43" s="27">
        <v>9.1999999999999993</v>
      </c>
      <c r="E43" s="27">
        <v>10.5</v>
      </c>
      <c r="F43" s="27">
        <v>30</v>
      </c>
      <c r="G43" s="27">
        <v>29.1</v>
      </c>
      <c r="H43" s="27">
        <v>29.1</v>
      </c>
      <c r="I43" s="66">
        <f t="shared" si="0"/>
        <v>277.14285714285717</v>
      </c>
      <c r="J43" s="27">
        <v>30</v>
      </c>
      <c r="K43" s="66">
        <f t="shared" si="1"/>
        <v>103.09278350515463</v>
      </c>
      <c r="L43" s="83"/>
      <c r="N43" s="284">
        <f t="shared" si="2"/>
        <v>97.000000000000014</v>
      </c>
    </row>
    <row r="44" spans="1:14" ht="19.5" customHeight="1">
      <c r="A44" s="32"/>
      <c r="B44" s="33" t="s">
        <v>123</v>
      </c>
      <c r="C44" s="32" t="s">
        <v>37</v>
      </c>
      <c r="D44" s="29"/>
      <c r="E44" s="29"/>
      <c r="F44" s="29">
        <v>20</v>
      </c>
      <c r="G44" s="29">
        <v>19.100000000000001</v>
      </c>
      <c r="H44" s="29">
        <v>19.100000000000001</v>
      </c>
      <c r="I44" s="58" t="str">
        <f t="shared" si="0"/>
        <v/>
      </c>
      <c r="J44" s="29"/>
      <c r="K44" s="58">
        <f t="shared" si="1"/>
        <v>0</v>
      </c>
      <c r="L44" s="3"/>
      <c r="N44" s="284">
        <f t="shared" si="2"/>
        <v>95.5</v>
      </c>
    </row>
    <row r="45" spans="1:14" ht="19.5" customHeight="1">
      <c r="A45" s="39"/>
      <c r="B45" s="37" t="s">
        <v>27</v>
      </c>
      <c r="C45" s="34" t="s">
        <v>21</v>
      </c>
      <c r="D45" s="28"/>
      <c r="E45" s="28">
        <v>600</v>
      </c>
      <c r="F45" s="28">
        <v>733.3</v>
      </c>
      <c r="G45" s="28"/>
      <c r="H45" s="28">
        <v>733.3</v>
      </c>
      <c r="I45" s="58">
        <f t="shared" si="0"/>
        <v>122.21666666666665</v>
      </c>
      <c r="J45" s="28">
        <v>735</v>
      </c>
      <c r="K45" s="58">
        <f t="shared" si="1"/>
        <v>100.23182871948725</v>
      </c>
      <c r="L45" s="3"/>
      <c r="N45" s="284">
        <f t="shared" si="2"/>
        <v>100</v>
      </c>
    </row>
    <row r="46" spans="1:14" ht="19.5" customHeight="1">
      <c r="A46" s="39"/>
      <c r="B46" s="37" t="s">
        <v>28</v>
      </c>
      <c r="C46" s="34" t="s">
        <v>76</v>
      </c>
      <c r="D46" s="29">
        <f>D45*D43/10</f>
        <v>0</v>
      </c>
      <c r="E46" s="29">
        <f>E45*E43/10</f>
        <v>630</v>
      </c>
      <c r="F46" s="29">
        <f>F45*F43/10</f>
        <v>2199.9</v>
      </c>
      <c r="G46" s="29">
        <f>G45*G43/10</f>
        <v>0</v>
      </c>
      <c r="H46" s="29">
        <f>H45*H43/10</f>
        <v>2133.9029999999998</v>
      </c>
      <c r="I46" s="58">
        <f t="shared" si="0"/>
        <v>338.71476190476187</v>
      </c>
      <c r="J46" s="29">
        <f>J45*J43/10</f>
        <v>2205</v>
      </c>
      <c r="K46" s="58">
        <f t="shared" si="1"/>
        <v>103.33178218503842</v>
      </c>
      <c r="L46" s="3"/>
      <c r="N46" s="284">
        <f t="shared" si="2"/>
        <v>96.999999999999986</v>
      </c>
    </row>
    <row r="47" spans="1:14" ht="19.5" customHeight="1">
      <c r="A47" s="11">
        <v>4</v>
      </c>
      <c r="B47" s="30" t="s">
        <v>136</v>
      </c>
      <c r="C47" s="32" t="s">
        <v>37</v>
      </c>
      <c r="D47" s="27">
        <f>D50+D53</f>
        <v>219.3</v>
      </c>
      <c r="E47" s="27">
        <f>E50+E53</f>
        <v>259</v>
      </c>
      <c r="F47" s="27">
        <f>F50+F53</f>
        <v>230</v>
      </c>
      <c r="G47" s="27">
        <f>G50+G53</f>
        <v>201.8</v>
      </c>
      <c r="H47" s="27">
        <f>H50+H53</f>
        <v>225.8</v>
      </c>
      <c r="I47" s="66">
        <f t="shared" si="0"/>
        <v>87.181467181467184</v>
      </c>
      <c r="J47" s="27">
        <f>J50+J53</f>
        <v>230</v>
      </c>
      <c r="K47" s="66">
        <f t="shared" si="1"/>
        <v>101.86005314437556</v>
      </c>
      <c r="L47" s="3"/>
      <c r="N47" s="284">
        <f t="shared" si="2"/>
        <v>98.173913043478279</v>
      </c>
    </row>
    <row r="48" spans="1:14" ht="19.5" customHeight="1">
      <c r="A48" s="39"/>
      <c r="B48" s="37" t="s">
        <v>27</v>
      </c>
      <c r="C48" s="34" t="s">
        <v>21</v>
      </c>
      <c r="D48" s="28">
        <f t="shared" ref="D48:J48" si="14">D49/D47*10</f>
        <v>119.96580027359781</v>
      </c>
      <c r="E48" s="28">
        <f t="shared" si="14"/>
        <v>134.57142857142858</v>
      </c>
      <c r="F48" s="28">
        <f t="shared" si="14"/>
        <v>136.63173913043477</v>
      </c>
      <c r="G48" s="28">
        <f t="shared" si="14"/>
        <v>88.893954410307217</v>
      </c>
      <c r="H48" s="28">
        <f t="shared" si="14"/>
        <v>136.83613817537642</v>
      </c>
      <c r="I48" s="58">
        <f t="shared" si="0"/>
        <v>101.68290522586356</v>
      </c>
      <c r="J48" s="28">
        <f t="shared" si="14"/>
        <v>137.11304347826086</v>
      </c>
      <c r="K48" s="58">
        <f t="shared" si="1"/>
        <v>100.20236269934011</v>
      </c>
      <c r="L48" s="3"/>
      <c r="N48" s="284">
        <f t="shared" si="2"/>
        <v>100.14959850927941</v>
      </c>
    </row>
    <row r="49" spans="1:14" ht="19.5" customHeight="1">
      <c r="A49" s="39"/>
      <c r="B49" s="37" t="s">
        <v>28</v>
      </c>
      <c r="C49" s="34" t="s">
        <v>76</v>
      </c>
      <c r="D49" s="29">
        <f>D52+D55</f>
        <v>2630.85</v>
      </c>
      <c r="E49" s="29">
        <f>E52+E55</f>
        <v>3485.4</v>
      </c>
      <c r="F49" s="29">
        <f>F52+F55</f>
        <v>3142.5299999999997</v>
      </c>
      <c r="G49" s="29">
        <f>G52+G55</f>
        <v>1793.8799999999999</v>
      </c>
      <c r="H49" s="29">
        <f>H52+H55</f>
        <v>3089.7599999999998</v>
      </c>
      <c r="I49" s="58">
        <f t="shared" si="0"/>
        <v>88.648648648648646</v>
      </c>
      <c r="J49" s="29">
        <f>J52+J55</f>
        <v>3153.6</v>
      </c>
      <c r="K49" s="58">
        <f t="shared" si="1"/>
        <v>102.06617989746778</v>
      </c>
      <c r="L49" s="3"/>
      <c r="N49" s="284">
        <f t="shared" si="2"/>
        <v>98.320779753892566</v>
      </c>
    </row>
    <row r="50" spans="1:14" ht="19.5" customHeight="1">
      <c r="A50" s="32"/>
      <c r="B50" s="136" t="s">
        <v>459</v>
      </c>
      <c r="C50" s="21" t="s">
        <v>37</v>
      </c>
      <c r="D50" s="22">
        <v>97.3</v>
      </c>
      <c r="E50" s="22">
        <v>137</v>
      </c>
      <c r="F50" s="22">
        <v>123</v>
      </c>
      <c r="G50" s="22">
        <v>118.8</v>
      </c>
      <c r="H50" s="22">
        <v>118.8</v>
      </c>
      <c r="I50" s="58">
        <f t="shared" si="0"/>
        <v>86.71532846715327</v>
      </c>
      <c r="J50" s="22">
        <v>123</v>
      </c>
      <c r="K50" s="58">
        <f t="shared" si="1"/>
        <v>103.53535353535354</v>
      </c>
      <c r="L50" s="3"/>
      <c r="N50" s="284">
        <f t="shared" si="2"/>
        <v>96.58536585365853</v>
      </c>
    </row>
    <row r="51" spans="1:14" ht="19.5" customHeight="1">
      <c r="A51" s="32"/>
      <c r="B51" s="136" t="s">
        <v>27</v>
      </c>
      <c r="C51" s="21" t="s">
        <v>21</v>
      </c>
      <c r="D51" s="38">
        <v>145</v>
      </c>
      <c r="E51" s="38">
        <v>152</v>
      </c>
      <c r="F51" s="38">
        <v>151.1</v>
      </c>
      <c r="G51" s="38">
        <v>151</v>
      </c>
      <c r="H51" s="38">
        <v>152</v>
      </c>
      <c r="I51" s="58">
        <f t="shared" si="0"/>
        <v>100</v>
      </c>
      <c r="J51" s="38">
        <v>152</v>
      </c>
      <c r="K51" s="58">
        <f t="shared" si="1"/>
        <v>100</v>
      </c>
      <c r="L51" s="3"/>
      <c r="N51" s="284">
        <f t="shared" si="2"/>
        <v>100.59563203176705</v>
      </c>
    </row>
    <row r="52" spans="1:14" ht="19.5" customHeight="1">
      <c r="A52" s="32"/>
      <c r="B52" s="136" t="s">
        <v>28</v>
      </c>
      <c r="C52" s="21" t="s">
        <v>76</v>
      </c>
      <c r="D52" s="22">
        <f t="shared" ref="D52:J52" si="15">D51*D50/10</f>
        <v>1410.85</v>
      </c>
      <c r="E52" s="22">
        <f t="shared" si="15"/>
        <v>2082.4</v>
      </c>
      <c r="F52" s="22">
        <f t="shared" si="15"/>
        <v>1858.53</v>
      </c>
      <c r="G52" s="22">
        <f t="shared" si="15"/>
        <v>1793.8799999999999</v>
      </c>
      <c r="H52" s="22">
        <f t="shared" si="15"/>
        <v>1805.7599999999998</v>
      </c>
      <c r="I52" s="58">
        <f t="shared" si="0"/>
        <v>86.71532846715327</v>
      </c>
      <c r="J52" s="22">
        <f t="shared" si="15"/>
        <v>1869.6</v>
      </c>
      <c r="K52" s="58">
        <f t="shared" si="1"/>
        <v>103.53535353535355</v>
      </c>
      <c r="L52" s="3"/>
      <c r="N52" s="284">
        <f t="shared" si="2"/>
        <v>97.160659230682299</v>
      </c>
    </row>
    <row r="53" spans="1:14" ht="19.5" customHeight="1">
      <c r="A53" s="32"/>
      <c r="B53" s="136" t="s">
        <v>460</v>
      </c>
      <c r="C53" s="21" t="s">
        <v>37</v>
      </c>
      <c r="D53" s="22">
        <v>122</v>
      </c>
      <c r="E53" s="22">
        <v>122</v>
      </c>
      <c r="F53" s="22">
        <v>107</v>
      </c>
      <c r="G53" s="22">
        <v>83</v>
      </c>
      <c r="H53" s="22">
        <v>107</v>
      </c>
      <c r="I53" s="58">
        <f t="shared" si="0"/>
        <v>87.704918032786892</v>
      </c>
      <c r="J53" s="22">
        <v>107</v>
      </c>
      <c r="K53" s="58">
        <f t="shared" si="1"/>
        <v>100</v>
      </c>
      <c r="L53" s="3"/>
      <c r="N53" s="284">
        <f t="shared" si="2"/>
        <v>100</v>
      </c>
    </row>
    <row r="54" spans="1:14" ht="19.5" customHeight="1">
      <c r="A54" s="32"/>
      <c r="B54" s="136" t="s">
        <v>27</v>
      </c>
      <c r="C54" s="21" t="s">
        <v>21</v>
      </c>
      <c r="D54" s="38">
        <v>100</v>
      </c>
      <c r="E54" s="38">
        <v>115</v>
      </c>
      <c r="F54" s="38">
        <v>120</v>
      </c>
      <c r="G54" s="38"/>
      <c r="H54" s="38">
        <v>120</v>
      </c>
      <c r="I54" s="58">
        <f t="shared" si="0"/>
        <v>104.34782608695653</v>
      </c>
      <c r="J54" s="38">
        <v>120</v>
      </c>
      <c r="K54" s="58">
        <f t="shared" si="1"/>
        <v>100</v>
      </c>
      <c r="L54" s="3"/>
      <c r="N54" s="284">
        <f t="shared" si="2"/>
        <v>100</v>
      </c>
    </row>
    <row r="55" spans="1:14" ht="19.5" customHeight="1">
      <c r="A55" s="32"/>
      <c r="B55" s="136" t="s">
        <v>28</v>
      </c>
      <c r="C55" s="21" t="s">
        <v>76</v>
      </c>
      <c r="D55" s="22">
        <f t="shared" ref="D55:J55" si="16">D54*D53/10</f>
        <v>1220</v>
      </c>
      <c r="E55" s="22">
        <f t="shared" si="16"/>
        <v>1403</v>
      </c>
      <c r="F55" s="22">
        <f t="shared" si="16"/>
        <v>1284</v>
      </c>
      <c r="G55" s="22">
        <f t="shared" si="16"/>
        <v>0</v>
      </c>
      <c r="H55" s="22">
        <f t="shared" si="16"/>
        <v>1284</v>
      </c>
      <c r="I55" s="58">
        <f t="shared" si="0"/>
        <v>91.518175338560226</v>
      </c>
      <c r="J55" s="22">
        <f t="shared" si="16"/>
        <v>1284</v>
      </c>
      <c r="K55" s="58">
        <f t="shared" si="1"/>
        <v>100</v>
      </c>
      <c r="L55" s="3"/>
      <c r="N55" s="284">
        <f t="shared" si="2"/>
        <v>100</v>
      </c>
    </row>
    <row r="56" spans="1:14" s="18" customFormat="1" ht="31.5">
      <c r="A56" s="11">
        <v>5</v>
      </c>
      <c r="B56" s="30" t="s">
        <v>411</v>
      </c>
      <c r="C56" s="11" t="s">
        <v>37</v>
      </c>
      <c r="D56" s="36">
        <f t="shared" ref="D56:J56" si="17">SUM(D57:D59)</f>
        <v>7.5</v>
      </c>
      <c r="E56" s="36">
        <f t="shared" si="17"/>
        <v>31.2</v>
      </c>
      <c r="F56" s="36">
        <f t="shared" si="17"/>
        <v>32</v>
      </c>
      <c r="G56" s="36">
        <f t="shared" si="17"/>
        <v>32</v>
      </c>
      <c r="H56" s="36">
        <f t="shared" si="17"/>
        <v>32</v>
      </c>
      <c r="I56" s="66">
        <f t="shared" si="0"/>
        <v>102.56410256410257</v>
      </c>
      <c r="J56" s="36">
        <f t="shared" si="17"/>
        <v>32</v>
      </c>
      <c r="K56" s="66">
        <f t="shared" si="1"/>
        <v>100</v>
      </c>
      <c r="L56" s="83"/>
      <c r="N56" s="284">
        <f t="shared" si="2"/>
        <v>100</v>
      </c>
    </row>
    <row r="57" spans="1:14" ht="19.5" hidden="1" customHeight="1" outlineLevel="1">
      <c r="A57" s="32"/>
      <c r="B57" s="35" t="s">
        <v>402</v>
      </c>
      <c r="C57" s="32" t="s">
        <v>37</v>
      </c>
      <c r="D57" s="28">
        <v>3.7</v>
      </c>
      <c r="E57" s="28">
        <v>4</v>
      </c>
      <c r="F57" s="28">
        <v>4</v>
      </c>
      <c r="G57" s="28">
        <f t="shared" ref="G57:H59" si="18">F57</f>
        <v>4</v>
      </c>
      <c r="H57" s="28">
        <f t="shared" si="18"/>
        <v>4</v>
      </c>
      <c r="I57" s="58">
        <f t="shared" si="0"/>
        <v>100</v>
      </c>
      <c r="J57" s="28">
        <f>H57</f>
        <v>4</v>
      </c>
      <c r="K57" s="58">
        <f t="shared" si="1"/>
        <v>100</v>
      </c>
      <c r="L57" s="3"/>
      <c r="N57" s="284">
        <f t="shared" si="2"/>
        <v>100</v>
      </c>
    </row>
    <row r="58" spans="1:14" ht="19.5" hidden="1" customHeight="1" outlineLevel="1">
      <c r="A58" s="32"/>
      <c r="B58" s="35" t="s">
        <v>403</v>
      </c>
      <c r="C58" s="32" t="s">
        <v>37</v>
      </c>
      <c r="D58" s="28">
        <v>3.8</v>
      </c>
      <c r="E58" s="28">
        <v>4</v>
      </c>
      <c r="F58" s="28">
        <v>4</v>
      </c>
      <c r="G58" s="28">
        <f t="shared" si="18"/>
        <v>4</v>
      </c>
      <c r="H58" s="28">
        <f t="shared" si="18"/>
        <v>4</v>
      </c>
      <c r="I58" s="58">
        <f t="shared" si="0"/>
        <v>100</v>
      </c>
      <c r="J58" s="28">
        <f>H58</f>
        <v>4</v>
      </c>
      <c r="K58" s="58">
        <f t="shared" si="1"/>
        <v>100</v>
      </c>
      <c r="L58" s="3"/>
      <c r="N58" s="284">
        <f t="shared" si="2"/>
        <v>100</v>
      </c>
    </row>
    <row r="59" spans="1:14" ht="19.5" hidden="1" customHeight="1" outlineLevel="1">
      <c r="A59" s="32"/>
      <c r="B59" s="35" t="s">
        <v>404</v>
      </c>
      <c r="C59" s="32" t="s">
        <v>37</v>
      </c>
      <c r="D59" s="28"/>
      <c r="E59" s="28">
        <v>23.2</v>
      </c>
      <c r="F59" s="28">
        <v>24</v>
      </c>
      <c r="G59" s="28">
        <f t="shared" si="18"/>
        <v>24</v>
      </c>
      <c r="H59" s="28">
        <f t="shared" si="18"/>
        <v>24</v>
      </c>
      <c r="I59" s="58">
        <f t="shared" si="0"/>
        <v>103.44827586206897</v>
      </c>
      <c r="J59" s="28">
        <f>H59</f>
        <v>24</v>
      </c>
      <c r="K59" s="58">
        <f t="shared" si="1"/>
        <v>100</v>
      </c>
      <c r="L59" s="3"/>
      <c r="N59" s="284">
        <f t="shared" si="2"/>
        <v>100</v>
      </c>
    </row>
    <row r="60" spans="1:14" ht="17.25" customHeight="1" collapsed="1">
      <c r="A60" s="24" t="s">
        <v>39</v>
      </c>
      <c r="B60" s="30" t="s">
        <v>122</v>
      </c>
      <c r="C60" s="11" t="s">
        <v>37</v>
      </c>
      <c r="D60" s="27">
        <f t="shared" ref="D60:J60" si="19">D61+D74+D75</f>
        <v>9814</v>
      </c>
      <c r="E60" s="27">
        <f t="shared" si="19"/>
        <v>10071.6</v>
      </c>
      <c r="F60" s="27">
        <f t="shared" si="19"/>
        <v>10122.1</v>
      </c>
      <c r="G60" s="27">
        <f t="shared" si="19"/>
        <v>10368</v>
      </c>
      <c r="H60" s="27">
        <f>H61+H74+H75</f>
        <v>10379.6</v>
      </c>
      <c r="I60" s="66">
        <f t="shared" si="0"/>
        <v>103.05810397553516</v>
      </c>
      <c r="J60" s="27">
        <f t="shared" si="19"/>
        <v>10429.6</v>
      </c>
      <c r="K60" s="66">
        <f t="shared" si="1"/>
        <v>100.48171413156577</v>
      </c>
      <c r="L60" s="3"/>
      <c r="N60" s="284">
        <f t="shared" si="2"/>
        <v>102.54393851078333</v>
      </c>
    </row>
    <row r="61" spans="1:14" s="18" customFormat="1" ht="17.25" customHeight="1">
      <c r="A61" s="24">
        <v>1</v>
      </c>
      <c r="B61" s="23" t="s">
        <v>448</v>
      </c>
      <c r="C61" s="11" t="s">
        <v>37</v>
      </c>
      <c r="D61" s="27">
        <f t="shared" ref="D61:J61" si="20">D62+D68</f>
        <v>9537.2999999999993</v>
      </c>
      <c r="E61" s="27">
        <f t="shared" si="20"/>
        <v>9722.1</v>
      </c>
      <c r="F61" s="27">
        <f t="shared" si="20"/>
        <v>9772.1</v>
      </c>
      <c r="G61" s="27">
        <f t="shared" si="20"/>
        <v>10018</v>
      </c>
      <c r="H61" s="27">
        <f t="shared" si="20"/>
        <v>10029.6</v>
      </c>
      <c r="I61" s="66">
        <f t="shared" si="0"/>
        <v>103.16289690498967</v>
      </c>
      <c r="J61" s="27">
        <f t="shared" si="20"/>
        <v>10079.6</v>
      </c>
      <c r="K61" s="66">
        <f t="shared" si="1"/>
        <v>100.4985243678711</v>
      </c>
      <c r="L61" s="83"/>
      <c r="N61" s="284">
        <f t="shared" si="2"/>
        <v>102.63505285455531</v>
      </c>
    </row>
    <row r="62" spans="1:14" s="18" customFormat="1" ht="17.25" customHeight="1">
      <c r="A62" s="11" t="s">
        <v>34</v>
      </c>
      <c r="B62" s="30" t="s">
        <v>445</v>
      </c>
      <c r="C62" s="11" t="s">
        <v>37</v>
      </c>
      <c r="D62" s="16">
        <v>1743.8</v>
      </c>
      <c r="E62" s="16">
        <f>D62+E63</f>
        <v>1919.5</v>
      </c>
      <c r="F62" s="16">
        <f>E62+F63-F64</f>
        <v>1969.5</v>
      </c>
      <c r="G62" s="16">
        <f>E62+G63-G64</f>
        <v>2292.9</v>
      </c>
      <c r="H62" s="16">
        <f>E62+H63-H64</f>
        <v>2299.5</v>
      </c>
      <c r="I62" s="66">
        <f t="shared" si="0"/>
        <v>119.79682208908569</v>
      </c>
      <c r="J62" s="16">
        <f>H62+J63</f>
        <v>2349.5</v>
      </c>
      <c r="K62" s="66">
        <f t="shared" si="1"/>
        <v>102.17438573602956</v>
      </c>
      <c r="L62" s="83"/>
      <c r="N62" s="284">
        <f t="shared" si="2"/>
        <v>116.75552170601675</v>
      </c>
    </row>
    <row r="63" spans="1:14" ht="17.25" customHeight="1">
      <c r="A63" s="32"/>
      <c r="B63" s="35" t="s">
        <v>123</v>
      </c>
      <c r="C63" s="32" t="s">
        <v>37</v>
      </c>
      <c r="D63" s="38">
        <v>185.9</v>
      </c>
      <c r="E63" s="38">
        <v>175.7</v>
      </c>
      <c r="F63" s="38">
        <v>50</v>
      </c>
      <c r="G63" s="38">
        <v>374.4</v>
      </c>
      <c r="H63" s="38">
        <v>381</v>
      </c>
      <c r="I63" s="58">
        <f t="shared" si="0"/>
        <v>216.84689812179855</v>
      </c>
      <c r="J63" s="38">
        <v>50</v>
      </c>
      <c r="K63" s="58">
        <f t="shared" si="1"/>
        <v>13.123359580052494</v>
      </c>
      <c r="L63" s="3"/>
      <c r="N63" s="284">
        <f t="shared" si="2"/>
        <v>762</v>
      </c>
    </row>
    <row r="64" spans="1:14" ht="17.25" customHeight="1">
      <c r="A64" s="32"/>
      <c r="B64" s="35" t="s">
        <v>321</v>
      </c>
      <c r="C64" s="32" t="s">
        <v>37</v>
      </c>
      <c r="D64" s="38"/>
      <c r="E64" s="38"/>
      <c r="F64" s="38"/>
      <c r="G64" s="38">
        <v>1</v>
      </c>
      <c r="H64" s="38">
        <v>1</v>
      </c>
      <c r="I64" s="58"/>
      <c r="J64" s="38"/>
      <c r="K64" s="58"/>
      <c r="L64" s="3"/>
      <c r="N64" s="284"/>
    </row>
    <row r="65" spans="1:14" ht="17.25" customHeight="1">
      <c r="A65" s="32"/>
      <c r="B65" s="35" t="s">
        <v>124</v>
      </c>
      <c r="C65" s="32" t="s">
        <v>37</v>
      </c>
      <c r="D65" s="22">
        <v>1246</v>
      </c>
      <c r="E65" s="22">
        <v>1384</v>
      </c>
      <c r="F65" s="22">
        <v>1559</v>
      </c>
      <c r="G65" s="22">
        <v>1558</v>
      </c>
      <c r="H65" s="22">
        <v>1558</v>
      </c>
      <c r="I65" s="58">
        <f t="shared" si="0"/>
        <v>112.57225433526011</v>
      </c>
      <c r="J65" s="22">
        <v>1745</v>
      </c>
      <c r="K65" s="58">
        <f t="shared" si="1"/>
        <v>112.002567394095</v>
      </c>
      <c r="L65" s="3"/>
      <c r="M65" s="81"/>
      <c r="N65" s="284">
        <f t="shared" si="2"/>
        <v>99.935856318152659</v>
      </c>
    </row>
    <row r="66" spans="1:14" ht="17.25" customHeight="1">
      <c r="A66" s="32"/>
      <c r="B66" s="35" t="s">
        <v>125</v>
      </c>
      <c r="C66" s="32" t="s">
        <v>21</v>
      </c>
      <c r="D66" s="38">
        <v>31.73</v>
      </c>
      <c r="E66" s="38">
        <v>35.65</v>
      </c>
      <c r="F66" s="38">
        <v>35</v>
      </c>
      <c r="G66" s="38"/>
      <c r="H66" s="38">
        <v>35</v>
      </c>
      <c r="I66" s="58">
        <f t="shared" si="0"/>
        <v>98.176718092566631</v>
      </c>
      <c r="J66" s="38">
        <v>35</v>
      </c>
      <c r="K66" s="58">
        <f t="shared" si="1"/>
        <v>100</v>
      </c>
      <c r="L66" s="3"/>
      <c r="N66" s="284">
        <f t="shared" si="2"/>
        <v>100</v>
      </c>
    </row>
    <row r="67" spans="1:14" ht="17.25" customHeight="1">
      <c r="A67" s="32"/>
      <c r="B67" s="35" t="s">
        <v>320</v>
      </c>
      <c r="C67" s="32" t="s">
        <v>76</v>
      </c>
      <c r="D67" s="22">
        <f>D65*D66/10</f>
        <v>3953.558</v>
      </c>
      <c r="E67" s="22">
        <f>E65*E66/10</f>
        <v>4933.96</v>
      </c>
      <c r="F67" s="22">
        <f>F65*F66/10</f>
        <v>5456.5</v>
      </c>
      <c r="G67" s="22">
        <f>G65*G66/10</f>
        <v>0</v>
      </c>
      <c r="H67" s="22">
        <f>H65*H66/10</f>
        <v>5453</v>
      </c>
      <c r="I67" s="58">
        <f t="shared" ref="I67:I130" si="21">IFERROR(H67/E67%,"")</f>
        <v>110.51974478917543</v>
      </c>
      <c r="J67" s="22">
        <f>J65*J66/10</f>
        <v>6107.5</v>
      </c>
      <c r="K67" s="58">
        <f t="shared" ref="K67:K130" si="22">IFERROR(J67/H67%,"")</f>
        <v>112.002567394095</v>
      </c>
      <c r="L67" s="3"/>
      <c r="N67" s="284">
        <f t="shared" si="2"/>
        <v>99.935856318152659</v>
      </c>
    </row>
    <row r="68" spans="1:14" s="18" customFormat="1" ht="17.25" customHeight="1">
      <c r="A68" s="11" t="s">
        <v>35</v>
      </c>
      <c r="B68" s="30" t="s">
        <v>446</v>
      </c>
      <c r="C68" s="11" t="s">
        <v>37</v>
      </c>
      <c r="D68" s="16">
        <v>7793.5</v>
      </c>
      <c r="E68" s="16">
        <f>D68+E69-E70</f>
        <v>7802.6</v>
      </c>
      <c r="F68" s="16">
        <f>E68+F69-F70</f>
        <v>7802.6</v>
      </c>
      <c r="G68" s="16">
        <f>E68+G69-G70</f>
        <v>7725.1</v>
      </c>
      <c r="H68" s="16">
        <f>E68+H69-H70</f>
        <v>7730.1</v>
      </c>
      <c r="I68" s="66">
        <f t="shared" si="21"/>
        <v>99.070822546330703</v>
      </c>
      <c r="J68" s="16">
        <f>H68+J69-J70</f>
        <v>7730.1</v>
      </c>
      <c r="K68" s="66">
        <f t="shared" si="22"/>
        <v>100</v>
      </c>
      <c r="L68" s="83"/>
      <c r="N68" s="284">
        <f t="shared" si="2"/>
        <v>99.070822546330703</v>
      </c>
    </row>
    <row r="69" spans="1:14" ht="17.25" customHeight="1">
      <c r="A69" s="32"/>
      <c r="B69" s="35" t="s">
        <v>123</v>
      </c>
      <c r="C69" s="32" t="s">
        <v>37</v>
      </c>
      <c r="D69" s="43">
        <v>0</v>
      </c>
      <c r="E69" s="28">
        <v>24.6</v>
      </c>
      <c r="F69" s="43"/>
      <c r="G69" s="43">
        <v>33.299999999999997</v>
      </c>
      <c r="H69" s="43">
        <v>38.299999999999997</v>
      </c>
      <c r="I69" s="58">
        <f t="shared" si="21"/>
        <v>155.69105691056907</v>
      </c>
      <c r="J69" s="43"/>
      <c r="K69" s="58">
        <f t="shared" si="22"/>
        <v>0</v>
      </c>
      <c r="L69" s="3"/>
      <c r="N69" s="284" t="str">
        <f t="shared" ref="N69:N132" si="23">IFERROR(H69/F69%,"")</f>
        <v/>
      </c>
    </row>
    <row r="70" spans="1:14" ht="17.25" customHeight="1">
      <c r="A70" s="32"/>
      <c r="B70" s="35" t="s">
        <v>321</v>
      </c>
      <c r="C70" s="32" t="s">
        <v>37</v>
      </c>
      <c r="D70" s="28">
        <v>81.5</v>
      </c>
      <c r="E70" s="28">
        <v>15.5</v>
      </c>
      <c r="F70" s="43"/>
      <c r="G70" s="43">
        <v>110.8</v>
      </c>
      <c r="H70" s="43">
        <v>110.8</v>
      </c>
      <c r="I70" s="58">
        <f t="shared" si="21"/>
        <v>714.83870967741939</v>
      </c>
      <c r="J70" s="43"/>
      <c r="K70" s="58">
        <f t="shared" si="22"/>
        <v>0</v>
      </c>
      <c r="L70" s="3"/>
      <c r="N70" s="284" t="str">
        <f t="shared" si="23"/>
        <v/>
      </c>
    </row>
    <row r="71" spans="1:14" ht="17.25" customHeight="1">
      <c r="A71" s="32"/>
      <c r="B71" s="35" t="s">
        <v>124</v>
      </c>
      <c r="C71" s="32" t="s">
        <v>37</v>
      </c>
      <c r="D71" s="22">
        <v>4821</v>
      </c>
      <c r="E71" s="22">
        <v>5385</v>
      </c>
      <c r="F71" s="22">
        <v>5755</v>
      </c>
      <c r="G71" s="22">
        <v>5723.7</v>
      </c>
      <c r="H71" s="22">
        <v>5723.7</v>
      </c>
      <c r="I71" s="58">
        <f t="shared" si="21"/>
        <v>106.28969359331475</v>
      </c>
      <c r="J71" s="22">
        <v>6190</v>
      </c>
      <c r="K71" s="58">
        <f t="shared" si="22"/>
        <v>108.1468281007041</v>
      </c>
      <c r="L71" s="3"/>
      <c r="N71" s="284">
        <f t="shared" si="23"/>
        <v>99.456125108601213</v>
      </c>
    </row>
    <row r="72" spans="1:14" ht="17.25" customHeight="1">
      <c r="A72" s="32"/>
      <c r="B72" s="35" t="s">
        <v>126</v>
      </c>
      <c r="C72" s="32" t="s">
        <v>21</v>
      </c>
      <c r="D72" s="38">
        <v>12.33</v>
      </c>
      <c r="E72" s="38">
        <v>12.35</v>
      </c>
      <c r="F72" s="38">
        <v>12.5</v>
      </c>
      <c r="G72" s="38">
        <v>12.5</v>
      </c>
      <c r="H72" s="38">
        <v>12.5</v>
      </c>
      <c r="I72" s="58">
        <f t="shared" si="21"/>
        <v>101.21457489878543</v>
      </c>
      <c r="J72" s="38">
        <v>12.5</v>
      </c>
      <c r="K72" s="58">
        <f t="shared" si="22"/>
        <v>100</v>
      </c>
      <c r="L72" s="3"/>
      <c r="N72" s="284">
        <f t="shared" si="23"/>
        <v>100</v>
      </c>
    </row>
    <row r="73" spans="1:14" ht="17.25" customHeight="1">
      <c r="A73" s="32"/>
      <c r="B73" s="35" t="s">
        <v>474</v>
      </c>
      <c r="C73" s="32" t="s">
        <v>76</v>
      </c>
      <c r="D73" s="22">
        <f>D71*D72/10</f>
        <v>5944.2929999999997</v>
      </c>
      <c r="E73" s="22">
        <f>E71*E72/10</f>
        <v>6650.4750000000004</v>
      </c>
      <c r="F73" s="22">
        <f>F71*F72/10</f>
        <v>7193.75</v>
      </c>
      <c r="G73" s="22">
        <f>G71*G72/10</f>
        <v>7154.625</v>
      </c>
      <c r="H73" s="22">
        <f>H71*H72/10</f>
        <v>7154.625</v>
      </c>
      <c r="I73" s="58">
        <f t="shared" si="21"/>
        <v>107.5806615316951</v>
      </c>
      <c r="J73" s="22">
        <f>J71*J72/10</f>
        <v>7737.5</v>
      </c>
      <c r="K73" s="58">
        <f t="shared" si="22"/>
        <v>108.14682810070408</v>
      </c>
      <c r="L73" s="3"/>
      <c r="N73" s="284">
        <f t="shared" si="23"/>
        <v>99.456125108601213</v>
      </c>
    </row>
    <row r="74" spans="1:14" s="18" customFormat="1" ht="17.25" customHeight="1">
      <c r="A74" s="11">
        <v>2</v>
      </c>
      <c r="B74" s="30" t="s">
        <v>181</v>
      </c>
      <c r="C74" s="11" t="s">
        <v>37</v>
      </c>
      <c r="D74" s="16">
        <v>155.19999999999999</v>
      </c>
      <c r="E74" s="16">
        <v>218.9</v>
      </c>
      <c r="F74" s="16">
        <v>220</v>
      </c>
      <c r="G74" s="16">
        <v>220</v>
      </c>
      <c r="H74" s="16">
        <v>220</v>
      </c>
      <c r="I74" s="66">
        <f t="shared" si="21"/>
        <v>100.50251256281406</v>
      </c>
      <c r="J74" s="16">
        <v>220</v>
      </c>
      <c r="K74" s="66">
        <f t="shared" si="22"/>
        <v>99.999999999999986</v>
      </c>
      <c r="L74" s="83"/>
      <c r="N74" s="284">
        <f t="shared" si="23"/>
        <v>99.999999999999986</v>
      </c>
    </row>
    <row r="75" spans="1:14" s="18" customFormat="1" ht="31.5">
      <c r="A75" s="11">
        <v>3</v>
      </c>
      <c r="B75" s="30" t="s">
        <v>410</v>
      </c>
      <c r="C75" s="11" t="s">
        <v>37</v>
      </c>
      <c r="D75" s="16">
        <f t="shared" ref="D75:J75" si="24">SUM(D76:D80)</f>
        <v>121.5</v>
      </c>
      <c r="E75" s="16">
        <f t="shared" si="24"/>
        <v>130.60000000000002</v>
      </c>
      <c r="F75" s="16">
        <f t="shared" si="24"/>
        <v>130</v>
      </c>
      <c r="G75" s="16">
        <f t="shared" si="24"/>
        <v>130</v>
      </c>
      <c r="H75" s="16">
        <f t="shared" si="24"/>
        <v>130</v>
      </c>
      <c r="I75" s="66">
        <f t="shared" si="21"/>
        <v>99.54058192955587</v>
      </c>
      <c r="J75" s="16">
        <f t="shared" si="24"/>
        <v>130</v>
      </c>
      <c r="K75" s="66">
        <f t="shared" si="22"/>
        <v>100</v>
      </c>
      <c r="L75" s="83"/>
      <c r="M75" s="87"/>
      <c r="N75" s="284">
        <f t="shared" si="23"/>
        <v>100</v>
      </c>
    </row>
    <row r="76" spans="1:14" ht="17.25" hidden="1" customHeight="1" outlineLevel="1">
      <c r="A76" s="32"/>
      <c r="B76" s="35" t="s">
        <v>405</v>
      </c>
      <c r="C76" s="32" t="s">
        <v>37</v>
      </c>
      <c r="D76" s="38">
        <v>18.5</v>
      </c>
      <c r="E76" s="38">
        <v>17</v>
      </c>
      <c r="F76" s="38">
        <v>17</v>
      </c>
      <c r="G76" s="38">
        <f>F76</f>
        <v>17</v>
      </c>
      <c r="H76" s="38">
        <f>G76</f>
        <v>17</v>
      </c>
      <c r="I76" s="58">
        <f t="shared" si="21"/>
        <v>99.999999999999986</v>
      </c>
      <c r="J76" s="38">
        <f>H76</f>
        <v>17</v>
      </c>
      <c r="K76" s="58">
        <f t="shared" si="22"/>
        <v>99.999999999999986</v>
      </c>
      <c r="L76" s="3"/>
      <c r="N76" s="284">
        <f t="shared" si="23"/>
        <v>99.999999999999986</v>
      </c>
    </row>
    <row r="77" spans="1:14" ht="17.25" hidden="1" customHeight="1" outlineLevel="1">
      <c r="A77" s="32"/>
      <c r="B77" s="35" t="s">
        <v>406</v>
      </c>
      <c r="C77" s="32" t="s">
        <v>37</v>
      </c>
      <c r="D77" s="38">
        <v>54.6</v>
      </c>
      <c r="E77" s="38">
        <v>61.9</v>
      </c>
      <c r="F77" s="38">
        <v>62</v>
      </c>
      <c r="G77" s="38">
        <f t="shared" ref="G77:H80" si="25">F77</f>
        <v>62</v>
      </c>
      <c r="H77" s="38">
        <f t="shared" si="25"/>
        <v>62</v>
      </c>
      <c r="I77" s="58">
        <f t="shared" si="21"/>
        <v>100.16155088852989</v>
      </c>
      <c r="J77" s="38">
        <f>H77</f>
        <v>62</v>
      </c>
      <c r="K77" s="58">
        <f t="shared" si="22"/>
        <v>100</v>
      </c>
      <c r="L77" s="3"/>
      <c r="N77" s="284">
        <f t="shared" si="23"/>
        <v>100</v>
      </c>
    </row>
    <row r="78" spans="1:14" ht="17.25" hidden="1" customHeight="1" outlineLevel="1">
      <c r="A78" s="32"/>
      <c r="B78" s="35" t="s">
        <v>407</v>
      </c>
      <c r="C78" s="32" t="s">
        <v>37</v>
      </c>
      <c r="D78" s="38">
        <v>2</v>
      </c>
      <c r="E78" s="38">
        <v>2</v>
      </c>
      <c r="F78" s="38">
        <v>2</v>
      </c>
      <c r="G78" s="38">
        <f t="shared" si="25"/>
        <v>2</v>
      </c>
      <c r="H78" s="38">
        <f t="shared" si="25"/>
        <v>2</v>
      </c>
      <c r="I78" s="58">
        <f t="shared" si="21"/>
        <v>100</v>
      </c>
      <c r="J78" s="38">
        <f>H78</f>
        <v>2</v>
      </c>
      <c r="K78" s="58">
        <f t="shared" si="22"/>
        <v>100</v>
      </c>
      <c r="L78" s="3"/>
      <c r="N78" s="284">
        <f t="shared" si="23"/>
        <v>100</v>
      </c>
    </row>
    <row r="79" spans="1:14" ht="17.25" hidden="1" customHeight="1" outlineLevel="1">
      <c r="A79" s="32"/>
      <c r="B79" s="35" t="s">
        <v>408</v>
      </c>
      <c r="C79" s="32" t="s">
        <v>37</v>
      </c>
      <c r="D79" s="38">
        <v>46.4</v>
      </c>
      <c r="E79" s="38">
        <v>30.4</v>
      </c>
      <c r="F79" s="38">
        <v>30</v>
      </c>
      <c r="G79" s="38">
        <f t="shared" si="25"/>
        <v>30</v>
      </c>
      <c r="H79" s="38">
        <f t="shared" si="25"/>
        <v>30</v>
      </c>
      <c r="I79" s="58">
        <f t="shared" si="21"/>
        <v>98.684210526315795</v>
      </c>
      <c r="J79" s="38">
        <f>H79</f>
        <v>30</v>
      </c>
      <c r="K79" s="58">
        <f t="shared" si="22"/>
        <v>100</v>
      </c>
      <c r="L79" s="3"/>
      <c r="N79" s="284">
        <f t="shared" si="23"/>
        <v>100</v>
      </c>
    </row>
    <row r="80" spans="1:14" ht="17.25" hidden="1" customHeight="1" outlineLevel="1">
      <c r="A80" s="32"/>
      <c r="B80" s="35" t="s">
        <v>409</v>
      </c>
      <c r="C80" s="32" t="s">
        <v>37</v>
      </c>
      <c r="D80" s="38"/>
      <c r="E80" s="38">
        <v>19.3</v>
      </c>
      <c r="F80" s="38">
        <v>19</v>
      </c>
      <c r="G80" s="38">
        <f t="shared" si="25"/>
        <v>19</v>
      </c>
      <c r="H80" s="38">
        <f t="shared" si="25"/>
        <v>19</v>
      </c>
      <c r="I80" s="58">
        <f t="shared" si="21"/>
        <v>98.445595854922274</v>
      </c>
      <c r="J80" s="38">
        <f>H80</f>
        <v>19</v>
      </c>
      <c r="K80" s="58">
        <f t="shared" si="22"/>
        <v>100</v>
      </c>
      <c r="L80" s="3"/>
      <c r="N80" s="284">
        <f t="shared" si="23"/>
        <v>100</v>
      </c>
    </row>
    <row r="81" spans="1:14" ht="18.75" customHeight="1" collapsed="1">
      <c r="A81" s="11" t="s">
        <v>47</v>
      </c>
      <c r="B81" s="30" t="s">
        <v>96</v>
      </c>
      <c r="C81" s="32"/>
      <c r="D81" s="28"/>
      <c r="E81" s="38"/>
      <c r="F81" s="38"/>
      <c r="G81" s="38"/>
      <c r="H81" s="38"/>
      <c r="I81" s="66" t="str">
        <f t="shared" si="21"/>
        <v/>
      </c>
      <c r="J81" s="38"/>
      <c r="K81" s="66" t="str">
        <f t="shared" si="22"/>
        <v/>
      </c>
      <c r="L81" s="3"/>
      <c r="N81" s="284" t="str">
        <f t="shared" si="23"/>
        <v/>
      </c>
    </row>
    <row r="82" spans="1:14" ht="18.75" customHeight="1">
      <c r="A82" s="11">
        <v>1</v>
      </c>
      <c r="B82" s="30" t="s">
        <v>447</v>
      </c>
      <c r="C82" s="11" t="s">
        <v>54</v>
      </c>
      <c r="D82" s="27">
        <f>SUM(D83:D85)</f>
        <v>20219</v>
      </c>
      <c r="E82" s="27">
        <f t="shared" ref="E82:J82" si="26">SUM(E83:E85)</f>
        <v>18350</v>
      </c>
      <c r="F82" s="27">
        <f t="shared" si="26"/>
        <v>20650</v>
      </c>
      <c r="G82" s="27">
        <f t="shared" si="26"/>
        <v>17340</v>
      </c>
      <c r="H82" s="27">
        <f t="shared" si="26"/>
        <v>20800</v>
      </c>
      <c r="I82" s="66">
        <f t="shared" si="21"/>
        <v>113.35149863760218</v>
      </c>
      <c r="J82" s="27">
        <f t="shared" si="26"/>
        <v>21200</v>
      </c>
      <c r="K82" s="66">
        <f t="shared" si="22"/>
        <v>101.92307692307692</v>
      </c>
      <c r="L82" s="83"/>
      <c r="N82" s="284">
        <f t="shared" si="23"/>
        <v>100.72639225181598</v>
      </c>
    </row>
    <row r="83" spans="1:14" ht="18.75" customHeight="1">
      <c r="A83" s="32"/>
      <c r="B83" s="35" t="s">
        <v>322</v>
      </c>
      <c r="C83" s="32" t="s">
        <v>54</v>
      </c>
      <c r="D83" s="29">
        <v>2461</v>
      </c>
      <c r="E83" s="29">
        <v>2550</v>
      </c>
      <c r="F83" s="29">
        <v>2650</v>
      </c>
      <c r="G83" s="29">
        <v>2560</v>
      </c>
      <c r="H83" s="29">
        <v>2600</v>
      </c>
      <c r="I83" s="58">
        <f t="shared" si="21"/>
        <v>101.96078431372548</v>
      </c>
      <c r="J83" s="29">
        <v>2700</v>
      </c>
      <c r="K83" s="58">
        <f t="shared" si="22"/>
        <v>103.84615384615384</v>
      </c>
      <c r="L83" s="3"/>
      <c r="N83" s="284">
        <f t="shared" si="23"/>
        <v>98.113207547169807</v>
      </c>
    </row>
    <row r="84" spans="1:14" ht="18.75" customHeight="1">
      <c r="A84" s="32"/>
      <c r="B84" s="35" t="s">
        <v>323</v>
      </c>
      <c r="C84" s="32" t="s">
        <v>54</v>
      </c>
      <c r="D84" s="29">
        <v>4034</v>
      </c>
      <c r="E84" s="29">
        <v>4800</v>
      </c>
      <c r="F84" s="29">
        <v>5000</v>
      </c>
      <c r="G84" s="29">
        <v>5113</v>
      </c>
      <c r="H84" s="29">
        <v>5200</v>
      </c>
      <c r="I84" s="58">
        <f t="shared" si="21"/>
        <v>108.33333333333333</v>
      </c>
      <c r="J84" s="29">
        <v>5500</v>
      </c>
      <c r="K84" s="58">
        <f t="shared" si="22"/>
        <v>105.76923076923077</v>
      </c>
      <c r="L84" s="3"/>
      <c r="N84" s="284">
        <f t="shared" si="23"/>
        <v>104</v>
      </c>
    </row>
    <row r="85" spans="1:14" ht="18.75" customHeight="1">
      <c r="A85" s="32"/>
      <c r="B85" s="35" t="s">
        <v>324</v>
      </c>
      <c r="C85" s="32" t="s">
        <v>54</v>
      </c>
      <c r="D85" s="29">
        <v>13724</v>
      </c>
      <c r="E85" s="29">
        <v>11000</v>
      </c>
      <c r="F85" s="29">
        <v>13000</v>
      </c>
      <c r="G85" s="29">
        <v>9667</v>
      </c>
      <c r="H85" s="29">
        <v>13000</v>
      </c>
      <c r="I85" s="58">
        <f t="shared" si="21"/>
        <v>118.18181818181819</v>
      </c>
      <c r="J85" s="29">
        <v>13000</v>
      </c>
      <c r="K85" s="58">
        <f t="shared" si="22"/>
        <v>100</v>
      </c>
      <c r="L85" s="3"/>
      <c r="N85" s="284">
        <f t="shared" si="23"/>
        <v>100</v>
      </c>
    </row>
    <row r="86" spans="1:14" ht="18.75" customHeight="1">
      <c r="A86" s="11">
        <v>2</v>
      </c>
      <c r="B86" s="44" t="s">
        <v>31</v>
      </c>
      <c r="C86" s="11" t="s">
        <v>54</v>
      </c>
      <c r="D86" s="27">
        <v>77894</v>
      </c>
      <c r="E86" s="27">
        <v>87000</v>
      </c>
      <c r="F86" s="27">
        <v>87000</v>
      </c>
      <c r="G86" s="27">
        <v>73600</v>
      </c>
      <c r="H86" s="27">
        <v>87000</v>
      </c>
      <c r="I86" s="66">
        <f t="shared" si="21"/>
        <v>100</v>
      </c>
      <c r="J86" s="27">
        <v>86000</v>
      </c>
      <c r="K86" s="66">
        <f t="shared" si="22"/>
        <v>98.850574712643677</v>
      </c>
      <c r="L86" s="83"/>
      <c r="N86" s="284">
        <f t="shared" si="23"/>
        <v>100</v>
      </c>
    </row>
    <row r="87" spans="1:14" s="18" customFormat="1" ht="18.75" customHeight="1">
      <c r="A87" s="11" t="s">
        <v>48</v>
      </c>
      <c r="B87" s="45" t="s">
        <v>325</v>
      </c>
      <c r="C87" s="11"/>
      <c r="D87" s="27"/>
      <c r="E87" s="27"/>
      <c r="F87" s="27"/>
      <c r="G87" s="27"/>
      <c r="H87" s="27"/>
      <c r="I87" s="66" t="str">
        <f t="shared" si="21"/>
        <v/>
      </c>
      <c r="J87" s="27"/>
      <c r="K87" s="66" t="str">
        <f t="shared" si="22"/>
        <v/>
      </c>
      <c r="L87" s="83"/>
      <c r="N87" s="284" t="str">
        <f t="shared" si="23"/>
        <v/>
      </c>
    </row>
    <row r="88" spans="1:14" ht="18.75" customHeight="1">
      <c r="A88" s="32">
        <v>1</v>
      </c>
      <c r="B88" s="46" t="s">
        <v>326</v>
      </c>
      <c r="C88" s="32" t="s">
        <v>37</v>
      </c>
      <c r="D88" s="28">
        <v>85</v>
      </c>
      <c r="E88" s="28">
        <v>85.5</v>
      </c>
      <c r="F88" s="28">
        <v>85.5</v>
      </c>
      <c r="G88" s="28">
        <v>89.100000000000009</v>
      </c>
      <c r="H88" s="28">
        <v>89.100000000000009</v>
      </c>
      <c r="I88" s="58">
        <f t="shared" si="21"/>
        <v>104.21052631578948</v>
      </c>
      <c r="J88" s="28">
        <v>89.100000000000009</v>
      </c>
      <c r="K88" s="58">
        <f t="shared" si="22"/>
        <v>100</v>
      </c>
      <c r="L88" s="3"/>
      <c r="N88" s="284">
        <f t="shared" si="23"/>
        <v>104.21052631578948</v>
      </c>
    </row>
    <row r="89" spans="1:14" ht="18.75" customHeight="1">
      <c r="A89" s="32">
        <v>2</v>
      </c>
      <c r="B89" s="46" t="s">
        <v>327</v>
      </c>
      <c r="C89" s="32" t="s">
        <v>76</v>
      </c>
      <c r="D89" s="29">
        <f t="shared" ref="D89:J89" si="27">D90+D91</f>
        <v>427.4</v>
      </c>
      <c r="E89" s="29">
        <f t="shared" si="27"/>
        <v>320</v>
      </c>
      <c r="F89" s="29">
        <f t="shared" si="27"/>
        <v>335</v>
      </c>
      <c r="G89" s="29">
        <f t="shared" si="27"/>
        <v>124</v>
      </c>
      <c r="H89" s="29">
        <f t="shared" si="27"/>
        <v>207</v>
      </c>
      <c r="I89" s="58">
        <f t="shared" si="21"/>
        <v>64.6875</v>
      </c>
      <c r="J89" s="29">
        <f t="shared" si="27"/>
        <v>210</v>
      </c>
      <c r="K89" s="58">
        <f t="shared" si="22"/>
        <v>101.44927536231884</v>
      </c>
      <c r="L89" s="3"/>
      <c r="N89" s="284">
        <f t="shared" si="23"/>
        <v>61.791044776119399</v>
      </c>
    </row>
    <row r="90" spans="1:14" ht="18.75" customHeight="1">
      <c r="A90" s="32"/>
      <c r="B90" s="48" t="s">
        <v>328</v>
      </c>
      <c r="C90" s="32" t="s">
        <v>76</v>
      </c>
      <c r="D90" s="29">
        <v>211.9</v>
      </c>
      <c r="E90" s="29">
        <v>210</v>
      </c>
      <c r="F90" s="29">
        <v>210</v>
      </c>
      <c r="G90" s="29">
        <v>86.5</v>
      </c>
      <c r="H90" s="29">
        <v>137</v>
      </c>
      <c r="I90" s="58">
        <f t="shared" si="21"/>
        <v>65.238095238095241</v>
      </c>
      <c r="J90" s="29">
        <v>140</v>
      </c>
      <c r="K90" s="58">
        <f t="shared" si="22"/>
        <v>102.1897810218978</v>
      </c>
      <c r="L90" s="3"/>
      <c r="N90" s="284">
        <f t="shared" si="23"/>
        <v>65.238095238095241</v>
      </c>
    </row>
    <row r="91" spans="1:14" ht="18.75" customHeight="1">
      <c r="A91" s="32"/>
      <c r="B91" s="48" t="s">
        <v>329</v>
      </c>
      <c r="C91" s="32" t="s">
        <v>76</v>
      </c>
      <c r="D91" s="29">
        <v>215.5</v>
      </c>
      <c r="E91" s="29">
        <v>110</v>
      </c>
      <c r="F91" s="29">
        <v>125</v>
      </c>
      <c r="G91" s="29">
        <v>37.5</v>
      </c>
      <c r="H91" s="29">
        <v>70</v>
      </c>
      <c r="I91" s="58">
        <f t="shared" si="21"/>
        <v>63.636363636363633</v>
      </c>
      <c r="J91" s="29">
        <v>70</v>
      </c>
      <c r="K91" s="58">
        <f t="shared" si="22"/>
        <v>100</v>
      </c>
      <c r="L91" s="3"/>
      <c r="N91" s="284">
        <f t="shared" si="23"/>
        <v>56</v>
      </c>
    </row>
    <row r="92" spans="1:14">
      <c r="A92" s="145" t="s">
        <v>50</v>
      </c>
      <c r="B92" s="146" t="s">
        <v>104</v>
      </c>
      <c r="C92" s="145"/>
      <c r="D92" s="13"/>
      <c r="E92" s="13"/>
      <c r="F92" s="13"/>
      <c r="G92" s="13"/>
      <c r="H92" s="13"/>
      <c r="I92" s="66" t="str">
        <f t="shared" si="21"/>
        <v/>
      </c>
      <c r="J92" s="13"/>
      <c r="K92" s="66" t="str">
        <f t="shared" si="22"/>
        <v/>
      </c>
      <c r="L92" s="3"/>
      <c r="N92" s="284" t="str">
        <f t="shared" si="23"/>
        <v/>
      </c>
    </row>
    <row r="93" spans="1:14" ht="19.5" customHeight="1">
      <c r="A93" s="147"/>
      <c r="B93" s="148" t="s">
        <v>330</v>
      </c>
      <c r="C93" s="32" t="s">
        <v>37</v>
      </c>
      <c r="D93" s="53">
        <v>500.3</v>
      </c>
      <c r="E93" s="53">
        <v>4</v>
      </c>
      <c r="F93" s="53"/>
      <c r="G93" s="53"/>
      <c r="H93" s="53"/>
      <c r="I93" s="58">
        <f t="shared" si="21"/>
        <v>0</v>
      </c>
      <c r="J93" s="53"/>
      <c r="K93" s="58" t="str">
        <f t="shared" si="22"/>
        <v/>
      </c>
      <c r="L93" s="3"/>
      <c r="N93" s="284" t="str">
        <f t="shared" si="23"/>
        <v/>
      </c>
    </row>
    <row r="94" spans="1:14" ht="19.5" customHeight="1">
      <c r="A94" s="147"/>
      <c r="B94" s="46" t="s">
        <v>712</v>
      </c>
      <c r="C94" s="32" t="s">
        <v>37</v>
      </c>
      <c r="D94" s="53">
        <v>50870.31</v>
      </c>
      <c r="E94" s="53">
        <v>50870.31</v>
      </c>
      <c r="F94" s="53">
        <v>50870.31</v>
      </c>
      <c r="G94" s="53">
        <v>50870.31</v>
      </c>
      <c r="H94" s="53">
        <v>50870.31</v>
      </c>
      <c r="I94" s="58">
        <f t="shared" si="21"/>
        <v>100</v>
      </c>
      <c r="J94" s="53">
        <v>50870.31</v>
      </c>
      <c r="K94" s="58">
        <f t="shared" si="22"/>
        <v>100</v>
      </c>
      <c r="L94" s="3"/>
      <c r="N94" s="284">
        <f t="shared" si="23"/>
        <v>100</v>
      </c>
    </row>
    <row r="95" spans="1:14" ht="19.5" customHeight="1">
      <c r="A95" s="147"/>
      <c r="B95" s="46" t="s">
        <v>713</v>
      </c>
      <c r="C95" s="32" t="s">
        <v>37</v>
      </c>
      <c r="D95" s="53"/>
      <c r="E95" s="53">
        <v>15886.3</v>
      </c>
      <c r="F95" s="53">
        <v>15886</v>
      </c>
      <c r="G95" s="53">
        <v>15886</v>
      </c>
      <c r="H95" s="53">
        <v>15886</v>
      </c>
      <c r="I95" s="58">
        <f t="shared" si="21"/>
        <v>99.998111580418353</v>
      </c>
      <c r="J95" s="53">
        <v>15886</v>
      </c>
      <c r="K95" s="58">
        <f t="shared" si="22"/>
        <v>99.999999999999986</v>
      </c>
      <c r="L95" s="3"/>
      <c r="N95" s="284">
        <f t="shared" si="23"/>
        <v>99.999999999999986</v>
      </c>
    </row>
    <row r="96" spans="1:14" ht="19.5" customHeight="1">
      <c r="A96" s="147"/>
      <c r="B96" s="148" t="s">
        <v>711</v>
      </c>
      <c r="C96" s="32" t="s">
        <v>33</v>
      </c>
      <c r="D96" s="269">
        <v>31.37</v>
      </c>
      <c r="E96" s="288">
        <f>E95/50640%</f>
        <v>31.37105055292259</v>
      </c>
      <c r="F96" s="288">
        <f>F95/50640%</f>
        <v>31.370458135860982</v>
      </c>
      <c r="G96" s="288">
        <f>G95/50640%</f>
        <v>31.370458135860982</v>
      </c>
      <c r="H96" s="288">
        <f>H95/50640%</f>
        <v>31.370458135860982</v>
      </c>
      <c r="I96" s="58">
        <f t="shared" si="21"/>
        <v>99.998111580418353</v>
      </c>
      <c r="J96" s="288">
        <f>J95/50640%</f>
        <v>31.370458135860982</v>
      </c>
      <c r="K96" s="58">
        <f t="shared" si="22"/>
        <v>99.999999999999986</v>
      </c>
      <c r="L96" s="3"/>
      <c r="N96" s="284">
        <f t="shared" si="23"/>
        <v>99.999999999999986</v>
      </c>
    </row>
    <row r="97" spans="1:14" s="18" customFormat="1" ht="17.25" customHeight="1">
      <c r="A97" s="11">
        <v>1</v>
      </c>
      <c r="B97" s="30" t="s">
        <v>30</v>
      </c>
      <c r="C97" s="11" t="s">
        <v>37</v>
      </c>
      <c r="D97" s="16">
        <v>1646</v>
      </c>
      <c r="E97" s="16">
        <f>D97+E98</f>
        <v>1675</v>
      </c>
      <c r="F97" s="16">
        <f>E97+F98</f>
        <v>1710</v>
      </c>
      <c r="G97" s="16">
        <f>E97+G98</f>
        <v>1710</v>
      </c>
      <c r="H97" s="16">
        <f>E97+H98</f>
        <v>1729</v>
      </c>
      <c r="I97" s="66">
        <f t="shared" si="21"/>
        <v>103.22388059701493</v>
      </c>
      <c r="J97" s="16">
        <f>H97+J98</f>
        <v>1729</v>
      </c>
      <c r="K97" s="66">
        <f t="shared" si="22"/>
        <v>100</v>
      </c>
      <c r="L97" s="83"/>
      <c r="M97" s="87"/>
      <c r="N97" s="284">
        <f t="shared" si="23"/>
        <v>101.1111111111111</v>
      </c>
    </row>
    <row r="98" spans="1:14" ht="17.25" customHeight="1">
      <c r="A98" s="32"/>
      <c r="B98" s="35" t="s">
        <v>123</v>
      </c>
      <c r="C98" s="32" t="s">
        <v>37</v>
      </c>
      <c r="D98" s="22">
        <v>57.2</v>
      </c>
      <c r="E98" s="22">
        <v>29</v>
      </c>
      <c r="F98" s="22">
        <v>35</v>
      </c>
      <c r="G98" s="22">
        <f>F98</f>
        <v>35</v>
      </c>
      <c r="H98" s="22">
        <v>54</v>
      </c>
      <c r="I98" s="58">
        <f t="shared" si="21"/>
        <v>186.20689655172416</v>
      </c>
      <c r="J98" s="22"/>
      <c r="K98" s="58">
        <f t="shared" si="22"/>
        <v>0</v>
      </c>
      <c r="L98" s="3"/>
      <c r="N98" s="284">
        <f t="shared" si="23"/>
        <v>154.28571428571431</v>
      </c>
    </row>
    <row r="99" spans="1:14" s="18" customFormat="1" hidden="1">
      <c r="A99" s="11" t="s">
        <v>176</v>
      </c>
      <c r="B99" s="54" t="s">
        <v>183</v>
      </c>
      <c r="C99" s="11"/>
      <c r="D99" s="149"/>
      <c r="E99" s="149"/>
      <c r="F99" s="149"/>
      <c r="G99" s="149"/>
      <c r="H99" s="149"/>
      <c r="I99" s="66" t="str">
        <f t="shared" si="21"/>
        <v/>
      </c>
      <c r="J99" s="149"/>
      <c r="K99" s="66" t="str">
        <f t="shared" si="22"/>
        <v/>
      </c>
      <c r="L99" s="66"/>
      <c r="N99" s="284" t="str">
        <f t="shared" si="23"/>
        <v/>
      </c>
    </row>
    <row r="100" spans="1:14" ht="22.5" hidden="1" customHeight="1">
      <c r="A100" s="11">
        <v>1</v>
      </c>
      <c r="B100" s="54" t="s">
        <v>449</v>
      </c>
      <c r="C100" s="11" t="s">
        <v>331</v>
      </c>
      <c r="D100" s="27">
        <v>676693</v>
      </c>
      <c r="E100" s="27">
        <v>708000</v>
      </c>
      <c r="F100" s="27">
        <v>722000</v>
      </c>
      <c r="G100" s="27">
        <v>435000</v>
      </c>
      <c r="H100" s="27">
        <f>F100</f>
        <v>722000</v>
      </c>
      <c r="I100" s="66">
        <f t="shared" si="21"/>
        <v>101.9774011299435</v>
      </c>
      <c r="J100" s="27">
        <v>749000</v>
      </c>
      <c r="K100" s="66">
        <f t="shared" si="22"/>
        <v>103.73961218836565</v>
      </c>
      <c r="L100" s="83"/>
      <c r="N100" s="284">
        <f t="shared" si="23"/>
        <v>100</v>
      </c>
    </row>
    <row r="101" spans="1:14" ht="20.25" hidden="1" customHeight="1">
      <c r="A101" s="32">
        <v>2</v>
      </c>
      <c r="B101" s="20" t="s">
        <v>333</v>
      </c>
      <c r="C101" s="32"/>
      <c r="D101" s="13"/>
      <c r="E101" s="13"/>
      <c r="F101" s="13"/>
      <c r="G101" s="149"/>
      <c r="H101" s="13"/>
      <c r="I101" s="58" t="str">
        <f t="shared" si="21"/>
        <v/>
      </c>
      <c r="J101" s="13"/>
      <c r="K101" s="58" t="str">
        <f t="shared" si="22"/>
        <v/>
      </c>
      <c r="L101" s="3"/>
      <c r="N101" s="284" t="str">
        <f t="shared" si="23"/>
        <v/>
      </c>
    </row>
    <row r="102" spans="1:14" ht="20.25" hidden="1" customHeight="1">
      <c r="A102" s="32"/>
      <c r="B102" s="20" t="s">
        <v>334</v>
      </c>
      <c r="C102" s="32" t="s">
        <v>65</v>
      </c>
      <c r="D102" s="29">
        <v>40</v>
      </c>
      <c r="E102" s="29">
        <v>42</v>
      </c>
      <c r="F102" s="29">
        <v>40</v>
      </c>
      <c r="G102" s="29">
        <v>25</v>
      </c>
      <c r="H102" s="29">
        <f t="shared" ref="H102:H107" si="28">F102</f>
        <v>40</v>
      </c>
      <c r="I102" s="58">
        <f t="shared" si="21"/>
        <v>95.238095238095241</v>
      </c>
      <c r="J102" s="29">
        <v>45</v>
      </c>
      <c r="K102" s="58">
        <f t="shared" si="22"/>
        <v>112.5</v>
      </c>
      <c r="L102" s="3"/>
      <c r="N102" s="286">
        <f t="shared" si="23"/>
        <v>100</v>
      </c>
    </row>
    <row r="103" spans="1:14" ht="20.25" hidden="1" customHeight="1">
      <c r="A103" s="32"/>
      <c r="B103" s="20" t="s">
        <v>340</v>
      </c>
      <c r="C103" s="32" t="s">
        <v>65</v>
      </c>
      <c r="D103" s="29">
        <v>35</v>
      </c>
      <c r="E103" s="29">
        <v>30</v>
      </c>
      <c r="F103" s="29">
        <v>40</v>
      </c>
      <c r="G103" s="29">
        <v>30</v>
      </c>
      <c r="H103" s="29">
        <f t="shared" si="28"/>
        <v>40</v>
      </c>
      <c r="I103" s="58">
        <f t="shared" si="21"/>
        <v>133.33333333333334</v>
      </c>
      <c r="J103" s="29">
        <v>45</v>
      </c>
      <c r="K103" s="58">
        <f t="shared" si="22"/>
        <v>112.5</v>
      </c>
      <c r="L103" s="3"/>
      <c r="N103" s="286">
        <f t="shared" si="23"/>
        <v>100</v>
      </c>
    </row>
    <row r="104" spans="1:14" ht="20.25" hidden="1" customHeight="1">
      <c r="A104" s="32"/>
      <c r="B104" s="20" t="s">
        <v>335</v>
      </c>
      <c r="C104" s="32" t="s">
        <v>76</v>
      </c>
      <c r="D104" s="29">
        <v>57219</v>
      </c>
      <c r="E104" s="29">
        <v>60000</v>
      </c>
      <c r="F104" s="29">
        <v>55000</v>
      </c>
      <c r="G104" s="29">
        <v>33292</v>
      </c>
      <c r="H104" s="29">
        <f t="shared" si="28"/>
        <v>55000</v>
      </c>
      <c r="I104" s="58">
        <f t="shared" si="21"/>
        <v>91.666666666666671</v>
      </c>
      <c r="J104" s="29">
        <v>55000</v>
      </c>
      <c r="K104" s="58">
        <f t="shared" si="22"/>
        <v>100</v>
      </c>
      <c r="L104" s="3"/>
      <c r="N104" s="286">
        <f t="shared" si="23"/>
        <v>100</v>
      </c>
    </row>
    <row r="105" spans="1:14" ht="20.25" hidden="1" customHeight="1">
      <c r="A105" s="32"/>
      <c r="B105" s="20" t="s">
        <v>336</v>
      </c>
      <c r="C105" s="32" t="s">
        <v>76</v>
      </c>
      <c r="D105" s="29">
        <v>12363</v>
      </c>
      <c r="E105" s="29">
        <v>13000</v>
      </c>
      <c r="F105" s="29">
        <v>12000</v>
      </c>
      <c r="G105" s="29">
        <v>6786</v>
      </c>
      <c r="H105" s="29">
        <f t="shared" si="28"/>
        <v>12000</v>
      </c>
      <c r="I105" s="58">
        <f t="shared" si="21"/>
        <v>92.307692307692307</v>
      </c>
      <c r="J105" s="29">
        <v>12000</v>
      </c>
      <c r="K105" s="58">
        <f t="shared" si="22"/>
        <v>100</v>
      </c>
      <c r="L105" s="3"/>
      <c r="N105" s="286">
        <f t="shared" si="23"/>
        <v>100</v>
      </c>
    </row>
    <row r="106" spans="1:14" ht="20.25" hidden="1" customHeight="1">
      <c r="A106" s="32"/>
      <c r="B106" s="20" t="s">
        <v>337</v>
      </c>
      <c r="C106" s="32" t="s">
        <v>466</v>
      </c>
      <c r="D106" s="29">
        <v>39713</v>
      </c>
      <c r="E106" s="29">
        <v>41000</v>
      </c>
      <c r="F106" s="29">
        <v>60000</v>
      </c>
      <c r="G106" s="29">
        <f>F106/12*8</f>
        <v>40000</v>
      </c>
      <c r="H106" s="29">
        <f t="shared" si="28"/>
        <v>60000</v>
      </c>
      <c r="I106" s="58">
        <f t="shared" si="21"/>
        <v>146.34146341463415</v>
      </c>
      <c r="J106" s="29">
        <v>80000</v>
      </c>
      <c r="K106" s="58">
        <f t="shared" si="22"/>
        <v>133.33333333333334</v>
      </c>
      <c r="L106" s="3"/>
      <c r="N106" s="286">
        <f t="shared" si="23"/>
        <v>100</v>
      </c>
    </row>
    <row r="107" spans="1:14" ht="20.25" hidden="1" customHeight="1">
      <c r="A107" s="32"/>
      <c r="B107" s="20" t="s">
        <v>338</v>
      </c>
      <c r="C107" s="32" t="s">
        <v>466</v>
      </c>
      <c r="D107" s="29">
        <v>34500</v>
      </c>
      <c r="E107" s="29">
        <v>35000</v>
      </c>
      <c r="F107" s="29">
        <v>54000</v>
      </c>
      <c r="G107" s="29">
        <f>F107/12*8</f>
        <v>36000</v>
      </c>
      <c r="H107" s="29">
        <f t="shared" si="28"/>
        <v>54000</v>
      </c>
      <c r="I107" s="58">
        <f t="shared" si="21"/>
        <v>154.28571428571428</v>
      </c>
      <c r="J107" s="29">
        <v>70000</v>
      </c>
      <c r="K107" s="58">
        <f t="shared" si="22"/>
        <v>129.62962962962962</v>
      </c>
      <c r="L107" s="3"/>
      <c r="N107" s="286">
        <f t="shared" si="23"/>
        <v>100</v>
      </c>
    </row>
    <row r="108" spans="1:14" s="18" customFormat="1" ht="17.25" hidden="1" customHeight="1">
      <c r="A108" s="11" t="s">
        <v>182</v>
      </c>
      <c r="B108" s="15" t="s">
        <v>450</v>
      </c>
      <c r="C108" s="11"/>
      <c r="D108" s="29"/>
      <c r="E108" s="29"/>
      <c r="F108" s="29"/>
      <c r="G108" s="29"/>
      <c r="H108" s="29"/>
      <c r="I108" s="66" t="str">
        <f t="shared" si="21"/>
        <v/>
      </c>
      <c r="J108" s="29"/>
      <c r="K108" s="66" t="str">
        <f t="shared" si="22"/>
        <v/>
      </c>
      <c r="L108" s="66"/>
      <c r="N108" s="286" t="str">
        <f t="shared" si="23"/>
        <v/>
      </c>
    </row>
    <row r="109" spans="1:14" ht="22.5" hidden="1" customHeight="1">
      <c r="A109" s="32">
        <v>1</v>
      </c>
      <c r="B109" s="20" t="s">
        <v>184</v>
      </c>
      <c r="C109" s="32" t="s">
        <v>331</v>
      </c>
      <c r="D109" s="29">
        <v>560310</v>
      </c>
      <c r="E109" s="29">
        <v>595000</v>
      </c>
      <c r="F109" s="29">
        <v>696000</v>
      </c>
      <c r="G109" s="29">
        <v>366000</v>
      </c>
      <c r="H109" s="29">
        <v>700000</v>
      </c>
      <c r="I109" s="58">
        <f t="shared" si="21"/>
        <v>117.64705882352941</v>
      </c>
      <c r="J109" s="29">
        <v>750000</v>
      </c>
      <c r="K109" s="58">
        <f t="shared" si="22"/>
        <v>107.14285714285714</v>
      </c>
      <c r="L109" s="3"/>
      <c r="N109" s="286">
        <f t="shared" si="23"/>
        <v>100.57471264367815</v>
      </c>
    </row>
    <row r="110" spans="1:14" ht="19.5" hidden="1" customHeight="1">
      <c r="A110" s="100"/>
      <c r="B110" s="122" t="s">
        <v>454</v>
      </c>
      <c r="C110" s="100"/>
      <c r="D110" s="102"/>
      <c r="E110" s="102"/>
      <c r="F110" s="102"/>
      <c r="G110" s="102"/>
      <c r="H110" s="102"/>
      <c r="I110" s="123" t="str">
        <f t="shared" si="21"/>
        <v/>
      </c>
      <c r="J110" s="102"/>
      <c r="K110" s="123" t="str">
        <f t="shared" si="22"/>
        <v/>
      </c>
      <c r="L110" s="3"/>
      <c r="N110" s="286" t="str">
        <f t="shared" si="23"/>
        <v/>
      </c>
    </row>
    <row r="111" spans="1:14" s="18" customFormat="1" ht="22.5" hidden="1" customHeight="1">
      <c r="A111" s="11" t="s">
        <v>38</v>
      </c>
      <c r="B111" s="15" t="s">
        <v>352</v>
      </c>
      <c r="C111" s="11"/>
      <c r="D111" s="149"/>
      <c r="E111" s="149"/>
      <c r="F111" s="149"/>
      <c r="G111" s="149"/>
      <c r="H111" s="149"/>
      <c r="I111" s="66" t="str">
        <f t="shared" si="21"/>
        <v/>
      </c>
      <c r="J111" s="149"/>
      <c r="K111" s="66" t="str">
        <f t="shared" si="22"/>
        <v/>
      </c>
      <c r="L111" s="83"/>
      <c r="N111" s="286" t="str">
        <f t="shared" si="23"/>
        <v/>
      </c>
    </row>
    <row r="112" spans="1:14" ht="22.5" hidden="1" customHeight="1" outlineLevel="1">
      <c r="A112" s="32">
        <v>1</v>
      </c>
      <c r="B112" s="20" t="s">
        <v>353</v>
      </c>
      <c r="C112" s="32" t="s">
        <v>62</v>
      </c>
      <c r="D112" s="29">
        <v>10520</v>
      </c>
      <c r="E112" s="29">
        <f>D113</f>
        <v>10685</v>
      </c>
      <c r="F112" s="29">
        <f>E113</f>
        <v>11308</v>
      </c>
      <c r="G112" s="29">
        <f>E113</f>
        <v>11308</v>
      </c>
      <c r="H112" s="29">
        <f>F112</f>
        <v>11308</v>
      </c>
      <c r="I112" s="58">
        <f t="shared" si="21"/>
        <v>105.83060364997661</v>
      </c>
      <c r="J112" s="29">
        <f>H113</f>
        <v>11938</v>
      </c>
      <c r="K112" s="58">
        <f t="shared" si="22"/>
        <v>105.57127697205519</v>
      </c>
      <c r="L112" s="3"/>
      <c r="N112" s="286">
        <f t="shared" si="23"/>
        <v>100</v>
      </c>
    </row>
    <row r="113" spans="1:14" ht="22.5" hidden="1" customHeight="1" outlineLevel="1">
      <c r="A113" s="32">
        <v>2</v>
      </c>
      <c r="B113" s="20" t="s">
        <v>207</v>
      </c>
      <c r="C113" s="32" t="s">
        <v>62</v>
      </c>
      <c r="D113" s="29">
        <v>10685</v>
      </c>
      <c r="E113" s="29">
        <v>11308</v>
      </c>
      <c r="F113" s="29">
        <f>F112+630</f>
        <v>11938</v>
      </c>
      <c r="G113" s="29">
        <f>G112+420</f>
        <v>11728</v>
      </c>
      <c r="H113" s="29">
        <f>F113</f>
        <v>11938</v>
      </c>
      <c r="I113" s="58">
        <f t="shared" si="21"/>
        <v>105.57127697205519</v>
      </c>
      <c r="J113" s="29">
        <f>J112+650</f>
        <v>12588</v>
      </c>
      <c r="K113" s="58">
        <f t="shared" si="22"/>
        <v>105.4447981236388</v>
      </c>
      <c r="L113" s="3"/>
      <c r="M113" s="77"/>
      <c r="N113" s="286">
        <f t="shared" si="23"/>
        <v>100</v>
      </c>
    </row>
    <row r="114" spans="1:14" ht="22.5" hidden="1" customHeight="1">
      <c r="A114" s="32">
        <v>1</v>
      </c>
      <c r="B114" s="20" t="s">
        <v>131</v>
      </c>
      <c r="C114" s="32" t="s">
        <v>73</v>
      </c>
      <c r="D114" s="29">
        <v>44006</v>
      </c>
      <c r="E114" s="29">
        <f>D115</f>
        <v>45290</v>
      </c>
      <c r="F114" s="29">
        <f>E115</f>
        <v>46365</v>
      </c>
      <c r="G114" s="29">
        <f>E115</f>
        <v>46365</v>
      </c>
      <c r="H114" s="29">
        <f>E115</f>
        <v>46365</v>
      </c>
      <c r="I114" s="58">
        <f t="shared" si="21"/>
        <v>102.37359240450431</v>
      </c>
      <c r="J114" s="29">
        <f>H115</f>
        <v>47500</v>
      </c>
      <c r="K114" s="58">
        <f t="shared" si="22"/>
        <v>102.4479672166505</v>
      </c>
      <c r="L114" s="3"/>
      <c r="M114" s="77"/>
      <c r="N114" s="286">
        <f t="shared" si="23"/>
        <v>100</v>
      </c>
    </row>
    <row r="115" spans="1:14" ht="22.5" hidden="1" customHeight="1">
      <c r="A115" s="32">
        <v>2</v>
      </c>
      <c r="B115" s="20" t="s">
        <v>132</v>
      </c>
      <c r="C115" s="32" t="s">
        <v>73</v>
      </c>
      <c r="D115" s="29">
        <v>45290</v>
      </c>
      <c r="E115" s="29">
        <v>46365</v>
      </c>
      <c r="F115" s="29">
        <v>47500</v>
      </c>
      <c r="G115" s="29">
        <f>G114+757</f>
        <v>47122</v>
      </c>
      <c r="H115" s="29">
        <f>F115</f>
        <v>47500</v>
      </c>
      <c r="I115" s="58">
        <f t="shared" si="21"/>
        <v>102.4479672166505</v>
      </c>
      <c r="J115" s="29">
        <v>48545</v>
      </c>
      <c r="K115" s="58">
        <f t="shared" si="22"/>
        <v>102.2</v>
      </c>
      <c r="L115" s="3"/>
      <c r="M115" s="77"/>
      <c r="N115" s="286">
        <f t="shared" si="23"/>
        <v>100</v>
      </c>
    </row>
    <row r="116" spans="1:14" ht="22.5" hidden="1" customHeight="1">
      <c r="A116" s="32">
        <v>3</v>
      </c>
      <c r="B116" s="20" t="s">
        <v>339</v>
      </c>
      <c r="C116" s="32" t="s">
        <v>73</v>
      </c>
      <c r="D116" s="29">
        <f t="shared" ref="D116:J116" si="29">(D114+D115)/2</f>
        <v>44648</v>
      </c>
      <c r="E116" s="29">
        <f t="shared" si="29"/>
        <v>45827.5</v>
      </c>
      <c r="F116" s="29">
        <f t="shared" si="29"/>
        <v>46932.5</v>
      </c>
      <c r="G116" s="29">
        <f t="shared" si="29"/>
        <v>46743.5</v>
      </c>
      <c r="H116" s="29">
        <f t="shared" si="29"/>
        <v>46932.5</v>
      </c>
      <c r="I116" s="58">
        <f t="shared" si="21"/>
        <v>102.41121597294202</v>
      </c>
      <c r="J116" s="29">
        <f t="shared" si="29"/>
        <v>48022.5</v>
      </c>
      <c r="K116" s="58">
        <f t="shared" si="22"/>
        <v>102.32248441911256</v>
      </c>
      <c r="L116" s="3"/>
      <c r="M116" s="77"/>
      <c r="N116" s="286">
        <f t="shared" si="23"/>
        <v>100</v>
      </c>
    </row>
    <row r="117" spans="1:14" ht="22.5" hidden="1" customHeight="1">
      <c r="A117" s="32">
        <v>4</v>
      </c>
      <c r="B117" s="48" t="s">
        <v>392</v>
      </c>
      <c r="C117" s="21" t="s">
        <v>170</v>
      </c>
      <c r="D117" s="74">
        <v>22.62</v>
      </c>
      <c r="E117" s="74">
        <v>22.92</v>
      </c>
      <c r="F117" s="74">
        <v>22</v>
      </c>
      <c r="G117" s="74">
        <v>22</v>
      </c>
      <c r="H117" s="74">
        <v>22</v>
      </c>
      <c r="I117" s="58">
        <f t="shared" si="21"/>
        <v>95.986038394415345</v>
      </c>
      <c r="J117" s="74">
        <v>20</v>
      </c>
      <c r="K117" s="58">
        <f t="shared" si="22"/>
        <v>90.909090909090907</v>
      </c>
      <c r="L117" s="3"/>
      <c r="N117" s="286">
        <f t="shared" si="23"/>
        <v>100</v>
      </c>
    </row>
    <row r="118" spans="1:14" s="18" customFormat="1" ht="21" hidden="1" customHeight="1">
      <c r="A118" s="11" t="s">
        <v>39</v>
      </c>
      <c r="B118" s="15" t="s">
        <v>163</v>
      </c>
      <c r="C118" s="11"/>
      <c r="D118" s="57"/>
      <c r="E118" s="57"/>
      <c r="F118" s="57"/>
      <c r="G118" s="57"/>
      <c r="H118" s="57"/>
      <c r="I118" s="66" t="str">
        <f t="shared" si="21"/>
        <v/>
      </c>
      <c r="J118" s="57"/>
      <c r="K118" s="66" t="str">
        <f t="shared" si="22"/>
        <v/>
      </c>
      <c r="L118" s="83"/>
      <c r="N118" s="286" t="str">
        <f t="shared" si="23"/>
        <v/>
      </c>
    </row>
    <row r="119" spans="1:14" ht="21" hidden="1" customHeight="1">
      <c r="A119" s="32">
        <v>1</v>
      </c>
      <c r="B119" s="20" t="s">
        <v>393</v>
      </c>
      <c r="C119" s="32" t="s">
        <v>33</v>
      </c>
      <c r="D119" s="58">
        <v>42.86</v>
      </c>
      <c r="E119" s="58">
        <v>43</v>
      </c>
      <c r="F119" s="58">
        <v>44</v>
      </c>
      <c r="G119" s="58">
        <v>43</v>
      </c>
      <c r="H119" s="58">
        <f>F119</f>
        <v>44</v>
      </c>
      <c r="I119" s="58">
        <f t="shared" si="21"/>
        <v>102.32558139534883</v>
      </c>
      <c r="J119" s="58">
        <v>44.5</v>
      </c>
      <c r="K119" s="58">
        <f t="shared" si="22"/>
        <v>101.13636363636364</v>
      </c>
      <c r="L119" s="3"/>
      <c r="N119" s="286">
        <f t="shared" si="23"/>
        <v>100</v>
      </c>
    </row>
    <row r="120" spans="1:14" ht="21" hidden="1" customHeight="1">
      <c r="A120" s="32"/>
      <c r="B120" s="20" t="s">
        <v>394</v>
      </c>
      <c r="C120" s="32" t="s">
        <v>33</v>
      </c>
      <c r="D120" s="58">
        <v>32</v>
      </c>
      <c r="E120" s="58">
        <v>35</v>
      </c>
      <c r="F120" s="58">
        <v>36</v>
      </c>
      <c r="G120" s="58">
        <v>35</v>
      </c>
      <c r="H120" s="58">
        <f>F120</f>
        <v>36</v>
      </c>
      <c r="I120" s="58">
        <f t="shared" si="21"/>
        <v>102.85714285714286</v>
      </c>
      <c r="J120" s="58">
        <v>36.5</v>
      </c>
      <c r="K120" s="58">
        <f t="shared" si="22"/>
        <v>101.38888888888889</v>
      </c>
      <c r="L120" s="3"/>
      <c r="N120" s="286">
        <f t="shared" si="23"/>
        <v>100</v>
      </c>
    </row>
    <row r="121" spans="1:14" ht="47.25" hidden="1">
      <c r="A121" s="32">
        <v>2</v>
      </c>
      <c r="B121" s="20" t="s">
        <v>357</v>
      </c>
      <c r="C121" s="32" t="s">
        <v>120</v>
      </c>
      <c r="D121" s="59">
        <f>174+50</f>
        <v>224</v>
      </c>
      <c r="E121" s="59">
        <v>175</v>
      </c>
      <c r="F121" s="59">
        <v>250</v>
      </c>
      <c r="G121" s="59">
        <v>305</v>
      </c>
      <c r="H121" s="59">
        <f>G121</f>
        <v>305</v>
      </c>
      <c r="I121" s="58">
        <f t="shared" si="21"/>
        <v>174.28571428571428</v>
      </c>
      <c r="J121" s="59">
        <v>390</v>
      </c>
      <c r="K121" s="58">
        <f t="shared" si="22"/>
        <v>127.8688524590164</v>
      </c>
      <c r="L121" s="3"/>
      <c r="N121" s="286">
        <f t="shared" si="23"/>
        <v>122</v>
      </c>
    </row>
    <row r="122" spans="1:14" ht="30.75" hidden="1" customHeight="1">
      <c r="A122" s="32"/>
      <c r="B122" s="20" t="s">
        <v>396</v>
      </c>
      <c r="C122" s="32" t="s">
        <v>397</v>
      </c>
      <c r="D122" s="20">
        <v>111</v>
      </c>
      <c r="E122" s="20">
        <v>115</v>
      </c>
      <c r="F122" s="20">
        <v>120</v>
      </c>
      <c r="G122" s="20">
        <v>115</v>
      </c>
      <c r="H122" s="58">
        <f>F122</f>
        <v>120</v>
      </c>
      <c r="I122" s="58">
        <f t="shared" si="21"/>
        <v>104.34782608695653</v>
      </c>
      <c r="J122" s="20">
        <v>120</v>
      </c>
      <c r="K122" s="58">
        <f t="shared" si="22"/>
        <v>100</v>
      </c>
      <c r="L122" s="3"/>
      <c r="N122" s="286">
        <f t="shared" si="23"/>
        <v>100</v>
      </c>
    </row>
    <row r="123" spans="1:14" ht="21" hidden="1" customHeight="1">
      <c r="A123" s="11" t="s">
        <v>47</v>
      </c>
      <c r="B123" s="15" t="s">
        <v>288</v>
      </c>
      <c r="C123" s="32"/>
      <c r="D123" s="59"/>
      <c r="E123" s="59"/>
      <c r="F123" s="59"/>
      <c r="G123" s="59"/>
      <c r="H123" s="59"/>
      <c r="I123" s="66" t="str">
        <f t="shared" si="21"/>
        <v/>
      </c>
      <c r="J123" s="59"/>
      <c r="K123" s="66" t="str">
        <f t="shared" si="22"/>
        <v/>
      </c>
      <c r="L123" s="3"/>
      <c r="N123" s="286" t="str">
        <f t="shared" si="23"/>
        <v/>
      </c>
    </row>
    <row r="124" spans="1:14" ht="29.25" hidden="1" customHeight="1">
      <c r="A124" s="60">
        <v>1</v>
      </c>
      <c r="B124" s="61" t="s">
        <v>355</v>
      </c>
      <c r="C124" s="32" t="s">
        <v>33</v>
      </c>
      <c r="D124" s="67" t="s">
        <v>358</v>
      </c>
      <c r="E124" s="88">
        <f>D125-E125</f>
        <v>3.1799999999999997</v>
      </c>
      <c r="F124" s="67">
        <v>3</v>
      </c>
      <c r="G124" s="67"/>
      <c r="H124" s="67">
        <v>3</v>
      </c>
      <c r="I124" s="58">
        <f t="shared" si="21"/>
        <v>94.33962264150945</v>
      </c>
      <c r="J124" s="67">
        <v>3</v>
      </c>
      <c r="K124" s="58">
        <f t="shared" si="22"/>
        <v>100</v>
      </c>
      <c r="L124" s="3"/>
      <c r="N124" s="286">
        <f t="shared" si="23"/>
        <v>100</v>
      </c>
    </row>
    <row r="125" spans="1:14" ht="21" hidden="1" customHeight="1">
      <c r="A125" s="60">
        <v>2</v>
      </c>
      <c r="B125" s="61" t="s">
        <v>395</v>
      </c>
      <c r="C125" s="32" t="s">
        <v>33</v>
      </c>
      <c r="D125" s="80">
        <v>17.32</v>
      </c>
      <c r="E125" s="80">
        <v>14.14</v>
      </c>
      <c r="F125" s="80">
        <f>E125-3</f>
        <v>11.14</v>
      </c>
      <c r="G125" s="80"/>
      <c r="H125" s="80">
        <f>F125</f>
        <v>11.14</v>
      </c>
      <c r="I125" s="58">
        <f t="shared" si="21"/>
        <v>78.783592644978782</v>
      </c>
      <c r="J125" s="80">
        <f>H125-3</f>
        <v>8.14</v>
      </c>
      <c r="K125" s="58">
        <f t="shared" si="22"/>
        <v>73.070017953321369</v>
      </c>
      <c r="L125" s="3"/>
      <c r="M125" s="89"/>
      <c r="N125" s="286">
        <f t="shared" si="23"/>
        <v>100</v>
      </c>
    </row>
    <row r="126" spans="1:14" s="18" customFormat="1" ht="20.25" hidden="1" customHeight="1">
      <c r="A126" s="11" t="s">
        <v>48</v>
      </c>
      <c r="B126" s="15" t="s">
        <v>6</v>
      </c>
      <c r="C126" s="11"/>
      <c r="D126" s="149"/>
      <c r="E126" s="149"/>
      <c r="F126" s="149"/>
      <c r="G126" s="149"/>
      <c r="H126" s="149"/>
      <c r="I126" s="66" t="str">
        <f t="shared" si="21"/>
        <v/>
      </c>
      <c r="J126" s="149"/>
      <c r="K126" s="66" t="str">
        <f t="shared" si="22"/>
        <v/>
      </c>
      <c r="L126" s="83"/>
      <c r="N126" s="286" t="str">
        <f t="shared" si="23"/>
        <v/>
      </c>
    </row>
    <row r="127" spans="1:14" ht="23.25" hidden="1" customHeight="1">
      <c r="A127" s="32">
        <v>1</v>
      </c>
      <c r="B127" s="20" t="s">
        <v>389</v>
      </c>
      <c r="C127" s="32" t="s">
        <v>8</v>
      </c>
      <c r="D127" s="29">
        <f>SUM(D128:D134)</f>
        <v>13999</v>
      </c>
      <c r="E127" s="29">
        <f>SUM(E128:E134)</f>
        <v>14102</v>
      </c>
      <c r="F127" s="29">
        <f>F128+F132+F133+F134</f>
        <v>14530</v>
      </c>
      <c r="G127" s="29">
        <f>G128+G132+G133+G134</f>
        <v>14536</v>
      </c>
      <c r="H127" s="29">
        <f>H128+H132+H133+H134</f>
        <v>14495</v>
      </c>
      <c r="I127" s="58">
        <f t="shared" si="21"/>
        <v>102.78683874627711</v>
      </c>
      <c r="J127" s="29">
        <f>J128+J132+J133+J134</f>
        <v>15108</v>
      </c>
      <c r="K127" s="58">
        <f t="shared" si="22"/>
        <v>104.22904449810281</v>
      </c>
      <c r="L127" s="3"/>
      <c r="N127" s="286">
        <f t="shared" si="23"/>
        <v>99.759119064005503</v>
      </c>
    </row>
    <row r="128" spans="1:14" ht="21" hidden="1" customHeight="1">
      <c r="A128" s="32" t="s">
        <v>557</v>
      </c>
      <c r="B128" s="20" t="s">
        <v>188</v>
      </c>
      <c r="C128" s="32" t="s">
        <v>8</v>
      </c>
      <c r="D128" s="151">
        <v>4325</v>
      </c>
      <c r="E128" s="151">
        <v>4401</v>
      </c>
      <c r="F128" s="151">
        <f>F129+F131</f>
        <v>4430</v>
      </c>
      <c r="G128" s="151">
        <f>G129+G131</f>
        <v>4480</v>
      </c>
      <c r="H128" s="151">
        <v>4476</v>
      </c>
      <c r="I128" s="58">
        <f t="shared" si="21"/>
        <v>101.70415814587594</v>
      </c>
      <c r="J128" s="151">
        <v>4546</v>
      </c>
      <c r="K128" s="58">
        <f t="shared" si="22"/>
        <v>101.56389633601431</v>
      </c>
      <c r="L128" s="3"/>
      <c r="M128" s="81"/>
      <c r="N128" s="286">
        <f t="shared" si="23"/>
        <v>101.03837471783297</v>
      </c>
    </row>
    <row r="129" spans="1:14" s="42" customFormat="1" ht="21" hidden="1" customHeight="1" outlineLevel="1">
      <c r="A129" s="39"/>
      <c r="B129" s="20" t="s">
        <v>707</v>
      </c>
      <c r="C129" s="32" t="s">
        <v>12</v>
      </c>
      <c r="D129" s="152"/>
      <c r="E129" s="151"/>
      <c r="F129" s="151">
        <v>450</v>
      </c>
      <c r="G129" s="151">
        <v>516</v>
      </c>
      <c r="H129" s="151">
        <v>516</v>
      </c>
      <c r="I129" s="58" t="str">
        <f t="shared" si="21"/>
        <v/>
      </c>
      <c r="J129" s="151">
        <v>520</v>
      </c>
      <c r="K129" s="58">
        <f t="shared" si="22"/>
        <v>100.77519379844961</v>
      </c>
      <c r="L129" s="84"/>
      <c r="M129" s="82"/>
      <c r="N129" s="286">
        <f t="shared" si="23"/>
        <v>114.66666666666667</v>
      </c>
    </row>
    <row r="130" spans="1:14" s="42" customFormat="1" ht="21" hidden="1" customHeight="1" outlineLevel="1">
      <c r="A130" s="39"/>
      <c r="B130" s="20" t="s">
        <v>708</v>
      </c>
      <c r="C130" s="32" t="s">
        <v>12</v>
      </c>
      <c r="D130" s="152"/>
      <c r="E130" s="151"/>
      <c r="F130" s="151">
        <v>350</v>
      </c>
      <c r="G130" s="151">
        <v>365</v>
      </c>
      <c r="H130" s="151">
        <v>365</v>
      </c>
      <c r="I130" s="58" t="str">
        <f t="shared" si="21"/>
        <v/>
      </c>
      <c r="J130" s="151">
        <v>361</v>
      </c>
      <c r="K130" s="58">
        <f t="shared" si="22"/>
        <v>98.904109589041099</v>
      </c>
      <c r="L130" s="84"/>
      <c r="M130" s="82"/>
      <c r="N130" s="286">
        <f t="shared" si="23"/>
        <v>104.28571428571429</v>
      </c>
    </row>
    <row r="131" spans="1:14" s="42" customFormat="1" ht="21" hidden="1" customHeight="1" outlineLevel="1">
      <c r="A131" s="39" t="s">
        <v>557</v>
      </c>
      <c r="B131" s="20" t="s">
        <v>190</v>
      </c>
      <c r="C131" s="32" t="s">
        <v>12</v>
      </c>
      <c r="D131" s="152"/>
      <c r="E131" s="151"/>
      <c r="F131" s="151">
        <v>3980</v>
      </c>
      <c r="G131" s="151">
        <v>3964</v>
      </c>
      <c r="H131" s="151">
        <v>3960</v>
      </c>
      <c r="I131" s="58" t="str">
        <f t="shared" ref="I131:I179" si="30">IFERROR(H131/E131%,"")</f>
        <v/>
      </c>
      <c r="J131" s="151">
        <v>4026</v>
      </c>
      <c r="K131" s="58">
        <f t="shared" ref="K131:K179" si="31">IFERROR(J131/H131%,"")</f>
        <v>101.66666666666666</v>
      </c>
      <c r="L131" s="84"/>
      <c r="M131" s="82"/>
      <c r="N131" s="286">
        <f t="shared" si="23"/>
        <v>99.497487437185939</v>
      </c>
    </row>
    <row r="132" spans="1:14" ht="21" hidden="1" customHeight="1" collapsed="1">
      <c r="A132" s="32" t="s">
        <v>557</v>
      </c>
      <c r="B132" s="20" t="s">
        <v>272</v>
      </c>
      <c r="C132" s="32" t="s">
        <v>8</v>
      </c>
      <c r="D132" s="151">
        <v>5412</v>
      </c>
      <c r="E132" s="151">
        <v>5400</v>
      </c>
      <c r="F132" s="151">
        <v>5700</v>
      </c>
      <c r="G132" s="151">
        <v>5691</v>
      </c>
      <c r="H132" s="151">
        <v>5682</v>
      </c>
      <c r="I132" s="58">
        <f t="shared" si="30"/>
        <v>105.22222222222223</v>
      </c>
      <c r="J132" s="151">
        <v>6079</v>
      </c>
      <c r="K132" s="58">
        <f t="shared" si="31"/>
        <v>106.98697641675466</v>
      </c>
      <c r="L132" s="3"/>
      <c r="M132" s="81"/>
      <c r="N132" s="286">
        <f t="shared" si="23"/>
        <v>99.684210526315795</v>
      </c>
    </row>
    <row r="133" spans="1:14" ht="21" hidden="1" customHeight="1">
      <c r="A133" s="32" t="s">
        <v>557</v>
      </c>
      <c r="B133" s="20" t="s">
        <v>273</v>
      </c>
      <c r="C133" s="32" t="s">
        <v>8</v>
      </c>
      <c r="D133" s="151">
        <v>3521</v>
      </c>
      <c r="E133" s="151">
        <v>3560</v>
      </c>
      <c r="F133" s="151">
        <v>3570</v>
      </c>
      <c r="G133" s="151">
        <v>3558</v>
      </c>
      <c r="H133" s="151">
        <f>3457+73</f>
        <v>3530</v>
      </c>
      <c r="I133" s="58">
        <f t="shared" si="30"/>
        <v>99.157303370786508</v>
      </c>
      <c r="J133" s="151">
        <v>3653</v>
      </c>
      <c r="K133" s="58">
        <f t="shared" si="31"/>
        <v>103.4844192634561</v>
      </c>
      <c r="L133" s="3"/>
      <c r="N133" s="286">
        <f t="shared" ref="N133:N179" si="32">IFERROR(H133/F133%,"")</f>
        <v>98.879551820728281</v>
      </c>
    </row>
    <row r="134" spans="1:14" ht="21" hidden="1" customHeight="1">
      <c r="A134" s="32" t="s">
        <v>557</v>
      </c>
      <c r="B134" s="20" t="s">
        <v>342</v>
      </c>
      <c r="C134" s="32" t="s">
        <v>8</v>
      </c>
      <c r="D134" s="151">
        <v>741</v>
      </c>
      <c r="E134" s="151">
        <v>741</v>
      </c>
      <c r="F134" s="151">
        <v>830</v>
      </c>
      <c r="G134" s="151">
        <v>807</v>
      </c>
      <c r="H134" s="151">
        <v>807</v>
      </c>
      <c r="I134" s="58">
        <f t="shared" si="30"/>
        <v>108.90688259109312</v>
      </c>
      <c r="J134" s="151">
        <v>830</v>
      </c>
      <c r="K134" s="58">
        <f t="shared" si="31"/>
        <v>102.85006195786865</v>
      </c>
      <c r="L134" s="3"/>
      <c r="M134" s="81"/>
      <c r="N134" s="286">
        <f t="shared" si="32"/>
        <v>97.228915662650593</v>
      </c>
    </row>
    <row r="135" spans="1:14" s="104" customFormat="1" ht="22.5" hidden="1" customHeight="1" outlineLevel="1">
      <c r="A135" s="100"/>
      <c r="B135" s="101" t="s">
        <v>398</v>
      </c>
      <c r="C135" s="100"/>
      <c r="D135" s="102">
        <f t="shared" ref="D135:J135" si="33">SUM(D137:D141)</f>
        <v>37</v>
      </c>
      <c r="E135" s="102">
        <f t="shared" si="33"/>
        <v>38</v>
      </c>
      <c r="F135" s="102">
        <f t="shared" si="33"/>
        <v>38</v>
      </c>
      <c r="G135" s="102">
        <f t="shared" si="33"/>
        <v>38</v>
      </c>
      <c r="H135" s="102">
        <f t="shared" si="33"/>
        <v>38</v>
      </c>
      <c r="I135" s="103">
        <f t="shared" si="30"/>
        <v>100</v>
      </c>
      <c r="J135" s="102">
        <f t="shared" si="33"/>
        <v>38</v>
      </c>
      <c r="K135" s="103">
        <f t="shared" si="31"/>
        <v>100</v>
      </c>
      <c r="L135" s="129"/>
      <c r="N135" s="286">
        <f t="shared" si="32"/>
        <v>100</v>
      </c>
    </row>
    <row r="136" spans="1:14" s="104" customFormat="1" ht="22.5" hidden="1" customHeight="1" outlineLevel="1">
      <c r="A136" s="100"/>
      <c r="B136" s="105" t="s">
        <v>341</v>
      </c>
      <c r="C136" s="100"/>
      <c r="D136" s="102"/>
      <c r="E136" s="102"/>
      <c r="F136" s="102"/>
      <c r="G136" s="102"/>
      <c r="H136" s="102"/>
      <c r="I136" s="103" t="str">
        <f t="shared" si="30"/>
        <v/>
      </c>
      <c r="J136" s="102"/>
      <c r="K136" s="103" t="str">
        <f t="shared" si="31"/>
        <v/>
      </c>
      <c r="L136" s="129"/>
      <c r="N136" s="286" t="str">
        <f t="shared" si="32"/>
        <v/>
      </c>
    </row>
    <row r="137" spans="1:14" s="104" customFormat="1" ht="22.5" hidden="1" customHeight="1" outlineLevel="1">
      <c r="A137" s="100"/>
      <c r="B137" s="101" t="s">
        <v>343</v>
      </c>
      <c r="C137" s="100" t="s">
        <v>143</v>
      </c>
      <c r="D137" s="102">
        <v>13</v>
      </c>
      <c r="E137" s="102">
        <v>13</v>
      </c>
      <c r="F137" s="102">
        <f t="shared" ref="F137:H141" si="34">E137</f>
        <v>13</v>
      </c>
      <c r="G137" s="102">
        <f t="shared" si="34"/>
        <v>13</v>
      </c>
      <c r="H137" s="102">
        <f t="shared" si="34"/>
        <v>13</v>
      </c>
      <c r="I137" s="103">
        <f t="shared" si="30"/>
        <v>100</v>
      </c>
      <c r="J137" s="102">
        <f>E137</f>
        <v>13</v>
      </c>
      <c r="K137" s="103">
        <f t="shared" si="31"/>
        <v>100</v>
      </c>
      <c r="L137" s="129"/>
      <c r="N137" s="286">
        <f t="shared" si="32"/>
        <v>100</v>
      </c>
    </row>
    <row r="138" spans="1:14" s="104" customFormat="1" ht="22.5" hidden="1" customHeight="1" outlineLevel="1">
      <c r="A138" s="100"/>
      <c r="B138" s="101" t="s">
        <v>344</v>
      </c>
      <c r="C138" s="100" t="s">
        <v>143</v>
      </c>
      <c r="D138" s="102">
        <v>13</v>
      </c>
      <c r="E138" s="102">
        <v>14</v>
      </c>
      <c r="F138" s="102">
        <f t="shared" si="34"/>
        <v>14</v>
      </c>
      <c r="G138" s="102">
        <f t="shared" si="34"/>
        <v>14</v>
      </c>
      <c r="H138" s="102">
        <f t="shared" si="34"/>
        <v>14</v>
      </c>
      <c r="I138" s="103">
        <f t="shared" si="30"/>
        <v>99.999999999999986</v>
      </c>
      <c r="J138" s="102">
        <f>E138</f>
        <v>14</v>
      </c>
      <c r="K138" s="103">
        <f t="shared" si="31"/>
        <v>99.999999999999986</v>
      </c>
      <c r="L138" s="129"/>
      <c r="N138" s="286">
        <f t="shared" si="32"/>
        <v>99.999999999999986</v>
      </c>
    </row>
    <row r="139" spans="1:14" s="104" customFormat="1" ht="22.5" hidden="1" customHeight="1" outlineLevel="1">
      <c r="A139" s="100"/>
      <c r="B139" s="101" t="s">
        <v>345</v>
      </c>
      <c r="C139" s="100" t="s">
        <v>143</v>
      </c>
      <c r="D139" s="102">
        <v>9</v>
      </c>
      <c r="E139" s="102">
        <v>9</v>
      </c>
      <c r="F139" s="102">
        <f t="shared" si="34"/>
        <v>9</v>
      </c>
      <c r="G139" s="102">
        <f t="shared" si="34"/>
        <v>9</v>
      </c>
      <c r="H139" s="102">
        <f t="shared" si="34"/>
        <v>9</v>
      </c>
      <c r="I139" s="103">
        <f t="shared" si="30"/>
        <v>100</v>
      </c>
      <c r="J139" s="102">
        <f>E139</f>
        <v>9</v>
      </c>
      <c r="K139" s="103">
        <f t="shared" si="31"/>
        <v>100</v>
      </c>
      <c r="L139" s="129"/>
      <c r="N139" s="286">
        <f t="shared" si="32"/>
        <v>100</v>
      </c>
    </row>
    <row r="140" spans="1:14" s="104" customFormat="1" ht="22.5" hidden="1" customHeight="1" outlineLevel="1">
      <c r="A140" s="100"/>
      <c r="B140" s="101" t="s">
        <v>346</v>
      </c>
      <c r="C140" s="100" t="s">
        <v>143</v>
      </c>
      <c r="D140" s="102">
        <v>1</v>
      </c>
      <c r="E140" s="102">
        <v>1</v>
      </c>
      <c r="F140" s="102">
        <f t="shared" si="34"/>
        <v>1</v>
      </c>
      <c r="G140" s="102">
        <f t="shared" si="34"/>
        <v>1</v>
      </c>
      <c r="H140" s="102">
        <f t="shared" si="34"/>
        <v>1</v>
      </c>
      <c r="I140" s="103">
        <f t="shared" si="30"/>
        <v>100</v>
      </c>
      <c r="J140" s="102">
        <f>E140</f>
        <v>1</v>
      </c>
      <c r="K140" s="103">
        <f t="shared" si="31"/>
        <v>100</v>
      </c>
      <c r="L140" s="129"/>
      <c r="N140" s="286">
        <f t="shared" si="32"/>
        <v>100</v>
      </c>
    </row>
    <row r="141" spans="1:14" s="104" customFormat="1" ht="22.5" hidden="1" customHeight="1" outlineLevel="1">
      <c r="A141" s="100"/>
      <c r="B141" s="101" t="s">
        <v>347</v>
      </c>
      <c r="C141" s="100" t="s">
        <v>143</v>
      </c>
      <c r="D141" s="102">
        <v>1</v>
      </c>
      <c r="E141" s="102">
        <v>1</v>
      </c>
      <c r="F141" s="102">
        <f t="shared" si="34"/>
        <v>1</v>
      </c>
      <c r="G141" s="102">
        <f t="shared" si="34"/>
        <v>1</v>
      </c>
      <c r="H141" s="102">
        <f t="shared" si="34"/>
        <v>1</v>
      </c>
      <c r="I141" s="103">
        <f t="shared" si="30"/>
        <v>100</v>
      </c>
      <c r="J141" s="102">
        <f>E141</f>
        <v>1</v>
      </c>
      <c r="K141" s="103">
        <f t="shared" si="31"/>
        <v>100</v>
      </c>
      <c r="L141" s="129"/>
      <c r="N141" s="286">
        <f t="shared" si="32"/>
        <v>100</v>
      </c>
    </row>
    <row r="142" spans="1:14" s="104" customFormat="1" ht="22.5" hidden="1" customHeight="1" outlineLevel="1">
      <c r="A142" s="100"/>
      <c r="B142" s="101" t="s">
        <v>348</v>
      </c>
      <c r="C142" s="100" t="s">
        <v>143</v>
      </c>
      <c r="D142" s="102">
        <f t="shared" ref="D142:J142" si="35">SUM(D144:D148)</f>
        <v>20</v>
      </c>
      <c r="E142" s="102">
        <f t="shared" si="35"/>
        <v>21</v>
      </c>
      <c r="F142" s="102">
        <f t="shared" si="35"/>
        <v>25</v>
      </c>
      <c r="G142" s="102">
        <f>SUM(G144:G148)</f>
        <v>21</v>
      </c>
      <c r="H142" s="102">
        <f>SUM(H144:H148)</f>
        <v>21</v>
      </c>
      <c r="I142" s="103">
        <f t="shared" si="30"/>
        <v>100</v>
      </c>
      <c r="J142" s="102">
        <f t="shared" si="35"/>
        <v>24</v>
      </c>
      <c r="K142" s="103">
        <f t="shared" si="31"/>
        <v>114.28571428571429</v>
      </c>
      <c r="L142" s="129"/>
      <c r="N142" s="286">
        <f t="shared" si="32"/>
        <v>84</v>
      </c>
    </row>
    <row r="143" spans="1:14" s="104" customFormat="1" ht="22.5" hidden="1" customHeight="1" outlineLevel="1">
      <c r="A143" s="100"/>
      <c r="B143" s="105" t="s">
        <v>341</v>
      </c>
      <c r="C143" s="100"/>
      <c r="D143" s="102"/>
      <c r="E143" s="102"/>
      <c r="F143" s="102"/>
      <c r="G143" s="102"/>
      <c r="H143" s="102"/>
      <c r="I143" s="103" t="str">
        <f t="shared" si="30"/>
        <v/>
      </c>
      <c r="J143" s="102"/>
      <c r="K143" s="103" t="str">
        <f t="shared" si="31"/>
        <v/>
      </c>
      <c r="L143" s="129"/>
      <c r="N143" s="286" t="str">
        <f t="shared" si="32"/>
        <v/>
      </c>
    </row>
    <row r="144" spans="1:14" s="104" customFormat="1" ht="22.5" hidden="1" customHeight="1" outlineLevel="1">
      <c r="A144" s="100"/>
      <c r="B144" s="101" t="s">
        <v>343</v>
      </c>
      <c r="C144" s="100" t="s">
        <v>143</v>
      </c>
      <c r="D144" s="102">
        <v>5</v>
      </c>
      <c r="E144" s="102">
        <v>6</v>
      </c>
      <c r="F144" s="102">
        <v>8</v>
      </c>
      <c r="G144" s="102">
        <v>6</v>
      </c>
      <c r="H144" s="102">
        <v>6</v>
      </c>
      <c r="I144" s="103">
        <f t="shared" si="30"/>
        <v>100</v>
      </c>
      <c r="J144" s="102">
        <v>7</v>
      </c>
      <c r="K144" s="103">
        <f t="shared" si="31"/>
        <v>116.66666666666667</v>
      </c>
      <c r="L144" s="129"/>
      <c r="N144" s="286">
        <f t="shared" si="32"/>
        <v>75</v>
      </c>
    </row>
    <row r="145" spans="1:14" s="104" customFormat="1" ht="22.5" hidden="1" customHeight="1" outlineLevel="1">
      <c r="A145" s="100"/>
      <c r="B145" s="101" t="s">
        <v>344</v>
      </c>
      <c r="C145" s="100" t="s">
        <v>143</v>
      </c>
      <c r="D145" s="102">
        <v>9</v>
      </c>
      <c r="E145" s="102">
        <v>9</v>
      </c>
      <c r="F145" s="102">
        <v>10</v>
      </c>
      <c r="G145" s="102">
        <v>9</v>
      </c>
      <c r="H145" s="102">
        <v>9</v>
      </c>
      <c r="I145" s="103">
        <f t="shared" si="30"/>
        <v>100</v>
      </c>
      <c r="J145" s="102">
        <v>10</v>
      </c>
      <c r="K145" s="103">
        <f t="shared" si="31"/>
        <v>111.11111111111111</v>
      </c>
      <c r="L145" s="129"/>
      <c r="N145" s="286">
        <f t="shared" si="32"/>
        <v>90</v>
      </c>
    </row>
    <row r="146" spans="1:14" s="104" customFormat="1" ht="22.5" hidden="1" customHeight="1" outlineLevel="1">
      <c r="A146" s="100"/>
      <c r="B146" s="101" t="s">
        <v>345</v>
      </c>
      <c r="C146" s="100" t="s">
        <v>143</v>
      </c>
      <c r="D146" s="102">
        <v>4</v>
      </c>
      <c r="E146" s="102">
        <v>4</v>
      </c>
      <c r="F146" s="102">
        <v>5</v>
      </c>
      <c r="G146" s="102">
        <v>4</v>
      </c>
      <c r="H146" s="102">
        <v>4</v>
      </c>
      <c r="I146" s="103">
        <f t="shared" si="30"/>
        <v>100</v>
      </c>
      <c r="J146" s="102">
        <v>5</v>
      </c>
      <c r="K146" s="103">
        <f t="shared" si="31"/>
        <v>125</v>
      </c>
      <c r="L146" s="129"/>
      <c r="N146" s="286">
        <f t="shared" si="32"/>
        <v>80</v>
      </c>
    </row>
    <row r="147" spans="1:14" s="104" customFormat="1" ht="22.5" hidden="1" customHeight="1" outlineLevel="1">
      <c r="A147" s="100"/>
      <c r="B147" s="101" t="s">
        <v>346</v>
      </c>
      <c r="C147" s="100" t="s">
        <v>143</v>
      </c>
      <c r="D147" s="102">
        <v>1</v>
      </c>
      <c r="E147" s="102">
        <v>1</v>
      </c>
      <c r="F147" s="102">
        <v>1</v>
      </c>
      <c r="G147" s="102">
        <v>1</v>
      </c>
      <c r="H147" s="102">
        <v>1</v>
      </c>
      <c r="I147" s="103">
        <f t="shared" si="30"/>
        <v>100</v>
      </c>
      <c r="J147" s="102">
        <v>1</v>
      </c>
      <c r="K147" s="103">
        <f t="shared" si="31"/>
        <v>100</v>
      </c>
      <c r="L147" s="129"/>
      <c r="N147" s="286">
        <f t="shared" si="32"/>
        <v>100</v>
      </c>
    </row>
    <row r="148" spans="1:14" s="104" customFormat="1" ht="22.5" hidden="1" customHeight="1" outlineLevel="1">
      <c r="A148" s="100"/>
      <c r="B148" s="101" t="s">
        <v>347</v>
      </c>
      <c r="C148" s="100" t="s">
        <v>143</v>
      </c>
      <c r="D148" s="102">
        <v>1</v>
      </c>
      <c r="E148" s="102">
        <v>1</v>
      </c>
      <c r="F148" s="102">
        <v>1</v>
      </c>
      <c r="G148" s="102">
        <v>1</v>
      </c>
      <c r="H148" s="102">
        <v>1</v>
      </c>
      <c r="I148" s="103">
        <f t="shared" si="30"/>
        <v>100</v>
      </c>
      <c r="J148" s="102">
        <v>1</v>
      </c>
      <c r="K148" s="103">
        <f t="shared" si="31"/>
        <v>100</v>
      </c>
      <c r="L148" s="129"/>
      <c r="N148" s="286">
        <f t="shared" si="32"/>
        <v>100</v>
      </c>
    </row>
    <row r="149" spans="1:14" ht="22.5" hidden="1" customHeight="1" collapsed="1">
      <c r="A149" s="32">
        <v>2</v>
      </c>
      <c r="B149" s="20" t="s">
        <v>144</v>
      </c>
      <c r="C149" s="32" t="s">
        <v>33</v>
      </c>
      <c r="D149" s="74">
        <f t="shared" ref="D149:J149" si="36">D142/D135%</f>
        <v>54.054054054054056</v>
      </c>
      <c r="E149" s="74">
        <f t="shared" si="36"/>
        <v>55.263157894736842</v>
      </c>
      <c r="F149" s="74">
        <f t="shared" si="36"/>
        <v>65.78947368421052</v>
      </c>
      <c r="G149" s="74">
        <f t="shared" si="36"/>
        <v>55.263157894736842</v>
      </c>
      <c r="H149" s="74">
        <f t="shared" si="36"/>
        <v>55.263157894736842</v>
      </c>
      <c r="I149" s="58">
        <f t="shared" si="30"/>
        <v>99.999999999999986</v>
      </c>
      <c r="J149" s="74">
        <f t="shared" si="36"/>
        <v>63.157894736842103</v>
      </c>
      <c r="K149" s="58">
        <f t="shared" si="31"/>
        <v>114.28571428571426</v>
      </c>
      <c r="L149" s="3"/>
      <c r="N149" s="286">
        <f t="shared" si="32"/>
        <v>84.000000000000014</v>
      </c>
    </row>
    <row r="150" spans="1:14" ht="22.5" hidden="1" customHeight="1" outlineLevel="1">
      <c r="A150" s="32"/>
      <c r="B150" s="62" t="s">
        <v>341</v>
      </c>
      <c r="C150" s="32"/>
      <c r="D150" s="55"/>
      <c r="E150" s="55"/>
      <c r="F150" s="55"/>
      <c r="G150" s="55"/>
      <c r="H150" s="55"/>
      <c r="I150" s="58" t="str">
        <f t="shared" si="30"/>
        <v/>
      </c>
      <c r="J150" s="55"/>
      <c r="K150" s="58" t="str">
        <f t="shared" si="31"/>
        <v/>
      </c>
      <c r="L150" s="3"/>
      <c r="N150" s="286" t="str">
        <f t="shared" si="32"/>
        <v/>
      </c>
    </row>
    <row r="151" spans="1:14" ht="22.5" hidden="1" customHeight="1" outlineLevel="1">
      <c r="A151" s="32"/>
      <c r="B151" s="20" t="s">
        <v>343</v>
      </c>
      <c r="C151" s="32" t="s">
        <v>33</v>
      </c>
      <c r="D151" s="55">
        <f t="shared" ref="D151:J155" si="37">D144/D137%</f>
        <v>38.46153846153846</v>
      </c>
      <c r="E151" s="55">
        <f t="shared" si="37"/>
        <v>46.153846153846153</v>
      </c>
      <c r="F151" s="55">
        <f t="shared" si="37"/>
        <v>61.538461538461533</v>
      </c>
      <c r="G151" s="55">
        <f t="shared" si="37"/>
        <v>46.153846153846153</v>
      </c>
      <c r="H151" s="55">
        <f t="shared" si="37"/>
        <v>46.153846153846153</v>
      </c>
      <c r="I151" s="58">
        <f t="shared" si="30"/>
        <v>100</v>
      </c>
      <c r="J151" s="55">
        <f t="shared" si="37"/>
        <v>53.846153846153847</v>
      </c>
      <c r="K151" s="58">
        <f t="shared" si="31"/>
        <v>116.66666666666667</v>
      </c>
      <c r="L151" s="3"/>
      <c r="N151" s="286">
        <f t="shared" si="32"/>
        <v>75.000000000000014</v>
      </c>
    </row>
    <row r="152" spans="1:14" ht="22.5" hidden="1" customHeight="1" outlineLevel="1">
      <c r="A152" s="32"/>
      <c r="B152" s="20" t="s">
        <v>344</v>
      </c>
      <c r="C152" s="32" t="s">
        <v>33</v>
      </c>
      <c r="D152" s="55">
        <f t="shared" si="37"/>
        <v>69.230769230769226</v>
      </c>
      <c r="E152" s="55">
        <f t="shared" si="37"/>
        <v>64.285714285714278</v>
      </c>
      <c r="F152" s="55">
        <f t="shared" si="37"/>
        <v>71.428571428571416</v>
      </c>
      <c r="G152" s="55">
        <f t="shared" si="37"/>
        <v>64.285714285714278</v>
      </c>
      <c r="H152" s="55">
        <f t="shared" si="37"/>
        <v>64.285714285714278</v>
      </c>
      <c r="I152" s="58">
        <f t="shared" si="30"/>
        <v>100</v>
      </c>
      <c r="J152" s="55">
        <f t="shared" si="37"/>
        <v>71.428571428571416</v>
      </c>
      <c r="K152" s="58">
        <f t="shared" si="31"/>
        <v>111.1111111111111</v>
      </c>
      <c r="L152" s="3"/>
      <c r="N152" s="286">
        <f t="shared" si="32"/>
        <v>90</v>
      </c>
    </row>
    <row r="153" spans="1:14" ht="22.5" hidden="1" customHeight="1" outlineLevel="1">
      <c r="A153" s="32"/>
      <c r="B153" s="20" t="s">
        <v>345</v>
      </c>
      <c r="C153" s="32" t="s">
        <v>33</v>
      </c>
      <c r="D153" s="55">
        <f t="shared" si="37"/>
        <v>44.444444444444443</v>
      </c>
      <c r="E153" s="55">
        <f t="shared" si="37"/>
        <v>44.444444444444443</v>
      </c>
      <c r="F153" s="55">
        <f t="shared" si="37"/>
        <v>55.555555555555557</v>
      </c>
      <c r="G153" s="55">
        <f t="shared" si="37"/>
        <v>44.444444444444443</v>
      </c>
      <c r="H153" s="55">
        <f t="shared" si="37"/>
        <v>44.444444444444443</v>
      </c>
      <c r="I153" s="58">
        <f t="shared" si="30"/>
        <v>100</v>
      </c>
      <c r="J153" s="55">
        <f t="shared" si="37"/>
        <v>55.555555555555557</v>
      </c>
      <c r="K153" s="58">
        <f t="shared" si="31"/>
        <v>125.00000000000001</v>
      </c>
      <c r="L153" s="3"/>
      <c r="N153" s="286">
        <f t="shared" si="32"/>
        <v>80</v>
      </c>
    </row>
    <row r="154" spans="1:14" ht="22.5" hidden="1" customHeight="1" outlineLevel="1">
      <c r="A154" s="32"/>
      <c r="B154" s="20" t="s">
        <v>346</v>
      </c>
      <c r="C154" s="32" t="s">
        <v>33</v>
      </c>
      <c r="D154" s="55">
        <f t="shared" si="37"/>
        <v>100</v>
      </c>
      <c r="E154" s="55">
        <f t="shared" si="37"/>
        <v>100</v>
      </c>
      <c r="F154" s="55">
        <f t="shared" si="37"/>
        <v>100</v>
      </c>
      <c r="G154" s="55">
        <f t="shared" si="37"/>
        <v>100</v>
      </c>
      <c r="H154" s="55">
        <f t="shared" si="37"/>
        <v>100</v>
      </c>
      <c r="I154" s="58">
        <f t="shared" si="30"/>
        <v>100</v>
      </c>
      <c r="J154" s="55">
        <f t="shared" si="37"/>
        <v>100</v>
      </c>
      <c r="K154" s="58">
        <f t="shared" si="31"/>
        <v>100</v>
      </c>
      <c r="L154" s="3"/>
      <c r="N154" s="286">
        <f t="shared" si="32"/>
        <v>100</v>
      </c>
    </row>
    <row r="155" spans="1:14" ht="22.5" hidden="1" customHeight="1" outlineLevel="1">
      <c r="A155" s="32"/>
      <c r="B155" s="20" t="s">
        <v>347</v>
      </c>
      <c r="C155" s="32" t="s">
        <v>33</v>
      </c>
      <c r="D155" s="55">
        <f t="shared" si="37"/>
        <v>100</v>
      </c>
      <c r="E155" s="55">
        <f t="shared" si="37"/>
        <v>100</v>
      </c>
      <c r="F155" s="55">
        <f t="shared" si="37"/>
        <v>100</v>
      </c>
      <c r="G155" s="55">
        <f t="shared" si="37"/>
        <v>100</v>
      </c>
      <c r="H155" s="55">
        <f t="shared" si="37"/>
        <v>100</v>
      </c>
      <c r="I155" s="58">
        <f t="shared" si="30"/>
        <v>100</v>
      </c>
      <c r="J155" s="55">
        <f t="shared" si="37"/>
        <v>100</v>
      </c>
      <c r="K155" s="58">
        <f t="shared" si="31"/>
        <v>100</v>
      </c>
      <c r="L155" s="3"/>
      <c r="N155" s="286">
        <f t="shared" si="32"/>
        <v>100</v>
      </c>
    </row>
    <row r="156" spans="1:14" ht="22.5" hidden="1" customHeight="1" collapsed="1">
      <c r="A156" s="32">
        <v>3</v>
      </c>
      <c r="B156" s="48" t="s">
        <v>390</v>
      </c>
      <c r="C156" s="32"/>
      <c r="D156" s="13"/>
      <c r="E156" s="13"/>
      <c r="F156" s="13"/>
      <c r="G156" s="13"/>
      <c r="H156" s="13"/>
      <c r="I156" s="58" t="str">
        <f t="shared" si="30"/>
        <v/>
      </c>
      <c r="J156" s="13"/>
      <c r="K156" s="58" t="str">
        <f t="shared" si="31"/>
        <v/>
      </c>
      <c r="L156" s="3"/>
      <c r="N156" s="286" t="str">
        <f t="shared" si="32"/>
        <v/>
      </c>
    </row>
    <row r="157" spans="1:14" ht="22.5" hidden="1" customHeight="1">
      <c r="A157" s="73" t="s">
        <v>34</v>
      </c>
      <c r="B157" s="68" t="s">
        <v>188</v>
      </c>
      <c r="C157" s="32" t="s">
        <v>33</v>
      </c>
      <c r="D157" s="153"/>
      <c r="E157" s="153"/>
      <c r="F157" s="153"/>
      <c r="G157" s="153"/>
      <c r="H157" s="153"/>
      <c r="I157" s="58" t="str">
        <f t="shared" si="30"/>
        <v/>
      </c>
      <c r="J157" s="153"/>
      <c r="K157" s="58" t="str">
        <f t="shared" si="31"/>
        <v/>
      </c>
      <c r="L157" s="3"/>
      <c r="N157" s="286" t="str">
        <f t="shared" si="32"/>
        <v/>
      </c>
    </row>
    <row r="158" spans="1:14" ht="22.5" hidden="1" customHeight="1">
      <c r="A158" s="73"/>
      <c r="B158" s="70" t="s">
        <v>189</v>
      </c>
      <c r="C158" s="32" t="s">
        <v>33</v>
      </c>
      <c r="D158" s="153">
        <v>11.7</v>
      </c>
      <c r="E158" s="153">
        <v>12.1</v>
      </c>
      <c r="F158" s="153">
        <v>12.5</v>
      </c>
      <c r="G158" s="153">
        <v>17.34</v>
      </c>
      <c r="H158" s="153">
        <v>17.34</v>
      </c>
      <c r="I158" s="58">
        <f t="shared" si="30"/>
        <v>143.30578512396696</v>
      </c>
      <c r="J158" s="153">
        <v>17.5</v>
      </c>
      <c r="K158" s="58">
        <f t="shared" si="31"/>
        <v>100.92272202998846</v>
      </c>
      <c r="L158" s="3"/>
      <c r="N158" s="286">
        <f t="shared" si="32"/>
        <v>138.72</v>
      </c>
    </row>
    <row r="159" spans="1:14" ht="22.5" hidden="1" customHeight="1">
      <c r="A159" s="73"/>
      <c r="B159" s="70" t="s">
        <v>190</v>
      </c>
      <c r="C159" s="32" t="s">
        <v>33</v>
      </c>
      <c r="D159" s="153">
        <v>97.9</v>
      </c>
      <c r="E159" s="153">
        <v>97.2</v>
      </c>
      <c r="F159" s="153">
        <v>98</v>
      </c>
      <c r="G159" s="153">
        <v>97.6</v>
      </c>
      <c r="H159" s="153">
        <v>97.6</v>
      </c>
      <c r="I159" s="58">
        <f t="shared" si="30"/>
        <v>100.41152263374485</v>
      </c>
      <c r="J159" s="153">
        <v>98</v>
      </c>
      <c r="K159" s="58">
        <f t="shared" si="31"/>
        <v>100.40983606557377</v>
      </c>
      <c r="L159" s="3"/>
      <c r="N159" s="286">
        <f t="shared" si="32"/>
        <v>99.591836734693871</v>
      </c>
    </row>
    <row r="160" spans="1:14" ht="22.5" hidden="1" customHeight="1">
      <c r="A160" s="73" t="s">
        <v>35</v>
      </c>
      <c r="B160" s="68" t="s">
        <v>272</v>
      </c>
      <c r="C160" s="32" t="s">
        <v>33</v>
      </c>
      <c r="D160" s="153">
        <v>99.9</v>
      </c>
      <c r="E160" s="153">
        <v>100</v>
      </c>
      <c r="F160" s="153">
        <v>100</v>
      </c>
      <c r="G160" s="153">
        <v>100</v>
      </c>
      <c r="H160" s="153">
        <v>100</v>
      </c>
      <c r="I160" s="58">
        <f t="shared" si="30"/>
        <v>100</v>
      </c>
      <c r="J160" s="153">
        <v>100</v>
      </c>
      <c r="K160" s="58">
        <f t="shared" si="31"/>
        <v>100</v>
      </c>
      <c r="L160" s="3"/>
      <c r="N160" s="286">
        <f t="shared" si="32"/>
        <v>100</v>
      </c>
    </row>
    <row r="161" spans="1:14" ht="22.5" hidden="1" customHeight="1">
      <c r="A161" s="73" t="s">
        <v>36</v>
      </c>
      <c r="B161" s="68" t="s">
        <v>391</v>
      </c>
      <c r="C161" s="32" t="s">
        <v>33</v>
      </c>
      <c r="D161" s="153">
        <v>96.2</v>
      </c>
      <c r="E161" s="153">
        <v>99.8</v>
      </c>
      <c r="F161" s="153">
        <v>100</v>
      </c>
      <c r="G161" s="153">
        <v>99.8</v>
      </c>
      <c r="H161" s="153">
        <v>99.9</v>
      </c>
      <c r="I161" s="58">
        <f t="shared" si="30"/>
        <v>100.10020040080161</v>
      </c>
      <c r="J161" s="153">
        <v>99.9</v>
      </c>
      <c r="K161" s="58">
        <f t="shared" si="31"/>
        <v>100</v>
      </c>
      <c r="L161" s="3"/>
      <c r="N161" s="286">
        <f t="shared" si="32"/>
        <v>99.9</v>
      </c>
    </row>
    <row r="162" spans="1:14" ht="22.5" hidden="1" customHeight="1">
      <c r="A162" s="11" t="s">
        <v>50</v>
      </c>
      <c r="B162" s="15" t="s">
        <v>350</v>
      </c>
      <c r="C162" s="32"/>
      <c r="D162" s="13"/>
      <c r="E162" s="13"/>
      <c r="F162" s="13"/>
      <c r="G162" s="13"/>
      <c r="H162" s="13"/>
      <c r="I162" s="66" t="str">
        <f t="shared" si="30"/>
        <v/>
      </c>
      <c r="J162" s="13"/>
      <c r="K162" s="66" t="str">
        <f t="shared" si="31"/>
        <v/>
      </c>
      <c r="L162" s="3"/>
      <c r="N162" s="286" t="str">
        <f t="shared" si="32"/>
        <v/>
      </c>
    </row>
    <row r="163" spans="1:14" ht="22.5" hidden="1" customHeight="1">
      <c r="A163" s="32">
        <v>1</v>
      </c>
      <c r="B163" s="20" t="s">
        <v>351</v>
      </c>
      <c r="C163" s="32" t="s">
        <v>145</v>
      </c>
      <c r="D163" s="13">
        <v>130</v>
      </c>
      <c r="E163" s="13">
        <v>130</v>
      </c>
      <c r="F163" s="13">
        <v>135</v>
      </c>
      <c r="G163" s="13">
        <v>130</v>
      </c>
      <c r="H163" s="13">
        <v>135</v>
      </c>
      <c r="I163" s="58">
        <f t="shared" si="30"/>
        <v>103.84615384615384</v>
      </c>
      <c r="J163" s="13">
        <v>135</v>
      </c>
      <c r="K163" s="58">
        <f t="shared" si="31"/>
        <v>100</v>
      </c>
      <c r="L163" s="3"/>
      <c r="N163" s="286">
        <f t="shared" si="32"/>
        <v>100</v>
      </c>
    </row>
    <row r="164" spans="1:14" ht="24" hidden="1" customHeight="1">
      <c r="A164" s="32">
        <v>2</v>
      </c>
      <c r="B164" s="20" t="s">
        <v>451</v>
      </c>
      <c r="C164" s="32" t="s">
        <v>349</v>
      </c>
      <c r="D164" s="13">
        <v>2</v>
      </c>
      <c r="E164" s="13">
        <v>4</v>
      </c>
      <c r="F164" s="13">
        <v>7</v>
      </c>
      <c r="G164" s="13">
        <v>4</v>
      </c>
      <c r="H164" s="13">
        <v>7</v>
      </c>
      <c r="I164" s="58">
        <f t="shared" si="30"/>
        <v>175</v>
      </c>
      <c r="J164" s="13">
        <v>8</v>
      </c>
      <c r="K164" s="58">
        <f t="shared" si="31"/>
        <v>114.28571428571428</v>
      </c>
      <c r="L164" s="3"/>
      <c r="N164" s="286">
        <f t="shared" si="32"/>
        <v>99.999999999999986</v>
      </c>
    </row>
    <row r="165" spans="1:14" ht="21" hidden="1" customHeight="1">
      <c r="A165" s="32"/>
      <c r="B165" s="47" t="s">
        <v>452</v>
      </c>
      <c r="C165" s="32" t="s">
        <v>33</v>
      </c>
      <c r="D165" s="55">
        <f t="shared" ref="D165:J165" si="38">D164/9%</f>
        <v>22.222222222222221</v>
      </c>
      <c r="E165" s="55">
        <f t="shared" si="38"/>
        <v>44.444444444444443</v>
      </c>
      <c r="F165" s="55">
        <f t="shared" si="38"/>
        <v>77.777777777777786</v>
      </c>
      <c r="G165" s="55">
        <f t="shared" si="38"/>
        <v>44.444444444444443</v>
      </c>
      <c r="H165" s="55">
        <f t="shared" si="38"/>
        <v>77.777777777777786</v>
      </c>
      <c r="I165" s="58">
        <f t="shared" si="30"/>
        <v>175.00000000000003</v>
      </c>
      <c r="J165" s="55">
        <f t="shared" si="38"/>
        <v>88.888888888888886</v>
      </c>
      <c r="K165" s="58">
        <f t="shared" si="31"/>
        <v>114.28571428571426</v>
      </c>
      <c r="L165" s="3"/>
      <c r="N165" s="286">
        <f t="shared" si="32"/>
        <v>100</v>
      </c>
    </row>
    <row r="166" spans="1:14" ht="21.75" hidden="1" customHeight="1">
      <c r="A166" s="32">
        <v>3</v>
      </c>
      <c r="B166" s="46" t="s">
        <v>187</v>
      </c>
      <c r="C166" s="32" t="s">
        <v>33</v>
      </c>
      <c r="D166" s="55">
        <v>83.5</v>
      </c>
      <c r="E166" s="55">
        <v>85</v>
      </c>
      <c r="F166" s="55">
        <v>90</v>
      </c>
      <c r="G166" s="55"/>
      <c r="H166" s="55">
        <v>86</v>
      </c>
      <c r="I166" s="58">
        <f t="shared" si="30"/>
        <v>101.17647058823529</v>
      </c>
      <c r="J166" s="55">
        <v>91</v>
      </c>
      <c r="K166" s="58">
        <f t="shared" si="31"/>
        <v>105.81395348837209</v>
      </c>
      <c r="L166" s="3"/>
      <c r="N166" s="286">
        <f t="shared" si="32"/>
        <v>95.555555555555557</v>
      </c>
    </row>
    <row r="167" spans="1:14" ht="31.5" hidden="1">
      <c r="A167" s="32">
        <v>4</v>
      </c>
      <c r="B167" s="46" t="s">
        <v>412</v>
      </c>
      <c r="C167" s="32" t="s">
        <v>33</v>
      </c>
      <c r="D167" s="74">
        <v>33.1</v>
      </c>
      <c r="E167" s="55">
        <v>31.8</v>
      </c>
      <c r="F167" s="55">
        <v>31.3</v>
      </c>
      <c r="G167" s="55"/>
      <c r="H167" s="55">
        <f>F167</f>
        <v>31.3</v>
      </c>
      <c r="I167" s="58">
        <f t="shared" si="30"/>
        <v>98.427672955974842</v>
      </c>
      <c r="J167" s="55">
        <v>31</v>
      </c>
      <c r="K167" s="58">
        <f t="shared" si="31"/>
        <v>99.04153354632588</v>
      </c>
      <c r="L167" s="3"/>
      <c r="N167" s="286">
        <f t="shared" si="32"/>
        <v>100</v>
      </c>
    </row>
    <row r="168" spans="1:14" ht="31.5" hidden="1">
      <c r="A168" s="32">
        <v>5</v>
      </c>
      <c r="B168" s="46" t="s">
        <v>413</v>
      </c>
      <c r="C168" s="32" t="s">
        <v>33</v>
      </c>
      <c r="D168" s="74">
        <v>20.6</v>
      </c>
      <c r="E168" s="55">
        <v>20</v>
      </c>
      <c r="F168" s="55">
        <v>19.5</v>
      </c>
      <c r="G168" s="55"/>
      <c r="H168" s="55">
        <f>F168</f>
        <v>19.5</v>
      </c>
      <c r="I168" s="58">
        <f t="shared" si="30"/>
        <v>97.5</v>
      </c>
      <c r="J168" s="55">
        <v>19</v>
      </c>
      <c r="K168" s="58">
        <f t="shared" si="31"/>
        <v>97.435897435897431</v>
      </c>
      <c r="L168" s="3"/>
      <c r="N168" s="286">
        <f t="shared" si="32"/>
        <v>100</v>
      </c>
    </row>
    <row r="169" spans="1:14" ht="31.5" hidden="1">
      <c r="A169" s="11" t="s">
        <v>51</v>
      </c>
      <c r="B169" s="142" t="s">
        <v>192</v>
      </c>
      <c r="C169" s="12"/>
      <c r="D169" s="13"/>
      <c r="E169" s="13"/>
      <c r="F169" s="13"/>
      <c r="G169" s="13"/>
      <c r="H169" s="13"/>
      <c r="I169" s="66" t="str">
        <f t="shared" si="30"/>
        <v/>
      </c>
      <c r="J169" s="13"/>
      <c r="K169" s="66" t="str">
        <f t="shared" si="31"/>
        <v/>
      </c>
      <c r="L169" s="3"/>
      <c r="N169" s="286" t="str">
        <f t="shared" si="32"/>
        <v/>
      </c>
    </row>
    <row r="170" spans="1:14" ht="22.5" hidden="1" customHeight="1">
      <c r="A170" s="11">
        <v>1</v>
      </c>
      <c r="B170" s="63" t="s">
        <v>193</v>
      </c>
      <c r="C170" s="12"/>
      <c r="D170" s="13"/>
      <c r="E170" s="13"/>
      <c r="F170" s="13"/>
      <c r="G170" s="13"/>
      <c r="H170" s="13"/>
      <c r="I170" s="66" t="str">
        <f t="shared" si="30"/>
        <v/>
      </c>
      <c r="J170" s="13"/>
      <c r="K170" s="66" t="str">
        <f t="shared" si="31"/>
        <v/>
      </c>
      <c r="L170" s="3"/>
      <c r="N170" s="286" t="str">
        <f t="shared" si="32"/>
        <v/>
      </c>
    </row>
    <row r="171" spans="1:14" ht="22.5" hidden="1" customHeight="1">
      <c r="A171" s="19"/>
      <c r="B171" s="48" t="s">
        <v>194</v>
      </c>
      <c r="C171" s="21" t="s">
        <v>16</v>
      </c>
      <c r="D171" s="59">
        <v>1560</v>
      </c>
      <c r="E171" s="59">
        <v>1560</v>
      </c>
      <c r="F171" s="59">
        <f>E171</f>
        <v>1560</v>
      </c>
      <c r="G171" s="59">
        <f>F171/12*8</f>
        <v>1040</v>
      </c>
      <c r="H171" s="59">
        <f>F171</f>
        <v>1560</v>
      </c>
      <c r="I171" s="58">
        <f t="shared" si="30"/>
        <v>100</v>
      </c>
      <c r="J171" s="59">
        <f>H171</f>
        <v>1560</v>
      </c>
      <c r="K171" s="58">
        <f t="shared" si="31"/>
        <v>100</v>
      </c>
      <c r="L171" s="3"/>
      <c r="N171" s="286">
        <f t="shared" si="32"/>
        <v>100</v>
      </c>
    </row>
    <row r="172" spans="1:14" ht="22.5" hidden="1" customHeight="1">
      <c r="A172" s="19"/>
      <c r="B172" s="48" t="s">
        <v>195</v>
      </c>
      <c r="C172" s="21" t="s">
        <v>16</v>
      </c>
      <c r="D172" s="59">
        <v>21800</v>
      </c>
      <c r="E172" s="59">
        <v>21800</v>
      </c>
      <c r="F172" s="59">
        <f>E172</f>
        <v>21800</v>
      </c>
      <c r="G172" s="59">
        <f>F172/12*8</f>
        <v>14533.333333333334</v>
      </c>
      <c r="H172" s="59">
        <f>F172</f>
        <v>21800</v>
      </c>
      <c r="I172" s="58">
        <f t="shared" si="30"/>
        <v>100</v>
      </c>
      <c r="J172" s="59">
        <f>H172</f>
        <v>21800</v>
      </c>
      <c r="K172" s="58">
        <f t="shared" si="31"/>
        <v>100</v>
      </c>
      <c r="L172" s="3"/>
      <c r="M172" s="77"/>
      <c r="N172" s="286">
        <f t="shared" si="32"/>
        <v>100</v>
      </c>
    </row>
    <row r="173" spans="1:14" ht="22.5" hidden="1" customHeight="1">
      <c r="A173" s="11">
        <v>2</v>
      </c>
      <c r="B173" s="63" t="s">
        <v>196</v>
      </c>
      <c r="C173" s="21"/>
      <c r="D173" s="59"/>
      <c r="E173" s="59"/>
      <c r="F173" s="59"/>
      <c r="G173" s="59"/>
      <c r="H173" s="59"/>
      <c r="I173" s="66" t="str">
        <f t="shared" si="30"/>
        <v/>
      </c>
      <c r="J173" s="59"/>
      <c r="K173" s="66" t="str">
        <f t="shared" si="31"/>
        <v/>
      </c>
      <c r="L173" s="3"/>
      <c r="N173" s="286" t="str">
        <f t="shared" si="32"/>
        <v/>
      </c>
    </row>
    <row r="174" spans="1:14" ht="22.5" hidden="1" customHeight="1">
      <c r="A174" s="32"/>
      <c r="B174" s="48" t="s">
        <v>198</v>
      </c>
      <c r="C174" s="21" t="s">
        <v>199</v>
      </c>
      <c r="D174" s="59">
        <v>9233</v>
      </c>
      <c r="E174" s="59">
        <f>E113*E175%</f>
        <v>9781.42</v>
      </c>
      <c r="F174" s="59">
        <f>F113*F175%</f>
        <v>10744.2</v>
      </c>
      <c r="G174" s="59">
        <f>G113*G175%</f>
        <v>0</v>
      </c>
      <c r="H174" s="59">
        <f>H113*H175%</f>
        <v>10744.2</v>
      </c>
      <c r="I174" s="58">
        <f t="shared" si="30"/>
        <v>109.84294713855454</v>
      </c>
      <c r="J174" s="59">
        <f>J113*J175%</f>
        <v>11329.2</v>
      </c>
      <c r="K174" s="58">
        <f t="shared" si="31"/>
        <v>105.4447981236388</v>
      </c>
      <c r="L174" s="3"/>
      <c r="N174" s="286">
        <f t="shared" si="32"/>
        <v>100</v>
      </c>
    </row>
    <row r="175" spans="1:14" ht="22.5" hidden="1" customHeight="1">
      <c r="A175" s="32" t="s">
        <v>197</v>
      </c>
      <c r="B175" s="48" t="s">
        <v>200</v>
      </c>
      <c r="C175" s="41" t="s">
        <v>33</v>
      </c>
      <c r="D175" s="59">
        <v>85.6</v>
      </c>
      <c r="E175" s="58">
        <v>86.5</v>
      </c>
      <c r="F175" s="58">
        <v>90</v>
      </c>
      <c r="G175" s="58"/>
      <c r="H175" s="58">
        <f>F175</f>
        <v>90</v>
      </c>
      <c r="I175" s="58">
        <f t="shared" si="30"/>
        <v>104.04624277456648</v>
      </c>
      <c r="J175" s="58">
        <v>90</v>
      </c>
      <c r="K175" s="58">
        <f t="shared" si="31"/>
        <v>100</v>
      </c>
      <c r="L175" s="3"/>
      <c r="N175" s="286">
        <f t="shared" si="32"/>
        <v>100</v>
      </c>
    </row>
    <row r="176" spans="1:14" ht="22.5" hidden="1" customHeight="1">
      <c r="A176" s="32"/>
      <c r="B176" s="48" t="s">
        <v>202</v>
      </c>
      <c r="C176" s="21" t="s">
        <v>203</v>
      </c>
      <c r="D176" s="59">
        <v>58</v>
      </c>
      <c r="E176" s="58">
        <f>67*E177%</f>
        <v>57.954999999999998</v>
      </c>
      <c r="F176" s="58">
        <f>67*F177%</f>
        <v>60.97</v>
      </c>
      <c r="G176" s="58">
        <f>67*G177%</f>
        <v>0</v>
      </c>
      <c r="H176" s="58">
        <f>67*H177%</f>
        <v>60.97</v>
      </c>
      <c r="I176" s="58">
        <f t="shared" si="30"/>
        <v>105.20231213872832</v>
      </c>
      <c r="J176" s="59">
        <v>61</v>
      </c>
      <c r="K176" s="58">
        <f t="shared" si="31"/>
        <v>100.04920452681647</v>
      </c>
      <c r="L176" s="3"/>
      <c r="N176" s="286">
        <f t="shared" si="32"/>
        <v>100</v>
      </c>
    </row>
    <row r="177" spans="1:14" ht="22.5" hidden="1" customHeight="1">
      <c r="A177" s="32" t="s">
        <v>201</v>
      </c>
      <c r="B177" s="48" t="s">
        <v>171</v>
      </c>
      <c r="C177" s="41" t="s">
        <v>33</v>
      </c>
      <c r="D177" s="59">
        <f>D176/67%</f>
        <v>86.567164179104466</v>
      </c>
      <c r="E177" s="58">
        <v>86.5</v>
      </c>
      <c r="F177" s="58">
        <v>91</v>
      </c>
      <c r="G177" s="58"/>
      <c r="H177" s="58">
        <v>91</v>
      </c>
      <c r="I177" s="58">
        <f t="shared" si="30"/>
        <v>105.20231213872833</v>
      </c>
      <c r="J177" s="58">
        <v>91</v>
      </c>
      <c r="K177" s="58">
        <f t="shared" si="31"/>
        <v>100</v>
      </c>
      <c r="L177" s="3"/>
      <c r="N177" s="286">
        <f t="shared" si="32"/>
        <v>100</v>
      </c>
    </row>
    <row r="178" spans="1:14" ht="22.5" hidden="1" customHeight="1">
      <c r="A178" s="32" t="s">
        <v>204</v>
      </c>
      <c r="B178" s="48" t="s">
        <v>205</v>
      </c>
      <c r="C178" s="21" t="s">
        <v>206</v>
      </c>
      <c r="D178" s="59">
        <v>88</v>
      </c>
      <c r="E178" s="59">
        <v>90</v>
      </c>
      <c r="F178" s="59">
        <v>90</v>
      </c>
      <c r="G178" s="59"/>
      <c r="H178" s="59">
        <f>F178</f>
        <v>90</v>
      </c>
      <c r="I178" s="58">
        <f t="shared" si="30"/>
        <v>100</v>
      </c>
      <c r="J178" s="59">
        <v>90</v>
      </c>
      <c r="K178" s="58">
        <f t="shared" si="31"/>
        <v>100</v>
      </c>
      <c r="L178" s="3"/>
      <c r="N178" s="286">
        <f t="shared" si="32"/>
        <v>100</v>
      </c>
    </row>
    <row r="179" spans="1:14" ht="22.5" hidden="1" customHeight="1">
      <c r="A179" s="32" t="s">
        <v>354</v>
      </c>
      <c r="B179" s="20" t="s">
        <v>356</v>
      </c>
      <c r="C179" s="32" t="s">
        <v>61</v>
      </c>
      <c r="D179" s="59">
        <v>4</v>
      </c>
      <c r="E179" s="59">
        <v>4</v>
      </c>
      <c r="F179" s="59">
        <v>4</v>
      </c>
      <c r="G179" s="59">
        <v>4</v>
      </c>
      <c r="H179" s="59">
        <v>4</v>
      </c>
      <c r="I179" s="58">
        <f t="shared" si="30"/>
        <v>100</v>
      </c>
      <c r="J179" s="59">
        <v>5</v>
      </c>
      <c r="K179" s="58">
        <f t="shared" si="31"/>
        <v>125</v>
      </c>
      <c r="L179" s="3"/>
      <c r="N179" s="286">
        <f t="shared" si="32"/>
        <v>100</v>
      </c>
    </row>
    <row r="180" spans="1:14">
      <c r="A180" s="4"/>
      <c r="B180" s="64"/>
      <c r="C180" s="4"/>
      <c r="D180" s="64"/>
      <c r="E180" s="64"/>
      <c r="F180" s="64"/>
      <c r="G180" s="64"/>
      <c r="H180" s="64"/>
      <c r="I180" s="64"/>
      <c r="J180" s="64"/>
      <c r="K180" s="64"/>
      <c r="L180" s="64"/>
      <c r="N180" s="93"/>
    </row>
  </sheetData>
  <mergeCells count="12">
    <mergeCell ref="K5:K6"/>
    <mergeCell ref="L5:L6"/>
    <mergeCell ref="A1:L1"/>
    <mergeCell ref="A2:L2"/>
    <mergeCell ref="A3:L3"/>
    <mergeCell ref="A5:A6"/>
    <mergeCell ref="B5:B6"/>
    <mergeCell ref="C5:C6"/>
    <mergeCell ref="D5:D6"/>
    <mergeCell ref="E5:E6"/>
    <mergeCell ref="F5:I5"/>
    <mergeCell ref="J5:J6"/>
  </mergeCells>
  <pageMargins left="0.47244094488188981" right="0.39370078740157483" top="0.59055118110236227" bottom="0.47244094488188981" header="0.31496062992125984" footer="0.31496062992125984"/>
  <pageSetup paperSize="9" scale="91" fitToHeight="0" orientation="landscape" r:id="rId1"/>
  <headerFooter>
    <oddFooter>&amp;R&amp;"Times New Roman,Regular"&amp;P/&amp;N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80"/>
  <sheetViews>
    <sheetView zoomScale="70" zoomScaleNormal="70" workbookViewId="0">
      <pane xSplit="2" ySplit="7" topLeftCell="C47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10.28515625" defaultRowHeight="12.75" outlineLevelRow="1"/>
  <cols>
    <col min="1" max="1" width="5.5703125" style="185" customWidth="1"/>
    <col min="2" max="2" width="41.140625" style="185" customWidth="1"/>
    <col min="3" max="10" width="13.7109375" style="185" customWidth="1"/>
    <col min="11" max="16384" width="10.28515625" style="185"/>
  </cols>
  <sheetData>
    <row r="1" spans="1:12" ht="18.75" outlineLevel="1">
      <c r="A1" s="182"/>
      <c r="B1" s="183"/>
      <c r="C1" s="183"/>
      <c r="D1" s="183"/>
      <c r="E1" s="183"/>
      <c r="F1" s="183"/>
      <c r="G1" s="183"/>
      <c r="H1" s="207"/>
      <c r="I1" s="207"/>
      <c r="J1" s="184" t="s">
        <v>521</v>
      </c>
    </row>
    <row r="2" spans="1:12" ht="16.5" outlineLevel="1">
      <c r="A2" s="791" t="s">
        <v>579</v>
      </c>
      <c r="B2" s="791"/>
      <c r="C2" s="791"/>
      <c r="D2" s="791"/>
      <c r="E2" s="791"/>
      <c r="F2" s="791"/>
      <c r="G2" s="791"/>
      <c r="H2" s="791"/>
      <c r="I2" s="791"/>
      <c r="J2" s="791"/>
    </row>
    <row r="3" spans="1:12" ht="16.5" outlineLevel="1">
      <c r="A3" s="791" t="s">
        <v>580</v>
      </c>
      <c r="B3" s="791"/>
      <c r="C3" s="791"/>
      <c r="D3" s="791"/>
      <c r="E3" s="791"/>
      <c r="F3" s="791"/>
      <c r="G3" s="791"/>
      <c r="H3" s="791"/>
      <c r="I3" s="791"/>
      <c r="J3" s="791"/>
    </row>
    <row r="4" spans="1:12" outlineLevel="1">
      <c r="H4" s="208"/>
      <c r="I4" s="208"/>
      <c r="J4" s="208"/>
    </row>
    <row r="5" spans="1:12" s="186" customFormat="1" ht="26.25" customHeight="1">
      <c r="A5" s="792" t="s">
        <v>524</v>
      </c>
      <c r="B5" s="792" t="s">
        <v>69</v>
      </c>
      <c r="C5" s="792" t="s">
        <v>525</v>
      </c>
      <c r="D5" s="792" t="s">
        <v>526</v>
      </c>
      <c r="E5" s="792" t="s">
        <v>514</v>
      </c>
      <c r="F5" s="792"/>
      <c r="G5" s="792"/>
      <c r="H5" s="792"/>
      <c r="I5" s="792" t="s">
        <v>516</v>
      </c>
      <c r="J5" s="792" t="s">
        <v>518</v>
      </c>
    </row>
    <row r="6" spans="1:12" s="186" customFormat="1" ht="63">
      <c r="A6" s="792"/>
      <c r="B6" s="792"/>
      <c r="C6" s="792"/>
      <c r="D6" s="792"/>
      <c r="E6" s="181" t="s">
        <v>470</v>
      </c>
      <c r="F6" s="181" t="s">
        <v>723</v>
      </c>
      <c r="G6" s="181" t="s">
        <v>515</v>
      </c>
      <c r="H6" s="181" t="s">
        <v>517</v>
      </c>
      <c r="I6" s="792"/>
      <c r="J6" s="792"/>
    </row>
    <row r="7" spans="1:12" s="183" customFormat="1" ht="19.5" customHeight="1">
      <c r="A7" s="181">
        <v>1</v>
      </c>
      <c r="B7" s="181">
        <v>2</v>
      </c>
      <c r="C7" s="181">
        <v>3</v>
      </c>
      <c r="D7" s="181">
        <v>4</v>
      </c>
      <c r="E7" s="181">
        <v>5</v>
      </c>
      <c r="F7" s="181">
        <v>6</v>
      </c>
      <c r="G7" s="181">
        <v>7</v>
      </c>
      <c r="H7" s="181" t="s">
        <v>480</v>
      </c>
      <c r="I7" s="181">
        <v>9</v>
      </c>
      <c r="J7" s="181" t="s">
        <v>519</v>
      </c>
    </row>
    <row r="8" spans="1:12" s="183" customFormat="1" ht="24.95" customHeight="1">
      <c r="A8" s="201" t="s">
        <v>38</v>
      </c>
      <c r="B8" s="202" t="s">
        <v>581</v>
      </c>
      <c r="C8" s="209"/>
      <c r="D8" s="279"/>
      <c r="E8" s="279"/>
      <c r="F8" s="279"/>
      <c r="G8" s="279"/>
      <c r="H8" s="279"/>
      <c r="I8" s="279"/>
      <c r="J8" s="279"/>
    </row>
    <row r="9" spans="1:12" s="191" customFormat="1" ht="24.95" customHeight="1">
      <c r="A9" s="249" t="s">
        <v>155</v>
      </c>
      <c r="B9" s="206" t="s">
        <v>72</v>
      </c>
      <c r="C9" s="32" t="s">
        <v>73</v>
      </c>
      <c r="D9" s="268">
        <f>'6 tháng 2021'!E130</f>
        <v>45827.5</v>
      </c>
      <c r="E9" s="268">
        <f>'6 tháng 2021'!F130</f>
        <v>46932.5</v>
      </c>
      <c r="F9" s="268">
        <f>'6 tháng 2021'!H130</f>
        <v>46743.5</v>
      </c>
      <c r="G9" s="268">
        <f>'6 tháng 2021'!I130</f>
        <v>46968</v>
      </c>
      <c r="H9" s="58">
        <f t="shared" ref="H9:H74" si="0">IFERROR(G9/D9%,"")</f>
        <v>102.48868037750259</v>
      </c>
      <c r="I9" s="268">
        <f>'6 tháng 2021'!J130</f>
        <v>50000</v>
      </c>
      <c r="J9" s="58">
        <f t="shared" ref="J9:J74" si="1">IFERROR(I9/G9%,"")</f>
        <v>106.45545903593936</v>
      </c>
      <c r="L9" s="285"/>
    </row>
    <row r="10" spans="1:12" s="191" customFormat="1" ht="21" customHeight="1">
      <c r="A10" s="1"/>
      <c r="B10" s="210" t="s">
        <v>582</v>
      </c>
      <c r="C10" s="32" t="s">
        <v>73</v>
      </c>
      <c r="D10" s="268">
        <f>D9-14505</f>
        <v>31322.5</v>
      </c>
      <c r="E10" s="268">
        <f>E9*68%</f>
        <v>31914.100000000002</v>
      </c>
      <c r="F10" s="268">
        <f>F9*68%</f>
        <v>31785.58</v>
      </c>
      <c r="G10" s="268">
        <f>G9*68%</f>
        <v>31938.240000000002</v>
      </c>
      <c r="H10" s="58">
        <f t="shared" si="0"/>
        <v>101.96580732700136</v>
      </c>
      <c r="I10" s="268">
        <f>I9*68%</f>
        <v>34000</v>
      </c>
      <c r="J10" s="58">
        <f t="shared" si="1"/>
        <v>106.45545903593936</v>
      </c>
    </row>
    <row r="11" spans="1:12" s="191" customFormat="1" ht="23.25" customHeight="1">
      <c r="A11" s="1"/>
      <c r="B11" s="210" t="s">
        <v>583</v>
      </c>
      <c r="C11" s="32" t="s">
        <v>73</v>
      </c>
      <c r="D11" s="268"/>
      <c r="E11" s="268"/>
      <c r="F11" s="268"/>
      <c r="G11" s="268"/>
      <c r="H11" s="58" t="str">
        <f t="shared" si="0"/>
        <v/>
      </c>
      <c r="I11" s="268"/>
      <c r="J11" s="58" t="str">
        <f t="shared" si="1"/>
        <v/>
      </c>
    </row>
    <row r="12" spans="1:12" s="211" customFormat="1" ht="24.95" customHeight="1">
      <c r="A12" s="19" t="s">
        <v>155</v>
      </c>
      <c r="B12" s="20" t="s">
        <v>584</v>
      </c>
      <c r="C12" s="219" t="s">
        <v>585</v>
      </c>
      <c r="D12" s="59"/>
      <c r="E12" s="86"/>
      <c r="F12" s="86"/>
      <c r="G12" s="86"/>
      <c r="H12" s="58" t="str">
        <f t="shared" si="0"/>
        <v/>
      </c>
      <c r="I12" s="86"/>
      <c r="J12" s="58" t="str">
        <f t="shared" si="1"/>
        <v/>
      </c>
    </row>
    <row r="13" spans="1:12" s="211" customFormat="1" ht="31.5">
      <c r="A13" s="19" t="s">
        <v>155</v>
      </c>
      <c r="B13" s="20" t="s">
        <v>586</v>
      </c>
      <c r="C13" s="250" t="s">
        <v>587</v>
      </c>
      <c r="D13" s="86"/>
      <c r="E13" s="86"/>
      <c r="F13" s="86"/>
      <c r="G13" s="86"/>
      <c r="H13" s="58" t="str">
        <f t="shared" si="0"/>
        <v/>
      </c>
      <c r="I13" s="86"/>
      <c r="J13" s="58" t="str">
        <f t="shared" si="1"/>
        <v/>
      </c>
    </row>
    <row r="14" spans="1:12" s="212" customFormat="1" ht="20.45" customHeight="1">
      <c r="A14" s="11" t="s">
        <v>39</v>
      </c>
      <c r="B14" s="15" t="s">
        <v>588</v>
      </c>
      <c r="C14" s="11"/>
      <c r="D14" s="57"/>
      <c r="E14" s="57"/>
      <c r="F14" s="57"/>
      <c r="G14" s="57"/>
      <c r="H14" s="58" t="str">
        <f t="shared" si="0"/>
        <v/>
      </c>
      <c r="I14" s="57"/>
      <c r="J14" s="58" t="str">
        <f t="shared" si="1"/>
        <v/>
      </c>
    </row>
    <row r="15" spans="1:12" s="194" customFormat="1" ht="23.25" customHeight="1">
      <c r="A15" s="251" t="s">
        <v>155</v>
      </c>
      <c r="B15" s="20" t="s">
        <v>589</v>
      </c>
      <c r="C15" s="32" t="s">
        <v>73</v>
      </c>
      <c r="D15" s="320">
        <v>23392</v>
      </c>
      <c r="E15" s="59">
        <v>26800</v>
      </c>
      <c r="F15" s="59">
        <v>26828</v>
      </c>
      <c r="G15" s="59">
        <v>26850</v>
      </c>
      <c r="H15" s="58">
        <f t="shared" si="0"/>
        <v>114.7828317373461</v>
      </c>
      <c r="I15" s="59">
        <v>27500</v>
      </c>
      <c r="J15" s="58">
        <f t="shared" si="1"/>
        <v>102.42085661080074</v>
      </c>
    </row>
    <row r="16" spans="1:12" s="194" customFormat="1" ht="34.5" customHeight="1">
      <c r="A16" s="251" t="s">
        <v>155</v>
      </c>
      <c r="B16" s="20" t="s">
        <v>590</v>
      </c>
      <c r="C16" s="32" t="s">
        <v>73</v>
      </c>
      <c r="D16" s="59">
        <v>71</v>
      </c>
      <c r="E16" s="59">
        <v>10</v>
      </c>
      <c r="F16" s="59">
        <v>4</v>
      </c>
      <c r="G16" s="59">
        <v>10</v>
      </c>
      <c r="H16" s="58">
        <f t="shared" si="0"/>
        <v>14.084507042253522</v>
      </c>
      <c r="I16" s="59">
        <v>10</v>
      </c>
      <c r="J16" s="58">
        <f t="shared" si="1"/>
        <v>100</v>
      </c>
    </row>
    <row r="17" spans="1:10" ht="33.75" customHeight="1">
      <c r="A17" s="217" t="s">
        <v>155</v>
      </c>
      <c r="B17" s="206" t="s">
        <v>311</v>
      </c>
      <c r="C17" s="188" t="s">
        <v>33</v>
      </c>
      <c r="D17" s="266">
        <f>'6 tháng 2021'!E133</f>
        <v>43</v>
      </c>
      <c r="E17" s="266">
        <f>'6 tháng 2021'!F133</f>
        <v>44</v>
      </c>
      <c r="F17" s="266">
        <f>'6 tháng 2021'!H133</f>
        <v>43</v>
      </c>
      <c r="G17" s="266">
        <f>'6 tháng 2021'!I133</f>
        <v>44</v>
      </c>
      <c r="H17" s="58">
        <f t="shared" si="0"/>
        <v>102.32558139534883</v>
      </c>
      <c r="I17" s="266">
        <f>'6 tháng 2021'!J133</f>
        <v>45.5</v>
      </c>
      <c r="J17" s="58">
        <f t="shared" si="1"/>
        <v>103.40909090909091</v>
      </c>
    </row>
    <row r="18" spans="1:10" s="183" customFormat="1" ht="42" customHeight="1">
      <c r="A18" s="167" t="s">
        <v>47</v>
      </c>
      <c r="B18" s="204" t="s">
        <v>705</v>
      </c>
      <c r="C18" s="167"/>
      <c r="D18" s="280"/>
      <c r="E18" s="280"/>
      <c r="F18" s="280"/>
      <c r="G18" s="280"/>
      <c r="H18" s="58" t="str">
        <f t="shared" si="0"/>
        <v/>
      </c>
      <c r="I18" s="280"/>
      <c r="J18" s="58" t="str">
        <f t="shared" si="1"/>
        <v/>
      </c>
    </row>
    <row r="19" spans="1:10" s="193" customFormat="1" ht="24.95" customHeight="1">
      <c r="A19" s="249" t="s">
        <v>155</v>
      </c>
      <c r="B19" s="206" t="s">
        <v>714</v>
      </c>
      <c r="C19" s="1" t="s">
        <v>62</v>
      </c>
      <c r="D19" s="268">
        <f>'6 tháng 2021'!E127</f>
        <v>11308</v>
      </c>
      <c r="E19" s="268">
        <f>'6 tháng 2021'!F127</f>
        <v>11938</v>
      </c>
      <c r="F19" s="268">
        <f>'6 tháng 2021'!H127</f>
        <v>11728</v>
      </c>
      <c r="G19" s="268">
        <f>'6 tháng 2021'!I127</f>
        <v>11350</v>
      </c>
      <c r="H19" s="58">
        <f t="shared" si="0"/>
        <v>100.37141846480368</v>
      </c>
      <c r="I19" s="268">
        <f>'6 tháng 2021'!J127</f>
        <v>11650</v>
      </c>
      <c r="J19" s="58">
        <f t="shared" si="1"/>
        <v>102.6431718061674</v>
      </c>
    </row>
    <row r="20" spans="1:10" s="213" customFormat="1" ht="24.95" customHeight="1">
      <c r="A20" s="252" t="s">
        <v>155</v>
      </c>
      <c r="B20" s="253" t="s">
        <v>591</v>
      </c>
      <c r="C20" s="1" t="s">
        <v>62</v>
      </c>
      <c r="D20" s="59">
        <v>1599</v>
      </c>
      <c r="E20" s="59">
        <f>E19*E21%</f>
        <v>1329.8932</v>
      </c>
      <c r="F20" s="59">
        <f>F19*F21%</f>
        <v>0</v>
      </c>
      <c r="G20" s="59">
        <f>G19*G21%</f>
        <v>1362</v>
      </c>
      <c r="H20" s="58">
        <f t="shared" si="0"/>
        <v>85.178236397748591</v>
      </c>
      <c r="I20" s="59">
        <f>I19*I21%</f>
        <v>0</v>
      </c>
      <c r="J20" s="58">
        <f t="shared" si="1"/>
        <v>0</v>
      </c>
    </row>
    <row r="21" spans="1:10" s="213" customFormat="1" ht="24.95" customHeight="1">
      <c r="A21" s="252" t="s">
        <v>155</v>
      </c>
      <c r="B21" s="253" t="s">
        <v>395</v>
      </c>
      <c r="C21" s="60" t="s">
        <v>33</v>
      </c>
      <c r="D21" s="58">
        <f>'6 tháng 2021'!E139</f>
        <v>14.14</v>
      </c>
      <c r="E21" s="58">
        <f>'6 tháng 2021'!F139</f>
        <v>11.14</v>
      </c>
      <c r="F21" s="58">
        <f>'6 tháng 2021'!H139</f>
        <v>0</v>
      </c>
      <c r="G21" s="58">
        <f>'6 tháng 2021'!I139</f>
        <v>12</v>
      </c>
      <c r="H21" s="58">
        <f t="shared" si="0"/>
        <v>84.865629420084872</v>
      </c>
      <c r="I21" s="58">
        <f>'6 tháng 2021'!J139</f>
        <v>0</v>
      </c>
      <c r="J21" s="58">
        <f t="shared" si="1"/>
        <v>0</v>
      </c>
    </row>
    <row r="22" spans="1:10" s="213" customFormat="1" ht="24.95" hidden="1" customHeight="1" outlineLevel="1">
      <c r="A22" s="252" t="s">
        <v>155</v>
      </c>
      <c r="B22" s="254" t="s">
        <v>592</v>
      </c>
      <c r="C22" s="60" t="s">
        <v>62</v>
      </c>
      <c r="D22" s="59"/>
      <c r="E22" s="59"/>
      <c r="F22" s="59"/>
      <c r="G22" s="59"/>
      <c r="H22" s="58" t="str">
        <f t="shared" si="0"/>
        <v/>
      </c>
      <c r="I22" s="59"/>
      <c r="J22" s="58" t="str">
        <f t="shared" si="1"/>
        <v/>
      </c>
    </row>
    <row r="23" spans="1:10" s="214" customFormat="1" ht="24.95" customHeight="1" collapsed="1">
      <c r="A23" s="252" t="s">
        <v>155</v>
      </c>
      <c r="B23" s="253" t="s">
        <v>593</v>
      </c>
      <c r="C23" s="60" t="s">
        <v>33</v>
      </c>
      <c r="D23" s="58">
        <f>'6 tháng 2021'!E138</f>
        <v>3.1799999999999997</v>
      </c>
      <c r="E23" s="58">
        <f>'6 tháng 2021'!F138</f>
        <v>3</v>
      </c>
      <c r="F23" s="58">
        <f>'6 tháng 2021'!H138</f>
        <v>0</v>
      </c>
      <c r="G23" s="58">
        <f>'6 tháng 2021'!I138</f>
        <v>2.14</v>
      </c>
      <c r="H23" s="58">
        <f t="shared" si="0"/>
        <v>67.29559748427674</v>
      </c>
      <c r="I23" s="58" t="str">
        <f>'6 tháng 2021'!J138</f>
        <v>&gt;3</v>
      </c>
      <c r="J23" s="58" t="str">
        <f t="shared" si="1"/>
        <v/>
      </c>
    </row>
    <row r="24" spans="1:10" s="213" customFormat="1" ht="24.95" customHeight="1">
      <c r="A24" s="252" t="s">
        <v>155</v>
      </c>
      <c r="B24" s="253" t="s">
        <v>594</v>
      </c>
      <c r="C24" s="1" t="s">
        <v>62</v>
      </c>
      <c r="D24" s="59">
        <v>880</v>
      </c>
      <c r="E24" s="59"/>
      <c r="F24" s="59"/>
      <c r="G24" s="59"/>
      <c r="H24" s="58">
        <f t="shared" si="0"/>
        <v>0</v>
      </c>
      <c r="I24" s="59"/>
      <c r="J24" s="58" t="str">
        <f t="shared" si="1"/>
        <v/>
      </c>
    </row>
    <row r="25" spans="1:10" s="213" customFormat="1" ht="24.95" customHeight="1">
      <c r="A25" s="252" t="s">
        <v>155</v>
      </c>
      <c r="B25" s="253" t="s">
        <v>595</v>
      </c>
      <c r="C25" s="60" t="s">
        <v>33</v>
      </c>
      <c r="D25" s="58">
        <v>7.78</v>
      </c>
      <c r="E25" s="59"/>
      <c r="F25" s="59"/>
      <c r="G25" s="59"/>
      <c r="H25" s="58">
        <f t="shared" si="0"/>
        <v>0</v>
      </c>
      <c r="I25" s="59"/>
      <c r="J25" s="58" t="str">
        <f t="shared" si="1"/>
        <v/>
      </c>
    </row>
    <row r="26" spans="1:10" s="214" customFormat="1" ht="24.95" customHeight="1">
      <c r="A26" s="252" t="s">
        <v>155</v>
      </c>
      <c r="B26" s="253" t="s">
        <v>596</v>
      </c>
      <c r="C26" s="1" t="s">
        <v>62</v>
      </c>
      <c r="D26" s="59">
        <v>411</v>
      </c>
      <c r="E26" s="59">
        <f>D20-E20</f>
        <v>269.10680000000002</v>
      </c>
      <c r="F26" s="59"/>
      <c r="G26" s="59">
        <f>D20-G20</f>
        <v>237</v>
      </c>
      <c r="H26" s="58">
        <f t="shared" si="0"/>
        <v>57.664233576642332</v>
      </c>
      <c r="I26" s="59">
        <f>G20-I20</f>
        <v>1362</v>
      </c>
      <c r="J26" s="58">
        <f t="shared" si="1"/>
        <v>574.68354430379748</v>
      </c>
    </row>
    <row r="27" spans="1:10" s="214" customFormat="1" ht="24.95" customHeight="1">
      <c r="A27" s="252" t="s">
        <v>155</v>
      </c>
      <c r="B27" s="253" t="s">
        <v>597</v>
      </c>
      <c r="C27" s="1" t="s">
        <v>62</v>
      </c>
      <c r="D27" s="59"/>
      <c r="E27" s="59"/>
      <c r="F27" s="59"/>
      <c r="G27" s="59"/>
      <c r="H27" s="58" t="str">
        <f t="shared" si="0"/>
        <v/>
      </c>
      <c r="I27" s="59"/>
      <c r="J27" s="58" t="str">
        <f t="shared" si="1"/>
        <v/>
      </c>
    </row>
    <row r="28" spans="1:10" s="183" customFormat="1" ht="39.950000000000003" customHeight="1">
      <c r="A28" s="167" t="s">
        <v>48</v>
      </c>
      <c r="B28" s="204" t="s">
        <v>598</v>
      </c>
      <c r="C28" s="203"/>
      <c r="D28" s="280"/>
      <c r="E28" s="280"/>
      <c r="F28" s="280"/>
      <c r="G28" s="280"/>
      <c r="H28" s="58" t="str">
        <f t="shared" si="0"/>
        <v/>
      </c>
      <c r="I28" s="280"/>
      <c r="J28" s="58" t="str">
        <f t="shared" si="1"/>
        <v/>
      </c>
    </row>
    <row r="29" spans="1:10" s="191" customFormat="1" ht="24.95" customHeight="1">
      <c r="A29" s="217" t="s">
        <v>155</v>
      </c>
      <c r="B29" s="206" t="s">
        <v>709</v>
      </c>
      <c r="C29" s="188" t="s">
        <v>61</v>
      </c>
      <c r="D29" s="268">
        <v>9</v>
      </c>
      <c r="E29" s="268">
        <v>9</v>
      </c>
      <c r="F29" s="268">
        <v>9</v>
      </c>
      <c r="G29" s="268">
        <v>9</v>
      </c>
      <c r="H29" s="58">
        <f t="shared" si="0"/>
        <v>100</v>
      </c>
      <c r="I29" s="268">
        <v>9</v>
      </c>
      <c r="J29" s="58">
        <f t="shared" si="1"/>
        <v>100</v>
      </c>
    </row>
    <row r="30" spans="1:10" ht="24.95" customHeight="1">
      <c r="A30" s="188"/>
      <c r="B30" s="189" t="s">
        <v>70</v>
      </c>
      <c r="C30" s="188"/>
      <c r="D30" s="268"/>
      <c r="E30" s="268"/>
      <c r="F30" s="268"/>
      <c r="G30" s="268"/>
      <c r="H30" s="58" t="str">
        <f t="shared" si="0"/>
        <v/>
      </c>
      <c r="I30" s="268"/>
      <c r="J30" s="58" t="str">
        <f t="shared" si="1"/>
        <v/>
      </c>
    </row>
    <row r="31" spans="1:10" s="93" customFormat="1" ht="39.950000000000003" customHeight="1">
      <c r="A31" s="219"/>
      <c r="B31" s="46" t="s">
        <v>599</v>
      </c>
      <c r="C31" s="219" t="s">
        <v>61</v>
      </c>
      <c r="D31" s="59">
        <v>4</v>
      </c>
      <c r="E31" s="59">
        <v>4</v>
      </c>
      <c r="F31" s="59">
        <v>4</v>
      </c>
      <c r="G31" s="59">
        <v>4</v>
      </c>
      <c r="H31" s="58">
        <f t="shared" si="0"/>
        <v>100</v>
      </c>
      <c r="I31" s="59">
        <v>4</v>
      </c>
      <c r="J31" s="58">
        <f t="shared" si="1"/>
        <v>100</v>
      </c>
    </row>
    <row r="32" spans="1:10" s="93" customFormat="1" ht="24" customHeight="1">
      <c r="A32" s="219"/>
      <c r="B32" s="46" t="s">
        <v>600</v>
      </c>
      <c r="C32" s="219"/>
      <c r="D32" s="59"/>
      <c r="E32" s="59"/>
      <c r="F32" s="59"/>
      <c r="G32" s="59"/>
      <c r="H32" s="58" t="str">
        <f t="shared" si="0"/>
        <v/>
      </c>
      <c r="I32" s="59"/>
      <c r="J32" s="58" t="str">
        <f t="shared" si="1"/>
        <v/>
      </c>
    </row>
    <row r="33" spans="1:10" s="93" customFormat="1" ht="22.5" customHeight="1">
      <c r="A33" s="219"/>
      <c r="B33" s="46" t="s">
        <v>601</v>
      </c>
      <c r="C33" s="219"/>
      <c r="D33" s="59"/>
      <c r="E33" s="59"/>
      <c r="F33" s="59"/>
      <c r="G33" s="59"/>
      <c r="H33" s="58" t="str">
        <f t="shared" si="0"/>
        <v/>
      </c>
      <c r="I33" s="59"/>
      <c r="J33" s="58" t="str">
        <f t="shared" si="1"/>
        <v/>
      </c>
    </row>
    <row r="34" spans="1:10" s="191" customFormat="1" ht="24.95" customHeight="1">
      <c r="A34" s="188"/>
      <c r="B34" s="216" t="s">
        <v>602</v>
      </c>
      <c r="C34" s="188" t="s">
        <v>61</v>
      </c>
      <c r="D34" s="268">
        <v>9</v>
      </c>
      <c r="E34" s="268">
        <v>9</v>
      </c>
      <c r="F34" s="268">
        <v>9</v>
      </c>
      <c r="G34" s="268">
        <v>9</v>
      </c>
      <c r="H34" s="58">
        <f t="shared" si="0"/>
        <v>100</v>
      </c>
      <c r="I34" s="268">
        <v>9</v>
      </c>
      <c r="J34" s="58">
        <f t="shared" si="1"/>
        <v>100</v>
      </c>
    </row>
    <row r="35" spans="1:10" s="191" customFormat="1" ht="24.95" customHeight="1">
      <c r="A35" s="188"/>
      <c r="B35" s="216" t="s">
        <v>603</v>
      </c>
      <c r="C35" s="188" t="s">
        <v>33</v>
      </c>
      <c r="D35" s="268">
        <f>D34/9%</f>
        <v>100</v>
      </c>
      <c r="E35" s="268">
        <f>E34/9%</f>
        <v>100</v>
      </c>
      <c r="F35" s="268">
        <f>F34/9%</f>
        <v>100</v>
      </c>
      <c r="G35" s="268">
        <f>G34/9%</f>
        <v>100</v>
      </c>
      <c r="H35" s="58">
        <f t="shared" si="0"/>
        <v>100</v>
      </c>
      <c r="I35" s="268">
        <f>I34/9%</f>
        <v>100</v>
      </c>
      <c r="J35" s="58">
        <f t="shared" si="1"/>
        <v>100</v>
      </c>
    </row>
    <row r="36" spans="1:10" s="191" customFormat="1" ht="24.95" customHeight="1">
      <c r="A36" s="188"/>
      <c r="B36" s="216" t="s">
        <v>604</v>
      </c>
      <c r="C36" s="188" t="s">
        <v>61</v>
      </c>
      <c r="D36" s="268">
        <v>9</v>
      </c>
      <c r="E36" s="268">
        <v>9</v>
      </c>
      <c r="F36" s="268">
        <v>9</v>
      </c>
      <c r="G36" s="268">
        <v>9</v>
      </c>
      <c r="H36" s="58">
        <f t="shared" si="0"/>
        <v>100</v>
      </c>
      <c r="I36" s="268">
        <v>9</v>
      </c>
      <c r="J36" s="58">
        <f t="shared" si="1"/>
        <v>100</v>
      </c>
    </row>
    <row r="37" spans="1:10" s="191" customFormat="1" ht="24.95" customHeight="1">
      <c r="A37" s="188"/>
      <c r="B37" s="216" t="s">
        <v>605</v>
      </c>
      <c r="C37" s="188" t="s">
        <v>33</v>
      </c>
      <c r="D37" s="268">
        <f>D36/9%</f>
        <v>100</v>
      </c>
      <c r="E37" s="268">
        <f>E36/9%</f>
        <v>100</v>
      </c>
      <c r="F37" s="268">
        <f>F36/9%</f>
        <v>100</v>
      </c>
      <c r="G37" s="268">
        <f>G36/9%</f>
        <v>100</v>
      </c>
      <c r="H37" s="58">
        <f t="shared" si="0"/>
        <v>100</v>
      </c>
      <c r="I37" s="268">
        <f>I36/9%</f>
        <v>100</v>
      </c>
      <c r="J37" s="58">
        <f t="shared" si="1"/>
        <v>100</v>
      </c>
    </row>
    <row r="38" spans="1:10" s="271" customFormat="1" ht="31.5" customHeight="1">
      <c r="A38" s="188"/>
      <c r="B38" s="216" t="s">
        <v>606</v>
      </c>
      <c r="C38" s="188" t="s">
        <v>607</v>
      </c>
      <c r="D38" s="268">
        <v>4</v>
      </c>
      <c r="E38" s="268">
        <v>4</v>
      </c>
      <c r="F38" s="268">
        <v>4</v>
      </c>
      <c r="G38" s="268">
        <v>4</v>
      </c>
      <c r="H38" s="58">
        <f t="shared" si="0"/>
        <v>100</v>
      </c>
      <c r="I38" s="268">
        <v>5</v>
      </c>
      <c r="J38" s="58">
        <f t="shared" si="1"/>
        <v>125</v>
      </c>
    </row>
    <row r="39" spans="1:10" s="191" customFormat="1" ht="24.95" customHeight="1">
      <c r="A39" s="188"/>
      <c r="B39" s="216" t="s">
        <v>608</v>
      </c>
      <c r="C39" s="188" t="s">
        <v>61</v>
      </c>
      <c r="D39" s="268">
        <v>6</v>
      </c>
      <c r="E39" s="268">
        <v>6</v>
      </c>
      <c r="F39" s="268">
        <v>6</v>
      </c>
      <c r="G39" s="268">
        <v>6</v>
      </c>
      <c r="H39" s="58">
        <f t="shared" si="0"/>
        <v>100</v>
      </c>
      <c r="I39" s="268">
        <v>6</v>
      </c>
      <c r="J39" s="58">
        <f t="shared" si="1"/>
        <v>100</v>
      </c>
    </row>
    <row r="40" spans="1:10" s="271" customFormat="1" ht="24.95" customHeight="1">
      <c r="A40" s="188"/>
      <c r="B40" s="216" t="s">
        <v>609</v>
      </c>
      <c r="C40" s="188" t="s">
        <v>33</v>
      </c>
      <c r="D40" s="268">
        <f>D39/9%</f>
        <v>66.666666666666671</v>
      </c>
      <c r="E40" s="268">
        <f>E39/9%</f>
        <v>66.666666666666671</v>
      </c>
      <c r="F40" s="268">
        <f>F39/9%</f>
        <v>66.666666666666671</v>
      </c>
      <c r="G40" s="268">
        <f>G39/9%</f>
        <v>66.666666666666671</v>
      </c>
      <c r="H40" s="58">
        <f t="shared" si="0"/>
        <v>100</v>
      </c>
      <c r="I40" s="268">
        <f>I39/9%</f>
        <v>66.666666666666671</v>
      </c>
      <c r="J40" s="58">
        <f t="shared" si="1"/>
        <v>100</v>
      </c>
    </row>
    <row r="41" spans="1:10" s="272" customFormat="1" ht="24.95" customHeight="1">
      <c r="A41" s="219"/>
      <c r="B41" s="46" t="s">
        <v>610</v>
      </c>
      <c r="C41" s="219" t="s">
        <v>572</v>
      </c>
      <c r="D41" s="59">
        <v>1</v>
      </c>
      <c r="E41" s="59">
        <v>1</v>
      </c>
      <c r="F41" s="59">
        <v>1</v>
      </c>
      <c r="G41" s="59">
        <v>1</v>
      </c>
      <c r="H41" s="58">
        <f t="shared" si="0"/>
        <v>100</v>
      </c>
      <c r="I41" s="59">
        <v>1</v>
      </c>
      <c r="J41" s="58">
        <f t="shared" si="1"/>
        <v>100</v>
      </c>
    </row>
    <row r="42" spans="1:10" s="272" customFormat="1" ht="24.95" customHeight="1">
      <c r="A42" s="219"/>
      <c r="B42" s="46" t="s">
        <v>611</v>
      </c>
      <c r="C42" s="219" t="s">
        <v>33</v>
      </c>
      <c r="D42" s="59">
        <f>D41/9%</f>
        <v>11.111111111111111</v>
      </c>
      <c r="E42" s="59">
        <f>E41/9%</f>
        <v>11.111111111111111</v>
      </c>
      <c r="F42" s="59">
        <f>F41/9%</f>
        <v>11.111111111111111</v>
      </c>
      <c r="G42" s="59">
        <f>G41/9%</f>
        <v>11.111111111111111</v>
      </c>
      <c r="H42" s="58">
        <f t="shared" si="0"/>
        <v>100</v>
      </c>
      <c r="I42" s="59">
        <f>I41/9%</f>
        <v>11.111111111111111</v>
      </c>
      <c r="J42" s="58">
        <f t="shared" si="1"/>
        <v>100</v>
      </c>
    </row>
    <row r="43" spans="1:10" s="191" customFormat="1" ht="24.95" customHeight="1">
      <c r="A43" s="217" t="s">
        <v>155</v>
      </c>
      <c r="B43" s="206" t="s">
        <v>612</v>
      </c>
      <c r="C43" s="188" t="s">
        <v>62</v>
      </c>
      <c r="D43" s="268">
        <f>D19</f>
        <v>11308</v>
      </c>
      <c r="E43" s="268">
        <f>E19</f>
        <v>11938</v>
      </c>
      <c r="F43" s="268">
        <f>F19</f>
        <v>11728</v>
      </c>
      <c r="G43" s="268">
        <f>G19</f>
        <v>11350</v>
      </c>
      <c r="H43" s="58">
        <f t="shared" si="0"/>
        <v>100.37141846480368</v>
      </c>
      <c r="I43" s="268">
        <f>I19</f>
        <v>11650</v>
      </c>
      <c r="J43" s="58">
        <f t="shared" si="1"/>
        <v>102.6431718061674</v>
      </c>
    </row>
    <row r="44" spans="1:10" s="271" customFormat="1" ht="24.95" customHeight="1">
      <c r="A44" s="217" t="s">
        <v>155</v>
      </c>
      <c r="B44" s="206" t="s">
        <v>613</v>
      </c>
      <c r="C44" s="188" t="s">
        <v>33</v>
      </c>
      <c r="D44" s="268">
        <v>100</v>
      </c>
      <c r="E44" s="268">
        <v>100</v>
      </c>
      <c r="F44" s="268">
        <v>100</v>
      </c>
      <c r="G44" s="268">
        <v>100</v>
      </c>
      <c r="H44" s="58">
        <f t="shared" si="0"/>
        <v>100</v>
      </c>
      <c r="I44" s="268">
        <v>100</v>
      </c>
      <c r="J44" s="58">
        <f t="shared" si="1"/>
        <v>100</v>
      </c>
    </row>
    <row r="45" spans="1:10" s="191" customFormat="1" ht="24.95" customHeight="1">
      <c r="A45" s="217" t="s">
        <v>155</v>
      </c>
      <c r="B45" s="206" t="s">
        <v>614</v>
      </c>
      <c r="C45" s="188" t="s">
        <v>62</v>
      </c>
      <c r="D45" s="268"/>
      <c r="E45" s="268"/>
      <c r="F45" s="268"/>
      <c r="G45" s="268"/>
      <c r="H45" s="58" t="str">
        <f t="shared" si="0"/>
        <v/>
      </c>
      <c r="I45" s="268"/>
      <c r="J45" s="58" t="str">
        <f t="shared" si="1"/>
        <v/>
      </c>
    </row>
    <row r="46" spans="1:10" s="271" customFormat="1" ht="33" customHeight="1">
      <c r="A46" s="217" t="s">
        <v>155</v>
      </c>
      <c r="B46" s="206" t="s">
        <v>615</v>
      </c>
      <c r="C46" s="188" t="s">
        <v>33</v>
      </c>
      <c r="D46" s="268"/>
      <c r="E46" s="268"/>
      <c r="F46" s="268"/>
      <c r="G46" s="268"/>
      <c r="H46" s="58" t="str">
        <f t="shared" si="0"/>
        <v/>
      </c>
      <c r="I46" s="268"/>
      <c r="J46" s="58" t="str">
        <f t="shared" si="1"/>
        <v/>
      </c>
    </row>
    <row r="47" spans="1:10" s="271" customFormat="1" ht="24.95" customHeight="1">
      <c r="A47" s="188"/>
      <c r="B47" s="206" t="s">
        <v>616</v>
      </c>
      <c r="C47" s="188"/>
      <c r="D47" s="268"/>
      <c r="E47" s="268"/>
      <c r="F47" s="268"/>
      <c r="G47" s="268"/>
      <c r="H47" s="58" t="str">
        <f t="shared" si="0"/>
        <v/>
      </c>
      <c r="I47" s="268"/>
      <c r="J47" s="58" t="str">
        <f t="shared" si="1"/>
        <v/>
      </c>
    </row>
    <row r="48" spans="1:10" s="271" customFormat="1" ht="24.95" customHeight="1">
      <c r="A48" s="188"/>
      <c r="B48" s="206" t="s">
        <v>617</v>
      </c>
      <c r="C48" s="188" t="s">
        <v>33</v>
      </c>
      <c r="D48" s="266">
        <v>100</v>
      </c>
      <c r="E48" s="266">
        <v>100</v>
      </c>
      <c r="F48" s="266">
        <v>100</v>
      </c>
      <c r="G48" s="266">
        <v>100</v>
      </c>
      <c r="H48" s="58">
        <f t="shared" si="0"/>
        <v>100</v>
      </c>
      <c r="I48" s="266">
        <v>100</v>
      </c>
      <c r="J48" s="58">
        <f t="shared" si="1"/>
        <v>100</v>
      </c>
    </row>
    <row r="49" spans="1:10" s="271" customFormat="1" ht="24.95" customHeight="1">
      <c r="A49" s="188"/>
      <c r="B49" s="206" t="s">
        <v>618</v>
      </c>
      <c r="C49" s="188" t="s">
        <v>33</v>
      </c>
      <c r="D49" s="266">
        <f>'2. CN NN DV'!D33</f>
        <v>89.1</v>
      </c>
      <c r="E49" s="266">
        <f>'2. CN NN DV'!E33</f>
        <v>91.1</v>
      </c>
      <c r="F49" s="266">
        <f>'2. CN NN DV'!F33</f>
        <v>91.1</v>
      </c>
      <c r="G49" s="266">
        <f>'2. CN NN DV'!G33</f>
        <v>91.1</v>
      </c>
      <c r="H49" s="58">
        <f t="shared" si="0"/>
        <v>102.24466891133558</v>
      </c>
      <c r="I49" s="266">
        <f>'2. CN NN DV'!I33</f>
        <v>91.5</v>
      </c>
      <c r="J49" s="58">
        <f t="shared" si="1"/>
        <v>100.4390779363337</v>
      </c>
    </row>
    <row r="50" spans="1:10" s="183" customFormat="1" ht="24.95" customHeight="1">
      <c r="A50" s="167" t="s">
        <v>50</v>
      </c>
      <c r="B50" s="204" t="s">
        <v>619</v>
      </c>
      <c r="C50" s="203"/>
      <c r="D50" s="280"/>
      <c r="E50" s="280"/>
      <c r="F50" s="280"/>
      <c r="G50" s="280"/>
      <c r="H50" s="58" t="str">
        <f t="shared" si="0"/>
        <v/>
      </c>
      <c r="I50" s="280"/>
      <c r="J50" s="58" t="str">
        <f t="shared" si="1"/>
        <v/>
      </c>
    </row>
    <row r="51" spans="1:10" s="212" customFormat="1" ht="24.95" customHeight="1">
      <c r="A51" s="76" t="s">
        <v>155</v>
      </c>
      <c r="B51" s="20" t="s">
        <v>747</v>
      </c>
      <c r="C51" s="219" t="s">
        <v>33</v>
      </c>
      <c r="D51" s="80">
        <v>84.95</v>
      </c>
      <c r="E51" s="80">
        <f>'6 tháng 2021'!F181</f>
        <v>90</v>
      </c>
      <c r="F51" s="80">
        <f>'6 tháng 2021'!H181</f>
        <v>0</v>
      </c>
      <c r="G51" s="80">
        <v>85.87</v>
      </c>
      <c r="H51" s="58">
        <f t="shared" si="0"/>
        <v>101.08298999411419</v>
      </c>
      <c r="I51" s="80">
        <f>'6 tháng 2021'!J181</f>
        <v>90.25</v>
      </c>
      <c r="J51" s="58">
        <f t="shared" si="1"/>
        <v>105.1007336671713</v>
      </c>
    </row>
    <row r="52" spans="1:10" s="191" customFormat="1" ht="39.950000000000003" customHeight="1">
      <c r="A52" s="249" t="s">
        <v>155</v>
      </c>
      <c r="B52" s="206" t="s">
        <v>620</v>
      </c>
      <c r="C52" s="188" t="s">
        <v>73</v>
      </c>
      <c r="D52" s="59">
        <v>2328</v>
      </c>
      <c r="E52" s="59">
        <v>2447</v>
      </c>
      <c r="F52" s="59">
        <v>2329</v>
      </c>
      <c r="G52" s="59">
        <v>2368</v>
      </c>
      <c r="H52" s="58">
        <f t="shared" si="0"/>
        <v>101.71821305841924</v>
      </c>
      <c r="I52" s="59">
        <v>2389</v>
      </c>
      <c r="J52" s="58">
        <f t="shared" si="1"/>
        <v>100.88682432432432</v>
      </c>
    </row>
    <row r="53" spans="1:10" s="212" customFormat="1" ht="24.95" customHeight="1">
      <c r="A53" s="76" t="s">
        <v>155</v>
      </c>
      <c r="B53" s="20" t="s">
        <v>745</v>
      </c>
      <c r="C53" s="219" t="s">
        <v>33</v>
      </c>
      <c r="D53" s="80">
        <v>8.9600000000000009</v>
      </c>
      <c r="E53" s="80">
        <v>9</v>
      </c>
      <c r="F53" s="80"/>
      <c r="G53" s="80">
        <v>8.82</v>
      </c>
      <c r="H53" s="58">
        <f>IFERROR(G53/D53%,"")</f>
        <v>98.437499999999986</v>
      </c>
      <c r="I53" s="80">
        <v>8.66</v>
      </c>
      <c r="J53" s="58">
        <f>IFERROR(I53/G53%,"")</f>
        <v>98.185941043083901</v>
      </c>
    </row>
    <row r="54" spans="1:10" s="212" customFormat="1" ht="24.95" customHeight="1">
      <c r="A54" s="76" t="s">
        <v>155</v>
      </c>
      <c r="B54" s="20" t="s">
        <v>746</v>
      </c>
      <c r="C54" s="219" t="s">
        <v>33</v>
      </c>
      <c r="D54" s="80">
        <v>6.79</v>
      </c>
      <c r="E54" s="80">
        <v>7</v>
      </c>
      <c r="F54" s="80"/>
      <c r="G54" s="80">
        <v>6.69</v>
      </c>
      <c r="H54" s="58">
        <f>IFERROR(G54/D54%,"")</f>
        <v>98.527245949926368</v>
      </c>
      <c r="I54" s="80">
        <v>6.58</v>
      </c>
      <c r="J54" s="58">
        <f>IFERROR(I54/G54%,"")</f>
        <v>98.355754857997013</v>
      </c>
    </row>
    <row r="55" spans="1:10" ht="39.950000000000003" customHeight="1">
      <c r="A55" s="217" t="s">
        <v>155</v>
      </c>
      <c r="B55" s="206" t="s">
        <v>621</v>
      </c>
      <c r="C55" s="188" t="s">
        <v>145</v>
      </c>
      <c r="D55" s="266">
        <f>85/D9*10000</f>
        <v>18.547815176477005</v>
      </c>
      <c r="E55" s="266">
        <f>90/E9*10000</f>
        <v>19.176476855057796</v>
      </c>
      <c r="F55" s="266">
        <f>90/F9*10000</f>
        <v>19.254013927070073</v>
      </c>
      <c r="G55" s="266">
        <f>90/G9*10000</f>
        <v>19.161982626469086</v>
      </c>
      <c r="H55" s="58">
        <f t="shared" si="0"/>
        <v>103.31126574288378</v>
      </c>
      <c r="I55" s="266">
        <f>90/I9*10000</f>
        <v>18</v>
      </c>
      <c r="J55" s="58">
        <f t="shared" si="1"/>
        <v>93.935999999999993</v>
      </c>
    </row>
    <row r="56" spans="1:10" ht="24.95" customHeight="1">
      <c r="A56" s="217" t="s">
        <v>155</v>
      </c>
      <c r="B56" s="206" t="s">
        <v>622</v>
      </c>
      <c r="C56" s="188" t="s">
        <v>500</v>
      </c>
      <c r="D56" s="266">
        <f>29/D9*10000</f>
        <v>6.3280781190333322</v>
      </c>
      <c r="E56" s="266">
        <f>30/E9*10000</f>
        <v>6.3921589516859321</v>
      </c>
      <c r="F56" s="266">
        <f>30/F9*10000</f>
        <v>6.4180046423566912</v>
      </c>
      <c r="G56" s="266">
        <f>30/G9*10000</f>
        <v>6.3873275421563616</v>
      </c>
      <c r="H56" s="58">
        <f t="shared" si="0"/>
        <v>100.93629411661055</v>
      </c>
      <c r="I56" s="266">
        <f>31/I9*10000</f>
        <v>6.2</v>
      </c>
      <c r="J56" s="58">
        <f t="shared" si="1"/>
        <v>97.067200000000014</v>
      </c>
    </row>
    <row r="57" spans="1:10" ht="39.950000000000003" customHeight="1">
      <c r="A57" s="217" t="s">
        <v>155</v>
      </c>
      <c r="B57" s="206" t="s">
        <v>623</v>
      </c>
      <c r="C57" s="188" t="s">
        <v>33</v>
      </c>
      <c r="D57" s="266">
        <v>100</v>
      </c>
      <c r="E57" s="266">
        <v>100</v>
      </c>
      <c r="F57" s="266">
        <v>100</v>
      </c>
      <c r="G57" s="266">
        <v>100</v>
      </c>
      <c r="H57" s="58">
        <f t="shared" si="0"/>
        <v>100</v>
      </c>
      <c r="I57" s="266">
        <v>100</v>
      </c>
      <c r="J57" s="58">
        <f t="shared" si="1"/>
        <v>100</v>
      </c>
    </row>
    <row r="58" spans="1:10" ht="25.5" customHeight="1">
      <c r="A58" s="217" t="s">
        <v>155</v>
      </c>
      <c r="B58" s="206" t="s">
        <v>624</v>
      </c>
      <c r="C58" s="188" t="s">
        <v>33</v>
      </c>
      <c r="D58" s="266">
        <f>'6 tháng 2021'!E180</f>
        <v>44.444444444444443</v>
      </c>
      <c r="E58" s="266">
        <f>'6 tháng 2021'!F180</f>
        <v>77.777777777777786</v>
      </c>
      <c r="F58" s="266">
        <f>'6 tháng 2021'!H180</f>
        <v>44.444444444444443</v>
      </c>
      <c r="G58" s="266">
        <f>'6 tháng 2021'!I180</f>
        <v>77.777777777777786</v>
      </c>
      <c r="H58" s="58">
        <f t="shared" si="0"/>
        <v>175.00000000000003</v>
      </c>
      <c r="I58" s="266">
        <f>'6 tháng 2021'!J180</f>
        <v>100</v>
      </c>
      <c r="J58" s="58">
        <f t="shared" si="1"/>
        <v>128.57142857142856</v>
      </c>
    </row>
    <row r="59" spans="1:10" ht="24.95" customHeight="1">
      <c r="A59" s="249" t="s">
        <v>155</v>
      </c>
      <c r="B59" s="255" t="s">
        <v>625</v>
      </c>
      <c r="C59" s="188" t="s">
        <v>626</v>
      </c>
      <c r="D59" s="268"/>
      <c r="E59" s="268"/>
      <c r="F59" s="268"/>
      <c r="G59" s="268"/>
      <c r="H59" s="58" t="str">
        <f t="shared" si="0"/>
        <v/>
      </c>
      <c r="I59" s="268"/>
      <c r="J59" s="58" t="str">
        <f t="shared" si="1"/>
        <v/>
      </c>
    </row>
    <row r="60" spans="1:10" ht="24.95" customHeight="1">
      <c r="A60" s="217" t="s">
        <v>155</v>
      </c>
      <c r="B60" s="255" t="s">
        <v>627</v>
      </c>
      <c r="C60" s="188" t="s">
        <v>626</v>
      </c>
      <c r="D60" s="268"/>
      <c r="E60" s="268"/>
      <c r="F60" s="268"/>
      <c r="G60" s="268"/>
      <c r="H60" s="58" t="str">
        <f t="shared" si="0"/>
        <v/>
      </c>
      <c r="I60" s="268"/>
      <c r="J60" s="58" t="str">
        <f t="shared" si="1"/>
        <v/>
      </c>
    </row>
    <row r="61" spans="1:10" ht="39.950000000000003" customHeight="1">
      <c r="A61" s="249" t="s">
        <v>155</v>
      </c>
      <c r="B61" s="206" t="s">
        <v>628</v>
      </c>
      <c r="C61" s="188" t="s">
        <v>33</v>
      </c>
      <c r="D61" s="266">
        <f>'6 tháng 2021'!E183</f>
        <v>20</v>
      </c>
      <c r="E61" s="266">
        <f>'6 tháng 2021'!F183</f>
        <v>19.5</v>
      </c>
      <c r="F61" s="266">
        <f>'6 tháng 2021'!H183</f>
        <v>0</v>
      </c>
      <c r="G61" s="266">
        <f>'6 tháng 2021'!I183</f>
        <v>19.5</v>
      </c>
      <c r="H61" s="58">
        <f t="shared" si="0"/>
        <v>97.5</v>
      </c>
      <c r="I61" s="266">
        <v>19</v>
      </c>
      <c r="J61" s="58">
        <f t="shared" si="1"/>
        <v>97.435897435897431</v>
      </c>
    </row>
    <row r="62" spans="1:10" s="218" customFormat="1" ht="31.9" customHeight="1">
      <c r="A62" s="19" t="s">
        <v>155</v>
      </c>
      <c r="B62" s="20" t="s">
        <v>629</v>
      </c>
      <c r="C62" s="219" t="s">
        <v>630</v>
      </c>
      <c r="D62" s="59">
        <v>9</v>
      </c>
      <c r="E62" s="59">
        <v>9</v>
      </c>
      <c r="F62" s="59">
        <v>9</v>
      </c>
      <c r="G62" s="59">
        <v>9</v>
      </c>
      <c r="H62" s="58">
        <f t="shared" si="0"/>
        <v>100</v>
      </c>
      <c r="I62" s="59">
        <v>9</v>
      </c>
      <c r="J62" s="58">
        <f t="shared" si="1"/>
        <v>100</v>
      </c>
    </row>
    <row r="63" spans="1:10" s="218" customFormat="1" ht="31.9" customHeight="1">
      <c r="A63" s="251" t="s">
        <v>155</v>
      </c>
      <c r="B63" s="20" t="s">
        <v>631</v>
      </c>
      <c r="C63" s="32" t="s">
        <v>33</v>
      </c>
      <c r="D63" s="59">
        <f>9/9%</f>
        <v>100</v>
      </c>
      <c r="E63" s="59">
        <f>9/9%</f>
        <v>100</v>
      </c>
      <c r="F63" s="59">
        <f>9/9%</f>
        <v>100</v>
      </c>
      <c r="G63" s="59">
        <f>9/9%</f>
        <v>100</v>
      </c>
      <c r="H63" s="58">
        <f t="shared" si="0"/>
        <v>100</v>
      </c>
      <c r="I63" s="59">
        <f>9/9%</f>
        <v>100</v>
      </c>
      <c r="J63" s="58">
        <f t="shared" si="1"/>
        <v>100</v>
      </c>
    </row>
    <row r="64" spans="1:10" s="218" customFormat="1" ht="31.9" customHeight="1">
      <c r="A64" s="203" t="s">
        <v>51</v>
      </c>
      <c r="B64" s="204" t="s">
        <v>632</v>
      </c>
      <c r="C64" s="203"/>
      <c r="D64" s="59"/>
      <c r="E64" s="59"/>
      <c r="F64" s="59"/>
      <c r="G64" s="59"/>
      <c r="H64" s="58" t="str">
        <f t="shared" si="0"/>
        <v/>
      </c>
      <c r="I64" s="59"/>
      <c r="J64" s="58" t="str">
        <f t="shared" si="1"/>
        <v/>
      </c>
    </row>
    <row r="65" spans="1:10" s="218" customFormat="1" ht="31.9" customHeight="1">
      <c r="A65" s="219"/>
      <c r="B65" s="46" t="s">
        <v>633</v>
      </c>
      <c r="C65" s="219" t="s">
        <v>634</v>
      </c>
      <c r="D65" s="59">
        <v>0</v>
      </c>
      <c r="E65" s="59">
        <v>0</v>
      </c>
      <c r="F65" s="59">
        <v>0</v>
      </c>
      <c r="G65" s="59">
        <v>0</v>
      </c>
      <c r="H65" s="58" t="str">
        <f t="shared" si="0"/>
        <v/>
      </c>
      <c r="I65" s="59">
        <v>0</v>
      </c>
      <c r="J65" s="58" t="str">
        <f t="shared" si="1"/>
        <v/>
      </c>
    </row>
    <row r="66" spans="1:10" s="218" customFormat="1" ht="31.9" customHeight="1">
      <c r="A66" s="219"/>
      <c r="B66" s="46" t="s">
        <v>635</v>
      </c>
      <c r="C66" s="219" t="s">
        <v>62</v>
      </c>
      <c r="D66" s="59">
        <f>D19</f>
        <v>11308</v>
      </c>
      <c r="E66" s="59">
        <f>E19</f>
        <v>11938</v>
      </c>
      <c r="F66" s="59">
        <f>F19</f>
        <v>11728</v>
      </c>
      <c r="G66" s="59">
        <f>G19</f>
        <v>11350</v>
      </c>
      <c r="H66" s="58">
        <f t="shared" si="0"/>
        <v>100.37141846480368</v>
      </c>
      <c r="I66" s="59">
        <f>I19</f>
        <v>11650</v>
      </c>
      <c r="J66" s="58">
        <f t="shared" si="1"/>
        <v>102.6431718061674</v>
      </c>
    </row>
    <row r="67" spans="1:10" s="218" customFormat="1" ht="31.9" customHeight="1">
      <c r="A67" s="219"/>
      <c r="B67" s="46" t="s">
        <v>636</v>
      </c>
      <c r="C67" s="219" t="s">
        <v>33</v>
      </c>
      <c r="D67" s="58">
        <v>100</v>
      </c>
      <c r="E67" s="58">
        <v>100</v>
      </c>
      <c r="F67" s="58">
        <v>100</v>
      </c>
      <c r="G67" s="58">
        <v>100</v>
      </c>
      <c r="H67" s="58">
        <f t="shared" si="0"/>
        <v>100</v>
      </c>
      <c r="I67" s="58">
        <v>100</v>
      </c>
      <c r="J67" s="58">
        <f t="shared" si="1"/>
        <v>100</v>
      </c>
    </row>
    <row r="68" spans="1:10" s="218" customFormat="1" ht="31.9" customHeight="1">
      <c r="A68" s="219"/>
      <c r="B68" s="46" t="s">
        <v>637</v>
      </c>
      <c r="C68" s="219" t="s">
        <v>62</v>
      </c>
      <c r="D68" s="59">
        <f>D19</f>
        <v>11308</v>
      </c>
      <c r="E68" s="59">
        <f>E19</f>
        <v>11938</v>
      </c>
      <c r="F68" s="59">
        <f>F19</f>
        <v>11728</v>
      </c>
      <c r="G68" s="59">
        <f>G19</f>
        <v>11350</v>
      </c>
      <c r="H68" s="58">
        <f t="shared" si="0"/>
        <v>100.37141846480368</v>
      </c>
      <c r="I68" s="59">
        <f>I19</f>
        <v>11650</v>
      </c>
      <c r="J68" s="58">
        <f t="shared" si="1"/>
        <v>102.6431718061674</v>
      </c>
    </row>
    <row r="69" spans="1:10" s="218" customFormat="1" ht="36.75" customHeight="1">
      <c r="A69" s="219"/>
      <c r="B69" s="46" t="s">
        <v>638</v>
      </c>
      <c r="C69" s="219" t="s">
        <v>33</v>
      </c>
      <c r="D69" s="58">
        <v>100</v>
      </c>
      <c r="E69" s="58">
        <v>100</v>
      </c>
      <c r="F69" s="58">
        <v>100</v>
      </c>
      <c r="G69" s="58">
        <v>100</v>
      </c>
      <c r="H69" s="58">
        <f t="shared" si="0"/>
        <v>100</v>
      </c>
      <c r="I69" s="58">
        <v>100</v>
      </c>
      <c r="J69" s="58">
        <f t="shared" si="1"/>
        <v>100</v>
      </c>
    </row>
    <row r="70" spans="1:10" s="218" customFormat="1" ht="31.9" customHeight="1">
      <c r="A70" s="167" t="s">
        <v>63</v>
      </c>
      <c r="B70" s="204" t="s">
        <v>639</v>
      </c>
      <c r="C70" s="203"/>
      <c r="D70" s="59"/>
      <c r="E70" s="59"/>
      <c r="F70" s="59"/>
      <c r="G70" s="59"/>
      <c r="H70" s="58" t="str">
        <f t="shared" si="0"/>
        <v/>
      </c>
      <c r="I70" s="59"/>
      <c r="J70" s="58" t="str">
        <f t="shared" si="1"/>
        <v/>
      </c>
    </row>
    <row r="71" spans="1:10" s="218" customFormat="1" ht="24.75" customHeight="1">
      <c r="A71" s="188"/>
      <c r="B71" s="216" t="s">
        <v>640</v>
      </c>
      <c r="C71" s="188" t="s">
        <v>8</v>
      </c>
      <c r="D71" s="59">
        <f>SUM(D72:D75)</f>
        <v>14102</v>
      </c>
      <c r="E71" s="59">
        <f>SUM(E72:E75)</f>
        <v>14530</v>
      </c>
      <c r="F71" s="59">
        <f>SUM(F72:F75)</f>
        <v>14536</v>
      </c>
      <c r="G71" s="59">
        <f>SUM(G72:G75)</f>
        <v>14495</v>
      </c>
      <c r="H71" s="58">
        <f t="shared" si="0"/>
        <v>102.78683874627711</v>
      </c>
      <c r="I71" s="59">
        <f>SUM(I72:I75)</f>
        <v>14805</v>
      </c>
      <c r="J71" s="58">
        <f t="shared" si="1"/>
        <v>102.13866850638152</v>
      </c>
    </row>
    <row r="72" spans="1:10" s="218" customFormat="1" ht="24.75" customHeight="1">
      <c r="A72" s="188"/>
      <c r="B72" s="206" t="s">
        <v>641</v>
      </c>
      <c r="C72" s="188" t="s">
        <v>8</v>
      </c>
      <c r="D72" s="59">
        <f>'6 tháng 2021'!E142</f>
        <v>4401</v>
      </c>
      <c r="E72" s="59">
        <f>'6 tháng 2021'!F142</f>
        <v>4430</v>
      </c>
      <c r="F72" s="59">
        <f>'6 tháng 2021'!H142</f>
        <v>4480</v>
      </c>
      <c r="G72" s="59">
        <f>'6 tháng 2021'!I142</f>
        <v>4476</v>
      </c>
      <c r="H72" s="58">
        <f t="shared" si="0"/>
        <v>101.70415814587594</v>
      </c>
      <c r="I72" s="59">
        <f>'6 tháng 2021'!J142</f>
        <v>4423</v>
      </c>
      <c r="J72" s="58">
        <f t="shared" si="1"/>
        <v>98.815907059874888</v>
      </c>
    </row>
    <row r="73" spans="1:10" s="218" customFormat="1" ht="24.75" customHeight="1">
      <c r="A73" s="188"/>
      <c r="B73" s="206" t="s">
        <v>642</v>
      </c>
      <c r="C73" s="188" t="s">
        <v>8</v>
      </c>
      <c r="D73" s="59">
        <f>'6 tháng 2021'!E147</f>
        <v>5400</v>
      </c>
      <c r="E73" s="59">
        <f>'6 tháng 2021'!F147</f>
        <v>5700</v>
      </c>
      <c r="F73" s="59">
        <f>'6 tháng 2021'!H147</f>
        <v>5691</v>
      </c>
      <c r="G73" s="59">
        <f>'6 tháng 2021'!I147</f>
        <v>5682</v>
      </c>
      <c r="H73" s="58">
        <f t="shared" si="0"/>
        <v>105.22222222222223</v>
      </c>
      <c r="I73" s="59">
        <f>'6 tháng 2021'!J147</f>
        <v>6492</v>
      </c>
      <c r="J73" s="58">
        <f t="shared" si="1"/>
        <v>114.25554382259767</v>
      </c>
    </row>
    <row r="74" spans="1:10" s="218" customFormat="1" ht="24.75" customHeight="1">
      <c r="A74" s="188"/>
      <c r="B74" s="206" t="s">
        <v>643</v>
      </c>
      <c r="C74" s="188" t="s">
        <v>8</v>
      </c>
      <c r="D74" s="59">
        <f>'6 tháng 2021'!E148</f>
        <v>3560</v>
      </c>
      <c r="E74" s="59">
        <f>'6 tháng 2021'!F148</f>
        <v>3570</v>
      </c>
      <c r="F74" s="59">
        <f>'6 tháng 2021'!H148</f>
        <v>3558</v>
      </c>
      <c r="G74" s="59">
        <f>'6 tháng 2021'!I148</f>
        <v>3530</v>
      </c>
      <c r="H74" s="58">
        <f t="shared" si="0"/>
        <v>99.157303370786508</v>
      </c>
      <c r="I74" s="59">
        <f>'6 tháng 2021'!J148</f>
        <v>3850</v>
      </c>
      <c r="J74" s="58">
        <f t="shared" si="1"/>
        <v>109.06515580736544</v>
      </c>
    </row>
    <row r="75" spans="1:10" s="218" customFormat="1" ht="24.75" customHeight="1">
      <c r="A75" s="188"/>
      <c r="B75" s="206" t="s">
        <v>644</v>
      </c>
      <c r="C75" s="188" t="s">
        <v>8</v>
      </c>
      <c r="D75" s="59">
        <f>'6 tháng 2021'!E149</f>
        <v>741</v>
      </c>
      <c r="E75" s="59">
        <f>'6 tháng 2021'!F149</f>
        <v>830</v>
      </c>
      <c r="F75" s="59">
        <f>'6 tháng 2021'!H149</f>
        <v>807</v>
      </c>
      <c r="G75" s="59">
        <f>'6 tháng 2021'!I149</f>
        <v>807</v>
      </c>
      <c r="H75" s="58">
        <f>IFERROR(G75/D75%,"")</f>
        <v>108.90688259109312</v>
      </c>
      <c r="I75" s="59">
        <f>'6 tháng 2021'!J149</f>
        <v>40</v>
      </c>
      <c r="J75" s="58">
        <f>IFERROR(I75/G75%,"")</f>
        <v>4.9566294919454768</v>
      </c>
    </row>
    <row r="76" spans="1:10" s="218" customFormat="1" ht="31.5" customHeight="1">
      <c r="A76" s="188"/>
      <c r="B76" s="216" t="s">
        <v>645</v>
      </c>
      <c r="C76" s="188" t="s">
        <v>33</v>
      </c>
      <c r="D76" s="58">
        <v>97.2</v>
      </c>
      <c r="E76" s="58">
        <v>98</v>
      </c>
      <c r="F76" s="58">
        <v>97.6</v>
      </c>
      <c r="G76" s="58">
        <v>97.6</v>
      </c>
      <c r="H76" s="58">
        <f>IFERROR(G76/D76%,"")</f>
        <v>100.41152263374485</v>
      </c>
      <c r="I76" s="58">
        <v>98</v>
      </c>
      <c r="J76" s="58">
        <f>IFERROR(I76/G76%,"")</f>
        <v>100.40983606557377</v>
      </c>
    </row>
    <row r="77" spans="1:10" s="218" customFormat="1" ht="25.5" customHeight="1">
      <c r="A77" s="188"/>
      <c r="B77" s="216" t="s">
        <v>646</v>
      </c>
      <c r="C77" s="188" t="s">
        <v>33</v>
      </c>
      <c r="D77" s="58"/>
      <c r="E77" s="58"/>
      <c r="F77" s="58"/>
      <c r="G77" s="58"/>
      <c r="H77" s="58" t="str">
        <f>IFERROR(G77/D77%,"")</f>
        <v/>
      </c>
      <c r="I77" s="58"/>
      <c r="J77" s="58" t="str">
        <f>IFERROR(I77/G77%,"")</f>
        <v/>
      </c>
    </row>
    <row r="78" spans="1:10" s="218" customFormat="1" ht="21.75" customHeight="1">
      <c r="A78" s="188"/>
      <c r="B78" s="216" t="s">
        <v>642</v>
      </c>
      <c r="C78" s="188" t="s">
        <v>33</v>
      </c>
      <c r="D78" s="58">
        <v>99.6</v>
      </c>
      <c r="E78" s="58">
        <v>99.6</v>
      </c>
      <c r="F78" s="58">
        <v>99.6</v>
      </c>
      <c r="G78" s="58">
        <v>99.6</v>
      </c>
      <c r="H78" s="58">
        <f>IFERROR(G78/D78%,"")</f>
        <v>100</v>
      </c>
      <c r="I78" s="58">
        <v>99.7</v>
      </c>
      <c r="J78" s="58">
        <f>IFERROR(I78/G78%,"")</f>
        <v>100.10040160642571</v>
      </c>
    </row>
    <row r="79" spans="1:10" s="218" customFormat="1" ht="19.5" customHeight="1">
      <c r="A79" s="188"/>
      <c r="B79" s="216" t="s">
        <v>643</v>
      </c>
      <c r="C79" s="188" t="s">
        <v>33</v>
      </c>
      <c r="D79" s="58">
        <v>96.84</v>
      </c>
      <c r="E79" s="58">
        <v>96.84</v>
      </c>
      <c r="F79" s="58">
        <v>96.84</v>
      </c>
      <c r="G79" s="58">
        <v>96.84</v>
      </c>
      <c r="H79" s="58">
        <f>IFERROR(G79/D79%,"")</f>
        <v>100</v>
      </c>
      <c r="I79" s="58">
        <v>97</v>
      </c>
      <c r="J79" s="58">
        <f>IFERROR(I79/G79%,"")</f>
        <v>100.16522098306484</v>
      </c>
    </row>
    <row r="80" spans="1:10" ht="15.75">
      <c r="A80" s="244"/>
      <c r="B80" s="244"/>
      <c r="C80" s="244"/>
      <c r="D80" s="277"/>
      <c r="E80" s="277"/>
      <c r="F80" s="277"/>
      <c r="G80" s="277"/>
      <c r="H80" s="277"/>
      <c r="I80" s="277"/>
      <c r="J80" s="277"/>
    </row>
  </sheetData>
  <mergeCells count="9">
    <mergeCell ref="A2:J2"/>
    <mergeCell ref="A3:J3"/>
    <mergeCell ref="A5:A6"/>
    <mergeCell ref="B5:B6"/>
    <mergeCell ref="C5:C6"/>
    <mergeCell ref="D5:D6"/>
    <mergeCell ref="E5:H5"/>
    <mergeCell ref="I5:I6"/>
    <mergeCell ref="J5:J6"/>
  </mergeCells>
  <pageMargins left="0.39370078740157483" right="0.19685039370078741" top="0.78740157480314965" bottom="0.39370078740157483" header="0.31496062992125984" footer="0.19685039370078741"/>
  <pageSetup paperSize="9" scale="92" fitToHeight="0" orientation="landscape" r:id="rId1"/>
  <headerFoot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J16"/>
  <sheetViews>
    <sheetView zoomScale="70" zoomScaleNormal="70" workbookViewId="0">
      <pane xSplit="2" ySplit="7" topLeftCell="C8" activePane="bottomRight" state="frozen"/>
      <selection activeCell="H29" sqref="H29"/>
      <selection pane="topRight" activeCell="H29" sqref="H29"/>
      <selection pane="bottomLeft" activeCell="H29" sqref="H29"/>
      <selection pane="bottomRight" activeCell="H29" sqref="H29"/>
    </sheetView>
  </sheetViews>
  <sheetFormatPr defaultColWidth="10.28515625" defaultRowHeight="12.75" outlineLevelRow="1"/>
  <cols>
    <col min="1" max="1" width="4.140625" style="195" customWidth="1"/>
    <col min="2" max="2" width="38.85546875" style="195" customWidth="1"/>
    <col min="3" max="3" width="11" style="195" customWidth="1"/>
    <col min="4" max="10" width="12.140625" style="195" customWidth="1"/>
    <col min="11" max="11" width="31.5703125" style="195" customWidth="1"/>
    <col min="12" max="16384" width="10.28515625" style="195"/>
  </cols>
  <sheetData>
    <row r="1" spans="1:10" ht="18.75" outlineLevel="1">
      <c r="A1" s="182"/>
      <c r="B1" s="183"/>
      <c r="C1" s="183"/>
      <c r="D1" s="183"/>
      <c r="E1" s="183"/>
      <c r="F1" s="183"/>
      <c r="G1" s="183"/>
      <c r="H1" s="183"/>
      <c r="J1" s="184" t="s">
        <v>521</v>
      </c>
    </row>
    <row r="2" spans="1:10" ht="16.5" outlineLevel="1">
      <c r="A2" s="791" t="s">
        <v>647</v>
      </c>
      <c r="B2" s="791"/>
      <c r="C2" s="791"/>
      <c r="D2" s="791"/>
      <c r="E2" s="791"/>
      <c r="F2" s="791"/>
      <c r="G2" s="791"/>
      <c r="H2" s="791"/>
      <c r="I2" s="791"/>
      <c r="J2" s="791"/>
    </row>
    <row r="3" spans="1:10" ht="16.5" outlineLevel="1">
      <c r="A3" s="791" t="s">
        <v>648</v>
      </c>
      <c r="B3" s="791"/>
      <c r="C3" s="791"/>
      <c r="D3" s="791"/>
      <c r="E3" s="791"/>
      <c r="F3" s="791"/>
      <c r="G3" s="791"/>
      <c r="H3" s="791"/>
      <c r="I3" s="791"/>
      <c r="J3" s="791"/>
    </row>
    <row r="4" spans="1:10" outlineLevel="1"/>
    <row r="5" spans="1:10" s="196" customFormat="1" ht="15.75">
      <c r="A5" s="792" t="s">
        <v>524</v>
      </c>
      <c r="B5" s="792" t="s">
        <v>69</v>
      </c>
      <c r="C5" s="792" t="s">
        <v>525</v>
      </c>
      <c r="D5" s="792" t="s">
        <v>526</v>
      </c>
      <c r="E5" s="792" t="s">
        <v>514</v>
      </c>
      <c r="F5" s="792"/>
      <c r="G5" s="792"/>
      <c r="H5" s="792"/>
      <c r="I5" s="792" t="s">
        <v>516</v>
      </c>
      <c r="J5" s="792" t="s">
        <v>518</v>
      </c>
    </row>
    <row r="6" spans="1:10" s="196" customFormat="1" ht="78.75">
      <c r="A6" s="792"/>
      <c r="B6" s="792"/>
      <c r="C6" s="792"/>
      <c r="D6" s="792"/>
      <c r="E6" s="241" t="s">
        <v>470</v>
      </c>
      <c r="F6" s="241" t="s">
        <v>723</v>
      </c>
      <c r="G6" s="241" t="s">
        <v>515</v>
      </c>
      <c r="H6" s="241" t="s">
        <v>517</v>
      </c>
      <c r="I6" s="792"/>
      <c r="J6" s="792"/>
    </row>
    <row r="7" spans="1:10" s="198" customFormat="1" ht="21" customHeight="1">
      <c r="A7" s="241">
        <v>1</v>
      </c>
      <c r="B7" s="241">
        <v>2</v>
      </c>
      <c r="C7" s="241">
        <v>3</v>
      </c>
      <c r="D7" s="241">
        <v>4</v>
      </c>
      <c r="E7" s="241">
        <v>5</v>
      </c>
      <c r="F7" s="241">
        <v>6</v>
      </c>
      <c r="G7" s="241">
        <v>7</v>
      </c>
      <c r="H7" s="241" t="s">
        <v>480</v>
      </c>
      <c r="I7" s="241">
        <v>9</v>
      </c>
      <c r="J7" s="241" t="s">
        <v>519</v>
      </c>
    </row>
    <row r="8" spans="1:10" ht="34.5" customHeight="1">
      <c r="A8" s="187">
        <v>1</v>
      </c>
      <c r="B8" s="242" t="s">
        <v>649</v>
      </c>
      <c r="C8" s="187" t="s">
        <v>33</v>
      </c>
      <c r="D8" s="276">
        <v>92</v>
      </c>
      <c r="E8" s="276">
        <v>93</v>
      </c>
      <c r="F8" s="276">
        <v>93</v>
      </c>
      <c r="G8" s="276">
        <v>93</v>
      </c>
      <c r="H8" s="58">
        <f>IFERROR(G8/D8%,"")</f>
        <v>101.08695652173913</v>
      </c>
      <c r="I8" s="276">
        <v>93</v>
      </c>
      <c r="J8" s="58">
        <f>IFERROR(I8/G8%,"")</f>
        <v>100</v>
      </c>
    </row>
    <row r="9" spans="1:10" ht="35.25" customHeight="1">
      <c r="A9" s="188">
        <v>2</v>
      </c>
      <c r="B9" s="220" t="s">
        <v>650</v>
      </c>
      <c r="C9" s="188" t="s">
        <v>33</v>
      </c>
      <c r="D9" s="268">
        <v>50</v>
      </c>
      <c r="E9" s="268">
        <v>100</v>
      </c>
      <c r="F9" s="268">
        <v>50</v>
      </c>
      <c r="G9" s="268">
        <v>100</v>
      </c>
      <c r="H9" s="58">
        <f>IFERROR(G9/D9%,"")</f>
        <v>200</v>
      </c>
      <c r="I9" s="268">
        <v>100</v>
      </c>
      <c r="J9" s="58">
        <f>IFERROR(I9/G9%,"")</f>
        <v>100</v>
      </c>
    </row>
    <row r="10" spans="1:10" ht="34.5" customHeight="1">
      <c r="A10" s="188">
        <v>3</v>
      </c>
      <c r="B10" s="206" t="s">
        <v>651</v>
      </c>
      <c r="C10" s="188" t="s">
        <v>652</v>
      </c>
      <c r="D10" s="268">
        <v>1</v>
      </c>
      <c r="E10" s="268">
        <v>1</v>
      </c>
      <c r="F10" s="268">
        <v>1</v>
      </c>
      <c r="G10" s="268">
        <v>1</v>
      </c>
      <c r="H10" s="58">
        <f>IFERROR(G10/D10%,"")</f>
        <v>100</v>
      </c>
      <c r="I10" s="268">
        <v>1</v>
      </c>
      <c r="J10" s="58">
        <f>IFERROR(I10/G10%,"")</f>
        <v>100</v>
      </c>
    </row>
    <row r="11" spans="1:10" ht="64.5" customHeight="1">
      <c r="A11" s="188">
        <v>4</v>
      </c>
      <c r="B11" s="206" t="s">
        <v>653</v>
      </c>
      <c r="C11" s="188" t="s">
        <v>652</v>
      </c>
      <c r="D11" s="266">
        <v>0</v>
      </c>
      <c r="E11" s="266">
        <v>0</v>
      </c>
      <c r="F11" s="266">
        <v>0</v>
      </c>
      <c r="G11" s="266">
        <v>0</v>
      </c>
      <c r="H11" s="58" t="str">
        <f>IFERROR(G11/D11%,"")</f>
        <v/>
      </c>
      <c r="I11" s="266">
        <v>0</v>
      </c>
      <c r="J11" s="58" t="str">
        <f>IFERROR(I11/G11%,"")</f>
        <v/>
      </c>
    </row>
    <row r="12" spans="1:10" ht="66" customHeight="1">
      <c r="A12" s="188">
        <v>5</v>
      </c>
      <c r="B12" s="206" t="s">
        <v>653</v>
      </c>
      <c r="C12" s="188" t="s">
        <v>33</v>
      </c>
      <c r="D12" s="266">
        <v>0</v>
      </c>
      <c r="E12" s="266">
        <v>0</v>
      </c>
      <c r="F12" s="266">
        <v>0</v>
      </c>
      <c r="G12" s="266">
        <v>0</v>
      </c>
      <c r="H12" s="58" t="str">
        <f>IFERROR(G12/D12%,"")</f>
        <v/>
      </c>
      <c r="I12" s="266">
        <v>0</v>
      </c>
      <c r="J12" s="58" t="str">
        <f>IFERROR(I12/G12%,"")</f>
        <v/>
      </c>
    </row>
    <row r="13" spans="1:10" ht="11.25" customHeight="1">
      <c r="A13" s="256"/>
      <c r="B13" s="98"/>
      <c r="C13" s="256"/>
      <c r="D13" s="245"/>
      <c r="E13" s="245"/>
      <c r="F13" s="245"/>
      <c r="G13" s="245"/>
      <c r="H13" s="245"/>
      <c r="I13" s="245"/>
      <c r="J13" s="245"/>
    </row>
    <row r="14" spans="1:10" ht="15.75">
      <c r="A14" s="257"/>
      <c r="B14" s="221"/>
      <c r="C14" s="257"/>
      <c r="D14" s="258"/>
      <c r="E14" s="258"/>
      <c r="F14" s="258"/>
      <c r="G14" s="258"/>
      <c r="H14" s="258"/>
      <c r="I14" s="258"/>
      <c r="J14" s="258"/>
    </row>
    <row r="15" spans="1:10" ht="36" customHeight="1">
      <c r="A15" s="795" t="s">
        <v>654</v>
      </c>
      <c r="B15" s="795"/>
      <c r="C15" s="795"/>
      <c r="D15" s="795"/>
      <c r="E15" s="795"/>
      <c r="F15" s="795"/>
      <c r="G15" s="795"/>
      <c r="H15" s="795"/>
      <c r="I15" s="795"/>
      <c r="J15" s="795"/>
    </row>
    <row r="16" spans="1:10">
      <c r="A16" s="199"/>
      <c r="B16" s="199"/>
      <c r="C16" s="199"/>
      <c r="D16" s="199"/>
      <c r="E16" s="199"/>
      <c r="F16" s="199"/>
      <c r="G16" s="199"/>
      <c r="H16" s="199"/>
      <c r="I16" s="199"/>
      <c r="J16" s="199"/>
    </row>
  </sheetData>
  <mergeCells count="10">
    <mergeCell ref="A15:J15"/>
    <mergeCell ref="A2:J2"/>
    <mergeCell ref="A3:J3"/>
    <mergeCell ref="A5:A6"/>
    <mergeCell ref="B5:B6"/>
    <mergeCell ref="C5:C6"/>
    <mergeCell ref="D5:D6"/>
    <mergeCell ref="E5:H5"/>
    <mergeCell ref="I5:I6"/>
    <mergeCell ref="J5:J6"/>
  </mergeCells>
  <pageMargins left="0.39370078740157483" right="0.19685039370078741" top="0.78740157480314965" bottom="0.39370078740157483" header="0.31496062992125984" footer="0.19685039370078741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50</vt:i4>
      </vt:variant>
      <vt:variant>
        <vt:lpstr>Named Ranges</vt:lpstr>
      </vt:variant>
      <vt:variant>
        <vt:i4>33</vt:i4>
      </vt:variant>
    </vt:vector>
  </HeadingPairs>
  <TitlesOfParts>
    <vt:vector size="83" baseType="lpstr">
      <vt:lpstr>Thang 10</vt:lpstr>
      <vt:lpstr>9 thang 2018</vt:lpstr>
      <vt:lpstr>PL01</vt:lpstr>
      <vt:lpstr>PL04</vt:lpstr>
      <vt:lpstr>1. Chi tieu KT</vt:lpstr>
      <vt:lpstr>2. CN NN DV</vt:lpstr>
      <vt:lpstr>2a.NLTS</vt:lpstr>
      <vt:lpstr>3. XH</vt:lpstr>
      <vt:lpstr>4. MT</vt:lpstr>
      <vt:lpstr>5. PTDN</vt:lpstr>
      <vt:lpstr>Thang 7</vt:lpstr>
      <vt:lpstr>Thang 8</vt:lpstr>
      <vt:lpstr>QI.2018</vt:lpstr>
      <vt:lpstr>NQ16</vt:lpstr>
      <vt:lpstr>Theo doi</vt:lpstr>
      <vt:lpstr>Thang 4</vt:lpstr>
      <vt:lpstr>Thang 5</vt:lpstr>
      <vt:lpstr>T5. 2019</vt:lpstr>
      <vt:lpstr>06T- 2018</vt:lpstr>
      <vt:lpstr>6 tháng 2021</vt:lpstr>
      <vt:lpstr>KH 2019 (2)</vt:lpstr>
      <vt:lpstr>T4. 2019</vt:lpstr>
      <vt:lpstr>QI. 2019</vt:lpstr>
      <vt:lpstr>Thang 1</vt:lpstr>
      <vt:lpstr>Thang 2</vt:lpstr>
      <vt:lpstr>B01</vt:lpstr>
      <vt:lpstr>B02</vt:lpstr>
      <vt:lpstr>Sheet2</vt:lpstr>
      <vt:lpstr>Sheet2 (2)</vt:lpstr>
      <vt:lpstr>B04</vt:lpstr>
      <vt:lpstr>B03</vt:lpstr>
      <vt:lpstr>NN-Dien Binh</vt:lpstr>
      <vt:lpstr>NN-Po Ko</vt:lpstr>
      <vt:lpstr>NN-Thi Tran</vt:lpstr>
      <vt:lpstr>NN-Tan Canh</vt:lpstr>
      <vt:lpstr>NN-Kon Dao</vt:lpstr>
      <vt:lpstr>NN-Ngoc Tu</vt:lpstr>
      <vt:lpstr>NN-Dak Ro Nga</vt:lpstr>
      <vt:lpstr>NN-Dak Tram</vt:lpstr>
      <vt:lpstr>NN-Van Lem</vt:lpstr>
      <vt:lpstr>B05</vt:lpstr>
      <vt:lpstr>VHXH- Dien Binh</vt:lpstr>
      <vt:lpstr>VHXH- Po Ko</vt:lpstr>
      <vt:lpstr>VHXH- Thi Tran</vt:lpstr>
      <vt:lpstr>VHXH- Tan Canh</vt:lpstr>
      <vt:lpstr>VHXH- Kon Dao</vt:lpstr>
      <vt:lpstr>VHXH- Ngoc Tu</vt:lpstr>
      <vt:lpstr>VHXH- Dak Ro Nga</vt:lpstr>
      <vt:lpstr>VHXH- Dak Tram</vt:lpstr>
      <vt:lpstr>VHXH- Van Lem</vt:lpstr>
      <vt:lpstr>'06T- 2018'!Print_Titles</vt:lpstr>
      <vt:lpstr>'2. CN NN DV'!Print_Titles</vt:lpstr>
      <vt:lpstr>'2a.NLTS'!Print_Titles</vt:lpstr>
      <vt:lpstr>'3. XH'!Print_Titles</vt:lpstr>
      <vt:lpstr>'6 tháng 2021'!Print_Titles</vt:lpstr>
      <vt:lpstr>'9 thang 2018'!Print_Titles</vt:lpstr>
      <vt:lpstr>'B03'!Print_Titles</vt:lpstr>
      <vt:lpstr>'B04'!Print_Titles</vt:lpstr>
      <vt:lpstr>'B05'!Print_Titles</vt:lpstr>
      <vt:lpstr>'KH 2019 (2)'!Print_Titles</vt:lpstr>
      <vt:lpstr>'NN-Dak Ro Nga'!Print_Titles</vt:lpstr>
      <vt:lpstr>'NN-Dak Tram'!Print_Titles</vt:lpstr>
      <vt:lpstr>'NN-Dien Binh'!Print_Titles</vt:lpstr>
      <vt:lpstr>'NN-Kon Dao'!Print_Titles</vt:lpstr>
      <vt:lpstr>'NN-Ngoc Tu'!Print_Titles</vt:lpstr>
      <vt:lpstr>'NN-Po Ko'!Print_Titles</vt:lpstr>
      <vt:lpstr>'NN-Tan Canh'!Print_Titles</vt:lpstr>
      <vt:lpstr>'NN-Thi Tran'!Print_Titles</vt:lpstr>
      <vt:lpstr>'NN-Van Lem'!Print_Titles</vt:lpstr>
      <vt:lpstr>'NQ16'!Print_Titles</vt:lpstr>
      <vt:lpstr>'PL01'!Print_Titles</vt:lpstr>
      <vt:lpstr>'PL04'!Print_Titles</vt:lpstr>
      <vt:lpstr>'QI. 2019'!Print_Titles</vt:lpstr>
      <vt:lpstr>QI.2018!Print_Titles</vt:lpstr>
      <vt:lpstr>'T4. 2019'!Print_Titles</vt:lpstr>
      <vt:lpstr>'T5. 2019'!Print_Titles</vt:lpstr>
      <vt:lpstr>'Thang 1'!Print_Titles</vt:lpstr>
      <vt:lpstr>'Thang 10'!Print_Titles</vt:lpstr>
      <vt:lpstr>'Thang 2'!Print_Titles</vt:lpstr>
      <vt:lpstr>'Thang 4'!Print_Titles</vt:lpstr>
      <vt:lpstr>'Thang 5'!Print_Titles</vt:lpstr>
      <vt:lpstr>'Thang 7'!Print_Titles</vt:lpstr>
      <vt:lpstr>'Thang 8'!Print_Titles</vt:lpstr>
    </vt:vector>
  </TitlesOfParts>
  <Company>DPI KONTUM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TONG HOP</dc:creator>
  <cp:lastModifiedBy>VNN.R9</cp:lastModifiedBy>
  <cp:lastPrinted>2021-06-23T07:50:28Z</cp:lastPrinted>
  <dcterms:created xsi:type="dcterms:W3CDTF">1999-07-29T07:42:27Z</dcterms:created>
  <dcterms:modified xsi:type="dcterms:W3CDTF">2021-07-16T11:21:45Z</dcterms:modified>
</cp:coreProperties>
</file>